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Default Extension="bin" ContentType="application/vnd.openxmlformats-officedocument.spreadsheetml.printerSettings"/>
  <Default Extension="png" ContentType="image/png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-6660" yWindow="420" windowWidth="13350" windowHeight="9150" activeTab="4"/>
  </bookViews>
  <sheets>
    <sheet name="ตารางที่ 1" sheetId="1" r:id="rId1"/>
    <sheet name="ตารางที่ 2" sheetId="2" r:id="rId2"/>
    <sheet name="ตารางที่ 3" sheetId="4" r:id="rId3"/>
    <sheet name="ตารางที่ 4" sheetId="3" r:id="rId4"/>
    <sheet name="ตารางที่ 5" sheetId="6" r:id="rId5"/>
    <sheet name="ตารางที่ 6" sheetId="7" r:id="rId6"/>
    <sheet name="ตารางที่ 7" sheetId="8" r:id="rId7"/>
    <sheet name="ตารางที่ 8" sheetId="5" r:id="rId8"/>
    <sheet name="ต้นทุนผลผลิตการเรียน61" sheetId="10" r:id="rId9"/>
    <sheet name="ต้นทุนกิจกรรมด้านการเรียน61" sheetId="40" r:id="rId10"/>
    <sheet name="คชจ.หน่วยงาน61" sheetId="12" r:id="rId11"/>
    <sheet name="รอบปันส่วน61" sheetId="44" r:id="rId12"/>
    <sheet name="ปันส่วนต้นทุนกิจกรรมสนับสนุน61" sheetId="39" r:id="rId13"/>
    <sheet name="FTES61" sheetId="43" r:id="rId14"/>
    <sheet name="จำนวนบุคลากร61" sheetId="18" r:id="rId15"/>
    <sheet name="ปันส่วนงบกลางสอ.61" sheetId="19" r:id="rId16"/>
    <sheet name="สรุปโครงการวิชาการปี61" sheetId="46" r:id="rId17"/>
    <sheet name="สรุปโครงการทำนุปี61" sheetId="45" r:id="rId18"/>
    <sheet name="สรูปโครงการเงินรายได้61" sheetId="47" r:id="rId19"/>
  </sheets>
  <definedNames>
    <definedName name="_xlnm._FilterDatabase" localSheetId="17" hidden="1">สรุปโครงการทำนุปี61!$B$8:$AJ$1364</definedName>
    <definedName name="_xlnm._FilterDatabase" localSheetId="16" hidden="1">สรุปโครงการวิชาการปี61!$B$8:$AJ$1364</definedName>
    <definedName name="_xlnm.Print_Titles" localSheetId="14">จำนวนบุคลากร61!#REF!</definedName>
    <definedName name="_xlnm.Print_Titles" localSheetId="2">'ตารางที่ 3'!$1:$4</definedName>
    <definedName name="_xlnm.Print_Titles" localSheetId="11">รอบปันส่วน61!$1:$4</definedName>
  </definedNames>
  <calcPr calcId="124519"/>
</workbook>
</file>

<file path=xl/calcChain.xml><?xml version="1.0" encoding="utf-8"?>
<calcChain xmlns="http://schemas.openxmlformats.org/spreadsheetml/2006/main">
  <c r="J36" i="5"/>
  <c r="K36"/>
  <c r="L36"/>
  <c r="M36"/>
  <c r="N36"/>
  <c r="D39" i="2"/>
  <c r="D40"/>
  <c r="D9" i="6"/>
  <c r="E9" s="1"/>
  <c r="AK7" i="44"/>
  <c r="AX7"/>
  <c r="AW7"/>
  <c r="AL7"/>
  <c r="L5" i="19"/>
  <c r="AQ64" i="44"/>
  <c r="R31" i="5"/>
  <c r="S31"/>
  <c r="T31"/>
  <c r="R22" i="8"/>
  <c r="S22"/>
  <c r="T22"/>
  <c r="I31" i="3"/>
  <c r="I30"/>
  <c r="I29"/>
  <c r="C23" i="47"/>
  <c r="D23"/>
  <c r="B23"/>
  <c r="I21" i="4"/>
  <c r="I22"/>
  <c r="I23"/>
  <c r="I20"/>
  <c r="E21" i="47"/>
  <c r="B21"/>
  <c r="C21"/>
  <c r="D21"/>
  <c r="O33" i="5"/>
  <c r="K33"/>
  <c r="L33"/>
  <c r="M33"/>
  <c r="N33"/>
  <c r="Q33" s="1"/>
  <c r="P33"/>
  <c r="K34"/>
  <c r="L34"/>
  <c r="M34"/>
  <c r="N34"/>
  <c r="Q34" s="1"/>
  <c r="O34"/>
  <c r="P34"/>
  <c r="K35"/>
  <c r="L35"/>
  <c r="M35"/>
  <c r="N35"/>
  <c r="Q35" s="1"/>
  <c r="O35"/>
  <c r="P35"/>
  <c r="J34"/>
  <c r="J35"/>
  <c r="J33"/>
  <c r="O23" i="8"/>
  <c r="S23" s="1"/>
  <c r="P23"/>
  <c r="O24"/>
  <c r="P24"/>
  <c r="O25"/>
  <c r="P25"/>
  <c r="O26"/>
  <c r="P26"/>
  <c r="N23"/>
  <c r="R23" s="1"/>
  <c r="N24"/>
  <c r="Q24" s="1"/>
  <c r="N25"/>
  <c r="N26"/>
  <c r="K23"/>
  <c r="L23"/>
  <c r="M23"/>
  <c r="K24"/>
  <c r="L24"/>
  <c r="M24"/>
  <c r="K25"/>
  <c r="L25"/>
  <c r="M25"/>
  <c r="K26"/>
  <c r="L26"/>
  <c r="M26"/>
  <c r="J24"/>
  <c r="J25"/>
  <c r="J26"/>
  <c r="J23"/>
  <c r="D14" i="6"/>
  <c r="E14" s="1"/>
  <c r="C12" i="3"/>
  <c r="D12"/>
  <c r="E12"/>
  <c r="F12"/>
  <c r="B12"/>
  <c r="B32"/>
  <c r="C22"/>
  <c r="D22"/>
  <c r="E22"/>
  <c r="F22"/>
  <c r="B22"/>
  <c r="C15"/>
  <c r="D15"/>
  <c r="E15"/>
  <c r="F15"/>
  <c r="B15"/>
  <c r="C13"/>
  <c r="D13"/>
  <c r="E13"/>
  <c r="F13"/>
  <c r="B13"/>
  <c r="C6"/>
  <c r="D6"/>
  <c r="E6"/>
  <c r="F6"/>
  <c r="B6"/>
  <c r="C10"/>
  <c r="D10"/>
  <c r="E10"/>
  <c r="F10"/>
  <c r="B10"/>
  <c r="F7"/>
  <c r="C7"/>
  <c r="D7"/>
  <c r="E7"/>
  <c r="B7"/>
  <c r="F18"/>
  <c r="F26"/>
  <c r="F27"/>
  <c r="F28"/>
  <c r="F29"/>
  <c r="F30"/>
  <c r="F31"/>
  <c r="E34" i="4"/>
  <c r="F34" s="1"/>
  <c r="D35"/>
  <c r="J46" i="40"/>
  <c r="I46"/>
  <c r="H46"/>
  <c r="G46"/>
  <c r="F46"/>
  <c r="F5" i="4"/>
  <c r="F6"/>
  <c r="F7"/>
  <c r="F8"/>
  <c r="F9"/>
  <c r="F10"/>
  <c r="F11"/>
  <c r="F12"/>
  <c r="F13"/>
  <c r="F14"/>
  <c r="F15"/>
  <c r="F16"/>
  <c r="F17"/>
  <c r="F18"/>
  <c r="L18" i="10"/>
  <c r="L19"/>
  <c r="L20"/>
  <c r="L8"/>
  <c r="L7"/>
  <c r="L8" i="40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7"/>
  <c r="L4"/>
  <c r="L5"/>
  <c r="L6"/>
  <c r="K8"/>
  <c r="K4"/>
  <c r="G10" i="10"/>
  <c r="F14"/>
  <c r="F10"/>
  <c r="F25"/>
  <c r="E25"/>
  <c r="D25"/>
  <c r="F6"/>
  <c r="F5" s="1"/>
  <c r="F4" s="1"/>
  <c r="G6"/>
  <c r="G5" s="1"/>
  <c r="H6"/>
  <c r="H5" s="1"/>
  <c r="H4" s="1"/>
  <c r="I6"/>
  <c r="I5" s="1"/>
  <c r="I4" s="1"/>
  <c r="H10"/>
  <c r="I10"/>
  <c r="G14"/>
  <c r="H14"/>
  <c r="I14"/>
  <c r="F23"/>
  <c r="G23"/>
  <c r="H23"/>
  <c r="I23"/>
  <c r="G25"/>
  <c r="H25"/>
  <c r="I25"/>
  <c r="F30"/>
  <c r="G30"/>
  <c r="H30"/>
  <c r="I30"/>
  <c r="F32"/>
  <c r="G32"/>
  <c r="H32"/>
  <c r="I32"/>
  <c r="F43"/>
  <c r="G43"/>
  <c r="H43"/>
  <c r="I43"/>
  <c r="F41"/>
  <c r="G41"/>
  <c r="H41"/>
  <c r="I41"/>
  <c r="F39"/>
  <c r="G39"/>
  <c r="H39"/>
  <c r="I39"/>
  <c r="F36"/>
  <c r="F35" s="1"/>
  <c r="G36"/>
  <c r="H36"/>
  <c r="H35" s="1"/>
  <c r="I36"/>
  <c r="I35" s="1"/>
  <c r="I17"/>
  <c r="H17"/>
  <c r="G17"/>
  <c r="F17"/>
  <c r="I21"/>
  <c r="I20" s="1"/>
  <c r="H21"/>
  <c r="G21"/>
  <c r="G20" s="1"/>
  <c r="F21"/>
  <c r="F20" s="1"/>
  <c r="J27"/>
  <c r="J28"/>
  <c r="J29"/>
  <c r="K29" s="1"/>
  <c r="J31"/>
  <c r="J33"/>
  <c r="J37"/>
  <c r="J40"/>
  <c r="J42"/>
  <c r="J44"/>
  <c r="J7"/>
  <c r="J11"/>
  <c r="J12"/>
  <c r="J13"/>
  <c r="J15"/>
  <c r="J18"/>
  <c r="J22"/>
  <c r="J24"/>
  <c r="J26"/>
  <c r="L29"/>
  <c r="E43"/>
  <c r="D43"/>
  <c r="E41"/>
  <c r="D41"/>
  <c r="E40"/>
  <c r="E39" s="1"/>
  <c r="D40"/>
  <c r="D39" s="1"/>
  <c r="E36"/>
  <c r="E35" s="1"/>
  <c r="D36"/>
  <c r="D35" s="1"/>
  <c r="E32"/>
  <c r="D32"/>
  <c r="E30"/>
  <c r="D30"/>
  <c r="E23"/>
  <c r="D23"/>
  <c r="E21"/>
  <c r="E20" s="1"/>
  <c r="D21"/>
  <c r="D20" s="1"/>
  <c r="E19"/>
  <c r="E17" s="1"/>
  <c r="D19"/>
  <c r="D17" s="1"/>
  <c r="E14"/>
  <c r="D14"/>
  <c r="E10"/>
  <c r="D10"/>
  <c r="E6"/>
  <c r="E5" s="1"/>
  <c r="E4" s="1"/>
  <c r="D6"/>
  <c r="D5" s="1"/>
  <c r="D4" s="1"/>
  <c r="F20" i="40"/>
  <c r="F5"/>
  <c r="F4" s="1"/>
  <c r="F6"/>
  <c r="G6"/>
  <c r="G5" s="1"/>
  <c r="G4" s="1"/>
  <c r="H6"/>
  <c r="H5" s="1"/>
  <c r="H4" s="1"/>
  <c r="I6"/>
  <c r="I5" s="1"/>
  <c r="I4" s="1"/>
  <c r="H9"/>
  <c r="F10"/>
  <c r="F9" s="1"/>
  <c r="G10"/>
  <c r="G9" s="1"/>
  <c r="H10"/>
  <c r="I10"/>
  <c r="I9" s="1"/>
  <c r="F14"/>
  <c r="G14"/>
  <c r="H14"/>
  <c r="I14"/>
  <c r="J14"/>
  <c r="F17"/>
  <c r="F16" s="1"/>
  <c r="F8" s="1"/>
  <c r="F45" s="1"/>
  <c r="G17"/>
  <c r="G16" s="1"/>
  <c r="H17"/>
  <c r="I17"/>
  <c r="F23"/>
  <c r="G23"/>
  <c r="H23"/>
  <c r="I23"/>
  <c r="F25"/>
  <c r="G25"/>
  <c r="H25"/>
  <c r="I25"/>
  <c r="F30"/>
  <c r="G30"/>
  <c r="H30"/>
  <c r="I30"/>
  <c r="F32"/>
  <c r="G32"/>
  <c r="H32"/>
  <c r="I32"/>
  <c r="H35"/>
  <c r="H34" s="1"/>
  <c r="I35"/>
  <c r="I34" s="1"/>
  <c r="F36"/>
  <c r="F35" s="1"/>
  <c r="F34" s="1"/>
  <c r="G36"/>
  <c r="G35" s="1"/>
  <c r="H36"/>
  <c r="I36"/>
  <c r="E36"/>
  <c r="E35" s="1"/>
  <c r="F39"/>
  <c r="F38" s="1"/>
  <c r="G39"/>
  <c r="G38" s="1"/>
  <c r="H39"/>
  <c r="I39"/>
  <c r="F41"/>
  <c r="G41"/>
  <c r="H41"/>
  <c r="I41"/>
  <c r="F43"/>
  <c r="G43"/>
  <c r="H43"/>
  <c r="H38" s="1"/>
  <c r="I43"/>
  <c r="I38" s="1"/>
  <c r="E43"/>
  <c r="J40"/>
  <c r="J39" s="1"/>
  <c r="J38" s="1"/>
  <c r="J42"/>
  <c r="J41" s="1"/>
  <c r="J44"/>
  <c r="J43" s="1"/>
  <c r="J37"/>
  <c r="J36" s="1"/>
  <c r="J35" s="1"/>
  <c r="J7"/>
  <c r="J6" s="1"/>
  <c r="J5" s="1"/>
  <c r="J4" s="1"/>
  <c r="V136" i="44"/>
  <c r="J19" i="40"/>
  <c r="I21"/>
  <c r="I20" s="1"/>
  <c r="I16" s="1"/>
  <c r="I8" s="1"/>
  <c r="H21"/>
  <c r="H20" s="1"/>
  <c r="G21"/>
  <c r="G20" s="1"/>
  <c r="F21"/>
  <c r="J21" s="1"/>
  <c r="J20" s="1"/>
  <c r="J27"/>
  <c r="J28"/>
  <c r="J29"/>
  <c r="J31"/>
  <c r="J30" s="1"/>
  <c r="J33"/>
  <c r="J32" s="1"/>
  <c r="J12"/>
  <c r="J13"/>
  <c r="J15"/>
  <c r="J18"/>
  <c r="J17" s="1"/>
  <c r="J22"/>
  <c r="J24"/>
  <c r="J23" s="1"/>
  <c r="J11"/>
  <c r="J10" s="1"/>
  <c r="J9" s="1"/>
  <c r="J26"/>
  <c r="J25" s="1"/>
  <c r="B35" i="4"/>
  <c r="F33"/>
  <c r="F32"/>
  <c r="F31"/>
  <c r="F30"/>
  <c r="F29"/>
  <c r="F28"/>
  <c r="F27"/>
  <c r="F26"/>
  <c r="F21"/>
  <c r="F22"/>
  <c r="F23"/>
  <c r="E32" i="40"/>
  <c r="D32"/>
  <c r="E30"/>
  <c r="D30"/>
  <c r="E25"/>
  <c r="D25"/>
  <c r="E23"/>
  <c r="D23"/>
  <c r="E19"/>
  <c r="E17" s="1"/>
  <c r="E16" s="1"/>
  <c r="D19"/>
  <c r="D17" s="1"/>
  <c r="D16" s="1"/>
  <c r="E21"/>
  <c r="E20" s="1"/>
  <c r="D21"/>
  <c r="D20" s="1"/>
  <c r="D14"/>
  <c r="D10"/>
  <c r="E40"/>
  <c r="E39" s="1"/>
  <c r="E38" s="1"/>
  <c r="D40"/>
  <c r="D39" s="1"/>
  <c r="E41"/>
  <c r="I21" i="39"/>
  <c r="D18"/>
  <c r="D16"/>
  <c r="D20" s="1"/>
  <c r="D8"/>
  <c r="D9" s="1"/>
  <c r="AY189" i="44"/>
  <c r="AY190"/>
  <c r="AY192"/>
  <c r="AY193"/>
  <c r="AX194"/>
  <c r="AY194"/>
  <c r="AY68"/>
  <c r="AY69"/>
  <c r="AY71"/>
  <c r="AY72"/>
  <c r="AX73"/>
  <c r="AY73"/>
  <c r="AQ187"/>
  <c r="AQ188"/>
  <c r="AM189"/>
  <c r="AN189"/>
  <c r="AO189"/>
  <c r="AQ189"/>
  <c r="AN190"/>
  <c r="AO190"/>
  <c r="AQ190"/>
  <c r="AN191"/>
  <c r="AO191"/>
  <c r="AQ191"/>
  <c r="AN192"/>
  <c r="AO192"/>
  <c r="AQ192"/>
  <c r="AM193"/>
  <c r="AN193"/>
  <c r="AO193"/>
  <c r="AQ193"/>
  <c r="AM194"/>
  <c r="AN194"/>
  <c r="AO194"/>
  <c r="AQ194"/>
  <c r="AS271"/>
  <c r="AV271" s="1"/>
  <c r="AR271"/>
  <c r="AU271"/>
  <c r="L22" i="19"/>
  <c r="L21"/>
  <c r="T147" i="44"/>
  <c r="N147"/>
  <c r="AQ184"/>
  <c r="AQ174"/>
  <c r="AQ164"/>
  <c r="AQ154"/>
  <c r="AQ144"/>
  <c r="AQ134"/>
  <c r="AQ124"/>
  <c r="AQ114"/>
  <c r="AQ104"/>
  <c r="AQ94"/>
  <c r="AQ84"/>
  <c r="AQ66"/>
  <c r="AQ54"/>
  <c r="AQ44"/>
  <c r="AQ34"/>
  <c r="AQ24"/>
  <c r="AQ14"/>
  <c r="AQ195" s="1"/>
  <c r="AQ67"/>
  <c r="AQ68"/>
  <c r="AQ69"/>
  <c r="AQ70"/>
  <c r="AQ71"/>
  <c r="AQ72"/>
  <c r="AQ73"/>
  <c r="J6" i="19"/>
  <c r="K6"/>
  <c r="J7"/>
  <c r="K7"/>
  <c r="J8"/>
  <c r="K8"/>
  <c r="J9"/>
  <c r="K9"/>
  <c r="J10"/>
  <c r="K10"/>
  <c r="J11"/>
  <c r="K11"/>
  <c r="J12"/>
  <c r="K12"/>
  <c r="J13"/>
  <c r="K13"/>
  <c r="J14"/>
  <c r="K14"/>
  <c r="J15"/>
  <c r="K15"/>
  <c r="J16"/>
  <c r="K16"/>
  <c r="J17"/>
  <c r="K17"/>
  <c r="J18"/>
  <c r="K18"/>
  <c r="J19"/>
  <c r="K19"/>
  <c r="J20"/>
  <c r="K20"/>
  <c r="J21"/>
  <c r="K21"/>
  <c r="K5"/>
  <c r="J5"/>
  <c r="D22"/>
  <c r="E22"/>
  <c r="F22"/>
  <c r="G22"/>
  <c r="H22"/>
  <c r="I22"/>
  <c r="AM68" i="44"/>
  <c r="AN68"/>
  <c r="AO68"/>
  <c r="AU68" s="1"/>
  <c r="AN69"/>
  <c r="AO69"/>
  <c r="AU69" s="1"/>
  <c r="AN70"/>
  <c r="AO70"/>
  <c r="AU70" s="1"/>
  <c r="AN71"/>
  <c r="AO71"/>
  <c r="AU71" s="1"/>
  <c r="AM72"/>
  <c r="AN72"/>
  <c r="AO72"/>
  <c r="AU72" s="1"/>
  <c r="AM73"/>
  <c r="AN73"/>
  <c r="AO73"/>
  <c r="AU73" s="1"/>
  <c r="AF270"/>
  <c r="V46" i="12"/>
  <c r="U46"/>
  <c r="T46"/>
  <c r="S46"/>
  <c r="R46"/>
  <c r="Q46"/>
  <c r="P46"/>
  <c r="O46"/>
  <c r="N46"/>
  <c r="M46"/>
  <c r="K46"/>
  <c r="J46"/>
  <c r="I46"/>
  <c r="H46"/>
  <c r="G46"/>
  <c r="F46"/>
  <c r="E46"/>
  <c r="D46"/>
  <c r="B46"/>
  <c r="Y45"/>
  <c r="X45"/>
  <c r="W45"/>
  <c r="X44"/>
  <c r="Z44" s="1"/>
  <c r="Y43"/>
  <c r="W43"/>
  <c r="L43"/>
  <c r="X43" s="1"/>
  <c r="Z43" s="1"/>
  <c r="Y42"/>
  <c r="W42"/>
  <c r="L42"/>
  <c r="C42"/>
  <c r="X42" s="1"/>
  <c r="Y41"/>
  <c r="X41"/>
  <c r="W41"/>
  <c r="Y40"/>
  <c r="Z40" s="1"/>
  <c r="X40"/>
  <c r="W40"/>
  <c r="Y39"/>
  <c r="X39"/>
  <c r="W39"/>
  <c r="Y38"/>
  <c r="W38"/>
  <c r="L38"/>
  <c r="C38"/>
  <c r="Y37"/>
  <c r="X37"/>
  <c r="W37"/>
  <c r="Z37" s="1"/>
  <c r="Y36"/>
  <c r="W36"/>
  <c r="L36"/>
  <c r="V33"/>
  <c r="U33"/>
  <c r="S33"/>
  <c r="Q33"/>
  <c r="P33"/>
  <c r="M33"/>
  <c r="J33"/>
  <c r="I33"/>
  <c r="G33"/>
  <c r="F33"/>
  <c r="C33"/>
  <c r="B33"/>
  <c r="Y32"/>
  <c r="X32"/>
  <c r="W32"/>
  <c r="Y31"/>
  <c r="X31"/>
  <c r="W31"/>
  <c r="Y30"/>
  <c r="X30"/>
  <c r="W30"/>
  <c r="Z30" s="1"/>
  <c r="Y29"/>
  <c r="O29"/>
  <c r="O33" s="1"/>
  <c r="N29"/>
  <c r="W29" s="1"/>
  <c r="L29"/>
  <c r="Y28"/>
  <c r="X28"/>
  <c r="W28"/>
  <c r="Y27"/>
  <c r="X27"/>
  <c r="W27"/>
  <c r="T26"/>
  <c r="T33" s="1"/>
  <c r="R26"/>
  <c r="R33" s="1"/>
  <c r="L26"/>
  <c r="K26"/>
  <c r="K33" s="1"/>
  <c r="H26"/>
  <c r="H33" s="1"/>
  <c r="E26"/>
  <c r="E33" s="1"/>
  <c r="D26"/>
  <c r="D33" s="1"/>
  <c r="V24"/>
  <c r="V34" s="1"/>
  <c r="V47" s="1"/>
  <c r="T24"/>
  <c r="T34" s="1"/>
  <c r="S24"/>
  <c r="S34" s="1"/>
  <c r="S47" s="1"/>
  <c r="P24"/>
  <c r="P34" s="1"/>
  <c r="P47" s="1"/>
  <c r="M24"/>
  <c r="M34" s="1"/>
  <c r="M47" s="1"/>
  <c r="K24"/>
  <c r="K34" s="1"/>
  <c r="J24"/>
  <c r="H24"/>
  <c r="G24"/>
  <c r="G34" s="1"/>
  <c r="F24"/>
  <c r="F34" s="1"/>
  <c r="F47" s="1"/>
  <c r="E24"/>
  <c r="E34" s="1"/>
  <c r="E47" s="1"/>
  <c r="D24"/>
  <c r="D34" s="1"/>
  <c r="D47" s="1"/>
  <c r="C24"/>
  <c r="B24"/>
  <c r="B34" s="1"/>
  <c r="Y23"/>
  <c r="X23"/>
  <c r="W23"/>
  <c r="Y22"/>
  <c r="X22"/>
  <c r="W22"/>
  <c r="Y21"/>
  <c r="X21"/>
  <c r="W21"/>
  <c r="Y20"/>
  <c r="X20"/>
  <c r="W20"/>
  <c r="Y19"/>
  <c r="Q19"/>
  <c r="Q24" s="1"/>
  <c r="Q34" s="1"/>
  <c r="Q47" s="1"/>
  <c r="L19"/>
  <c r="X19" s="1"/>
  <c r="Y18"/>
  <c r="U18"/>
  <c r="R18"/>
  <c r="O18"/>
  <c r="N18"/>
  <c r="W18" s="1"/>
  <c r="L18"/>
  <c r="I18"/>
  <c r="I24" s="1"/>
  <c r="I34" s="1"/>
  <c r="I47" s="1"/>
  <c r="Y17"/>
  <c r="U17"/>
  <c r="R17"/>
  <c r="O17"/>
  <c r="N17"/>
  <c r="W17" s="1"/>
  <c r="Y16"/>
  <c r="X16"/>
  <c r="W16"/>
  <c r="Y15"/>
  <c r="U15"/>
  <c r="R15"/>
  <c r="R24" s="1"/>
  <c r="O15"/>
  <c r="N15"/>
  <c r="W15" s="1"/>
  <c r="L15"/>
  <c r="Y14"/>
  <c r="W14"/>
  <c r="L14"/>
  <c r="X14" s="1"/>
  <c r="Y13"/>
  <c r="O13"/>
  <c r="O24" s="1"/>
  <c r="N13"/>
  <c r="N24" s="1"/>
  <c r="X12"/>
  <c r="W12"/>
  <c r="Y11"/>
  <c r="X11"/>
  <c r="W11"/>
  <c r="Y10"/>
  <c r="X10"/>
  <c r="W10"/>
  <c r="Z10" s="1"/>
  <c r="Y9"/>
  <c r="X9"/>
  <c r="W9"/>
  <c r="Y8"/>
  <c r="X8"/>
  <c r="W8"/>
  <c r="Y7"/>
  <c r="X7"/>
  <c r="W7"/>
  <c r="Z32" l="1"/>
  <c r="Z11"/>
  <c r="Z12"/>
  <c r="Z7"/>
  <c r="X13"/>
  <c r="Z45"/>
  <c r="Z20"/>
  <c r="L33"/>
  <c r="Z31"/>
  <c r="Z8"/>
  <c r="W13"/>
  <c r="Z13" s="1"/>
  <c r="Z16"/>
  <c r="X17"/>
  <c r="Z17" s="1"/>
  <c r="Z21"/>
  <c r="C34"/>
  <c r="G47"/>
  <c r="Y26"/>
  <c r="Y33" s="1"/>
  <c r="Y46"/>
  <c r="C46"/>
  <c r="Z41"/>
  <c r="L46"/>
  <c r="Y24"/>
  <c r="Z9"/>
  <c r="O34"/>
  <c r="O47" s="1"/>
  <c r="Z14"/>
  <c r="X18"/>
  <c r="Z18" s="1"/>
  <c r="Z22"/>
  <c r="B47"/>
  <c r="K47"/>
  <c r="T47"/>
  <c r="Z27"/>
  <c r="X29"/>
  <c r="Z29" s="1"/>
  <c r="N33"/>
  <c r="X36"/>
  <c r="Z42"/>
  <c r="N34"/>
  <c r="N47" s="1"/>
  <c r="X15"/>
  <c r="Z15" s="1"/>
  <c r="U24"/>
  <c r="U34" s="1"/>
  <c r="U47" s="1"/>
  <c r="Z23"/>
  <c r="J34"/>
  <c r="J47" s="1"/>
  <c r="Z28"/>
  <c r="Z36"/>
  <c r="Z39"/>
  <c r="Q26" i="8"/>
  <c r="Q25"/>
  <c r="Q23"/>
  <c r="T23" s="1"/>
  <c r="I38" i="10"/>
  <c r="I34"/>
  <c r="F9"/>
  <c r="E9"/>
  <c r="G38"/>
  <c r="I9"/>
  <c r="D9"/>
  <c r="D16"/>
  <c r="D38"/>
  <c r="D34" s="1"/>
  <c r="J14"/>
  <c r="F38"/>
  <c r="F34" s="1"/>
  <c r="J39"/>
  <c r="J21"/>
  <c r="E38"/>
  <c r="E34" s="1"/>
  <c r="J10"/>
  <c r="J41"/>
  <c r="J43"/>
  <c r="J23"/>
  <c r="H9"/>
  <c r="J32"/>
  <c r="G9"/>
  <c r="J5"/>
  <c r="G4"/>
  <c r="J4" s="1"/>
  <c r="J17"/>
  <c r="J6"/>
  <c r="J30"/>
  <c r="G16"/>
  <c r="G8" s="1"/>
  <c r="F16"/>
  <c r="H38"/>
  <c r="H34" s="1"/>
  <c r="I16"/>
  <c r="I8" s="1"/>
  <c r="H20"/>
  <c r="J20" s="1"/>
  <c r="J36"/>
  <c r="G35"/>
  <c r="J25"/>
  <c r="J19"/>
  <c r="E16"/>
  <c r="E8" s="1"/>
  <c r="J16" i="40"/>
  <c r="J8" s="1"/>
  <c r="G8"/>
  <c r="E34"/>
  <c r="H16"/>
  <c r="H8" s="1"/>
  <c r="H45" s="1"/>
  <c r="J34"/>
  <c r="G34"/>
  <c r="D9"/>
  <c r="D8" s="1"/>
  <c r="D21" i="39"/>
  <c r="E5" s="1"/>
  <c r="AQ185" i="44"/>
  <c r="AQ74"/>
  <c r="L18" i="19"/>
  <c r="L16"/>
  <c r="L14"/>
  <c r="L10"/>
  <c r="L8"/>
  <c r="L6"/>
  <c r="J22"/>
  <c r="L19" s="1"/>
  <c r="L17"/>
  <c r="L13"/>
  <c r="L9"/>
  <c r="L7"/>
  <c r="L11"/>
  <c r="L15"/>
  <c r="K22"/>
  <c r="R34" i="12"/>
  <c r="R47" s="1"/>
  <c r="H34"/>
  <c r="H47" s="1"/>
  <c r="X24"/>
  <c r="L24"/>
  <c r="L34" s="1"/>
  <c r="L47" s="1"/>
  <c r="W46"/>
  <c r="X26"/>
  <c r="X38"/>
  <c r="Z38" s="1"/>
  <c r="Z46" s="1"/>
  <c r="W19"/>
  <c r="Z19" s="1"/>
  <c r="W26"/>
  <c r="X74" i="44"/>
  <c r="U74"/>
  <c r="T74"/>
  <c r="S74"/>
  <c r="R74"/>
  <c r="Q74"/>
  <c r="P74"/>
  <c r="O74"/>
  <c r="L74"/>
  <c r="K74"/>
  <c r="J74"/>
  <c r="I74"/>
  <c r="H74"/>
  <c r="G74"/>
  <c r="F74"/>
  <c r="E74"/>
  <c r="D74"/>
  <c r="AA73"/>
  <c r="Z73"/>
  <c r="Y73"/>
  <c r="AA72"/>
  <c r="Z72"/>
  <c r="Y72"/>
  <c r="AA71"/>
  <c r="Z71"/>
  <c r="Y71"/>
  <c r="AA70"/>
  <c r="Z70"/>
  <c r="Y70"/>
  <c r="AA69"/>
  <c r="Z69"/>
  <c r="Y69"/>
  <c r="AA68"/>
  <c r="Z68"/>
  <c r="Y68"/>
  <c r="AA67"/>
  <c r="W67"/>
  <c r="W74" s="1"/>
  <c r="V67"/>
  <c r="V74" s="1"/>
  <c r="N67"/>
  <c r="M67"/>
  <c r="AA66"/>
  <c r="Z66"/>
  <c r="Y66"/>
  <c r="AC15"/>
  <c r="AI15" s="1"/>
  <c r="AD15"/>
  <c r="AE15"/>
  <c r="AF15"/>
  <c r="AH15" s="1"/>
  <c r="AE16"/>
  <c r="AF16"/>
  <c r="AH16" s="1"/>
  <c r="AC17"/>
  <c r="AD17"/>
  <c r="AE17"/>
  <c r="AF17"/>
  <c r="AH17" s="1"/>
  <c r="AC18"/>
  <c r="AD18"/>
  <c r="AS18" s="1"/>
  <c r="AE18"/>
  <c r="AF18"/>
  <c r="AH18" s="1"/>
  <c r="AC19"/>
  <c r="AD19"/>
  <c r="AE19"/>
  <c r="AT19" s="1"/>
  <c r="BD19" s="1"/>
  <c r="AF19"/>
  <c r="AH19" s="1"/>
  <c r="AC20"/>
  <c r="AE20"/>
  <c r="AT20" s="1"/>
  <c r="AF20"/>
  <c r="AH20" s="1"/>
  <c r="AC21"/>
  <c r="AD21"/>
  <c r="AE21"/>
  <c r="AT21" s="1"/>
  <c r="BD21" s="1"/>
  <c r="AF21"/>
  <c r="AH21" s="1"/>
  <c r="AC22"/>
  <c r="AD22"/>
  <c r="AS22" s="1"/>
  <c r="AE22"/>
  <c r="AF22"/>
  <c r="AH22" s="1"/>
  <c r="AC23"/>
  <c r="AD23"/>
  <c r="AE23"/>
  <c r="AT23" s="1"/>
  <c r="BD23" s="1"/>
  <c r="AF23"/>
  <c r="AH23" s="1"/>
  <c r="AC25"/>
  <c r="AD25"/>
  <c r="AE25"/>
  <c r="AF25"/>
  <c r="AH25" s="1"/>
  <c r="AE26"/>
  <c r="AF26"/>
  <c r="AH26" s="1"/>
  <c r="AC27"/>
  <c r="AD27"/>
  <c r="AE27"/>
  <c r="AF27"/>
  <c r="AH27" s="1"/>
  <c r="AC28"/>
  <c r="AD28"/>
  <c r="AE28"/>
  <c r="AT28" s="1"/>
  <c r="BD28" s="1"/>
  <c r="AF28"/>
  <c r="AH28" s="1"/>
  <c r="AC29"/>
  <c r="AD29"/>
  <c r="AE29"/>
  <c r="AT29" s="1"/>
  <c r="BD29" s="1"/>
  <c r="AF29"/>
  <c r="AH29" s="1"/>
  <c r="AC30"/>
  <c r="AD30"/>
  <c r="AE30"/>
  <c r="AF30"/>
  <c r="AH30" s="1"/>
  <c r="AC31"/>
  <c r="AD31"/>
  <c r="AE31"/>
  <c r="AT31" s="1"/>
  <c r="BD31" s="1"/>
  <c r="AF31"/>
  <c r="AH31" s="1"/>
  <c r="AC32"/>
  <c r="AD32"/>
  <c r="AE32"/>
  <c r="AT32" s="1"/>
  <c r="BD32" s="1"/>
  <c r="AF32"/>
  <c r="AH32" s="1"/>
  <c r="AC33"/>
  <c r="AD33"/>
  <c r="AS33" s="1"/>
  <c r="BC33" s="1"/>
  <c r="AE33"/>
  <c r="AT33" s="1"/>
  <c r="BD33" s="1"/>
  <c r="AF33"/>
  <c r="AH33" s="1"/>
  <c r="AC35"/>
  <c r="AD35"/>
  <c r="AE35"/>
  <c r="AF35"/>
  <c r="AH35" s="1"/>
  <c r="AC36"/>
  <c r="AD36"/>
  <c r="AE36"/>
  <c r="AF36"/>
  <c r="AH36" s="1"/>
  <c r="AE37"/>
  <c r="AF37"/>
  <c r="AH37" s="1"/>
  <c r="AC38"/>
  <c r="AD38"/>
  <c r="AS38" s="1"/>
  <c r="AE38"/>
  <c r="AF38"/>
  <c r="AH38" s="1"/>
  <c r="AC39"/>
  <c r="AD39"/>
  <c r="AE39"/>
  <c r="AT39" s="1"/>
  <c r="BD39" s="1"/>
  <c r="AF39"/>
  <c r="AH39" s="1"/>
  <c r="AC40"/>
  <c r="AD40"/>
  <c r="AE40"/>
  <c r="AT40" s="1"/>
  <c r="AF40"/>
  <c r="AH40" s="1"/>
  <c r="AC41"/>
  <c r="AD41"/>
  <c r="AE41"/>
  <c r="AT41" s="1"/>
  <c r="BD41" s="1"/>
  <c r="AF41"/>
  <c r="AH41" s="1"/>
  <c r="AC42"/>
  <c r="AD42"/>
  <c r="AS42" s="1"/>
  <c r="AE42"/>
  <c r="AF42"/>
  <c r="AH42" s="1"/>
  <c r="AC43"/>
  <c r="AD43"/>
  <c r="AE43"/>
  <c r="AT43" s="1"/>
  <c r="BD43" s="1"/>
  <c r="AF43"/>
  <c r="AH43" s="1"/>
  <c r="AC45"/>
  <c r="AD45"/>
  <c r="AE45"/>
  <c r="AF45"/>
  <c r="AH45" s="1"/>
  <c r="AC46"/>
  <c r="AD46"/>
  <c r="AE46"/>
  <c r="AF46"/>
  <c r="AH46" s="1"/>
  <c r="AC47"/>
  <c r="AE47"/>
  <c r="AF47"/>
  <c r="AH47" s="1"/>
  <c r="AC48"/>
  <c r="AI48" s="1"/>
  <c r="AD48"/>
  <c r="AE48"/>
  <c r="AT48" s="1"/>
  <c r="BD48" s="1"/>
  <c r="AF48"/>
  <c r="AH48" s="1"/>
  <c r="AC49"/>
  <c r="AD49"/>
  <c r="AE49"/>
  <c r="AT49" s="1"/>
  <c r="BD49" s="1"/>
  <c r="AF49"/>
  <c r="AH49" s="1"/>
  <c r="AC50"/>
  <c r="AI50" s="1"/>
  <c r="AD50"/>
  <c r="AE50"/>
  <c r="AF50"/>
  <c r="AH50" s="1"/>
  <c r="AC51"/>
  <c r="AI51" s="1"/>
  <c r="AD51"/>
  <c r="AE51"/>
  <c r="AT51" s="1"/>
  <c r="BD51" s="1"/>
  <c r="AF51"/>
  <c r="AH51" s="1"/>
  <c r="AC52"/>
  <c r="AI52" s="1"/>
  <c r="AD52"/>
  <c r="AE52"/>
  <c r="AT52" s="1"/>
  <c r="BD52" s="1"/>
  <c r="AF52"/>
  <c r="AH52" s="1"/>
  <c r="AC53"/>
  <c r="AD53"/>
  <c r="AS53" s="1"/>
  <c r="BC53" s="1"/>
  <c r="AE53"/>
  <c r="AT53" s="1"/>
  <c r="BD53" s="1"/>
  <c r="AF53"/>
  <c r="AH53" s="1"/>
  <c r="AC55"/>
  <c r="AI55" s="1"/>
  <c r="AD55"/>
  <c r="AE55"/>
  <c r="AF55"/>
  <c r="AH55" s="1"/>
  <c r="AC56"/>
  <c r="AD56"/>
  <c r="AE56"/>
  <c r="AF56"/>
  <c r="AH56" s="1"/>
  <c r="AE57"/>
  <c r="AF57"/>
  <c r="AH57" s="1"/>
  <c r="AC58"/>
  <c r="AD58"/>
  <c r="AS58" s="1"/>
  <c r="AE58"/>
  <c r="AF58"/>
  <c r="AH58" s="1"/>
  <c r="AC59"/>
  <c r="AD59"/>
  <c r="AE59"/>
  <c r="AT59" s="1"/>
  <c r="BD59" s="1"/>
  <c r="AF59"/>
  <c r="AH59" s="1"/>
  <c r="AC60"/>
  <c r="AD60"/>
  <c r="AE60"/>
  <c r="AT60" s="1"/>
  <c r="AF60"/>
  <c r="AH60" s="1"/>
  <c r="AC61"/>
  <c r="AD61"/>
  <c r="AE61"/>
  <c r="AT61" s="1"/>
  <c r="BD61" s="1"/>
  <c r="AF61"/>
  <c r="AH61" s="1"/>
  <c r="AC62"/>
  <c r="AD62"/>
  <c r="AS62" s="1"/>
  <c r="AE62"/>
  <c r="AF62"/>
  <c r="AH62" s="1"/>
  <c r="AC63"/>
  <c r="AD63"/>
  <c r="AE63"/>
  <c r="AT63" s="1"/>
  <c r="BD63" s="1"/>
  <c r="AF63"/>
  <c r="AH63" s="1"/>
  <c r="AC75"/>
  <c r="AD75"/>
  <c r="AE75"/>
  <c r="AF75"/>
  <c r="AH75" s="1"/>
  <c r="AC76"/>
  <c r="AR76" s="1"/>
  <c r="AD76"/>
  <c r="AS76" s="1"/>
  <c r="AE76"/>
  <c r="AF76"/>
  <c r="AH76" s="1"/>
  <c r="AC77"/>
  <c r="AR77" s="1"/>
  <c r="AD77"/>
  <c r="AE77"/>
  <c r="AT77" s="1"/>
  <c r="AF77"/>
  <c r="AH77" s="1"/>
  <c r="AC78"/>
  <c r="AR78" s="1"/>
  <c r="AD78"/>
  <c r="AE78"/>
  <c r="AT78" s="1"/>
  <c r="BD78" s="1"/>
  <c r="AF78"/>
  <c r="AH78" s="1"/>
  <c r="AC79"/>
  <c r="AR79" s="1"/>
  <c r="AD79"/>
  <c r="AS79" s="1"/>
  <c r="AE79"/>
  <c r="AT79" s="1"/>
  <c r="BD79" s="1"/>
  <c r="AF79"/>
  <c r="AH79" s="1"/>
  <c r="AC80"/>
  <c r="AR80" s="1"/>
  <c r="AD80"/>
  <c r="AS80" s="1"/>
  <c r="AE80"/>
  <c r="AF80"/>
  <c r="AH80" s="1"/>
  <c r="AC81"/>
  <c r="AR81" s="1"/>
  <c r="AD81"/>
  <c r="AE81"/>
  <c r="AT81" s="1"/>
  <c r="BD81" s="1"/>
  <c r="AF81"/>
  <c r="AH81" s="1"/>
  <c r="AC82"/>
  <c r="AR82" s="1"/>
  <c r="AD82"/>
  <c r="AE82"/>
  <c r="AT82" s="1"/>
  <c r="BD82" s="1"/>
  <c r="AF82"/>
  <c r="AH82" s="1"/>
  <c r="AC83"/>
  <c r="AR83" s="1"/>
  <c r="AD83"/>
  <c r="AS83" s="1"/>
  <c r="BC83" s="1"/>
  <c r="AE83"/>
  <c r="AT83" s="1"/>
  <c r="BD83" s="1"/>
  <c r="AF83"/>
  <c r="AH83" s="1"/>
  <c r="AC85"/>
  <c r="AD85"/>
  <c r="AE85"/>
  <c r="AF85"/>
  <c r="AH85" s="1"/>
  <c r="AC86"/>
  <c r="AR86" s="1"/>
  <c r="AD86"/>
  <c r="AE86"/>
  <c r="AT86" s="1"/>
  <c r="AF86"/>
  <c r="AH86" s="1"/>
  <c r="AE87"/>
  <c r="AT87" s="1"/>
  <c r="AC88"/>
  <c r="AR88" s="1"/>
  <c r="AD88"/>
  <c r="AS88" s="1"/>
  <c r="AE88"/>
  <c r="AF88"/>
  <c r="AH88" s="1"/>
  <c r="AC89"/>
  <c r="AR89" s="1"/>
  <c r="AD89"/>
  <c r="AE89"/>
  <c r="AT89" s="1"/>
  <c r="BD89" s="1"/>
  <c r="AF89"/>
  <c r="AH89" s="1"/>
  <c r="AC90"/>
  <c r="AR90" s="1"/>
  <c r="AE90"/>
  <c r="AT90" s="1"/>
  <c r="AF90"/>
  <c r="AH90" s="1"/>
  <c r="AC91"/>
  <c r="AR91" s="1"/>
  <c r="AD91"/>
  <c r="AS91" s="1"/>
  <c r="AE91"/>
  <c r="AT91" s="1"/>
  <c r="BD91" s="1"/>
  <c r="AF91"/>
  <c r="AH91" s="1"/>
  <c r="AC92"/>
  <c r="AR92" s="1"/>
  <c r="AD92"/>
  <c r="AS92" s="1"/>
  <c r="AE92"/>
  <c r="AF92"/>
  <c r="AH92" s="1"/>
  <c r="AC93"/>
  <c r="AR93" s="1"/>
  <c r="AD93"/>
  <c r="AE93"/>
  <c r="AT93" s="1"/>
  <c r="BD93" s="1"/>
  <c r="AF93"/>
  <c r="AH93" s="1"/>
  <c r="AC95"/>
  <c r="AD95"/>
  <c r="AE95"/>
  <c r="AF95"/>
  <c r="AH95" s="1"/>
  <c r="AC96"/>
  <c r="AR96" s="1"/>
  <c r="AD96"/>
  <c r="AS96" s="1"/>
  <c r="AE96"/>
  <c r="AF96"/>
  <c r="AH96" s="1"/>
  <c r="AC97"/>
  <c r="AR97" s="1"/>
  <c r="AD97"/>
  <c r="AE97"/>
  <c r="AT97" s="1"/>
  <c r="AF97"/>
  <c r="AH97" s="1"/>
  <c r="AC98"/>
  <c r="AR98" s="1"/>
  <c r="AD98"/>
  <c r="AS98" s="1"/>
  <c r="AE98"/>
  <c r="AT98" s="1"/>
  <c r="BD98" s="1"/>
  <c r="AF98"/>
  <c r="AH98" s="1"/>
  <c r="AC99"/>
  <c r="AR99" s="1"/>
  <c r="AD99"/>
  <c r="AS99" s="1"/>
  <c r="AE99"/>
  <c r="AT99" s="1"/>
  <c r="BD99" s="1"/>
  <c r="AF99"/>
  <c r="AC100"/>
  <c r="AR100" s="1"/>
  <c r="AD100"/>
  <c r="AS100" s="1"/>
  <c r="AE100"/>
  <c r="AF100"/>
  <c r="AH100" s="1"/>
  <c r="AC101"/>
  <c r="AR101" s="1"/>
  <c r="AD101"/>
  <c r="AE101"/>
  <c r="AT101" s="1"/>
  <c r="BD101" s="1"/>
  <c r="AF101"/>
  <c r="AH101" s="1"/>
  <c r="AC102"/>
  <c r="AR102" s="1"/>
  <c r="AD102"/>
  <c r="AE102"/>
  <c r="AT102" s="1"/>
  <c r="BD102" s="1"/>
  <c r="AF102"/>
  <c r="AH102" s="1"/>
  <c r="AC103"/>
  <c r="AR103" s="1"/>
  <c r="AD103"/>
  <c r="AS103" s="1"/>
  <c r="BC103" s="1"/>
  <c r="AE103"/>
  <c r="AT103" s="1"/>
  <c r="BD103" s="1"/>
  <c r="AF103"/>
  <c r="AH103" s="1"/>
  <c r="AC105"/>
  <c r="AD105"/>
  <c r="AE105"/>
  <c r="AF105"/>
  <c r="AH105" s="1"/>
  <c r="AC106"/>
  <c r="AR106" s="1"/>
  <c r="AD106"/>
  <c r="AE106"/>
  <c r="AT106" s="1"/>
  <c r="AF106"/>
  <c r="AH106" s="1"/>
  <c r="AE107"/>
  <c r="AT107" s="1"/>
  <c r="AC108"/>
  <c r="AR108" s="1"/>
  <c r="AD108"/>
  <c r="AS108" s="1"/>
  <c r="AE108"/>
  <c r="AF108"/>
  <c r="AH108" s="1"/>
  <c r="AC109"/>
  <c r="AR109" s="1"/>
  <c r="AD109"/>
  <c r="AE109"/>
  <c r="AT109" s="1"/>
  <c r="BD109" s="1"/>
  <c r="AF109"/>
  <c r="AH109" s="1"/>
  <c r="AC110"/>
  <c r="AR110" s="1"/>
  <c r="AE110"/>
  <c r="AT110" s="1"/>
  <c r="AF110"/>
  <c r="AH110" s="1"/>
  <c r="AC111"/>
  <c r="AR111" s="1"/>
  <c r="AD111"/>
  <c r="AS111" s="1"/>
  <c r="AE111"/>
  <c r="AT111" s="1"/>
  <c r="BD111" s="1"/>
  <c r="AF111"/>
  <c r="AH111" s="1"/>
  <c r="AC112"/>
  <c r="AR112" s="1"/>
  <c r="AD112"/>
  <c r="AS112" s="1"/>
  <c r="AE112"/>
  <c r="AF112"/>
  <c r="AH112" s="1"/>
  <c r="AC113"/>
  <c r="AR113" s="1"/>
  <c r="AD113"/>
  <c r="AE113"/>
  <c r="AT113" s="1"/>
  <c r="BD113" s="1"/>
  <c r="AF113"/>
  <c r="AH113" s="1"/>
  <c r="AC115"/>
  <c r="AD115"/>
  <c r="AE115"/>
  <c r="AF115"/>
  <c r="AH115" s="1"/>
  <c r="AC116"/>
  <c r="AR116" s="1"/>
  <c r="AD116"/>
  <c r="AS116" s="1"/>
  <c r="AE116"/>
  <c r="AF116"/>
  <c r="AH116" s="1"/>
  <c r="AC117"/>
  <c r="AR117" s="1"/>
  <c r="AD117"/>
  <c r="AE117"/>
  <c r="AT117" s="1"/>
  <c r="AF117"/>
  <c r="AH117" s="1"/>
  <c r="AC118"/>
  <c r="AR118" s="1"/>
  <c r="AD118"/>
  <c r="AE118"/>
  <c r="AT118" s="1"/>
  <c r="BD118" s="1"/>
  <c r="AF118"/>
  <c r="AH118" s="1"/>
  <c r="AC119"/>
  <c r="AR119" s="1"/>
  <c r="AD119"/>
  <c r="AS119" s="1"/>
  <c r="AE119"/>
  <c r="AT119" s="1"/>
  <c r="BD119" s="1"/>
  <c r="AF119"/>
  <c r="AH119" s="1"/>
  <c r="AC120"/>
  <c r="AR120" s="1"/>
  <c r="AD120"/>
  <c r="AS120" s="1"/>
  <c r="AE120"/>
  <c r="AF120"/>
  <c r="AH120" s="1"/>
  <c r="AC121"/>
  <c r="AR121" s="1"/>
  <c r="AD121"/>
  <c r="AE121"/>
  <c r="AT121" s="1"/>
  <c r="BD121" s="1"/>
  <c r="AF121"/>
  <c r="AH121" s="1"/>
  <c r="AC122"/>
  <c r="AR122" s="1"/>
  <c r="AD122"/>
  <c r="AE122"/>
  <c r="AT122" s="1"/>
  <c r="BD122" s="1"/>
  <c r="AF122"/>
  <c r="AH122" s="1"/>
  <c r="AC123"/>
  <c r="AR123" s="1"/>
  <c r="AD123"/>
  <c r="AS123" s="1"/>
  <c r="BC123" s="1"/>
  <c r="AE123"/>
  <c r="AT123" s="1"/>
  <c r="BD123" s="1"/>
  <c r="AF123"/>
  <c r="AH123" s="1"/>
  <c r="AC125"/>
  <c r="AD125"/>
  <c r="AE125"/>
  <c r="AF125"/>
  <c r="AH125" s="1"/>
  <c r="AC126"/>
  <c r="AR126" s="1"/>
  <c r="AD126"/>
  <c r="AE126"/>
  <c r="AT126" s="1"/>
  <c r="AF126"/>
  <c r="AH126" s="1"/>
  <c r="AC127"/>
  <c r="AR127" s="1"/>
  <c r="AD127"/>
  <c r="AS127" s="1"/>
  <c r="AE127"/>
  <c r="AT127" s="1"/>
  <c r="AF127"/>
  <c r="AH127" s="1"/>
  <c r="AC128"/>
  <c r="AR128" s="1"/>
  <c r="AD128"/>
  <c r="AS128" s="1"/>
  <c r="AE128"/>
  <c r="AF128"/>
  <c r="AH128" s="1"/>
  <c r="AC129"/>
  <c r="AR129" s="1"/>
  <c r="AD129"/>
  <c r="AE129"/>
  <c r="AT129" s="1"/>
  <c r="BD129" s="1"/>
  <c r="AF129"/>
  <c r="AH129" s="1"/>
  <c r="AC130"/>
  <c r="AR130" s="1"/>
  <c r="AD130"/>
  <c r="AE130"/>
  <c r="AT130" s="1"/>
  <c r="AF130"/>
  <c r="AH130" s="1"/>
  <c r="AC131"/>
  <c r="AR131" s="1"/>
  <c r="AD131"/>
  <c r="AS131" s="1"/>
  <c r="AE131"/>
  <c r="AT131" s="1"/>
  <c r="BD131" s="1"/>
  <c r="AF131"/>
  <c r="AH131" s="1"/>
  <c r="AC132"/>
  <c r="AR132" s="1"/>
  <c r="AD132"/>
  <c r="AS132" s="1"/>
  <c r="AE132"/>
  <c r="AF132"/>
  <c r="AH132" s="1"/>
  <c r="AC133"/>
  <c r="AR133" s="1"/>
  <c r="AD133"/>
  <c r="AE133"/>
  <c r="AT133" s="1"/>
  <c r="BD133" s="1"/>
  <c r="AF133"/>
  <c r="AH133" s="1"/>
  <c r="AC135"/>
  <c r="AD135"/>
  <c r="AE135"/>
  <c r="AF135"/>
  <c r="AH135" s="1"/>
  <c r="AE136"/>
  <c r="AF136"/>
  <c r="AH136" s="1"/>
  <c r="AC137"/>
  <c r="AR137" s="1"/>
  <c r="AD137"/>
  <c r="AE137"/>
  <c r="AT137" s="1"/>
  <c r="AF137"/>
  <c r="AH137" s="1"/>
  <c r="AC138"/>
  <c r="AR138" s="1"/>
  <c r="AD138"/>
  <c r="AE138"/>
  <c r="AT138" s="1"/>
  <c r="BD138" s="1"/>
  <c r="AF138"/>
  <c r="AH138" s="1"/>
  <c r="AC139"/>
  <c r="AR139" s="1"/>
  <c r="AD139"/>
  <c r="AS139" s="1"/>
  <c r="AE139"/>
  <c r="AT139" s="1"/>
  <c r="BD139" s="1"/>
  <c r="AF139"/>
  <c r="AH139" s="1"/>
  <c r="AC140"/>
  <c r="AR140" s="1"/>
  <c r="AE140"/>
  <c r="AF140"/>
  <c r="AH140" s="1"/>
  <c r="AC141"/>
  <c r="AR141" s="1"/>
  <c r="AD141"/>
  <c r="AE141"/>
  <c r="AT141" s="1"/>
  <c r="BD141" s="1"/>
  <c r="AF141"/>
  <c r="AH141" s="1"/>
  <c r="AC142"/>
  <c r="AR142" s="1"/>
  <c r="AD142"/>
  <c r="AE142"/>
  <c r="AT142" s="1"/>
  <c r="BD142" s="1"/>
  <c r="AF142"/>
  <c r="AH142" s="1"/>
  <c r="AC143"/>
  <c r="AR143" s="1"/>
  <c r="AD143"/>
  <c r="AS143" s="1"/>
  <c r="BC143" s="1"/>
  <c r="AE143"/>
  <c r="AT143" s="1"/>
  <c r="BD143" s="1"/>
  <c r="AF143"/>
  <c r="AH143" s="1"/>
  <c r="AC145"/>
  <c r="AD145"/>
  <c r="AE145"/>
  <c r="AF145"/>
  <c r="AH145" s="1"/>
  <c r="AC146"/>
  <c r="AR146" s="1"/>
  <c r="AD146"/>
  <c r="AE146"/>
  <c r="AT146" s="1"/>
  <c r="AF146"/>
  <c r="AH146" s="1"/>
  <c r="AC147"/>
  <c r="AR147" s="1"/>
  <c r="AD147"/>
  <c r="AE147"/>
  <c r="AT147" s="1"/>
  <c r="AF147"/>
  <c r="AH147" s="1"/>
  <c r="AC148"/>
  <c r="AR148" s="1"/>
  <c r="AD148"/>
  <c r="AS148" s="1"/>
  <c r="AE148"/>
  <c r="AF148"/>
  <c r="AH148" s="1"/>
  <c r="AC149"/>
  <c r="AR149" s="1"/>
  <c r="AD149"/>
  <c r="AE149"/>
  <c r="AT149" s="1"/>
  <c r="BD149" s="1"/>
  <c r="AF149"/>
  <c r="AH149" s="1"/>
  <c r="AC150"/>
  <c r="AR150" s="1"/>
  <c r="AD150"/>
  <c r="AE150"/>
  <c r="AT150" s="1"/>
  <c r="AF150"/>
  <c r="AH150" s="1"/>
  <c r="AC151"/>
  <c r="AR151" s="1"/>
  <c r="AD151"/>
  <c r="AS151" s="1"/>
  <c r="AE151"/>
  <c r="AT151" s="1"/>
  <c r="BD151" s="1"/>
  <c r="AF151"/>
  <c r="AH151" s="1"/>
  <c r="AC152"/>
  <c r="AR152" s="1"/>
  <c r="AD152"/>
  <c r="AS152" s="1"/>
  <c r="AE152"/>
  <c r="AF152"/>
  <c r="AH152" s="1"/>
  <c r="AC153"/>
  <c r="AR153" s="1"/>
  <c r="AD153"/>
  <c r="AE153"/>
  <c r="AT153" s="1"/>
  <c r="BD153" s="1"/>
  <c r="AF153"/>
  <c r="AH153" s="1"/>
  <c r="AC155"/>
  <c r="AD155"/>
  <c r="AE155"/>
  <c r="AF155"/>
  <c r="AH155" s="1"/>
  <c r="AE156"/>
  <c r="AF156"/>
  <c r="AH156" s="1"/>
  <c r="AC157"/>
  <c r="AR157" s="1"/>
  <c r="AD157"/>
  <c r="AE157"/>
  <c r="AT157" s="1"/>
  <c r="AF157"/>
  <c r="AH157" s="1"/>
  <c r="AC158"/>
  <c r="AR158" s="1"/>
  <c r="AD158"/>
  <c r="AE158"/>
  <c r="AT158" s="1"/>
  <c r="BD158" s="1"/>
  <c r="AF158"/>
  <c r="AH158" s="1"/>
  <c r="AC159"/>
  <c r="AR159" s="1"/>
  <c r="AD159"/>
  <c r="AS159" s="1"/>
  <c r="AE159"/>
  <c r="AT159" s="1"/>
  <c r="BD159" s="1"/>
  <c r="AF159"/>
  <c r="AH159" s="1"/>
  <c r="AC160"/>
  <c r="AR160" s="1"/>
  <c r="AD160"/>
  <c r="AS160" s="1"/>
  <c r="AE160"/>
  <c r="AF160"/>
  <c r="AH160" s="1"/>
  <c r="AC161"/>
  <c r="AR161" s="1"/>
  <c r="AD161"/>
  <c r="AE161"/>
  <c r="AT161" s="1"/>
  <c r="BD161" s="1"/>
  <c r="AF161"/>
  <c r="AH161" s="1"/>
  <c r="AC162"/>
  <c r="AR162" s="1"/>
  <c r="AD162"/>
  <c r="AE162"/>
  <c r="AT162" s="1"/>
  <c r="BD162" s="1"/>
  <c r="AF162"/>
  <c r="AH162" s="1"/>
  <c r="AC163"/>
  <c r="AR163" s="1"/>
  <c r="AD163"/>
  <c r="AS163" s="1"/>
  <c r="BC163" s="1"/>
  <c r="AE163"/>
  <c r="AT163" s="1"/>
  <c r="BD163" s="1"/>
  <c r="AF163"/>
  <c r="AH163" s="1"/>
  <c r="AC165"/>
  <c r="AD165"/>
  <c r="AE165"/>
  <c r="AF165"/>
  <c r="AH165" s="1"/>
  <c r="AC166"/>
  <c r="AR166" s="1"/>
  <c r="AD166"/>
  <c r="AE166"/>
  <c r="AT166" s="1"/>
  <c r="AF166"/>
  <c r="AH166" s="1"/>
  <c r="AC167"/>
  <c r="AR167" s="1"/>
  <c r="AD167"/>
  <c r="AE167"/>
  <c r="AT167" s="1"/>
  <c r="AF167"/>
  <c r="AH167" s="1"/>
  <c r="AC168"/>
  <c r="AD168"/>
  <c r="AS168" s="1"/>
  <c r="AE168"/>
  <c r="AF168"/>
  <c r="AH168" s="1"/>
  <c r="AC169"/>
  <c r="AD169"/>
  <c r="AE169"/>
  <c r="AT169" s="1"/>
  <c r="BD169" s="1"/>
  <c r="AF169"/>
  <c r="AH169" s="1"/>
  <c r="AC170"/>
  <c r="AD170"/>
  <c r="AE170"/>
  <c r="AT170" s="1"/>
  <c r="AF170"/>
  <c r="AH170" s="1"/>
  <c r="AC171"/>
  <c r="AD171"/>
  <c r="AS171" s="1"/>
  <c r="AE171"/>
  <c r="AT171" s="1"/>
  <c r="BD171" s="1"/>
  <c r="AF171"/>
  <c r="AH171" s="1"/>
  <c r="AC172"/>
  <c r="AR172" s="1"/>
  <c r="AD172"/>
  <c r="AS172" s="1"/>
  <c r="AE172"/>
  <c r="AF172"/>
  <c r="AH172" s="1"/>
  <c r="AC173"/>
  <c r="AR173" s="1"/>
  <c r="AD173"/>
  <c r="AE173"/>
  <c r="AT173" s="1"/>
  <c r="BD173" s="1"/>
  <c r="AF173"/>
  <c r="AH173" s="1"/>
  <c r="AC175"/>
  <c r="AD175"/>
  <c r="AE175"/>
  <c r="AF175"/>
  <c r="AH175" s="1"/>
  <c r="AC176"/>
  <c r="AD176"/>
  <c r="AS176" s="1"/>
  <c r="AE176"/>
  <c r="AF176"/>
  <c r="AH176" s="1"/>
  <c r="AE177"/>
  <c r="AT177" s="1"/>
  <c r="AF177"/>
  <c r="AH177" s="1"/>
  <c r="AD178"/>
  <c r="AE178"/>
  <c r="AT178" s="1"/>
  <c r="BD178" s="1"/>
  <c r="AF178"/>
  <c r="AH178" s="1"/>
  <c r="AC179"/>
  <c r="AD179"/>
  <c r="AS179" s="1"/>
  <c r="AE179"/>
  <c r="AT179" s="1"/>
  <c r="BD179" s="1"/>
  <c r="AF179"/>
  <c r="AH179" s="1"/>
  <c r="AC180"/>
  <c r="AD180"/>
  <c r="AS180" s="1"/>
  <c r="AE180"/>
  <c r="AF180"/>
  <c r="AH180" s="1"/>
  <c r="AC181"/>
  <c r="AD181"/>
  <c r="AE181"/>
  <c r="AT181" s="1"/>
  <c r="BD181" s="1"/>
  <c r="AF181"/>
  <c r="AH181" s="1"/>
  <c r="AC182"/>
  <c r="AD182"/>
  <c r="AE182"/>
  <c r="AT182" s="1"/>
  <c r="BD182" s="1"/>
  <c r="AF182"/>
  <c r="AH182" s="1"/>
  <c r="AC183"/>
  <c r="AD183"/>
  <c r="AS183" s="1"/>
  <c r="BC183" s="1"/>
  <c r="AE183"/>
  <c r="AT183" s="1"/>
  <c r="BD183" s="1"/>
  <c r="AF183"/>
  <c r="AH183" s="1"/>
  <c r="AC196"/>
  <c r="AD196"/>
  <c r="AE196"/>
  <c r="AF196"/>
  <c r="AH196" s="1"/>
  <c r="AC197"/>
  <c r="AD197"/>
  <c r="AE197"/>
  <c r="AF197"/>
  <c r="AH197" s="1"/>
  <c r="AC198"/>
  <c r="AE198"/>
  <c r="AF198"/>
  <c r="AC199"/>
  <c r="AE199"/>
  <c r="AF199"/>
  <c r="AC200"/>
  <c r="AD200"/>
  <c r="AE200"/>
  <c r="AF200"/>
  <c r="AC201"/>
  <c r="AD201"/>
  <c r="AE201"/>
  <c r="AF201"/>
  <c r="AC202"/>
  <c r="AD202"/>
  <c r="AE202"/>
  <c r="AF202"/>
  <c r="AC203"/>
  <c r="AD203"/>
  <c r="AE203"/>
  <c r="AF203"/>
  <c r="AC204"/>
  <c r="AD204"/>
  <c r="AE204"/>
  <c r="AF204"/>
  <c r="AC205"/>
  <c r="AD205"/>
  <c r="AE205"/>
  <c r="AF205"/>
  <c r="AC207"/>
  <c r="AI207" s="1"/>
  <c r="AD207"/>
  <c r="AE207"/>
  <c r="AF207"/>
  <c r="AH207" s="1"/>
  <c r="AC208"/>
  <c r="AD208"/>
  <c r="AE208"/>
  <c r="AF208"/>
  <c r="AC209"/>
  <c r="AE209"/>
  <c r="AF209"/>
  <c r="AC210"/>
  <c r="AD210"/>
  <c r="AE210"/>
  <c r="AF210"/>
  <c r="AK210" s="1"/>
  <c r="AD211"/>
  <c r="AE211"/>
  <c r="AF211"/>
  <c r="AK211" s="1"/>
  <c r="AD212"/>
  <c r="AE212"/>
  <c r="AF212"/>
  <c r="AK212" s="1"/>
  <c r="AD213"/>
  <c r="AE213"/>
  <c r="AF213"/>
  <c r="AK213" s="1"/>
  <c r="AD214"/>
  <c r="AE214"/>
  <c r="AF214"/>
  <c r="AK214" s="1"/>
  <c r="AD215"/>
  <c r="AE215"/>
  <c r="AF215"/>
  <c r="AK215" s="1"/>
  <c r="AC217"/>
  <c r="AD217"/>
  <c r="AE217"/>
  <c r="AF217"/>
  <c r="AC218"/>
  <c r="AR218" s="1"/>
  <c r="AE218"/>
  <c r="AF218"/>
  <c r="AK218" s="1"/>
  <c r="AE219"/>
  <c r="AT219" s="1"/>
  <c r="AC220"/>
  <c r="AR220" s="1"/>
  <c r="AD220"/>
  <c r="AE220"/>
  <c r="AT220" s="1"/>
  <c r="AF220"/>
  <c r="AK220" s="1"/>
  <c r="AU220" s="1"/>
  <c r="AC221"/>
  <c r="AR221" s="1"/>
  <c r="AD221"/>
  <c r="AS221" s="1"/>
  <c r="AE221"/>
  <c r="AT221" s="1"/>
  <c r="AF221"/>
  <c r="AK221" s="1"/>
  <c r="AU221" s="1"/>
  <c r="AC222"/>
  <c r="AR222" s="1"/>
  <c r="AE222"/>
  <c r="AF222"/>
  <c r="AK222" s="1"/>
  <c r="AU222" s="1"/>
  <c r="AC223"/>
  <c r="AR223" s="1"/>
  <c r="AD223"/>
  <c r="AE223"/>
  <c r="AT223" s="1"/>
  <c r="AF223"/>
  <c r="AK223" s="1"/>
  <c r="AU223" s="1"/>
  <c r="AC224"/>
  <c r="AR224" s="1"/>
  <c r="AD224"/>
  <c r="AE224"/>
  <c r="AT224" s="1"/>
  <c r="AF224"/>
  <c r="AK224" s="1"/>
  <c r="AU224" s="1"/>
  <c r="AC225"/>
  <c r="AR225" s="1"/>
  <c r="AD225"/>
  <c r="AS225" s="1"/>
  <c r="AE225"/>
  <c r="AT225" s="1"/>
  <c r="AF225"/>
  <c r="AK225" s="1"/>
  <c r="AU225" s="1"/>
  <c r="AC227"/>
  <c r="AD227"/>
  <c r="AE227"/>
  <c r="AF227"/>
  <c r="AC228"/>
  <c r="AR228" s="1"/>
  <c r="AD228"/>
  <c r="AE228"/>
  <c r="AT228" s="1"/>
  <c r="AF228"/>
  <c r="AK228" s="1"/>
  <c r="AC229"/>
  <c r="AR229" s="1"/>
  <c r="AD229"/>
  <c r="AS229" s="1"/>
  <c r="AE229"/>
  <c r="AT229" s="1"/>
  <c r="AF229"/>
  <c r="AK229" s="1"/>
  <c r="AU229" s="1"/>
  <c r="AC230"/>
  <c r="AR230" s="1"/>
  <c r="AD230"/>
  <c r="AS230" s="1"/>
  <c r="AE230"/>
  <c r="AF230"/>
  <c r="AK230" s="1"/>
  <c r="AU230" s="1"/>
  <c r="AC231"/>
  <c r="AR231" s="1"/>
  <c r="AD231"/>
  <c r="AE231"/>
  <c r="AT231" s="1"/>
  <c r="AF231"/>
  <c r="AK231" s="1"/>
  <c r="AU231" s="1"/>
  <c r="AC232"/>
  <c r="AR232" s="1"/>
  <c r="AD232"/>
  <c r="AE232"/>
  <c r="AT232" s="1"/>
  <c r="AF232"/>
  <c r="AK232" s="1"/>
  <c r="AU232" s="1"/>
  <c r="AC233"/>
  <c r="AR233" s="1"/>
  <c r="AD233"/>
  <c r="AS233" s="1"/>
  <c r="AE233"/>
  <c r="AT233" s="1"/>
  <c r="AF233"/>
  <c r="AK233" s="1"/>
  <c r="AU233" s="1"/>
  <c r="AC234"/>
  <c r="AR234" s="1"/>
  <c r="AD234"/>
  <c r="AS234" s="1"/>
  <c r="AE234"/>
  <c r="AF234"/>
  <c r="AK234" s="1"/>
  <c r="AU234" s="1"/>
  <c r="AC235"/>
  <c r="AR235" s="1"/>
  <c r="AD235"/>
  <c r="AE235"/>
  <c r="AT235" s="1"/>
  <c r="AF235"/>
  <c r="AK235" s="1"/>
  <c r="AU235" s="1"/>
  <c r="AC237"/>
  <c r="AD237"/>
  <c r="AE237"/>
  <c r="AF237"/>
  <c r="AC238"/>
  <c r="AR238" s="1"/>
  <c r="AD238"/>
  <c r="AS238" s="1"/>
  <c r="AE238"/>
  <c r="AF238"/>
  <c r="AK238" s="1"/>
  <c r="AC239"/>
  <c r="AR239" s="1"/>
  <c r="AD239"/>
  <c r="AE239"/>
  <c r="AT239" s="1"/>
  <c r="AF239"/>
  <c r="AK239" s="1"/>
  <c r="AU239" s="1"/>
  <c r="AC240"/>
  <c r="AR240" s="1"/>
  <c r="AD240"/>
  <c r="AE240"/>
  <c r="AT240" s="1"/>
  <c r="AF240"/>
  <c r="AK240" s="1"/>
  <c r="AU240" s="1"/>
  <c r="AC241"/>
  <c r="AR241" s="1"/>
  <c r="AD241"/>
  <c r="AS241" s="1"/>
  <c r="AE241"/>
  <c r="AT241" s="1"/>
  <c r="AF241"/>
  <c r="AK241" s="1"/>
  <c r="AU241" s="1"/>
  <c r="AC242"/>
  <c r="AR242" s="1"/>
  <c r="AD242"/>
  <c r="AS242" s="1"/>
  <c r="AE242"/>
  <c r="AF242"/>
  <c r="AK242" s="1"/>
  <c r="AU242" s="1"/>
  <c r="AC243"/>
  <c r="AR243" s="1"/>
  <c r="AD243"/>
  <c r="AE243"/>
  <c r="AT243" s="1"/>
  <c r="AF243"/>
  <c r="AK243" s="1"/>
  <c r="AU243" s="1"/>
  <c r="AC244"/>
  <c r="AR244" s="1"/>
  <c r="AD244"/>
  <c r="AE244"/>
  <c r="AT244" s="1"/>
  <c r="AF244"/>
  <c r="AK244" s="1"/>
  <c r="AU244" s="1"/>
  <c r="AC245"/>
  <c r="AR245" s="1"/>
  <c r="AD245"/>
  <c r="AS245" s="1"/>
  <c r="AE245"/>
  <c r="AT245" s="1"/>
  <c r="AF245"/>
  <c r="AK245" s="1"/>
  <c r="AU245" s="1"/>
  <c r="AC247"/>
  <c r="AD247"/>
  <c r="AE247"/>
  <c r="AF247"/>
  <c r="AC248"/>
  <c r="AR248" s="1"/>
  <c r="AD248"/>
  <c r="AE248"/>
  <c r="AT248" s="1"/>
  <c r="AF248"/>
  <c r="AK248" s="1"/>
  <c r="AC249"/>
  <c r="AR249" s="1"/>
  <c r="AD249"/>
  <c r="AS249" s="1"/>
  <c r="AE249"/>
  <c r="AT249" s="1"/>
  <c r="AF249"/>
  <c r="AK249" s="1"/>
  <c r="AU249" s="1"/>
  <c r="AC250"/>
  <c r="AR250" s="1"/>
  <c r="AD250"/>
  <c r="AS250" s="1"/>
  <c r="AE250"/>
  <c r="AF250"/>
  <c r="AK250" s="1"/>
  <c r="AU250" s="1"/>
  <c r="AC251"/>
  <c r="AR251" s="1"/>
  <c r="AD251"/>
  <c r="AE251"/>
  <c r="AT251" s="1"/>
  <c r="AF251"/>
  <c r="AK251" s="1"/>
  <c r="AU251" s="1"/>
  <c r="AC252"/>
  <c r="AR252" s="1"/>
  <c r="AD252"/>
  <c r="AE252"/>
  <c r="AT252" s="1"/>
  <c r="AF252"/>
  <c r="AK252" s="1"/>
  <c r="AU252" s="1"/>
  <c r="AC253"/>
  <c r="AR253" s="1"/>
  <c r="AD253"/>
  <c r="AS253" s="1"/>
  <c r="AE253"/>
  <c r="AT253" s="1"/>
  <c r="AF253"/>
  <c r="AK253" s="1"/>
  <c r="AU253" s="1"/>
  <c r="AC254"/>
  <c r="AR254" s="1"/>
  <c r="AD254"/>
  <c r="AS254" s="1"/>
  <c r="AE254"/>
  <c r="AF254"/>
  <c r="AK254" s="1"/>
  <c r="AU254" s="1"/>
  <c r="AC255"/>
  <c r="AR255" s="1"/>
  <c r="AD255"/>
  <c r="AE255"/>
  <c r="AT255" s="1"/>
  <c r="AF255"/>
  <c r="AK255" s="1"/>
  <c r="AU255" s="1"/>
  <c r="AC257"/>
  <c r="AD257"/>
  <c r="AE257"/>
  <c r="AF257"/>
  <c r="AC258"/>
  <c r="AR258" s="1"/>
  <c r="AD258"/>
  <c r="AS258" s="1"/>
  <c r="AE258"/>
  <c r="AF258"/>
  <c r="AK258" s="1"/>
  <c r="AC259"/>
  <c r="AR259" s="1"/>
  <c r="AD259"/>
  <c r="AE259"/>
  <c r="AT259" s="1"/>
  <c r="AF259"/>
  <c r="AK259" s="1"/>
  <c r="AU259" s="1"/>
  <c r="AC260"/>
  <c r="AR260" s="1"/>
  <c r="AD260"/>
  <c r="AE260"/>
  <c r="AT260" s="1"/>
  <c r="AF260"/>
  <c r="AK260" s="1"/>
  <c r="AU260" s="1"/>
  <c r="AC261"/>
  <c r="AR261" s="1"/>
  <c r="AD261"/>
  <c r="AS261" s="1"/>
  <c r="AE261"/>
  <c r="AT261" s="1"/>
  <c r="AF261"/>
  <c r="AK261" s="1"/>
  <c r="AU261" s="1"/>
  <c r="AC262"/>
  <c r="AR262" s="1"/>
  <c r="AD262"/>
  <c r="AS262" s="1"/>
  <c r="AE262"/>
  <c r="AF262"/>
  <c r="AK262" s="1"/>
  <c r="AU262" s="1"/>
  <c r="AC263"/>
  <c r="AR263" s="1"/>
  <c r="AD263"/>
  <c r="AE263"/>
  <c r="AT263" s="1"/>
  <c r="AF263"/>
  <c r="AK263" s="1"/>
  <c r="AU263" s="1"/>
  <c r="AC264"/>
  <c r="AR264" s="1"/>
  <c r="AD264"/>
  <c r="AE264"/>
  <c r="AT264" s="1"/>
  <c r="AF264"/>
  <c r="AK264" s="1"/>
  <c r="AU264" s="1"/>
  <c r="AC265"/>
  <c r="AR265" s="1"/>
  <c r="AD265"/>
  <c r="AS265" s="1"/>
  <c r="AE265"/>
  <c r="AT265" s="1"/>
  <c r="AF265"/>
  <c r="AK265" s="1"/>
  <c r="AU265" s="1"/>
  <c r="AC7"/>
  <c r="AE7"/>
  <c r="AE188" s="1"/>
  <c r="AF7"/>
  <c r="AC8"/>
  <c r="AD8"/>
  <c r="AD189" s="1"/>
  <c r="AE8"/>
  <c r="AE189" s="1"/>
  <c r="AF8"/>
  <c r="AF189" s="1"/>
  <c r="AC9"/>
  <c r="AC190" s="1"/>
  <c r="AD9"/>
  <c r="AD190" s="1"/>
  <c r="AE9"/>
  <c r="AE190" s="1"/>
  <c r="AF9"/>
  <c r="AF190" s="1"/>
  <c r="AC10"/>
  <c r="AC191" s="1"/>
  <c r="AD10"/>
  <c r="AE10"/>
  <c r="AE191" s="1"/>
  <c r="AF10"/>
  <c r="AF191" s="1"/>
  <c r="AC11"/>
  <c r="AC192" s="1"/>
  <c r="AD11"/>
  <c r="AD192" s="1"/>
  <c r="AE11"/>
  <c r="AE192" s="1"/>
  <c r="AF11"/>
  <c r="AF192" s="1"/>
  <c r="AC12"/>
  <c r="AC193" s="1"/>
  <c r="AD12"/>
  <c r="AD193" s="1"/>
  <c r="AE12"/>
  <c r="AE193" s="1"/>
  <c r="AF12"/>
  <c r="AF193" s="1"/>
  <c r="AC13"/>
  <c r="AC194" s="1"/>
  <c r="AG194" s="1"/>
  <c r="AD13"/>
  <c r="AD194" s="1"/>
  <c r="AE13"/>
  <c r="AE194" s="1"/>
  <c r="AF13"/>
  <c r="AF194" s="1"/>
  <c r="AF6"/>
  <c r="AF187" s="1"/>
  <c r="AE6"/>
  <c r="AE187" s="1"/>
  <c r="AD6"/>
  <c r="AC6"/>
  <c r="X266"/>
  <c r="W266"/>
  <c r="V266"/>
  <c r="U266"/>
  <c r="T266"/>
  <c r="S266"/>
  <c r="R266"/>
  <c r="Q266"/>
  <c r="P266"/>
  <c r="O266"/>
  <c r="N266"/>
  <c r="M266"/>
  <c r="L266"/>
  <c r="K266"/>
  <c r="J266"/>
  <c r="I266"/>
  <c r="H266"/>
  <c r="G266"/>
  <c r="F266"/>
  <c r="E266"/>
  <c r="D266"/>
  <c r="AA265"/>
  <c r="Z265"/>
  <c r="Y265"/>
  <c r="AA264"/>
  <c r="Z264"/>
  <c r="Y264"/>
  <c r="AA263"/>
  <c r="Z263"/>
  <c r="Y263"/>
  <c r="AA262"/>
  <c r="Z262"/>
  <c r="Y262"/>
  <c r="AA261"/>
  <c r="Z261"/>
  <c r="Y261"/>
  <c r="AA260"/>
  <c r="Z260"/>
  <c r="Y260"/>
  <c r="AA259"/>
  <c r="Z259"/>
  <c r="Y259"/>
  <c r="AA258"/>
  <c r="Z258"/>
  <c r="Y258"/>
  <c r="AB257"/>
  <c r="X256"/>
  <c r="W256"/>
  <c r="V256"/>
  <c r="U256"/>
  <c r="T256"/>
  <c r="S256"/>
  <c r="R256"/>
  <c r="Q256"/>
  <c r="P256"/>
  <c r="O256"/>
  <c r="N256"/>
  <c r="M256"/>
  <c r="L256"/>
  <c r="K256"/>
  <c r="J256"/>
  <c r="I256"/>
  <c r="H256"/>
  <c r="G256"/>
  <c r="F256"/>
  <c r="E256"/>
  <c r="D256"/>
  <c r="AA255"/>
  <c r="Z255"/>
  <c r="Y255"/>
  <c r="AA254"/>
  <c r="Z254"/>
  <c r="Y254"/>
  <c r="AA253"/>
  <c r="Z253"/>
  <c r="Y253"/>
  <c r="AA252"/>
  <c r="Z252"/>
  <c r="Y252"/>
  <c r="AA251"/>
  <c r="Z251"/>
  <c r="Y251"/>
  <c r="AA250"/>
  <c r="Z250"/>
  <c r="Y250"/>
  <c r="AA249"/>
  <c r="Z249"/>
  <c r="Y249"/>
  <c r="AA248"/>
  <c r="Z248"/>
  <c r="Y248"/>
  <c r="AB247"/>
  <c r="X246"/>
  <c r="W246"/>
  <c r="V246"/>
  <c r="U246"/>
  <c r="T246"/>
  <c r="S246"/>
  <c r="R246"/>
  <c r="Q246"/>
  <c r="P246"/>
  <c r="O246"/>
  <c r="N246"/>
  <c r="M246"/>
  <c r="L246"/>
  <c r="K246"/>
  <c r="J246"/>
  <c r="I246"/>
  <c r="H246"/>
  <c r="G246"/>
  <c r="F246"/>
  <c r="E246"/>
  <c r="D246"/>
  <c r="AA245"/>
  <c r="Z245"/>
  <c r="Y245"/>
  <c r="AA244"/>
  <c r="Z244"/>
  <c r="Y244"/>
  <c r="AA243"/>
  <c r="Z243"/>
  <c r="Y243"/>
  <c r="AA242"/>
  <c r="Z242"/>
  <c r="Y242"/>
  <c r="AA241"/>
  <c r="Z241"/>
  <c r="Y241"/>
  <c r="AA240"/>
  <c r="Z240"/>
  <c r="Y240"/>
  <c r="AA239"/>
  <c r="Z239"/>
  <c r="Y239"/>
  <c r="AA238"/>
  <c r="Z238"/>
  <c r="Y238"/>
  <c r="AB237"/>
  <c r="X236"/>
  <c r="W236"/>
  <c r="V236"/>
  <c r="U236"/>
  <c r="T236"/>
  <c r="S236"/>
  <c r="R236"/>
  <c r="Q236"/>
  <c r="P236"/>
  <c r="O236"/>
  <c r="N236"/>
  <c r="M236"/>
  <c r="L236"/>
  <c r="K236"/>
  <c r="J236"/>
  <c r="I236"/>
  <c r="H236"/>
  <c r="G236"/>
  <c r="F236"/>
  <c r="E236"/>
  <c r="D236"/>
  <c r="AA235"/>
  <c r="Z235"/>
  <c r="Y235"/>
  <c r="AA234"/>
  <c r="Z234"/>
  <c r="Y234"/>
  <c r="AA233"/>
  <c r="Z233"/>
  <c r="Y233"/>
  <c r="AA232"/>
  <c r="Z232"/>
  <c r="Y232"/>
  <c r="AA231"/>
  <c r="Z231"/>
  <c r="Y231"/>
  <c r="AA230"/>
  <c r="Z230"/>
  <c r="Y230"/>
  <c r="AA229"/>
  <c r="Z229"/>
  <c r="Y229"/>
  <c r="AA228"/>
  <c r="Z228"/>
  <c r="Y228"/>
  <c r="AB227"/>
  <c r="X226"/>
  <c r="W226"/>
  <c r="V226"/>
  <c r="U226"/>
  <c r="T226"/>
  <c r="S226"/>
  <c r="R226"/>
  <c r="Q226"/>
  <c r="O226"/>
  <c r="L226"/>
  <c r="K226"/>
  <c r="J226"/>
  <c r="I226"/>
  <c r="H226"/>
  <c r="G226"/>
  <c r="F226"/>
  <c r="E226"/>
  <c r="D226"/>
  <c r="AA225"/>
  <c r="Z225"/>
  <c r="Y225"/>
  <c r="AA224"/>
  <c r="Z224"/>
  <c r="Y224"/>
  <c r="AA223"/>
  <c r="Z223"/>
  <c r="Y223"/>
  <c r="AA222"/>
  <c r="Y222"/>
  <c r="N222"/>
  <c r="AD222" s="1"/>
  <c r="AS222" s="1"/>
  <c r="AA221"/>
  <c r="Z221"/>
  <c r="Y221"/>
  <c r="AA220"/>
  <c r="Z220"/>
  <c r="Y220"/>
  <c r="AA219"/>
  <c r="P219"/>
  <c r="AF219" s="1"/>
  <c r="AK219" s="1"/>
  <c r="AU219" s="1"/>
  <c r="N219"/>
  <c r="AD219" s="1"/>
  <c r="M219"/>
  <c r="AC219" s="1"/>
  <c r="AR219" s="1"/>
  <c r="AA218"/>
  <c r="Y218"/>
  <c r="N218"/>
  <c r="AD218" s="1"/>
  <c r="AS218" s="1"/>
  <c r="AB217"/>
  <c r="X216"/>
  <c r="W216"/>
  <c r="V216"/>
  <c r="U216"/>
  <c r="T216"/>
  <c r="S216"/>
  <c r="R216"/>
  <c r="Q216"/>
  <c r="P216"/>
  <c r="O216"/>
  <c r="M216"/>
  <c r="L216"/>
  <c r="K216"/>
  <c r="J216"/>
  <c r="I216"/>
  <c r="H216"/>
  <c r="G216"/>
  <c r="F216"/>
  <c r="E216"/>
  <c r="AA215"/>
  <c r="Z215"/>
  <c r="AA214"/>
  <c r="Z214"/>
  <c r="AA213"/>
  <c r="Z213"/>
  <c r="AA212"/>
  <c r="Z212"/>
  <c r="D212"/>
  <c r="D214" s="1"/>
  <c r="Y214" s="1"/>
  <c r="AA211"/>
  <c r="Z211"/>
  <c r="D211"/>
  <c r="AC211" s="1"/>
  <c r="AA210"/>
  <c r="Z210"/>
  <c r="Y210"/>
  <c r="AA209"/>
  <c r="Y209"/>
  <c r="N209"/>
  <c r="N216" s="1"/>
  <c r="AA208"/>
  <c r="Z208"/>
  <c r="Y208"/>
  <c r="AB207"/>
  <c r="X206"/>
  <c r="W206"/>
  <c r="V206"/>
  <c r="U206"/>
  <c r="S206"/>
  <c r="R206"/>
  <c r="Q206"/>
  <c r="P206"/>
  <c r="O206"/>
  <c r="M206"/>
  <c r="L206"/>
  <c r="K206"/>
  <c r="J206"/>
  <c r="I206"/>
  <c r="H206"/>
  <c r="G206"/>
  <c r="F206"/>
  <c r="E206"/>
  <c r="D206"/>
  <c r="AA205"/>
  <c r="Z205"/>
  <c r="Y205"/>
  <c r="AA204"/>
  <c r="Z204"/>
  <c r="Y204"/>
  <c r="AA203"/>
  <c r="Z203"/>
  <c r="Y203"/>
  <c r="AA202"/>
  <c r="Z202"/>
  <c r="Y202"/>
  <c r="AA201"/>
  <c r="Z201"/>
  <c r="Y201"/>
  <c r="AA200"/>
  <c r="Z200"/>
  <c r="Y200"/>
  <c r="AA199"/>
  <c r="Y199"/>
  <c r="T199"/>
  <c r="N199"/>
  <c r="AA198"/>
  <c r="Y198"/>
  <c r="T198"/>
  <c r="N198"/>
  <c r="N206" s="1"/>
  <c r="AB197"/>
  <c r="S184"/>
  <c r="R184"/>
  <c r="Q184"/>
  <c r="P184"/>
  <c r="O184"/>
  <c r="L184"/>
  <c r="K184"/>
  <c r="J184"/>
  <c r="I184"/>
  <c r="H184"/>
  <c r="G184"/>
  <c r="F184"/>
  <c r="E184"/>
  <c r="D184"/>
  <c r="AA183"/>
  <c r="Z183"/>
  <c r="Y183"/>
  <c r="AA182"/>
  <c r="Z182"/>
  <c r="Y182"/>
  <c r="AA181"/>
  <c r="Z181"/>
  <c r="Y181"/>
  <c r="AA180"/>
  <c r="Z180"/>
  <c r="Y180"/>
  <c r="AA179"/>
  <c r="Z179"/>
  <c r="Y179"/>
  <c r="AA178"/>
  <c r="Z178"/>
  <c r="V178"/>
  <c r="AC178" s="1"/>
  <c r="AA177"/>
  <c r="W177"/>
  <c r="W184" s="1"/>
  <c r="V177"/>
  <c r="T177"/>
  <c r="T184" s="1"/>
  <c r="N177"/>
  <c r="N184" s="1"/>
  <c r="M177"/>
  <c r="AA176"/>
  <c r="Z176"/>
  <c r="Y176"/>
  <c r="AB175"/>
  <c r="X174"/>
  <c r="W174"/>
  <c r="V174"/>
  <c r="U174"/>
  <c r="T174"/>
  <c r="S174"/>
  <c r="R174"/>
  <c r="Q174"/>
  <c r="P174"/>
  <c r="O174"/>
  <c r="N174"/>
  <c r="M174"/>
  <c r="L174"/>
  <c r="K174"/>
  <c r="J174"/>
  <c r="I174"/>
  <c r="H174"/>
  <c r="G174"/>
  <c r="F174"/>
  <c r="E174"/>
  <c r="D174"/>
  <c r="AA173"/>
  <c r="Z173"/>
  <c r="Y173"/>
  <c r="AA172"/>
  <c r="Z172"/>
  <c r="Y172"/>
  <c r="AA171"/>
  <c r="Z171"/>
  <c r="Y171"/>
  <c r="AA170"/>
  <c r="Z170"/>
  <c r="Y170"/>
  <c r="AA169"/>
  <c r="Z169"/>
  <c r="Y169"/>
  <c r="AA168"/>
  <c r="Z168"/>
  <c r="Y168"/>
  <c r="AA167"/>
  <c r="Z167"/>
  <c r="Y167"/>
  <c r="AA166"/>
  <c r="Z166"/>
  <c r="Y166"/>
  <c r="AB165"/>
  <c r="X164"/>
  <c r="W164"/>
  <c r="V164"/>
  <c r="U164"/>
  <c r="T164"/>
  <c r="S164"/>
  <c r="R164"/>
  <c r="Q164"/>
  <c r="P164"/>
  <c r="O164"/>
  <c r="L164"/>
  <c r="K164"/>
  <c r="I164"/>
  <c r="H164"/>
  <c r="G164"/>
  <c r="F164"/>
  <c r="E164"/>
  <c r="D164"/>
  <c r="AA163"/>
  <c r="Z163"/>
  <c r="Y163"/>
  <c r="AA162"/>
  <c r="Z162"/>
  <c r="Y162"/>
  <c r="AA161"/>
  <c r="Z161"/>
  <c r="Y161"/>
  <c r="AA160"/>
  <c r="Z160"/>
  <c r="Y160"/>
  <c r="AA159"/>
  <c r="Z159"/>
  <c r="Y159"/>
  <c r="AA158"/>
  <c r="Z158"/>
  <c r="Y158"/>
  <c r="AA157"/>
  <c r="Z157"/>
  <c r="Y157"/>
  <c r="AA156"/>
  <c r="N156"/>
  <c r="M156"/>
  <c r="M164" s="1"/>
  <c r="J156"/>
  <c r="AB155"/>
  <c r="X154"/>
  <c r="W154"/>
  <c r="V154"/>
  <c r="U154"/>
  <c r="T154"/>
  <c r="S154"/>
  <c r="R154"/>
  <c r="Q154"/>
  <c r="P154"/>
  <c r="O154"/>
  <c r="M154"/>
  <c r="L154"/>
  <c r="K154"/>
  <c r="J154"/>
  <c r="I154"/>
  <c r="H154"/>
  <c r="G154"/>
  <c r="F154"/>
  <c r="E154"/>
  <c r="D154"/>
  <c r="AA153"/>
  <c r="Z153"/>
  <c r="Y153"/>
  <c r="AA152"/>
  <c r="Z152"/>
  <c r="Y152"/>
  <c r="AA151"/>
  <c r="Z151"/>
  <c r="Y151"/>
  <c r="AA150"/>
  <c r="Z150"/>
  <c r="Y150"/>
  <c r="AA149"/>
  <c r="Z149"/>
  <c r="Y149"/>
  <c r="AA148"/>
  <c r="Z148"/>
  <c r="Y148"/>
  <c r="AA147"/>
  <c r="Y147"/>
  <c r="N154"/>
  <c r="AA146"/>
  <c r="Z146"/>
  <c r="Y146"/>
  <c r="AB145"/>
  <c r="X144"/>
  <c r="W144"/>
  <c r="V144"/>
  <c r="U144"/>
  <c r="S144"/>
  <c r="R144"/>
  <c r="Q144"/>
  <c r="P144"/>
  <c r="O144"/>
  <c r="L144"/>
  <c r="K144"/>
  <c r="J144"/>
  <c r="I144"/>
  <c r="H144"/>
  <c r="G144"/>
  <c r="F144"/>
  <c r="E144"/>
  <c r="D144"/>
  <c r="AA143"/>
  <c r="Z143"/>
  <c r="Y143"/>
  <c r="AA142"/>
  <c r="Z142"/>
  <c r="Y142"/>
  <c r="AA141"/>
  <c r="Z141"/>
  <c r="Y141"/>
  <c r="AA140"/>
  <c r="Y140"/>
  <c r="N140"/>
  <c r="AA139"/>
  <c r="Z139"/>
  <c r="Y139"/>
  <c r="AA138"/>
  <c r="Z138"/>
  <c r="Y138"/>
  <c r="AA137"/>
  <c r="Z137"/>
  <c r="Y137"/>
  <c r="AA136"/>
  <c r="T136"/>
  <c r="T144" s="1"/>
  <c r="N136"/>
  <c r="M136"/>
  <c r="AB135"/>
  <c r="X134"/>
  <c r="W134"/>
  <c r="V134"/>
  <c r="U134"/>
  <c r="T134"/>
  <c r="S134"/>
  <c r="R134"/>
  <c r="Q134"/>
  <c r="P134"/>
  <c r="O134"/>
  <c r="N134"/>
  <c r="M134"/>
  <c r="L134"/>
  <c r="K134"/>
  <c r="J134"/>
  <c r="I134"/>
  <c r="H134"/>
  <c r="G134"/>
  <c r="F134"/>
  <c r="E134"/>
  <c r="D134"/>
  <c r="AA133"/>
  <c r="Z133"/>
  <c r="Y133"/>
  <c r="AA132"/>
  <c r="Z132"/>
  <c r="Y132"/>
  <c r="AA131"/>
  <c r="Z131"/>
  <c r="Y131"/>
  <c r="AA130"/>
  <c r="Z130"/>
  <c r="Y130"/>
  <c r="AA129"/>
  <c r="Z129"/>
  <c r="Y129"/>
  <c r="AA128"/>
  <c r="Z128"/>
  <c r="Y128"/>
  <c r="AA127"/>
  <c r="Z127"/>
  <c r="Y127"/>
  <c r="AA126"/>
  <c r="Z126"/>
  <c r="Y126"/>
  <c r="AB125"/>
  <c r="X124"/>
  <c r="W124"/>
  <c r="V124"/>
  <c r="U124"/>
  <c r="T124"/>
  <c r="S124"/>
  <c r="R124"/>
  <c r="Q124"/>
  <c r="P124"/>
  <c r="O124"/>
  <c r="N124"/>
  <c r="M124"/>
  <c r="L124"/>
  <c r="K124"/>
  <c r="J124"/>
  <c r="I124"/>
  <c r="H124"/>
  <c r="G124"/>
  <c r="F124"/>
  <c r="E124"/>
  <c r="D124"/>
  <c r="AA123"/>
  <c r="Z123"/>
  <c r="Y123"/>
  <c r="AA122"/>
  <c r="Z122"/>
  <c r="Y122"/>
  <c r="AA121"/>
  <c r="Z121"/>
  <c r="Y121"/>
  <c r="AA120"/>
  <c r="Z120"/>
  <c r="Y120"/>
  <c r="AA119"/>
  <c r="Z119"/>
  <c r="Y119"/>
  <c r="AA118"/>
  <c r="Z118"/>
  <c r="Y118"/>
  <c r="AA117"/>
  <c r="Z117"/>
  <c r="Y117"/>
  <c r="AA116"/>
  <c r="Z116"/>
  <c r="Y116"/>
  <c r="AB115"/>
  <c r="X114"/>
  <c r="W114"/>
  <c r="V114"/>
  <c r="U114"/>
  <c r="T114"/>
  <c r="S114"/>
  <c r="R114"/>
  <c r="Q114"/>
  <c r="O114"/>
  <c r="L114"/>
  <c r="K114"/>
  <c r="J114"/>
  <c r="I114"/>
  <c r="H114"/>
  <c r="G114"/>
  <c r="F114"/>
  <c r="E114"/>
  <c r="D114"/>
  <c r="AA113"/>
  <c r="Z113"/>
  <c r="Y113"/>
  <c r="AA112"/>
  <c r="Z112"/>
  <c r="Y112"/>
  <c r="AA111"/>
  <c r="Z111"/>
  <c r="Y111"/>
  <c r="AA110"/>
  <c r="Y110"/>
  <c r="N110"/>
  <c r="AD110" s="1"/>
  <c r="AA109"/>
  <c r="Z109"/>
  <c r="Y109"/>
  <c r="AA108"/>
  <c r="Z108"/>
  <c r="Y108"/>
  <c r="AA107"/>
  <c r="P107"/>
  <c r="AF107" s="1"/>
  <c r="AH107" s="1"/>
  <c r="N107"/>
  <c r="Z107" s="1"/>
  <c r="M107"/>
  <c r="AA106"/>
  <c r="Z106"/>
  <c r="Y106"/>
  <c r="AB105"/>
  <c r="X104"/>
  <c r="W104"/>
  <c r="V104"/>
  <c r="U104"/>
  <c r="T104"/>
  <c r="S104"/>
  <c r="R104"/>
  <c r="Q104"/>
  <c r="P104"/>
  <c r="O104"/>
  <c r="N104"/>
  <c r="M104"/>
  <c r="L104"/>
  <c r="K104"/>
  <c r="J104"/>
  <c r="I104"/>
  <c r="H104"/>
  <c r="G104"/>
  <c r="F104"/>
  <c r="E104"/>
  <c r="D104"/>
  <c r="AA103"/>
  <c r="Z103"/>
  <c r="Y103"/>
  <c r="AA102"/>
  <c r="Z102"/>
  <c r="Y102"/>
  <c r="AA101"/>
  <c r="Z101"/>
  <c r="Y101"/>
  <c r="AA100"/>
  <c r="Z100"/>
  <c r="Y100"/>
  <c r="AA99"/>
  <c r="Z99"/>
  <c r="Y99"/>
  <c r="AA98"/>
  <c r="Z98"/>
  <c r="Y98"/>
  <c r="AA97"/>
  <c r="Z97"/>
  <c r="Y97"/>
  <c r="AA96"/>
  <c r="Z96"/>
  <c r="Y96"/>
  <c r="AB95"/>
  <c r="X94"/>
  <c r="W94"/>
  <c r="U94"/>
  <c r="S94"/>
  <c r="R94"/>
  <c r="Q94"/>
  <c r="O94"/>
  <c r="L94"/>
  <c r="K94"/>
  <c r="J94"/>
  <c r="I94"/>
  <c r="H94"/>
  <c r="G94"/>
  <c r="F94"/>
  <c r="E94"/>
  <c r="D94"/>
  <c r="AA93"/>
  <c r="Z93"/>
  <c r="Y93"/>
  <c r="AA92"/>
  <c r="Z92"/>
  <c r="Y92"/>
  <c r="AA91"/>
  <c r="Z91"/>
  <c r="Y91"/>
  <c r="AA90"/>
  <c r="Y90"/>
  <c r="N90"/>
  <c r="AD90" s="1"/>
  <c r="AA89"/>
  <c r="Z89"/>
  <c r="Y89"/>
  <c r="AA88"/>
  <c r="Z88"/>
  <c r="Y88"/>
  <c r="AA87"/>
  <c r="V87"/>
  <c r="V94" s="1"/>
  <c r="T87"/>
  <c r="T94" s="1"/>
  <c r="P87"/>
  <c r="N87"/>
  <c r="M87"/>
  <c r="AA86"/>
  <c r="Z86"/>
  <c r="Y86"/>
  <c r="AB85"/>
  <c r="X84"/>
  <c r="W84"/>
  <c r="V84"/>
  <c r="U84"/>
  <c r="T84"/>
  <c r="S84"/>
  <c r="R84"/>
  <c r="Q84"/>
  <c r="P84"/>
  <c r="O84"/>
  <c r="N84"/>
  <c r="M84"/>
  <c r="L84"/>
  <c r="K84"/>
  <c r="J84"/>
  <c r="I84"/>
  <c r="H84"/>
  <c r="G84"/>
  <c r="F84"/>
  <c r="E84"/>
  <c r="D84"/>
  <c r="AA83"/>
  <c r="Z83"/>
  <c r="Y83"/>
  <c r="AA82"/>
  <c r="Z82"/>
  <c r="Y82"/>
  <c r="AA81"/>
  <c r="Z81"/>
  <c r="Y81"/>
  <c r="AA80"/>
  <c r="Z80"/>
  <c r="Y80"/>
  <c r="AA79"/>
  <c r="Z79"/>
  <c r="Y79"/>
  <c r="AA78"/>
  <c r="Z78"/>
  <c r="Y78"/>
  <c r="AA77"/>
  <c r="Z77"/>
  <c r="Y77"/>
  <c r="AA76"/>
  <c r="Z76"/>
  <c r="Y76"/>
  <c r="AB75"/>
  <c r="X64"/>
  <c r="U64"/>
  <c r="T64"/>
  <c r="S64"/>
  <c r="R64"/>
  <c r="Q64"/>
  <c r="P64"/>
  <c r="O64"/>
  <c r="L64"/>
  <c r="K64"/>
  <c r="J64"/>
  <c r="I64"/>
  <c r="H64"/>
  <c r="G64"/>
  <c r="F64"/>
  <c r="E64"/>
  <c r="D64"/>
  <c r="AA63"/>
  <c r="Z63"/>
  <c r="Y63"/>
  <c r="AA62"/>
  <c r="Z62"/>
  <c r="Y62"/>
  <c r="AA61"/>
  <c r="Z61"/>
  <c r="Y61"/>
  <c r="AA60"/>
  <c r="Z60"/>
  <c r="Y60"/>
  <c r="AA59"/>
  <c r="Z59"/>
  <c r="Y59"/>
  <c r="AA58"/>
  <c r="Z58"/>
  <c r="Y58"/>
  <c r="AA57"/>
  <c r="W57"/>
  <c r="W64" s="1"/>
  <c r="V57"/>
  <c r="V64" s="1"/>
  <c r="N57"/>
  <c r="N64" s="1"/>
  <c r="M57"/>
  <c r="AA56"/>
  <c r="Z56"/>
  <c r="Y56"/>
  <c r="AB55"/>
  <c r="X54"/>
  <c r="W54"/>
  <c r="V54"/>
  <c r="U54"/>
  <c r="T54"/>
  <c r="S54"/>
  <c r="R54"/>
  <c r="Q54"/>
  <c r="P54"/>
  <c r="O54"/>
  <c r="M54"/>
  <c r="L54"/>
  <c r="K54"/>
  <c r="J54"/>
  <c r="I54"/>
  <c r="H54"/>
  <c r="G54"/>
  <c r="F54"/>
  <c r="E54"/>
  <c r="D54"/>
  <c r="AA53"/>
  <c r="Z53"/>
  <c r="Y53"/>
  <c r="AA52"/>
  <c r="Z52"/>
  <c r="Y52"/>
  <c r="AA51"/>
  <c r="Z51"/>
  <c r="Y51"/>
  <c r="AA50"/>
  <c r="Z50"/>
  <c r="Y50"/>
  <c r="AA49"/>
  <c r="Z49"/>
  <c r="Y49"/>
  <c r="AA48"/>
  <c r="Z48"/>
  <c r="Y48"/>
  <c r="AA47"/>
  <c r="Y47"/>
  <c r="N47"/>
  <c r="AD47" s="1"/>
  <c r="AA46"/>
  <c r="Z46"/>
  <c r="Y46"/>
  <c r="AB45"/>
  <c r="X44"/>
  <c r="V44"/>
  <c r="U44"/>
  <c r="T44"/>
  <c r="S44"/>
  <c r="R44"/>
  <c r="Q44"/>
  <c r="P44"/>
  <c r="O44"/>
  <c r="L44"/>
  <c r="K44"/>
  <c r="I44"/>
  <c r="H44"/>
  <c r="F44"/>
  <c r="E44"/>
  <c r="D44"/>
  <c r="AA43"/>
  <c r="Z43"/>
  <c r="Y43"/>
  <c r="AA42"/>
  <c r="Z42"/>
  <c r="Y42"/>
  <c r="AA41"/>
  <c r="Z41"/>
  <c r="Y41"/>
  <c r="AA40"/>
  <c r="Z40"/>
  <c r="Y40"/>
  <c r="AA39"/>
  <c r="Z39"/>
  <c r="Y39"/>
  <c r="AA38"/>
  <c r="Z38"/>
  <c r="Y38"/>
  <c r="AA37"/>
  <c r="W37"/>
  <c r="W44" s="1"/>
  <c r="N37"/>
  <c r="M37"/>
  <c r="M44" s="1"/>
  <c r="J37"/>
  <c r="J44" s="1"/>
  <c r="G37"/>
  <c r="AA36"/>
  <c r="Z36"/>
  <c r="Y36"/>
  <c r="AB35"/>
  <c r="X34"/>
  <c r="U34"/>
  <c r="T34"/>
  <c r="S34"/>
  <c r="R34"/>
  <c r="Q34"/>
  <c r="P34"/>
  <c r="O34"/>
  <c r="L34"/>
  <c r="K34"/>
  <c r="I34"/>
  <c r="H34"/>
  <c r="F34"/>
  <c r="E34"/>
  <c r="D34"/>
  <c r="AA33"/>
  <c r="Z33"/>
  <c r="Y33"/>
  <c r="AA32"/>
  <c r="Z32"/>
  <c r="Y32"/>
  <c r="AA31"/>
  <c r="Z31"/>
  <c r="Y31"/>
  <c r="AA30"/>
  <c r="Z30"/>
  <c r="Y30"/>
  <c r="AA29"/>
  <c r="Z29"/>
  <c r="Y29"/>
  <c r="AA28"/>
  <c r="Z28"/>
  <c r="Y28"/>
  <c r="AA27"/>
  <c r="Z27"/>
  <c r="Y27"/>
  <c r="AA26"/>
  <c r="W26"/>
  <c r="W34" s="1"/>
  <c r="V26"/>
  <c r="V34" s="1"/>
  <c r="N26"/>
  <c r="N34" s="1"/>
  <c r="M26"/>
  <c r="M34" s="1"/>
  <c r="J26"/>
  <c r="J34" s="1"/>
  <c r="G26"/>
  <c r="AB25"/>
  <c r="X24"/>
  <c r="V24"/>
  <c r="U24"/>
  <c r="T24"/>
  <c r="S24"/>
  <c r="R24"/>
  <c r="Q24"/>
  <c r="P24"/>
  <c r="O24"/>
  <c r="L24"/>
  <c r="K24"/>
  <c r="I24"/>
  <c r="H24"/>
  <c r="F24"/>
  <c r="D24"/>
  <c r="AA23"/>
  <c r="Z23"/>
  <c r="Y23"/>
  <c r="AA22"/>
  <c r="Z22"/>
  <c r="Y22"/>
  <c r="AA21"/>
  <c r="Z21"/>
  <c r="Y21"/>
  <c r="AA20"/>
  <c r="Y20"/>
  <c r="E20"/>
  <c r="AA19"/>
  <c r="Z19"/>
  <c r="Y19"/>
  <c r="AA18"/>
  <c r="Z18"/>
  <c r="Y18"/>
  <c r="AA17"/>
  <c r="Z17"/>
  <c r="Y17"/>
  <c r="AA16"/>
  <c r="W16"/>
  <c r="W24" s="1"/>
  <c r="N16"/>
  <c r="M16"/>
  <c r="M24" s="1"/>
  <c r="J16"/>
  <c r="J24" s="1"/>
  <c r="G16"/>
  <c r="AB15"/>
  <c r="X14"/>
  <c r="V14"/>
  <c r="U14"/>
  <c r="T14"/>
  <c r="S14"/>
  <c r="R14"/>
  <c r="Q14"/>
  <c r="P14"/>
  <c r="O14"/>
  <c r="M14"/>
  <c r="L14"/>
  <c r="K14"/>
  <c r="J14"/>
  <c r="I14"/>
  <c r="H14"/>
  <c r="G14"/>
  <c r="F14"/>
  <c r="E14"/>
  <c r="D14"/>
  <c r="AA13"/>
  <c r="Z13"/>
  <c r="Y13"/>
  <c r="AA12"/>
  <c r="Z12"/>
  <c r="Y12"/>
  <c r="AA11"/>
  <c r="Z11"/>
  <c r="Y11"/>
  <c r="AA10"/>
  <c r="Z10"/>
  <c r="Y10"/>
  <c r="AA9"/>
  <c r="Z9"/>
  <c r="Y9"/>
  <c r="AA8"/>
  <c r="Z8"/>
  <c r="Y8"/>
  <c r="AA7"/>
  <c r="Y7"/>
  <c r="W7"/>
  <c r="W14" s="1"/>
  <c r="N7"/>
  <c r="AA6"/>
  <c r="Z6"/>
  <c r="Y6"/>
  <c r="AL253" i="43"/>
  <c r="AK253"/>
  <c r="T253"/>
  <c r="S253"/>
  <c r="D251"/>
  <c r="E251"/>
  <c r="F251"/>
  <c r="G251"/>
  <c r="H251"/>
  <c r="I251"/>
  <c r="J251"/>
  <c r="K251"/>
  <c r="L251"/>
  <c r="M251"/>
  <c r="N251"/>
  <c r="O251"/>
  <c r="P251"/>
  <c r="Q251"/>
  <c r="R251"/>
  <c r="S251"/>
  <c r="T251"/>
  <c r="U251"/>
  <c r="V251"/>
  <c r="W251"/>
  <c r="X251"/>
  <c r="Y251"/>
  <c r="Z251"/>
  <c r="AA251"/>
  <c r="AB251"/>
  <c r="AC251"/>
  <c r="AD251"/>
  <c r="AE251"/>
  <c r="AF251"/>
  <c r="AG251"/>
  <c r="AH251"/>
  <c r="AI251"/>
  <c r="AJ251"/>
  <c r="AK251"/>
  <c r="AL251"/>
  <c r="C251"/>
  <c r="G250"/>
  <c r="H250"/>
  <c r="I250"/>
  <c r="J250"/>
  <c r="M250"/>
  <c r="N250"/>
  <c r="S250"/>
  <c r="T250"/>
  <c r="Y250"/>
  <c r="Z250"/>
  <c r="AA250"/>
  <c r="AB250"/>
  <c r="AE250"/>
  <c r="AF250"/>
  <c r="AK250"/>
  <c r="AL250"/>
  <c r="G238"/>
  <c r="H238"/>
  <c r="I238"/>
  <c r="J238"/>
  <c r="M238"/>
  <c r="N238"/>
  <c r="S238"/>
  <c r="T238"/>
  <c r="Y238"/>
  <c r="Z238"/>
  <c r="AA238"/>
  <c r="AB238"/>
  <c r="AE238"/>
  <c r="AF238"/>
  <c r="AK238"/>
  <c r="AL238"/>
  <c r="G227"/>
  <c r="H227"/>
  <c r="I227"/>
  <c r="J227"/>
  <c r="K227"/>
  <c r="L227"/>
  <c r="M227"/>
  <c r="N227"/>
  <c r="S227"/>
  <c r="T227"/>
  <c r="Y227"/>
  <c r="Z227"/>
  <c r="AA227"/>
  <c r="AB227"/>
  <c r="AC227"/>
  <c r="AD227"/>
  <c r="AE227"/>
  <c r="AF227"/>
  <c r="AK227"/>
  <c r="AL227"/>
  <c r="G215"/>
  <c r="H215"/>
  <c r="I215"/>
  <c r="J215"/>
  <c r="K215"/>
  <c r="L215"/>
  <c r="M215"/>
  <c r="N215"/>
  <c r="S215"/>
  <c r="T215"/>
  <c r="Y215"/>
  <c r="Z215"/>
  <c r="AA215"/>
  <c r="AB215"/>
  <c r="AC215"/>
  <c r="AD215"/>
  <c r="AE215"/>
  <c r="AF215"/>
  <c r="AK215"/>
  <c r="AL215"/>
  <c r="G203"/>
  <c r="H203"/>
  <c r="I203"/>
  <c r="J203"/>
  <c r="K203"/>
  <c r="L203"/>
  <c r="M203"/>
  <c r="N203"/>
  <c r="O203"/>
  <c r="P203"/>
  <c r="Q203"/>
  <c r="R203"/>
  <c r="S203"/>
  <c r="T203"/>
  <c r="Y203"/>
  <c r="Z203"/>
  <c r="AA203"/>
  <c r="AB203"/>
  <c r="AC203"/>
  <c r="AD203"/>
  <c r="AE203"/>
  <c r="AF203"/>
  <c r="AG203"/>
  <c r="AH203"/>
  <c r="AI203"/>
  <c r="AJ203"/>
  <c r="AK203"/>
  <c r="AL203"/>
  <c r="G183"/>
  <c r="H183"/>
  <c r="I183"/>
  <c r="J183"/>
  <c r="K183"/>
  <c r="L183"/>
  <c r="M183"/>
  <c r="N183"/>
  <c r="Q183"/>
  <c r="R183"/>
  <c r="S183"/>
  <c r="T183"/>
  <c r="Y183"/>
  <c r="Z183"/>
  <c r="AA183"/>
  <c r="AB183"/>
  <c r="AC183"/>
  <c r="AD183"/>
  <c r="AE183"/>
  <c r="AF183"/>
  <c r="AI183"/>
  <c r="AJ183"/>
  <c r="AK183"/>
  <c r="AL183"/>
  <c r="G167"/>
  <c r="H167"/>
  <c r="I167"/>
  <c r="J167"/>
  <c r="K167"/>
  <c r="L167"/>
  <c r="M167"/>
  <c r="N167"/>
  <c r="S167"/>
  <c r="T167"/>
  <c r="Y167"/>
  <c r="Z167"/>
  <c r="AA167"/>
  <c r="AB167"/>
  <c r="AC167"/>
  <c r="AD167"/>
  <c r="AE167"/>
  <c r="AF167"/>
  <c r="AK167"/>
  <c r="AL167"/>
  <c r="G155"/>
  <c r="H155"/>
  <c r="I155"/>
  <c r="J155"/>
  <c r="M155"/>
  <c r="N155"/>
  <c r="S155"/>
  <c r="T155"/>
  <c r="Y155"/>
  <c r="Z155"/>
  <c r="AA155"/>
  <c r="AB155"/>
  <c r="AE155"/>
  <c r="AF155"/>
  <c r="AK155"/>
  <c r="AL155"/>
  <c r="G144"/>
  <c r="H144"/>
  <c r="I144"/>
  <c r="J144"/>
  <c r="M144"/>
  <c r="N144"/>
  <c r="S144"/>
  <c r="T144"/>
  <c r="Y144"/>
  <c r="Z144"/>
  <c r="AA144"/>
  <c r="AB144"/>
  <c r="AE144"/>
  <c r="AF144"/>
  <c r="AK144"/>
  <c r="AL144"/>
  <c r="G127"/>
  <c r="H127"/>
  <c r="I127"/>
  <c r="J127"/>
  <c r="M127"/>
  <c r="N127"/>
  <c r="O127"/>
  <c r="P127"/>
  <c r="S127"/>
  <c r="T127"/>
  <c r="Y127"/>
  <c r="Z127"/>
  <c r="AA127"/>
  <c r="AB127"/>
  <c r="AE127"/>
  <c r="AF127"/>
  <c r="AG127"/>
  <c r="AH127"/>
  <c r="AK127"/>
  <c r="AL127"/>
  <c r="G102"/>
  <c r="H102"/>
  <c r="I102"/>
  <c r="J102"/>
  <c r="M102"/>
  <c r="N102"/>
  <c r="S102"/>
  <c r="T102"/>
  <c r="Y102"/>
  <c r="Z102"/>
  <c r="AA102"/>
  <c r="AB102"/>
  <c r="AE102"/>
  <c r="AF102"/>
  <c r="AK102"/>
  <c r="AL102"/>
  <c r="G89"/>
  <c r="H89"/>
  <c r="I89"/>
  <c r="J89"/>
  <c r="M89"/>
  <c r="N89"/>
  <c r="O89"/>
  <c r="P89"/>
  <c r="S89"/>
  <c r="T89"/>
  <c r="Y89"/>
  <c r="Z89"/>
  <c r="AA89"/>
  <c r="AB89"/>
  <c r="AE89"/>
  <c r="AF89"/>
  <c r="AG89"/>
  <c r="AH89"/>
  <c r="AK89"/>
  <c r="AL89"/>
  <c r="G79"/>
  <c r="H79"/>
  <c r="I79"/>
  <c r="J79"/>
  <c r="M79"/>
  <c r="N79"/>
  <c r="S79"/>
  <c r="T79"/>
  <c r="Y79"/>
  <c r="Z79"/>
  <c r="AA79"/>
  <c r="AB79"/>
  <c r="AE79"/>
  <c r="AF79"/>
  <c r="AK79"/>
  <c r="AL79"/>
  <c r="G69"/>
  <c r="H69"/>
  <c r="I69"/>
  <c r="J69"/>
  <c r="M69"/>
  <c r="N69"/>
  <c r="S69"/>
  <c r="T69"/>
  <c r="Y69"/>
  <c r="Z69"/>
  <c r="AA69"/>
  <c r="AB69"/>
  <c r="AE69"/>
  <c r="AF69"/>
  <c r="AK69"/>
  <c r="AL69"/>
  <c r="G61"/>
  <c r="H61"/>
  <c r="I61"/>
  <c r="J61"/>
  <c r="M61"/>
  <c r="N61"/>
  <c r="S61"/>
  <c r="T61"/>
  <c r="Y61"/>
  <c r="Z61"/>
  <c r="AA61"/>
  <c r="AB61"/>
  <c r="AE61"/>
  <c r="AF61"/>
  <c r="AK61"/>
  <c r="AL61"/>
  <c r="G53"/>
  <c r="H53"/>
  <c r="I53"/>
  <c r="J53"/>
  <c r="K53"/>
  <c r="L53"/>
  <c r="M53"/>
  <c r="N53"/>
  <c r="S53"/>
  <c r="T53"/>
  <c r="Y53"/>
  <c r="Z53"/>
  <c r="AA53"/>
  <c r="AB53"/>
  <c r="AC53"/>
  <c r="AD53"/>
  <c r="AE53"/>
  <c r="AF53"/>
  <c r="AK53"/>
  <c r="AL53"/>
  <c r="G36"/>
  <c r="H36"/>
  <c r="I36"/>
  <c r="J36"/>
  <c r="M36"/>
  <c r="N36"/>
  <c r="O36"/>
  <c r="P36"/>
  <c r="S36"/>
  <c r="T36"/>
  <c r="Y36"/>
  <c r="Z36"/>
  <c r="AA36"/>
  <c r="AB36"/>
  <c r="AE36"/>
  <c r="AF36"/>
  <c r="AG36"/>
  <c r="AH36"/>
  <c r="AK36"/>
  <c r="AL36"/>
  <c r="G19"/>
  <c r="H19"/>
  <c r="I19"/>
  <c r="J19"/>
  <c r="M19"/>
  <c r="N19"/>
  <c r="S19"/>
  <c r="T19"/>
  <c r="Y19"/>
  <c r="Z19"/>
  <c r="AA19"/>
  <c r="AB19"/>
  <c r="AE19"/>
  <c r="AF19"/>
  <c r="AK19"/>
  <c r="AL19"/>
  <c r="D8" i="6"/>
  <c r="E8" s="1"/>
  <c r="C32" i="3"/>
  <c r="D32"/>
  <c r="E32"/>
  <c r="M13" i="8"/>
  <c r="P32" i="5"/>
  <c r="O32"/>
  <c r="S32" s="1"/>
  <c r="N17" i="8"/>
  <c r="X33" i="12" l="1"/>
  <c r="Y34"/>
  <c r="Y47" s="1"/>
  <c r="C47"/>
  <c r="Z24"/>
  <c r="D8" i="10"/>
  <c r="I45"/>
  <c r="E45"/>
  <c r="F8"/>
  <c r="F45" s="1"/>
  <c r="J9"/>
  <c r="D45"/>
  <c r="J38"/>
  <c r="H16"/>
  <c r="J35"/>
  <c r="G34"/>
  <c r="J34" s="1"/>
  <c r="AG193" i="44"/>
  <c r="AC281"/>
  <c r="AC280"/>
  <c r="AC279"/>
  <c r="AS205"/>
  <c r="AD281"/>
  <c r="AS202"/>
  <c r="AD278"/>
  <c r="AR199"/>
  <c r="AC275"/>
  <c r="AE195"/>
  <c r="AD280"/>
  <c r="AD279"/>
  <c r="AD277"/>
  <c r="AD276"/>
  <c r="AI40"/>
  <c r="AI39"/>
  <c r="AI38"/>
  <c r="AI25"/>
  <c r="AI23"/>
  <c r="AI22"/>
  <c r="AT205"/>
  <c r="AE281"/>
  <c r="AT204"/>
  <c r="AE280"/>
  <c r="AT203"/>
  <c r="AE279"/>
  <c r="AT201"/>
  <c r="AE277"/>
  <c r="AT200"/>
  <c r="AE276"/>
  <c r="AT199"/>
  <c r="AE275"/>
  <c r="AR198"/>
  <c r="AC274"/>
  <c r="AE278"/>
  <c r="AH205"/>
  <c r="AF281"/>
  <c r="AH204"/>
  <c r="AF280"/>
  <c r="AH203"/>
  <c r="AF279"/>
  <c r="AH202"/>
  <c r="AF278"/>
  <c r="AH201"/>
  <c r="AF277"/>
  <c r="AH200"/>
  <c r="AF276"/>
  <c r="AH199"/>
  <c r="AF275"/>
  <c r="AT198"/>
  <c r="AE274"/>
  <c r="AR202"/>
  <c r="AC278"/>
  <c r="AR201"/>
  <c r="AC277"/>
  <c r="AR200"/>
  <c r="AC276"/>
  <c r="AH198"/>
  <c r="AF274"/>
  <c r="AG192"/>
  <c r="AG190"/>
  <c r="AC189"/>
  <c r="AG189" s="1"/>
  <c r="AD7"/>
  <c r="O185"/>
  <c r="S185"/>
  <c r="X185"/>
  <c r="AB17"/>
  <c r="AG47"/>
  <c r="AG17"/>
  <c r="R185"/>
  <c r="S267"/>
  <c r="AI75"/>
  <c r="AI63"/>
  <c r="AI62"/>
  <c r="AI61"/>
  <c r="AI59"/>
  <c r="AI58"/>
  <c r="AI19"/>
  <c r="AI18"/>
  <c r="AI17"/>
  <c r="AF236"/>
  <c r="AB200"/>
  <c r="F267"/>
  <c r="J267"/>
  <c r="O267"/>
  <c r="AI165"/>
  <c r="AI21"/>
  <c r="AB143"/>
  <c r="AB160"/>
  <c r="AE226"/>
  <c r="AF246"/>
  <c r="AG197"/>
  <c r="AI155"/>
  <c r="AI145"/>
  <c r="AG125"/>
  <c r="AB202"/>
  <c r="AB201"/>
  <c r="AC236"/>
  <c r="AE246"/>
  <c r="AB250"/>
  <c r="AB254"/>
  <c r="AC256"/>
  <c r="AF256"/>
  <c r="AA266"/>
  <c r="AB260"/>
  <c r="AB264"/>
  <c r="AE266"/>
  <c r="AB58"/>
  <c r="AB62"/>
  <c r="AB99"/>
  <c r="AB103"/>
  <c r="Z124"/>
  <c r="AB127"/>
  <c r="AB131"/>
  <c r="AD136"/>
  <c r="AS136" s="1"/>
  <c r="AB142"/>
  <c r="AB149"/>
  <c r="AB153"/>
  <c r="AC156"/>
  <c r="AB159"/>
  <c r="AB163"/>
  <c r="AF174"/>
  <c r="AH174" s="1"/>
  <c r="V184"/>
  <c r="V185" s="1"/>
  <c r="Y178"/>
  <c r="AE184"/>
  <c r="AF184"/>
  <c r="AH184" s="1"/>
  <c r="AB203"/>
  <c r="G267"/>
  <c r="K267"/>
  <c r="U267"/>
  <c r="AF216"/>
  <c r="Z218"/>
  <c r="AI135"/>
  <c r="AI115"/>
  <c r="AI105"/>
  <c r="AI95"/>
  <c r="AI85"/>
  <c r="AI35"/>
  <c r="AI33"/>
  <c r="AI32"/>
  <c r="AI31"/>
  <c r="AI30"/>
  <c r="AI29"/>
  <c r="AI28"/>
  <c r="AI27"/>
  <c r="AA44"/>
  <c r="AB41"/>
  <c r="AG12"/>
  <c r="AG115"/>
  <c r="Z47"/>
  <c r="AB47" s="1"/>
  <c r="AB61"/>
  <c r="AD64"/>
  <c r="AA84"/>
  <c r="AB78"/>
  <c r="AB82"/>
  <c r="AE84"/>
  <c r="AD87"/>
  <c r="AS87" s="1"/>
  <c r="Y104"/>
  <c r="AB98"/>
  <c r="AB102"/>
  <c r="AC104"/>
  <c r="AF104"/>
  <c r="AH104" s="1"/>
  <c r="AG257"/>
  <c r="AG241"/>
  <c r="AV241"/>
  <c r="AG155"/>
  <c r="AG83"/>
  <c r="AG45"/>
  <c r="AE24"/>
  <c r="AB39"/>
  <c r="AB11"/>
  <c r="K185"/>
  <c r="AF14"/>
  <c r="AH14" s="1"/>
  <c r="AD16"/>
  <c r="AF24"/>
  <c r="AH24" s="1"/>
  <c r="AB27"/>
  <c r="AB33"/>
  <c r="AB40"/>
  <c r="AF44"/>
  <c r="AH44" s="1"/>
  <c r="AA54"/>
  <c r="AB49"/>
  <c r="AB53"/>
  <c r="Z104"/>
  <c r="Z110"/>
  <c r="AA124"/>
  <c r="AB120"/>
  <c r="AE124"/>
  <c r="AB139"/>
  <c r="AA154"/>
  <c r="AB148"/>
  <c r="AB152"/>
  <c r="AE154"/>
  <c r="AD174"/>
  <c r="Y177"/>
  <c r="AC206"/>
  <c r="H267"/>
  <c r="L267"/>
  <c r="Q267"/>
  <c r="V267"/>
  <c r="AB208"/>
  <c r="Z236"/>
  <c r="AB229"/>
  <c r="AB233"/>
  <c r="AD236"/>
  <c r="AB239"/>
  <c r="AB243"/>
  <c r="AC246"/>
  <c r="Z256"/>
  <c r="AB249"/>
  <c r="AB253"/>
  <c r="AD256"/>
  <c r="AE256"/>
  <c r="AG225"/>
  <c r="AV225"/>
  <c r="AI197"/>
  <c r="AI196"/>
  <c r="AG131"/>
  <c r="AI125"/>
  <c r="AG51"/>
  <c r="AI45"/>
  <c r="AI43"/>
  <c r="AI42"/>
  <c r="AG19"/>
  <c r="AB18"/>
  <c r="AB38"/>
  <c r="AB42"/>
  <c r="AF124"/>
  <c r="AH124" s="1"/>
  <c r="AB137"/>
  <c r="AB150"/>
  <c r="AB204"/>
  <c r="AE216"/>
  <c r="AB220"/>
  <c r="AB224"/>
  <c r="AD246"/>
  <c r="AD266"/>
  <c r="AG237"/>
  <c r="AG151"/>
  <c r="AG135"/>
  <c r="AG99"/>
  <c r="AG98"/>
  <c r="AG61"/>
  <c r="AG46"/>
  <c r="AG36"/>
  <c r="AG35"/>
  <c r="AG29"/>
  <c r="AG25"/>
  <c r="AB19"/>
  <c r="AB23"/>
  <c r="AB43"/>
  <c r="AB91"/>
  <c r="AB108"/>
  <c r="AB112"/>
  <c r="AE114"/>
  <c r="AB138"/>
  <c r="AB151"/>
  <c r="AF164"/>
  <c r="AH164" s="1"/>
  <c r="AA174"/>
  <c r="AB168"/>
  <c r="AB172"/>
  <c r="AE174"/>
  <c r="AB180"/>
  <c r="T206"/>
  <c r="T267" s="1"/>
  <c r="AB205"/>
  <c r="AD216"/>
  <c r="Z222"/>
  <c r="AA236"/>
  <c r="AB232"/>
  <c r="AE236"/>
  <c r="AC266"/>
  <c r="AF266"/>
  <c r="AG8"/>
  <c r="AG217"/>
  <c r="AG183"/>
  <c r="AG175"/>
  <c r="AG165"/>
  <c r="AG95"/>
  <c r="AG75"/>
  <c r="AG41"/>
  <c r="AG21"/>
  <c r="AR178"/>
  <c r="AI178"/>
  <c r="AG219"/>
  <c r="AS219"/>
  <c r="AV219" s="1"/>
  <c r="G24"/>
  <c r="AC16"/>
  <c r="AG16" s="1"/>
  <c r="G34"/>
  <c r="AC34" s="1"/>
  <c r="AC26"/>
  <c r="N44"/>
  <c r="AD44" s="1"/>
  <c r="AD37"/>
  <c r="Z57"/>
  <c r="Z64" s="1"/>
  <c r="AD57"/>
  <c r="P94"/>
  <c r="AF94" s="1"/>
  <c r="AH94" s="1"/>
  <c r="AF87"/>
  <c r="AH87" s="1"/>
  <c r="AG110"/>
  <c r="AS110"/>
  <c r="AE66"/>
  <c r="AT13"/>
  <c r="AE73"/>
  <c r="AT73" s="1"/>
  <c r="AH12"/>
  <c r="AH193" s="1"/>
  <c r="AF72"/>
  <c r="AH11"/>
  <c r="AH192" s="1"/>
  <c r="AF71"/>
  <c r="AF70"/>
  <c r="AH10"/>
  <c r="AH191" s="1"/>
  <c r="AG9"/>
  <c r="AH9"/>
  <c r="AF69"/>
  <c r="AI8"/>
  <c r="AC68"/>
  <c r="AL58" s="1"/>
  <c r="AG264"/>
  <c r="AS264"/>
  <c r="AG263"/>
  <c r="AS263"/>
  <c r="AG258"/>
  <c r="AT258"/>
  <c r="AG248"/>
  <c r="AS248"/>
  <c r="AG242"/>
  <c r="AT242"/>
  <c r="AK246"/>
  <c r="AU238"/>
  <c r="AU246" s="1"/>
  <c r="AG232"/>
  <c r="AS232"/>
  <c r="AG231"/>
  <c r="AS231"/>
  <c r="AR226"/>
  <c r="AK209"/>
  <c r="AK208"/>
  <c r="AG202"/>
  <c r="AT202"/>
  <c r="AR179"/>
  <c r="AI179"/>
  <c r="AR176"/>
  <c r="AI176"/>
  <c r="AR171"/>
  <c r="AI171"/>
  <c r="AR170"/>
  <c r="AI170"/>
  <c r="AR169"/>
  <c r="AI169"/>
  <c r="AR168"/>
  <c r="AI168"/>
  <c r="T185"/>
  <c r="AB8"/>
  <c r="F185"/>
  <c r="AB13"/>
  <c r="I185"/>
  <c r="N24"/>
  <c r="AB29"/>
  <c r="AB31"/>
  <c r="AD34"/>
  <c r="AE44"/>
  <c r="AB51"/>
  <c r="AB59"/>
  <c r="AB10"/>
  <c r="D185"/>
  <c r="H185"/>
  <c r="H268" s="1"/>
  <c r="L185"/>
  <c r="L268" s="1"/>
  <c r="Q185"/>
  <c r="Q268" s="1"/>
  <c r="U185"/>
  <c r="AA24"/>
  <c r="AB22"/>
  <c r="AB30"/>
  <c r="AB32"/>
  <c r="AB48"/>
  <c r="AB52"/>
  <c r="AE54"/>
  <c r="N54"/>
  <c r="AD54" s="1"/>
  <c r="AB60"/>
  <c r="AE64"/>
  <c r="AB77"/>
  <c r="AB81"/>
  <c r="AB97"/>
  <c r="AB101"/>
  <c r="AD104"/>
  <c r="AA114"/>
  <c r="AB111"/>
  <c r="AB119"/>
  <c r="AB123"/>
  <c r="AB126"/>
  <c r="AB130"/>
  <c r="AC134"/>
  <c r="AF134"/>
  <c r="AH134" s="1"/>
  <c r="AB141"/>
  <c r="N144"/>
  <c r="AD144" s="1"/>
  <c r="AF154"/>
  <c r="AH154" s="1"/>
  <c r="AB158"/>
  <c r="AB162"/>
  <c r="AB167"/>
  <c r="AB171"/>
  <c r="AB179"/>
  <c r="AB183"/>
  <c r="AD184"/>
  <c r="AA184"/>
  <c r="M184"/>
  <c r="AC184" s="1"/>
  <c r="Z199"/>
  <c r="E267"/>
  <c r="I267"/>
  <c r="R267"/>
  <c r="W267"/>
  <c r="Z209"/>
  <c r="AB209" s="1"/>
  <c r="AB214"/>
  <c r="AA226"/>
  <c r="Z219"/>
  <c r="AB223"/>
  <c r="AB231"/>
  <c r="AB235"/>
  <c r="AB238"/>
  <c r="AB242"/>
  <c r="AA256"/>
  <c r="AB252"/>
  <c r="AB259"/>
  <c r="AB263"/>
  <c r="AE14"/>
  <c r="AG253"/>
  <c r="AV253"/>
  <c r="AG247"/>
  <c r="AG221"/>
  <c r="AV221"/>
  <c r="AG210"/>
  <c r="AT206"/>
  <c r="AG179"/>
  <c r="AC177"/>
  <c r="AI175"/>
  <c r="AG171"/>
  <c r="Z26"/>
  <c r="AD26"/>
  <c r="M64"/>
  <c r="AC64" s="1"/>
  <c r="AI64" s="1"/>
  <c r="AC57"/>
  <c r="AG90"/>
  <c r="AS90"/>
  <c r="Z140"/>
  <c r="AB140" s="1"/>
  <c r="AD140"/>
  <c r="AS140" s="1"/>
  <c r="AR156"/>
  <c r="AG13"/>
  <c r="AH13"/>
  <c r="AH194" s="1"/>
  <c r="AF73"/>
  <c r="AI12"/>
  <c r="AC72"/>
  <c r="AI11"/>
  <c r="AC71"/>
  <c r="AC70"/>
  <c r="AI10"/>
  <c r="AC69"/>
  <c r="AL39" s="1"/>
  <c r="AI9"/>
  <c r="AS8"/>
  <c r="AD68"/>
  <c r="AS68" s="1"/>
  <c r="AG262"/>
  <c r="AT262"/>
  <c r="AV262" s="1"/>
  <c r="AK266"/>
  <c r="AU258"/>
  <c r="AU266" s="1"/>
  <c r="AG252"/>
  <c r="AS252"/>
  <c r="AV252" s="1"/>
  <c r="AG251"/>
  <c r="AS251"/>
  <c r="AV251" s="1"/>
  <c r="AR246"/>
  <c r="AG235"/>
  <c r="AS235"/>
  <c r="AV235" s="1"/>
  <c r="AG230"/>
  <c r="AT230"/>
  <c r="AK236"/>
  <c r="AU228"/>
  <c r="AU236" s="1"/>
  <c r="AG220"/>
  <c r="AS220"/>
  <c r="AK202"/>
  <c r="AU202" s="1"/>
  <c r="AV202" s="1"/>
  <c r="AK200"/>
  <c r="AU200" s="1"/>
  <c r="AK201"/>
  <c r="AU201" s="1"/>
  <c r="AR183"/>
  <c r="AI183"/>
  <c r="AR182"/>
  <c r="AI182"/>
  <c r="AR181"/>
  <c r="AI181"/>
  <c r="AR180"/>
  <c r="AI180"/>
  <c r="AG178"/>
  <c r="AS178"/>
  <c r="AS167"/>
  <c r="AG167"/>
  <c r="AG166"/>
  <c r="AS166"/>
  <c r="Z87"/>
  <c r="Z114"/>
  <c r="P114"/>
  <c r="AF114" s="1"/>
  <c r="AH114" s="1"/>
  <c r="P226"/>
  <c r="AF226" s="1"/>
  <c r="AD177"/>
  <c r="E24"/>
  <c r="AD20"/>
  <c r="AG20" s="1"/>
  <c r="AA34"/>
  <c r="AE34"/>
  <c r="Y87"/>
  <c r="AC87"/>
  <c r="N114"/>
  <c r="AD107"/>
  <c r="AS107" s="1"/>
  <c r="M144"/>
  <c r="AC144" s="1"/>
  <c r="AC136"/>
  <c r="AI6"/>
  <c r="AC73"/>
  <c r="AI13"/>
  <c r="AS12"/>
  <c r="AD72"/>
  <c r="AS72" s="1"/>
  <c r="AG11"/>
  <c r="AD71"/>
  <c r="AM41" s="1"/>
  <c r="AS41" s="1"/>
  <c r="AD69"/>
  <c r="AM59" s="1"/>
  <c r="AS59" s="1"/>
  <c r="AT8"/>
  <c r="AE68"/>
  <c r="AT68" s="1"/>
  <c r="AE67"/>
  <c r="AN47" s="1"/>
  <c r="AT47" s="1"/>
  <c r="AR266"/>
  <c r="AG255"/>
  <c r="AS255"/>
  <c r="AV255" s="1"/>
  <c r="AG250"/>
  <c r="AT250"/>
  <c r="AV250" s="1"/>
  <c r="AK256"/>
  <c r="AU248"/>
  <c r="AU256" s="1"/>
  <c r="AG240"/>
  <c r="AS240"/>
  <c r="AV240" s="1"/>
  <c r="AG239"/>
  <c r="AS239"/>
  <c r="AV239" s="1"/>
  <c r="AG234"/>
  <c r="AT234"/>
  <c r="AV234" s="1"/>
  <c r="AR236"/>
  <c r="AG224"/>
  <c r="AS224"/>
  <c r="AV224" s="1"/>
  <c r="AG223"/>
  <c r="AS223"/>
  <c r="AV223" s="1"/>
  <c r="AG218"/>
  <c r="AT218"/>
  <c r="AL18"/>
  <c r="AP18" s="1"/>
  <c r="AG208"/>
  <c r="AR205"/>
  <c r="AI205"/>
  <c r="AR204"/>
  <c r="AI204"/>
  <c r="AR203"/>
  <c r="AI203"/>
  <c r="AG182"/>
  <c r="AS182"/>
  <c r="AG181"/>
  <c r="AS181"/>
  <c r="AG176"/>
  <c r="AT176"/>
  <c r="AG173"/>
  <c r="AS173"/>
  <c r="BC173" s="1"/>
  <c r="Z7"/>
  <c r="AB7" s="1"/>
  <c r="AC24"/>
  <c r="AB28"/>
  <c r="AF34"/>
  <c r="AH34" s="1"/>
  <c r="AB36"/>
  <c r="Z54"/>
  <c r="AB50"/>
  <c r="AC54"/>
  <c r="AF54"/>
  <c r="AH54" s="1"/>
  <c r="AA64"/>
  <c r="Z84"/>
  <c r="AB79"/>
  <c r="AB83"/>
  <c r="AD84"/>
  <c r="AB88"/>
  <c r="AB92"/>
  <c r="AE94"/>
  <c r="AB106"/>
  <c r="AB109"/>
  <c r="AB113"/>
  <c r="AD114"/>
  <c r="AB117"/>
  <c r="AB121"/>
  <c r="AD124"/>
  <c r="AA134"/>
  <c r="AB128"/>
  <c r="AB132"/>
  <c r="AE134"/>
  <c r="AF144"/>
  <c r="AH144" s="1"/>
  <c r="AA164"/>
  <c r="AE164"/>
  <c r="J164"/>
  <c r="AC164" s="1"/>
  <c r="Z174"/>
  <c r="AB169"/>
  <c r="AB173"/>
  <c r="AB181"/>
  <c r="Z198"/>
  <c r="AB210"/>
  <c r="AB218"/>
  <c r="AB221"/>
  <c r="AB225"/>
  <c r="AA246"/>
  <c r="AB240"/>
  <c r="AB244"/>
  <c r="Y256"/>
  <c r="AB256" s="1"/>
  <c r="Z266"/>
  <c r="AB261"/>
  <c r="AB265"/>
  <c r="AG6"/>
  <c r="AC14"/>
  <c r="AG261"/>
  <c r="AV261"/>
  <c r="AG245"/>
  <c r="AV245"/>
  <c r="AV242"/>
  <c r="AG229"/>
  <c r="AV229"/>
  <c r="AC212"/>
  <c r="AD209"/>
  <c r="AG207"/>
  <c r="AG205"/>
  <c r="AI47"/>
  <c r="G44"/>
  <c r="AC44" s="1"/>
  <c r="AC37"/>
  <c r="Y107"/>
  <c r="AB107" s="1"/>
  <c r="AC107"/>
  <c r="AA144"/>
  <c r="AE144"/>
  <c r="Z156"/>
  <c r="Z164" s="1"/>
  <c r="AD156"/>
  <c r="AS156" s="1"/>
  <c r="AF66"/>
  <c r="AO26" s="1"/>
  <c r="AH6"/>
  <c r="AH187" s="1"/>
  <c r="AS13"/>
  <c r="AD73"/>
  <c r="AS73" s="1"/>
  <c r="AT12"/>
  <c r="AE72"/>
  <c r="AT72" s="1"/>
  <c r="AT11"/>
  <c r="AE71"/>
  <c r="AT71" s="1"/>
  <c r="AG10"/>
  <c r="AT10"/>
  <c r="AE70"/>
  <c r="AT70" s="1"/>
  <c r="AT9"/>
  <c r="AE69"/>
  <c r="AT69" s="1"/>
  <c r="AH8"/>
  <c r="AH189" s="1"/>
  <c r="AF68"/>
  <c r="AH7"/>
  <c r="AH188" s="1"/>
  <c r="AF67"/>
  <c r="AO17" s="1"/>
  <c r="AG260"/>
  <c r="AS260"/>
  <c r="AV260" s="1"/>
  <c r="AG259"/>
  <c r="AS259"/>
  <c r="AV259" s="1"/>
  <c r="AG254"/>
  <c r="AT254"/>
  <c r="AV254" s="1"/>
  <c r="AR256"/>
  <c r="AG244"/>
  <c r="AS244"/>
  <c r="AV244" s="1"/>
  <c r="AG243"/>
  <c r="AS243"/>
  <c r="AV243" s="1"/>
  <c r="AG238"/>
  <c r="AT238"/>
  <c r="AT246" s="1"/>
  <c r="AG228"/>
  <c r="AS228"/>
  <c r="AS236" s="1"/>
  <c r="AG222"/>
  <c r="AT222"/>
  <c r="AV222" s="1"/>
  <c r="AK226"/>
  <c r="AU218"/>
  <c r="AU226" s="1"/>
  <c r="AM21"/>
  <c r="AS21" s="1"/>
  <c r="AM31"/>
  <c r="AS31" s="1"/>
  <c r="AG212"/>
  <c r="AG211"/>
  <c r="AM29"/>
  <c r="AS29" s="1"/>
  <c r="AM9"/>
  <c r="AM39"/>
  <c r="AS39" s="1"/>
  <c r="AN37"/>
  <c r="AT37" s="1"/>
  <c r="AN57"/>
  <c r="AT57" s="1"/>
  <c r="AN27"/>
  <c r="AT27" s="1"/>
  <c r="AN46"/>
  <c r="AT46" s="1"/>
  <c r="AN56"/>
  <c r="AT56" s="1"/>
  <c r="AN26"/>
  <c r="AN6"/>
  <c r="AN36"/>
  <c r="AN44" s="1"/>
  <c r="AN16"/>
  <c r="AG204"/>
  <c r="AS204"/>
  <c r="AG203"/>
  <c r="AS203"/>
  <c r="AS201"/>
  <c r="AG201"/>
  <c r="AG200"/>
  <c r="AS200"/>
  <c r="AG172"/>
  <c r="AT172"/>
  <c r="BD172" s="1"/>
  <c r="P185"/>
  <c r="AF185" s="1"/>
  <c r="AH185" s="1"/>
  <c r="AB12"/>
  <c r="AB9"/>
  <c r="E185"/>
  <c r="E268" s="1"/>
  <c r="R268"/>
  <c r="AB21"/>
  <c r="AB63"/>
  <c r="AF64"/>
  <c r="AH64" s="1"/>
  <c r="AB76"/>
  <c r="AB80"/>
  <c r="AC84"/>
  <c r="AI84" s="1"/>
  <c r="AF84"/>
  <c r="AH84" s="1"/>
  <c r="AA94"/>
  <c r="AB89"/>
  <c r="Z90"/>
  <c r="AB90" s="1"/>
  <c r="AB93"/>
  <c r="N94"/>
  <c r="AD94" s="1"/>
  <c r="AA104"/>
  <c r="AB100"/>
  <c r="AE104"/>
  <c r="AG104" s="1"/>
  <c r="AB110"/>
  <c r="Y124"/>
  <c r="AB124" s="1"/>
  <c r="AB118"/>
  <c r="AB122"/>
  <c r="AC124"/>
  <c r="AI124" s="1"/>
  <c r="Z134"/>
  <c r="AB129"/>
  <c r="AB133"/>
  <c r="AD134"/>
  <c r="AG134" s="1"/>
  <c r="Y136"/>
  <c r="AC154"/>
  <c r="AB157"/>
  <c r="AB161"/>
  <c r="N164"/>
  <c r="AD164" s="1"/>
  <c r="AB166"/>
  <c r="AB170"/>
  <c r="AC174"/>
  <c r="AI174" s="1"/>
  <c r="AB176"/>
  <c r="AB178"/>
  <c r="AB182"/>
  <c r="X267"/>
  <c r="X268" s="1"/>
  <c r="AA216"/>
  <c r="N226"/>
  <c r="AD226" s="1"/>
  <c r="Y219"/>
  <c r="AB219" s="1"/>
  <c r="AB222"/>
  <c r="Y236"/>
  <c r="AB230"/>
  <c r="AB234"/>
  <c r="Z246"/>
  <c r="AB241"/>
  <c r="AB245"/>
  <c r="AB251"/>
  <c r="AB255"/>
  <c r="AB258"/>
  <c r="AB262"/>
  <c r="AG265"/>
  <c r="AV265"/>
  <c r="AV264"/>
  <c r="AV263"/>
  <c r="AG249"/>
  <c r="AV249"/>
  <c r="AG233"/>
  <c r="AV233"/>
  <c r="AV232"/>
  <c r="AV231"/>
  <c r="AV230"/>
  <c r="AG227"/>
  <c r="AC214"/>
  <c r="AD199"/>
  <c r="AG199" s="1"/>
  <c r="AD198"/>
  <c r="AG180"/>
  <c r="AT180"/>
  <c r="AG170"/>
  <c r="AS170"/>
  <c r="AG169"/>
  <c r="AS169"/>
  <c r="AG150"/>
  <c r="AS150"/>
  <c r="AG149"/>
  <c r="AS149"/>
  <c r="AG147"/>
  <c r="AS147"/>
  <c r="AG146"/>
  <c r="AS146"/>
  <c r="AG140"/>
  <c r="AT140"/>
  <c r="AG130"/>
  <c r="AS130"/>
  <c r="AG129"/>
  <c r="AS129"/>
  <c r="AG113"/>
  <c r="AS113"/>
  <c r="BC113" s="1"/>
  <c r="AG108"/>
  <c r="AT108"/>
  <c r="BD108" s="1"/>
  <c r="AG97"/>
  <c r="AS97"/>
  <c r="AG92"/>
  <c r="AT92"/>
  <c r="BD92" s="1"/>
  <c r="AG82"/>
  <c r="AS82"/>
  <c r="AG81"/>
  <c r="AS81"/>
  <c r="AG76"/>
  <c r="AT76"/>
  <c r="AG50"/>
  <c r="AT50"/>
  <c r="AG23"/>
  <c r="AS23"/>
  <c r="BC23" s="1"/>
  <c r="AG18"/>
  <c r="AT18"/>
  <c r="BD18" s="1"/>
  <c r="AV201"/>
  <c r="AR206"/>
  <c r="AG196"/>
  <c r="AG159"/>
  <c r="AG145"/>
  <c r="AG119"/>
  <c r="AG103"/>
  <c r="AG56"/>
  <c r="AG55"/>
  <c r="AG40"/>
  <c r="AG39"/>
  <c r="AI166"/>
  <c r="AI162"/>
  <c r="AI158"/>
  <c r="AI153"/>
  <c r="AI149"/>
  <c r="AI143"/>
  <c r="AI139"/>
  <c r="AI131"/>
  <c r="AI127"/>
  <c r="AI123"/>
  <c r="AI119"/>
  <c r="AI111"/>
  <c r="AI103"/>
  <c r="AI99"/>
  <c r="AI91"/>
  <c r="AI83"/>
  <c r="AI79"/>
  <c r="AI53"/>
  <c r="AI49"/>
  <c r="AI41"/>
  <c r="Z67"/>
  <c r="N74"/>
  <c r="AG168"/>
  <c r="AT168"/>
  <c r="AG158"/>
  <c r="AS158"/>
  <c r="AG157"/>
  <c r="AS157"/>
  <c r="AG153"/>
  <c r="AS153"/>
  <c r="BC153" s="1"/>
  <c r="AG148"/>
  <c r="AT148"/>
  <c r="BD148" s="1"/>
  <c r="AG133"/>
  <c r="AS133"/>
  <c r="BC133" s="1"/>
  <c r="AG128"/>
  <c r="AT128"/>
  <c r="BD128" s="1"/>
  <c r="AG118"/>
  <c r="AS118"/>
  <c r="AG117"/>
  <c r="AS117"/>
  <c r="AG112"/>
  <c r="AT112"/>
  <c r="BD112" s="1"/>
  <c r="AG102"/>
  <c r="AS102"/>
  <c r="AG101"/>
  <c r="AS101"/>
  <c r="AG96"/>
  <c r="AT96"/>
  <c r="AG86"/>
  <c r="AS86"/>
  <c r="AG80"/>
  <c r="AT80"/>
  <c r="AG43"/>
  <c r="AS43"/>
  <c r="BC43" s="1"/>
  <c r="AG38"/>
  <c r="AT38"/>
  <c r="BD38" s="1"/>
  <c r="AG28"/>
  <c r="AS28"/>
  <c r="AG22"/>
  <c r="AT22"/>
  <c r="BD22" s="1"/>
  <c r="AG163"/>
  <c r="AG139"/>
  <c r="AG123"/>
  <c r="AG91"/>
  <c r="AG85"/>
  <c r="AG60"/>
  <c r="AG59"/>
  <c r="AG49"/>
  <c r="AG33"/>
  <c r="AG27"/>
  <c r="AI167"/>
  <c r="AI163"/>
  <c r="AI159"/>
  <c r="AI150"/>
  <c r="AI140"/>
  <c r="AI132"/>
  <c r="AI128"/>
  <c r="AI120"/>
  <c r="AI116"/>
  <c r="AI112"/>
  <c r="AI108"/>
  <c r="AI100"/>
  <c r="AI96"/>
  <c r="AI92"/>
  <c r="AI88"/>
  <c r="AI80"/>
  <c r="AI76"/>
  <c r="AJ76" s="1"/>
  <c r="AI46"/>
  <c r="Y67"/>
  <c r="Y74" s="1"/>
  <c r="M74"/>
  <c r="AG162"/>
  <c r="AS162"/>
  <c r="AG161"/>
  <c r="AS161"/>
  <c r="AG156"/>
  <c r="AT156"/>
  <c r="AG152"/>
  <c r="AT152"/>
  <c r="BD152" s="1"/>
  <c r="AG138"/>
  <c r="AS138"/>
  <c r="AG137"/>
  <c r="AS137"/>
  <c r="AG132"/>
  <c r="AT132"/>
  <c r="BD132" s="1"/>
  <c r="AG122"/>
  <c r="AS122"/>
  <c r="AG121"/>
  <c r="AS121"/>
  <c r="AG116"/>
  <c r="AT116"/>
  <c r="AG106"/>
  <c r="AS106"/>
  <c r="AG100"/>
  <c r="AT100"/>
  <c r="AG89"/>
  <c r="AS89"/>
  <c r="AG63"/>
  <c r="AS63"/>
  <c r="BC63" s="1"/>
  <c r="AG58"/>
  <c r="AT58"/>
  <c r="BD58" s="1"/>
  <c r="AG48"/>
  <c r="AS48"/>
  <c r="AG42"/>
  <c r="AT42"/>
  <c r="BD42" s="1"/>
  <c r="AG32"/>
  <c r="AS32"/>
  <c r="AR174"/>
  <c r="AG143"/>
  <c r="AG127"/>
  <c r="AR134"/>
  <c r="AG111"/>
  <c r="AG105"/>
  <c r="AG79"/>
  <c r="AR84"/>
  <c r="AG53"/>
  <c r="AG31"/>
  <c r="AG26"/>
  <c r="AR18"/>
  <c r="AG15"/>
  <c r="AI172"/>
  <c r="AI160"/>
  <c r="AI151"/>
  <c r="AI141"/>
  <c r="AI137"/>
  <c r="AI133"/>
  <c r="AI129"/>
  <c r="AI121"/>
  <c r="AI117"/>
  <c r="AI113"/>
  <c r="AI109"/>
  <c r="AI101"/>
  <c r="AI97"/>
  <c r="AI93"/>
  <c r="AI89"/>
  <c r="AI81"/>
  <c r="AI77"/>
  <c r="AA74"/>
  <c r="AR124"/>
  <c r="AG160"/>
  <c r="AT160"/>
  <c r="AG142"/>
  <c r="AS142"/>
  <c r="AG141"/>
  <c r="AS141"/>
  <c r="AG136"/>
  <c r="AT136"/>
  <c r="AG126"/>
  <c r="AS126"/>
  <c r="AG120"/>
  <c r="AT120"/>
  <c r="AG109"/>
  <c r="AS109"/>
  <c r="AG93"/>
  <c r="AS93"/>
  <c r="BC93" s="1"/>
  <c r="AG88"/>
  <c r="AT88"/>
  <c r="BD88" s="1"/>
  <c r="AG78"/>
  <c r="AS78"/>
  <c r="AG77"/>
  <c r="AS77"/>
  <c r="AG62"/>
  <c r="AT62"/>
  <c r="BD62" s="1"/>
  <c r="AG52"/>
  <c r="AS52"/>
  <c r="AG30"/>
  <c r="AT30"/>
  <c r="AR154"/>
  <c r="AR104"/>
  <c r="AT16"/>
  <c r="AH99"/>
  <c r="AI173"/>
  <c r="AJ173" s="1"/>
  <c r="AK173" s="1"/>
  <c r="AU173" s="1"/>
  <c r="AI161"/>
  <c r="AI157"/>
  <c r="AI152"/>
  <c r="AI148"/>
  <c r="AI142"/>
  <c r="AI138"/>
  <c r="AI130"/>
  <c r="AI126"/>
  <c r="AI122"/>
  <c r="AI118"/>
  <c r="AJ118" s="1"/>
  <c r="AK118" s="1"/>
  <c r="AU118" s="1"/>
  <c r="AI110"/>
  <c r="AI106"/>
  <c r="AI102"/>
  <c r="AI98"/>
  <c r="AI90"/>
  <c r="AI86"/>
  <c r="AI82"/>
  <c r="AI78"/>
  <c r="AJ78" s="1"/>
  <c r="AK78" s="1"/>
  <c r="AU78" s="1"/>
  <c r="AI60"/>
  <c r="AI56"/>
  <c r="AI36"/>
  <c r="Z74"/>
  <c r="AB146"/>
  <c r="AD154"/>
  <c r="AI146"/>
  <c r="AI147"/>
  <c r="L12" i="19"/>
  <c r="L20"/>
  <c r="AA206" i="44"/>
  <c r="AA267" s="1"/>
  <c r="AE206"/>
  <c r="Z26" i="12"/>
  <c r="Z33" s="1"/>
  <c r="Z34" s="1"/>
  <c r="Z47" s="1"/>
  <c r="W33"/>
  <c r="W24"/>
  <c r="W34" s="1"/>
  <c r="W47" s="1"/>
  <c r="X46"/>
  <c r="X34"/>
  <c r="AG198" i="44"/>
  <c r="AB199"/>
  <c r="Y206"/>
  <c r="AF206"/>
  <c r="Y24"/>
  <c r="Z206"/>
  <c r="Z216"/>
  <c r="AB236"/>
  <c r="Y34"/>
  <c r="Z34"/>
  <c r="Z144"/>
  <c r="W185"/>
  <c r="W268" s="1"/>
  <c r="G185"/>
  <c r="G268" s="1"/>
  <c r="AB104"/>
  <c r="Y184"/>
  <c r="Z184"/>
  <c r="Z16"/>
  <c r="Y26"/>
  <c r="AB26" s="1"/>
  <c r="Z37"/>
  <c r="Z44" s="1"/>
  <c r="AB46"/>
  <c r="Y57"/>
  <c r="AB57" s="1"/>
  <c r="Z136"/>
  <c r="AB136" s="1"/>
  <c r="Z147"/>
  <c r="AB147" s="1"/>
  <c r="Y154"/>
  <c r="Y156"/>
  <c r="AB198"/>
  <c r="Y212"/>
  <c r="AB212" s="1"/>
  <c r="D213"/>
  <c r="AC213" s="1"/>
  <c r="AA14"/>
  <c r="AA185" s="1"/>
  <c r="Y16"/>
  <c r="Y37"/>
  <c r="Y54"/>
  <c r="AB56"/>
  <c r="Y84"/>
  <c r="AB84" s="1"/>
  <c r="AB86"/>
  <c r="M94"/>
  <c r="AB96"/>
  <c r="M114"/>
  <c r="AC114" s="1"/>
  <c r="AI114" s="1"/>
  <c r="Y114"/>
  <c r="AB114" s="1"/>
  <c r="AB116"/>
  <c r="Y134"/>
  <c r="AB134" s="1"/>
  <c r="Y174"/>
  <c r="AB174" s="1"/>
  <c r="Y211"/>
  <c r="AB211" s="1"/>
  <c r="M226"/>
  <c r="M267" s="1"/>
  <c r="Y226"/>
  <c r="AB228"/>
  <c r="Y246"/>
  <c r="AB246" s="1"/>
  <c r="AB248"/>
  <c r="Y266"/>
  <c r="AB266" s="1"/>
  <c r="N14"/>
  <c r="AD14" s="1"/>
  <c r="Z177"/>
  <c r="AB177" s="1"/>
  <c r="Y14"/>
  <c r="Z20"/>
  <c r="AB20" s="1"/>
  <c r="I15" i="4"/>
  <c r="O27" i="8"/>
  <c r="O28"/>
  <c r="O29"/>
  <c r="O30"/>
  <c r="O31"/>
  <c r="O32"/>
  <c r="O33"/>
  <c r="O34"/>
  <c r="O35"/>
  <c r="O36"/>
  <c r="O37"/>
  <c r="P29"/>
  <c r="J11" i="5"/>
  <c r="K11"/>
  <c r="L11"/>
  <c r="M11"/>
  <c r="O11"/>
  <c r="S11" s="1"/>
  <c r="J12"/>
  <c r="K12"/>
  <c r="L12"/>
  <c r="M12"/>
  <c r="O12"/>
  <c r="S12" s="1"/>
  <c r="J14"/>
  <c r="K14"/>
  <c r="L14"/>
  <c r="M14"/>
  <c r="O14"/>
  <c r="S14" s="1"/>
  <c r="J17"/>
  <c r="K17"/>
  <c r="L17"/>
  <c r="M17"/>
  <c r="O17"/>
  <c r="S17" s="1"/>
  <c r="J19"/>
  <c r="K19"/>
  <c r="L19"/>
  <c r="M19"/>
  <c r="O19"/>
  <c r="S19" s="1"/>
  <c r="J20"/>
  <c r="K20"/>
  <c r="L20"/>
  <c r="M20"/>
  <c r="O20"/>
  <c r="S20" s="1"/>
  <c r="J21"/>
  <c r="K21"/>
  <c r="L21"/>
  <c r="M21"/>
  <c r="O21"/>
  <c r="S21" s="1"/>
  <c r="J22"/>
  <c r="K22"/>
  <c r="L22"/>
  <c r="M22"/>
  <c r="O22"/>
  <c r="S22" s="1"/>
  <c r="J23"/>
  <c r="K23"/>
  <c r="L23"/>
  <c r="M23"/>
  <c r="O23"/>
  <c r="S23" s="1"/>
  <c r="J24"/>
  <c r="K24"/>
  <c r="L24"/>
  <c r="M24"/>
  <c r="O24"/>
  <c r="S24" s="1"/>
  <c r="J25"/>
  <c r="K25"/>
  <c r="J26"/>
  <c r="K26"/>
  <c r="L26"/>
  <c r="M26"/>
  <c r="O26"/>
  <c r="S26" s="1"/>
  <c r="J27"/>
  <c r="K27"/>
  <c r="L27"/>
  <c r="M27"/>
  <c r="O27"/>
  <c r="S27" s="1"/>
  <c r="J28"/>
  <c r="K28"/>
  <c r="L28"/>
  <c r="M28"/>
  <c r="O28"/>
  <c r="S28" s="1"/>
  <c r="J29"/>
  <c r="K29"/>
  <c r="L29"/>
  <c r="M29"/>
  <c r="O29"/>
  <c r="S29" s="1"/>
  <c r="J30"/>
  <c r="K30"/>
  <c r="L30"/>
  <c r="M30"/>
  <c r="O30"/>
  <c r="S30" s="1"/>
  <c r="J32"/>
  <c r="K32"/>
  <c r="L32"/>
  <c r="M32"/>
  <c r="J27" i="8"/>
  <c r="K27"/>
  <c r="L27"/>
  <c r="M27"/>
  <c r="J28"/>
  <c r="K28"/>
  <c r="L28"/>
  <c r="M28"/>
  <c r="J29"/>
  <c r="K29"/>
  <c r="L29"/>
  <c r="M29"/>
  <c r="J30"/>
  <c r="K30"/>
  <c r="L30"/>
  <c r="M30"/>
  <c r="J31"/>
  <c r="K31"/>
  <c r="L31"/>
  <c r="M31"/>
  <c r="J32"/>
  <c r="K32"/>
  <c r="L32"/>
  <c r="M32"/>
  <c r="J33"/>
  <c r="K33"/>
  <c r="L33"/>
  <c r="M33"/>
  <c r="J34"/>
  <c r="K34"/>
  <c r="L34"/>
  <c r="M34"/>
  <c r="J35"/>
  <c r="K35"/>
  <c r="L35"/>
  <c r="M35"/>
  <c r="J36"/>
  <c r="K36"/>
  <c r="L36"/>
  <c r="M36"/>
  <c r="J37"/>
  <c r="K37"/>
  <c r="L37"/>
  <c r="M37"/>
  <c r="J8"/>
  <c r="K8"/>
  <c r="L8"/>
  <c r="M8"/>
  <c r="O8"/>
  <c r="J9"/>
  <c r="K9"/>
  <c r="L9"/>
  <c r="M9"/>
  <c r="O9"/>
  <c r="J10"/>
  <c r="K10"/>
  <c r="L10"/>
  <c r="M10"/>
  <c r="O10"/>
  <c r="J11"/>
  <c r="K11"/>
  <c r="L11"/>
  <c r="M11"/>
  <c r="O11"/>
  <c r="J12"/>
  <c r="K12"/>
  <c r="L12"/>
  <c r="M12"/>
  <c r="O12"/>
  <c r="J13"/>
  <c r="K13"/>
  <c r="L13"/>
  <c r="O13"/>
  <c r="J14"/>
  <c r="K14"/>
  <c r="L14"/>
  <c r="M14"/>
  <c r="O14"/>
  <c r="J15"/>
  <c r="K15"/>
  <c r="L15"/>
  <c r="M15"/>
  <c r="O15"/>
  <c r="J16"/>
  <c r="K16"/>
  <c r="L16"/>
  <c r="M16"/>
  <c r="O16"/>
  <c r="J17"/>
  <c r="K17"/>
  <c r="L17"/>
  <c r="M17"/>
  <c r="O17"/>
  <c r="Q17" s="1"/>
  <c r="J18"/>
  <c r="K18"/>
  <c r="L18"/>
  <c r="M18"/>
  <c r="O18"/>
  <c r="J19"/>
  <c r="K19"/>
  <c r="L19"/>
  <c r="M19"/>
  <c r="O19"/>
  <c r="J20"/>
  <c r="K20"/>
  <c r="L20"/>
  <c r="M20"/>
  <c r="O20"/>
  <c r="J21"/>
  <c r="K21"/>
  <c r="L21"/>
  <c r="M21"/>
  <c r="O21"/>
  <c r="K7"/>
  <c r="L7"/>
  <c r="M7"/>
  <c r="O7"/>
  <c r="J7"/>
  <c r="G22" i="3"/>
  <c r="O25" i="5" s="1"/>
  <c r="S25" s="1"/>
  <c r="L25"/>
  <c r="M25"/>
  <c r="G15" i="3"/>
  <c r="O18" i="5" s="1"/>
  <c r="S18" s="1"/>
  <c r="K18"/>
  <c r="L18"/>
  <c r="J18"/>
  <c r="G13" i="3"/>
  <c r="K16" i="5"/>
  <c r="L16"/>
  <c r="M16"/>
  <c r="J15"/>
  <c r="L12" i="10"/>
  <c r="L13"/>
  <c r="L15"/>
  <c r="L24"/>
  <c r="L26"/>
  <c r="L27"/>
  <c r="L28"/>
  <c r="L31"/>
  <c r="L33"/>
  <c r="L37"/>
  <c r="L41"/>
  <c r="L43"/>
  <c r="G10" i="3"/>
  <c r="O13" i="5" s="1"/>
  <c r="S13" s="1"/>
  <c r="K13"/>
  <c r="L13"/>
  <c r="M13"/>
  <c r="N13"/>
  <c r="R13" s="1"/>
  <c r="G7" i="3"/>
  <c r="K10" i="5"/>
  <c r="M10"/>
  <c r="F11" i="3"/>
  <c r="N14" i="5" s="1"/>
  <c r="R14" s="1"/>
  <c r="F9" i="3"/>
  <c r="N12" i="5" s="1"/>
  <c r="R12" s="1"/>
  <c r="F8" i="3"/>
  <c r="I8" s="1"/>
  <c r="I13"/>
  <c r="F14"/>
  <c r="N17" i="5" s="1"/>
  <c r="F16" i="3"/>
  <c r="I16" s="1"/>
  <c r="F17"/>
  <c r="I17" s="1"/>
  <c r="I18"/>
  <c r="F19"/>
  <c r="I19" s="1"/>
  <c r="F20"/>
  <c r="I20" s="1"/>
  <c r="F21"/>
  <c r="I21" s="1"/>
  <c r="F23"/>
  <c r="I23" s="1"/>
  <c r="F24"/>
  <c r="I24" s="1"/>
  <c r="F25"/>
  <c r="I25" s="1"/>
  <c r="N29" i="5"/>
  <c r="R29" s="1"/>
  <c r="K37" i="40"/>
  <c r="K11"/>
  <c r="K7"/>
  <c r="K26"/>
  <c r="V44"/>
  <c r="T44"/>
  <c r="U44" s="1"/>
  <c r="K44"/>
  <c r="S43"/>
  <c r="R43"/>
  <c r="Q43"/>
  <c r="P43"/>
  <c r="O43"/>
  <c r="N43"/>
  <c r="D43"/>
  <c r="V42"/>
  <c r="T42"/>
  <c r="U42" s="1"/>
  <c r="K42"/>
  <c r="S41"/>
  <c r="R41"/>
  <c r="Q41"/>
  <c r="P41"/>
  <c r="O41"/>
  <c r="N41"/>
  <c r="D41"/>
  <c r="V40"/>
  <c r="T40"/>
  <c r="U40" s="1"/>
  <c r="S39"/>
  <c r="R39"/>
  <c r="Q39"/>
  <c r="P39"/>
  <c r="O39"/>
  <c r="N39"/>
  <c r="V37"/>
  <c r="T37"/>
  <c r="U37" s="1"/>
  <c r="S36"/>
  <c r="S35" s="1"/>
  <c r="R36"/>
  <c r="Q36"/>
  <c r="Q35" s="1"/>
  <c r="P36"/>
  <c r="P35" s="1"/>
  <c r="O36"/>
  <c r="O35" s="1"/>
  <c r="N36"/>
  <c r="N35" s="1"/>
  <c r="D36"/>
  <c r="D35" s="1"/>
  <c r="V33"/>
  <c r="T33"/>
  <c r="U33" s="1"/>
  <c r="K33"/>
  <c r="S32"/>
  <c r="R32"/>
  <c r="Q32"/>
  <c r="P32"/>
  <c r="O32"/>
  <c r="N32"/>
  <c r="V31"/>
  <c r="T31"/>
  <c r="U31" s="1"/>
  <c r="K31"/>
  <c r="S30"/>
  <c r="R30"/>
  <c r="Q30"/>
  <c r="P30"/>
  <c r="O30"/>
  <c r="N30"/>
  <c r="V28"/>
  <c r="T28"/>
  <c r="U28" s="1"/>
  <c r="K28"/>
  <c r="V27"/>
  <c r="T27"/>
  <c r="U27" s="1"/>
  <c r="K27"/>
  <c r="V26"/>
  <c r="T26"/>
  <c r="U26" s="1"/>
  <c r="S25"/>
  <c r="R25"/>
  <c r="Q25"/>
  <c r="P25"/>
  <c r="O25"/>
  <c r="N25"/>
  <c r="V24"/>
  <c r="T24"/>
  <c r="U24" s="1"/>
  <c r="K24"/>
  <c r="S23"/>
  <c r="R23"/>
  <c r="Q23"/>
  <c r="P23"/>
  <c r="O23"/>
  <c r="N23"/>
  <c r="V22"/>
  <c r="T22"/>
  <c r="U22" s="1"/>
  <c r="S21"/>
  <c r="S20" s="1"/>
  <c r="R21"/>
  <c r="R20" s="1"/>
  <c r="Q21"/>
  <c r="Q20" s="1"/>
  <c r="P21"/>
  <c r="P20" s="1"/>
  <c r="O20"/>
  <c r="N20"/>
  <c r="V19"/>
  <c r="T19"/>
  <c r="U19" s="1"/>
  <c r="V18"/>
  <c r="T18"/>
  <c r="U18" s="1"/>
  <c r="K18"/>
  <c r="S17"/>
  <c r="R17"/>
  <c r="Q17"/>
  <c r="P17"/>
  <c r="O17"/>
  <c r="N17"/>
  <c r="V15"/>
  <c r="T15"/>
  <c r="U15" s="1"/>
  <c r="K15"/>
  <c r="S14"/>
  <c r="R14"/>
  <c r="Q14"/>
  <c r="P14"/>
  <c r="O14"/>
  <c r="N14"/>
  <c r="E14"/>
  <c r="V13"/>
  <c r="T13"/>
  <c r="U13" s="1"/>
  <c r="K13"/>
  <c r="V12"/>
  <c r="T12"/>
  <c r="U12" s="1"/>
  <c r="K12"/>
  <c r="V11"/>
  <c r="T11"/>
  <c r="U11" s="1"/>
  <c r="S10"/>
  <c r="R10"/>
  <c r="Q10"/>
  <c r="P10"/>
  <c r="O10"/>
  <c r="N10"/>
  <c r="E10"/>
  <c r="V7"/>
  <c r="T7"/>
  <c r="U7" s="1"/>
  <c r="S6"/>
  <c r="S5" s="1"/>
  <c r="S4" s="1"/>
  <c r="R6"/>
  <c r="R5" s="1"/>
  <c r="R4" s="1"/>
  <c r="Q6"/>
  <c r="Q5" s="1"/>
  <c r="Q4" s="1"/>
  <c r="P6"/>
  <c r="P5" s="1"/>
  <c r="P4" s="1"/>
  <c r="O6"/>
  <c r="O5" s="1"/>
  <c r="O4" s="1"/>
  <c r="N6"/>
  <c r="N5" s="1"/>
  <c r="N4" s="1"/>
  <c r="E6"/>
  <c r="D6"/>
  <c r="D5" s="1"/>
  <c r="D4" s="1"/>
  <c r="F20" i="4"/>
  <c r="F19"/>
  <c r="N21" i="8" s="1"/>
  <c r="K15" i="10"/>
  <c r="K18"/>
  <c r="K24"/>
  <c r="K26"/>
  <c r="K27"/>
  <c r="K31"/>
  <c r="K33"/>
  <c r="K40"/>
  <c r="K41"/>
  <c r="K43"/>
  <c r="K12"/>
  <c r="K13"/>
  <c r="I3" i="39"/>
  <c r="Q21" i="8" l="1"/>
  <c r="J38"/>
  <c r="G12" i="3"/>
  <c r="O15" i="5" s="1"/>
  <c r="S15" s="1"/>
  <c r="G6" i="3"/>
  <c r="O9" i="5" s="1"/>
  <c r="S9" s="1"/>
  <c r="H8" i="10"/>
  <c r="J16"/>
  <c r="G45"/>
  <c r="K28"/>
  <c r="T39" i="40"/>
  <c r="AV200" i="44"/>
  <c r="AN17"/>
  <c r="AT17" s="1"/>
  <c r="AM51"/>
  <c r="AS51" s="1"/>
  <c r="AC67"/>
  <c r="AL48"/>
  <c r="AG281"/>
  <c r="AJ119"/>
  <c r="AK119" s="1"/>
  <c r="AU119" s="1"/>
  <c r="AM49"/>
  <c r="AS49" s="1"/>
  <c r="AI104"/>
  <c r="AG280"/>
  <c r="AG279"/>
  <c r="AJ77"/>
  <c r="AK77" s="1"/>
  <c r="AU77" s="1"/>
  <c r="AV77" s="1"/>
  <c r="AI54"/>
  <c r="AJ50" s="1"/>
  <c r="AK50" s="1"/>
  <c r="AU50" s="1"/>
  <c r="AD187"/>
  <c r="AG154"/>
  <c r="AJ82"/>
  <c r="AK82" s="1"/>
  <c r="AU82" s="1"/>
  <c r="AJ79"/>
  <c r="AK79" s="1"/>
  <c r="AU79" s="1"/>
  <c r="AV79" s="1"/>
  <c r="O268"/>
  <c r="BD9"/>
  <c r="AT190"/>
  <c r="AG276"/>
  <c r="AG278"/>
  <c r="AC282"/>
  <c r="AN34"/>
  <c r="AI192"/>
  <c r="AI189"/>
  <c r="AF188"/>
  <c r="AF195" s="1"/>
  <c r="AC188"/>
  <c r="AT144"/>
  <c r="AT6"/>
  <c r="AN187"/>
  <c r="BD12"/>
  <c r="AT193"/>
  <c r="BD13"/>
  <c r="AT194"/>
  <c r="AI194"/>
  <c r="AI190"/>
  <c r="AH195"/>
  <c r="AV119"/>
  <c r="AS199"/>
  <c r="AD275"/>
  <c r="AT191"/>
  <c r="AY110" s="1"/>
  <c r="AS193"/>
  <c r="AX152" s="1"/>
  <c r="BC152" s="1"/>
  <c r="AS189"/>
  <c r="AX148" s="1"/>
  <c r="BC148" s="1"/>
  <c r="AF282"/>
  <c r="AG277"/>
  <c r="AE282"/>
  <c r="AY130"/>
  <c r="AY90"/>
  <c r="BD90" s="1"/>
  <c r="AY10"/>
  <c r="AI193"/>
  <c r="AH190"/>
  <c r="AD66"/>
  <c r="AM46" s="1"/>
  <c r="AV173"/>
  <c r="AT174"/>
  <c r="BD168"/>
  <c r="AS198"/>
  <c r="AD274"/>
  <c r="AG274" s="1"/>
  <c r="AS9"/>
  <c r="BD11"/>
  <c r="AT192"/>
  <c r="BC13"/>
  <c r="AS194"/>
  <c r="BD8"/>
  <c r="AT189"/>
  <c r="AG7"/>
  <c r="AD188"/>
  <c r="AC187"/>
  <c r="AD191"/>
  <c r="AG191" s="1"/>
  <c r="AJ61"/>
  <c r="AK61" s="1"/>
  <c r="AU61" s="1"/>
  <c r="AJ62"/>
  <c r="AK62" s="1"/>
  <c r="AU62" s="1"/>
  <c r="AJ63"/>
  <c r="AK63" s="1"/>
  <c r="AU63" s="1"/>
  <c r="AJ58"/>
  <c r="AK58" s="1"/>
  <c r="AU58" s="1"/>
  <c r="AJ59"/>
  <c r="AK59" s="1"/>
  <c r="AU59" s="1"/>
  <c r="AM6"/>
  <c r="AJ98"/>
  <c r="AK98" s="1"/>
  <c r="AU98" s="1"/>
  <c r="AB54"/>
  <c r="AJ60"/>
  <c r="AK60" s="1"/>
  <c r="AU60" s="1"/>
  <c r="AJ81"/>
  <c r="AK81" s="1"/>
  <c r="AU81" s="1"/>
  <c r="AJ101"/>
  <c r="AK101" s="1"/>
  <c r="AU101" s="1"/>
  <c r="AJ121"/>
  <c r="AK121" s="1"/>
  <c r="AU121" s="1"/>
  <c r="AI199"/>
  <c r="AJ80"/>
  <c r="AK80" s="1"/>
  <c r="AU80" s="1"/>
  <c r="AJ100"/>
  <c r="AK100" s="1"/>
  <c r="AU100" s="1"/>
  <c r="AJ120"/>
  <c r="AK120" s="1"/>
  <c r="AU120" s="1"/>
  <c r="AV120" s="1"/>
  <c r="AI198"/>
  <c r="AJ83"/>
  <c r="AK83" s="1"/>
  <c r="AU83" s="1"/>
  <c r="AE267"/>
  <c r="AN64"/>
  <c r="AN7"/>
  <c r="AM19"/>
  <c r="AS19" s="1"/>
  <c r="AM11"/>
  <c r="AL38"/>
  <c r="AD24"/>
  <c r="AI24" s="1"/>
  <c r="Z226"/>
  <c r="Z267" s="1"/>
  <c r="U268"/>
  <c r="AI7"/>
  <c r="AJ56"/>
  <c r="AJ97"/>
  <c r="AK97" s="1"/>
  <c r="AU97" s="1"/>
  <c r="AJ117"/>
  <c r="AK117" s="1"/>
  <c r="AU117" s="1"/>
  <c r="AJ96"/>
  <c r="AK96" s="1"/>
  <c r="AJ103"/>
  <c r="AK103" s="1"/>
  <c r="AU103" s="1"/>
  <c r="AL28"/>
  <c r="AD206"/>
  <c r="S268"/>
  <c r="AV82"/>
  <c r="AJ102"/>
  <c r="AK102" s="1"/>
  <c r="AU102" s="1"/>
  <c r="AV102" s="1"/>
  <c r="AJ122"/>
  <c r="AK122" s="1"/>
  <c r="AU122" s="1"/>
  <c r="AJ99"/>
  <c r="AK99" s="1"/>
  <c r="AU99" s="1"/>
  <c r="AJ123"/>
  <c r="AK123" s="1"/>
  <c r="AU123" s="1"/>
  <c r="AL8"/>
  <c r="AC66"/>
  <c r="AL26" s="1"/>
  <c r="K268"/>
  <c r="AG246"/>
  <c r="AS84"/>
  <c r="AT114"/>
  <c r="AB87"/>
  <c r="AG266"/>
  <c r="AS114"/>
  <c r="AT164"/>
  <c r="AK216"/>
  <c r="V268"/>
  <c r="AI44"/>
  <c r="AJ40" s="1"/>
  <c r="AK40" s="1"/>
  <c r="AU40" s="1"/>
  <c r="AI34"/>
  <c r="AJ33" s="1"/>
  <c r="AK33" s="1"/>
  <c r="AU33" s="1"/>
  <c r="AI144"/>
  <c r="AJ139" s="1"/>
  <c r="AK139" s="1"/>
  <c r="AU139" s="1"/>
  <c r="AS124"/>
  <c r="AJ29"/>
  <c r="AK29" s="1"/>
  <c r="AU29" s="1"/>
  <c r="AJ31"/>
  <c r="AK31" s="1"/>
  <c r="AU31" s="1"/>
  <c r="AJ116"/>
  <c r="AK116" s="1"/>
  <c r="AK124" s="1"/>
  <c r="AJ167"/>
  <c r="AK167" s="1"/>
  <c r="AU167" s="1"/>
  <c r="AT104"/>
  <c r="AT154"/>
  <c r="AS266"/>
  <c r="AV248"/>
  <c r="P267"/>
  <c r="AM16"/>
  <c r="AS16" s="1"/>
  <c r="AG236"/>
  <c r="AV78"/>
  <c r="AV118"/>
  <c r="AS134"/>
  <c r="AJ172"/>
  <c r="AK172" s="1"/>
  <c r="AU172" s="1"/>
  <c r="AS144"/>
  <c r="AN54"/>
  <c r="AM61"/>
  <c r="AS61" s="1"/>
  <c r="AI164"/>
  <c r="AJ163" s="1"/>
  <c r="AK163" s="1"/>
  <c r="AU163" s="1"/>
  <c r="J185"/>
  <c r="J268" s="1"/>
  <c r="AV258"/>
  <c r="AS226"/>
  <c r="AT236"/>
  <c r="T268"/>
  <c r="AG68"/>
  <c r="Y94"/>
  <c r="AT54"/>
  <c r="AG72"/>
  <c r="Z94"/>
  <c r="AG256"/>
  <c r="AT134"/>
  <c r="AS246"/>
  <c r="AU96"/>
  <c r="AL47"/>
  <c r="AL17"/>
  <c r="AL57"/>
  <c r="AL27"/>
  <c r="AR39"/>
  <c r="AP39"/>
  <c r="AI184"/>
  <c r="AJ180" s="1"/>
  <c r="AK180" s="1"/>
  <c r="AU180" s="1"/>
  <c r="AG184"/>
  <c r="AV122"/>
  <c r="AV101"/>
  <c r="AJ38"/>
  <c r="AK38" s="1"/>
  <c r="AU38" s="1"/>
  <c r="AL61"/>
  <c r="AL51"/>
  <c r="AL41"/>
  <c r="AL31"/>
  <c r="AL11"/>
  <c r="AL21"/>
  <c r="AG213"/>
  <c r="AR107"/>
  <c r="AG107"/>
  <c r="AI107"/>
  <c r="AJ107" s="1"/>
  <c r="AK107" s="1"/>
  <c r="AU107" s="1"/>
  <c r="AL40"/>
  <c r="AL50"/>
  <c r="AL60"/>
  <c r="AL30"/>
  <c r="AL10"/>
  <c r="AL20"/>
  <c r="AR48"/>
  <c r="AP48"/>
  <c r="AG177"/>
  <c r="AS177"/>
  <c r="AG57"/>
  <c r="AI57"/>
  <c r="AJ57" s="1"/>
  <c r="AK57" s="1"/>
  <c r="AI26"/>
  <c r="M185"/>
  <c r="AB34"/>
  <c r="AJ64"/>
  <c r="AJ106"/>
  <c r="AJ109"/>
  <c r="AK109" s="1"/>
  <c r="AU109" s="1"/>
  <c r="AT94"/>
  <c r="AJ112"/>
  <c r="AK112" s="1"/>
  <c r="AU112" s="1"/>
  <c r="AS104"/>
  <c r="AT84"/>
  <c r="AS154"/>
  <c r="AS206"/>
  <c r="AS164"/>
  <c r="AV228"/>
  <c r="AJ48"/>
  <c r="AK48" s="1"/>
  <c r="AU48" s="1"/>
  <c r="AJ52"/>
  <c r="AK52" s="1"/>
  <c r="AU52" s="1"/>
  <c r="AG124"/>
  <c r="AL6"/>
  <c r="AL56"/>
  <c r="AL37"/>
  <c r="AR37" s="1"/>
  <c r="AI156"/>
  <c r="AJ156" s="1"/>
  <c r="AV220"/>
  <c r="AC94"/>
  <c r="AI94" s="1"/>
  <c r="AJ89" s="1"/>
  <c r="AK89" s="1"/>
  <c r="AU89" s="1"/>
  <c r="AG54"/>
  <c r="I268"/>
  <c r="AO16"/>
  <c r="AO24" s="1"/>
  <c r="AO57"/>
  <c r="AL29"/>
  <c r="AG206"/>
  <c r="AH206"/>
  <c r="AG209"/>
  <c r="AR38"/>
  <c r="AP38"/>
  <c r="AA268"/>
  <c r="Z24"/>
  <c r="AJ36"/>
  <c r="AJ161"/>
  <c r="AK161" s="1"/>
  <c r="AU161" s="1"/>
  <c r="AJ141"/>
  <c r="AK141" s="1"/>
  <c r="AU141" s="1"/>
  <c r="AT124"/>
  <c r="AJ108"/>
  <c r="AK108" s="1"/>
  <c r="AU108" s="1"/>
  <c r="AJ159"/>
  <c r="AK159" s="1"/>
  <c r="AU159" s="1"/>
  <c r="AV121"/>
  <c r="AS94"/>
  <c r="AJ41"/>
  <c r="AK41" s="1"/>
  <c r="AU41" s="1"/>
  <c r="AJ111"/>
  <c r="AK111" s="1"/>
  <c r="AU111" s="1"/>
  <c r="AN24"/>
  <c r="AN67"/>
  <c r="AT67" s="1"/>
  <c r="AM71"/>
  <c r="AS71" s="1"/>
  <c r="AG70"/>
  <c r="AF74"/>
  <c r="AG114"/>
  <c r="AD70"/>
  <c r="AG34"/>
  <c r="AT36"/>
  <c r="AJ51"/>
  <c r="AK51" s="1"/>
  <c r="AU51" s="1"/>
  <c r="AT256"/>
  <c r="AG64"/>
  <c r="AV238"/>
  <c r="AS6"/>
  <c r="Y144"/>
  <c r="AB144" s="1"/>
  <c r="AG44"/>
  <c r="AJ169"/>
  <c r="AK169" s="1"/>
  <c r="AU169" s="1"/>
  <c r="AJ171"/>
  <c r="AK171" s="1"/>
  <c r="AU171" s="1"/>
  <c r="AO6"/>
  <c r="AO27"/>
  <c r="AO34" s="1"/>
  <c r="AO47"/>
  <c r="AV246"/>
  <c r="AS256"/>
  <c r="AG174"/>
  <c r="AL19"/>
  <c r="AL59"/>
  <c r="AR267"/>
  <c r="AL62"/>
  <c r="AL52"/>
  <c r="AL42"/>
  <c r="AL32"/>
  <c r="AL12"/>
  <c r="AL22"/>
  <c r="AT26"/>
  <c r="AG37"/>
  <c r="AI37"/>
  <c r="AJ37" s="1"/>
  <c r="AK37" s="1"/>
  <c r="AR177"/>
  <c r="AI177"/>
  <c r="AJ177" s="1"/>
  <c r="AK177" s="1"/>
  <c r="AU177" s="1"/>
  <c r="F268"/>
  <c r="AE185"/>
  <c r="AR184"/>
  <c r="AE74"/>
  <c r="AI16"/>
  <c r="AB184"/>
  <c r="Y64"/>
  <c r="AB64" s="1"/>
  <c r="AJ138"/>
  <c r="AK138" s="1"/>
  <c r="AU138" s="1"/>
  <c r="AJ157"/>
  <c r="AK157" s="1"/>
  <c r="AU157" s="1"/>
  <c r="AT24"/>
  <c r="AJ137"/>
  <c r="AK137" s="1"/>
  <c r="AU137" s="1"/>
  <c r="AI206"/>
  <c r="AJ198" s="1"/>
  <c r="AK198" s="1"/>
  <c r="AJ166"/>
  <c r="AM69"/>
  <c r="AS69" s="1"/>
  <c r="AG144"/>
  <c r="AJ47"/>
  <c r="AK47" s="1"/>
  <c r="AG66"/>
  <c r="AT226"/>
  <c r="AV226" s="1"/>
  <c r="AG71"/>
  <c r="AG24"/>
  <c r="AI20"/>
  <c r="N267"/>
  <c r="AD267" s="1"/>
  <c r="AG84"/>
  <c r="AS174"/>
  <c r="AJ181"/>
  <c r="AK181" s="1"/>
  <c r="AU181" s="1"/>
  <c r="AJ183"/>
  <c r="AK183" s="1"/>
  <c r="AU183" s="1"/>
  <c r="AI134"/>
  <c r="AJ129" s="1"/>
  <c r="AK129" s="1"/>
  <c r="AU129" s="1"/>
  <c r="AO36"/>
  <c r="AO37"/>
  <c r="AO7"/>
  <c r="AC226"/>
  <c r="AL9"/>
  <c r="AL49"/>
  <c r="AD67"/>
  <c r="AM17" s="1"/>
  <c r="AN66"/>
  <c r="AN74" s="1"/>
  <c r="AN14"/>
  <c r="AG14"/>
  <c r="AI14"/>
  <c r="AR58"/>
  <c r="AP58"/>
  <c r="AR136"/>
  <c r="AI136"/>
  <c r="AJ136" s="1"/>
  <c r="AR87"/>
  <c r="AI87"/>
  <c r="AJ87" s="1"/>
  <c r="AK87" s="1"/>
  <c r="AU87" s="1"/>
  <c r="AG87"/>
  <c r="AR164"/>
  <c r="AJ90"/>
  <c r="AK90" s="1"/>
  <c r="AU90" s="1"/>
  <c r="AJ110"/>
  <c r="AK110" s="1"/>
  <c r="AU110" s="1"/>
  <c r="AJ93"/>
  <c r="AK93" s="1"/>
  <c r="AU93" s="1"/>
  <c r="AJ113"/>
  <c r="AK113" s="1"/>
  <c r="AU113" s="1"/>
  <c r="AJ160"/>
  <c r="AK160" s="1"/>
  <c r="AU160" s="1"/>
  <c r="AJ84"/>
  <c r="AJ104"/>
  <c r="AJ124"/>
  <c r="AJ140"/>
  <c r="AK140" s="1"/>
  <c r="AU140" s="1"/>
  <c r="AJ143"/>
  <c r="AK143" s="1"/>
  <c r="AU143" s="1"/>
  <c r="AJ162"/>
  <c r="AK162" s="1"/>
  <c r="AU162" s="1"/>
  <c r="AT64"/>
  <c r="AG164"/>
  <c r="AK56"/>
  <c r="AK64" s="1"/>
  <c r="AK76"/>
  <c r="AT184"/>
  <c r="AV236"/>
  <c r="AS11"/>
  <c r="AG214"/>
  <c r="AL46"/>
  <c r="AG73"/>
  <c r="AV96"/>
  <c r="AC185"/>
  <c r="AJ168"/>
  <c r="AK168" s="1"/>
  <c r="AU168" s="1"/>
  <c r="AJ170"/>
  <c r="AK170" s="1"/>
  <c r="AU170" s="1"/>
  <c r="AJ176"/>
  <c r="AO46"/>
  <c r="AO56"/>
  <c r="AV218"/>
  <c r="AT266"/>
  <c r="AV266" s="1"/>
  <c r="AG69"/>
  <c r="AI154"/>
  <c r="AJ150" s="1"/>
  <c r="AK150" s="1"/>
  <c r="AU150" s="1"/>
  <c r="Z154"/>
  <c r="AB154" s="1"/>
  <c r="X47" i="12"/>
  <c r="AB206" i="44"/>
  <c r="M268"/>
  <c r="AB37"/>
  <c r="Y44"/>
  <c r="AB44" s="1"/>
  <c r="AB24"/>
  <c r="Y213"/>
  <c r="AB213" s="1"/>
  <c r="D215"/>
  <c r="D216" s="1"/>
  <c r="AC216" s="1"/>
  <c r="Y164"/>
  <c r="AB164" s="1"/>
  <c r="AB156"/>
  <c r="Z14"/>
  <c r="AB14" s="1"/>
  <c r="N185"/>
  <c r="AB16"/>
  <c r="I27" i="3"/>
  <c r="I11"/>
  <c r="I7"/>
  <c r="K15" i="5"/>
  <c r="O16"/>
  <c r="S16" s="1"/>
  <c r="L10"/>
  <c r="I28" i="3"/>
  <c r="L15" i="5"/>
  <c r="J16"/>
  <c r="J13"/>
  <c r="O10"/>
  <c r="S10" s="1"/>
  <c r="I26" i="3"/>
  <c r="J9" i="5"/>
  <c r="J10"/>
  <c r="I9" i="3"/>
  <c r="N28" i="5"/>
  <c r="R28" s="1"/>
  <c r="N24"/>
  <c r="R24" s="1"/>
  <c r="Q14"/>
  <c r="T14" s="1"/>
  <c r="Q13"/>
  <c r="T13" s="1"/>
  <c r="Q12"/>
  <c r="T12" s="1"/>
  <c r="N32"/>
  <c r="N30"/>
  <c r="Q29"/>
  <c r="T29" s="1"/>
  <c r="N27"/>
  <c r="I22" i="3"/>
  <c r="M15" i="5"/>
  <c r="N26"/>
  <c r="N23"/>
  <c r="N22"/>
  <c r="N21"/>
  <c r="N20"/>
  <c r="N19"/>
  <c r="M18"/>
  <c r="R17"/>
  <c r="Q17"/>
  <c r="T17" s="1"/>
  <c r="I14" i="3"/>
  <c r="N16" i="5"/>
  <c r="N15"/>
  <c r="N10"/>
  <c r="N11"/>
  <c r="L14" i="10"/>
  <c r="L23"/>
  <c r="L30"/>
  <c r="L32"/>
  <c r="L42"/>
  <c r="L44"/>
  <c r="L25"/>
  <c r="L36"/>
  <c r="K19" i="40"/>
  <c r="K23"/>
  <c r="K22"/>
  <c r="P9"/>
  <c r="K40"/>
  <c r="K39" s="1"/>
  <c r="L38" i="8"/>
  <c r="M38"/>
  <c r="K38"/>
  <c r="I10" i="3"/>
  <c r="K21" i="40"/>
  <c r="K43"/>
  <c r="K41"/>
  <c r="K10"/>
  <c r="T41"/>
  <c r="U41" s="1"/>
  <c r="Q38"/>
  <c r="Q34" s="1"/>
  <c r="S9"/>
  <c r="Q16"/>
  <c r="V39"/>
  <c r="U39"/>
  <c r="N38"/>
  <c r="R38"/>
  <c r="V43"/>
  <c r="T43"/>
  <c r="U43" s="1"/>
  <c r="N34"/>
  <c r="E9"/>
  <c r="Q9"/>
  <c r="O16"/>
  <c r="O9"/>
  <c r="V17"/>
  <c r="T17"/>
  <c r="U17" s="1"/>
  <c r="N9"/>
  <c r="R9"/>
  <c r="N16"/>
  <c r="R16"/>
  <c r="V30"/>
  <c r="K30"/>
  <c r="K32"/>
  <c r="K14"/>
  <c r="V21"/>
  <c r="D38"/>
  <c r="D34" s="1"/>
  <c r="D45" s="1"/>
  <c r="V41"/>
  <c r="E5"/>
  <c r="V14"/>
  <c r="P16"/>
  <c r="S16"/>
  <c r="K25"/>
  <c r="V32"/>
  <c r="V36"/>
  <c r="P38"/>
  <c r="O38"/>
  <c r="O34" s="1"/>
  <c r="S38"/>
  <c r="S34" s="1"/>
  <c r="V20"/>
  <c r="V23"/>
  <c r="V25"/>
  <c r="R35"/>
  <c r="V35" s="1"/>
  <c r="V5"/>
  <c r="V4"/>
  <c r="V6"/>
  <c r="V10"/>
  <c r="T21"/>
  <c r="T6"/>
  <c r="T10"/>
  <c r="T14"/>
  <c r="U14" s="1"/>
  <c r="T23"/>
  <c r="U23" s="1"/>
  <c r="T25"/>
  <c r="U25" s="1"/>
  <c r="T30"/>
  <c r="U30" s="1"/>
  <c r="T32"/>
  <c r="U32" s="1"/>
  <c r="T36"/>
  <c r="K25" i="10"/>
  <c r="K44"/>
  <c r="K42"/>
  <c r="K37"/>
  <c r="K32"/>
  <c r="K23"/>
  <c r="K14"/>
  <c r="K30"/>
  <c r="H5" i="39"/>
  <c r="H18"/>
  <c r="N10" i="10"/>
  <c r="N6"/>
  <c r="N5" s="1"/>
  <c r="Q32" i="5" l="1"/>
  <c r="T32" s="1"/>
  <c r="R32"/>
  <c r="Q24"/>
  <c r="T24" s="1"/>
  <c r="F32" i="3"/>
  <c r="H45" i="10"/>
  <c r="J8"/>
  <c r="AJ158" i="44"/>
  <c r="AK158" s="1"/>
  <c r="AU158" s="1"/>
  <c r="AY40"/>
  <c r="AY160"/>
  <c r="BD160" s="1"/>
  <c r="AY120"/>
  <c r="BD120" s="1"/>
  <c r="AJ179"/>
  <c r="AK179" s="1"/>
  <c r="AU179" s="1"/>
  <c r="AJ142"/>
  <c r="AK142" s="1"/>
  <c r="AU142" s="1"/>
  <c r="AJ182"/>
  <c r="AK182" s="1"/>
  <c r="AU182" s="1"/>
  <c r="AV182" s="1"/>
  <c r="AM26"/>
  <c r="AS26" s="1"/>
  <c r="AJ32"/>
  <c r="AK32" s="1"/>
  <c r="AU32" s="1"/>
  <c r="AM36"/>
  <c r="AS36" s="1"/>
  <c r="AP56"/>
  <c r="AO188"/>
  <c r="AM56"/>
  <c r="AS56" s="1"/>
  <c r="AL190"/>
  <c r="AO44"/>
  <c r="AI187"/>
  <c r="AB226"/>
  <c r="AY30"/>
  <c r="AY80"/>
  <c r="BD80" s="1"/>
  <c r="AY150"/>
  <c r="BD150" s="1"/>
  <c r="AY180"/>
  <c r="BD180" s="1"/>
  <c r="AJ49"/>
  <c r="AK49" s="1"/>
  <c r="AU49" s="1"/>
  <c r="AY20"/>
  <c r="BD20" s="1"/>
  <c r="AY140"/>
  <c r="BD140" s="1"/>
  <c r="AY170"/>
  <c r="AJ46"/>
  <c r="AK46" s="1"/>
  <c r="AD195"/>
  <c r="AJ53"/>
  <c r="AK53" s="1"/>
  <c r="AU53" s="1"/>
  <c r="AV139"/>
  <c r="AJ19"/>
  <c r="AK19" s="1"/>
  <c r="AU19" s="1"/>
  <c r="AJ23"/>
  <c r="AK23" s="1"/>
  <c r="AU23" s="1"/>
  <c r="AJ18"/>
  <c r="AK18" s="1"/>
  <c r="AU18" s="1"/>
  <c r="AJ21"/>
  <c r="AK21" s="1"/>
  <c r="AU21" s="1"/>
  <c r="AJ17"/>
  <c r="AK17" s="1"/>
  <c r="AU17" s="1"/>
  <c r="AJ22"/>
  <c r="AK22" s="1"/>
  <c r="AU22" s="1"/>
  <c r="BD110"/>
  <c r="AS46"/>
  <c r="AM66"/>
  <c r="AS66" s="1"/>
  <c r="AV113"/>
  <c r="AV58"/>
  <c r="AV171"/>
  <c r="AV141"/>
  <c r="AV89"/>
  <c r="AV163"/>
  <c r="AV172"/>
  <c r="AV97"/>
  <c r="AV83"/>
  <c r="AV80"/>
  <c r="AV81"/>
  <c r="AU37"/>
  <c r="AU57"/>
  <c r="AC74"/>
  <c r="AJ26"/>
  <c r="AL191"/>
  <c r="AJ39"/>
  <c r="AK39" s="1"/>
  <c r="AU39" s="1"/>
  <c r="AJ30"/>
  <c r="AK30" s="1"/>
  <c r="AU30" s="1"/>
  <c r="AL189"/>
  <c r="AM190"/>
  <c r="AY50"/>
  <c r="BD50" s="1"/>
  <c r="AY60"/>
  <c r="AY100"/>
  <c r="BD100" s="1"/>
  <c r="AX52"/>
  <c r="AX22"/>
  <c r="BC22" s="1"/>
  <c r="AX132"/>
  <c r="BC132" s="1"/>
  <c r="AX122"/>
  <c r="AG188"/>
  <c r="AX38"/>
  <c r="AX28"/>
  <c r="AX108"/>
  <c r="BC108" s="1"/>
  <c r="AX118"/>
  <c r="AX88"/>
  <c r="BC88" s="1"/>
  <c r="AV140"/>
  <c r="AV160"/>
  <c r="AV90"/>
  <c r="AJ11"/>
  <c r="AI195"/>
  <c r="AV181"/>
  <c r="AT34"/>
  <c r="AV179"/>
  <c r="AT44"/>
  <c r="AV158"/>
  <c r="AV109"/>
  <c r="AS184"/>
  <c r="AL16"/>
  <c r="AR16" s="1"/>
  <c r="AL36"/>
  <c r="AR36" s="1"/>
  <c r="AV117"/>
  <c r="AV100"/>
  <c r="AV98"/>
  <c r="AC195"/>
  <c r="AG195" s="1"/>
  <c r="AG187"/>
  <c r="BD68"/>
  <c r="BD189"/>
  <c r="BD192"/>
  <c r="BD71"/>
  <c r="BD130"/>
  <c r="BD72"/>
  <c r="BD193"/>
  <c r="AJ20"/>
  <c r="AK20" s="1"/>
  <c r="AU20" s="1"/>
  <c r="AM192"/>
  <c r="AX32"/>
  <c r="AX12"/>
  <c r="AX92"/>
  <c r="BC92" s="1"/>
  <c r="AX162"/>
  <c r="BC162" s="1"/>
  <c r="AX182"/>
  <c r="AX58"/>
  <c r="AX98"/>
  <c r="BC98" s="1"/>
  <c r="AX78"/>
  <c r="BC78" s="1"/>
  <c r="AX178"/>
  <c r="AV150"/>
  <c r="AV168"/>
  <c r="AS192"/>
  <c r="AX61" s="1"/>
  <c r="BC61" s="1"/>
  <c r="AV143"/>
  <c r="AV110"/>
  <c r="AV129"/>
  <c r="AV183"/>
  <c r="AV137"/>
  <c r="AV138"/>
  <c r="AV108"/>
  <c r="AV142"/>
  <c r="AV99"/>
  <c r="AD282"/>
  <c r="AG282" s="1"/>
  <c r="BD170"/>
  <c r="AO187"/>
  <c r="AO195" s="1"/>
  <c r="AL192"/>
  <c r="AI188"/>
  <c r="AM187"/>
  <c r="AI191"/>
  <c r="BD10"/>
  <c r="AG275"/>
  <c r="AX82"/>
  <c r="AX112"/>
  <c r="BC112" s="1"/>
  <c r="AX142"/>
  <c r="AX172"/>
  <c r="BC172" s="1"/>
  <c r="AX18"/>
  <c r="BC18" s="1"/>
  <c r="AX128"/>
  <c r="BC128" s="1"/>
  <c r="AX158"/>
  <c r="BC158" s="1"/>
  <c r="AX168"/>
  <c r="BC168" s="1"/>
  <c r="AV170"/>
  <c r="AV162"/>
  <c r="AV93"/>
  <c r="AV157"/>
  <c r="AV169"/>
  <c r="AV111"/>
  <c r="AV159"/>
  <c r="AV161"/>
  <c r="AV112"/>
  <c r="AV180"/>
  <c r="AU104"/>
  <c r="AV104" s="1"/>
  <c r="AV167"/>
  <c r="AV123"/>
  <c r="AV103"/>
  <c r="AT7"/>
  <c r="AN188"/>
  <c r="AN195" s="1"/>
  <c r="BC73"/>
  <c r="BC194"/>
  <c r="AS190"/>
  <c r="BD40"/>
  <c r="BD73"/>
  <c r="BD194"/>
  <c r="AT187"/>
  <c r="AY26" s="1"/>
  <c r="BD69"/>
  <c r="BD190"/>
  <c r="AJ16"/>
  <c r="AK16" s="1"/>
  <c r="AL193"/>
  <c r="AL188"/>
  <c r="AX11"/>
  <c r="BC11" s="1"/>
  <c r="BD30"/>
  <c r="AX42"/>
  <c r="AX62"/>
  <c r="BC62" s="1"/>
  <c r="AX102"/>
  <c r="AX8"/>
  <c r="AX48"/>
  <c r="AX138"/>
  <c r="BC138" s="1"/>
  <c r="AG67"/>
  <c r="AP16"/>
  <c r="AJ178"/>
  <c r="AK178" s="1"/>
  <c r="AU178" s="1"/>
  <c r="AJ43"/>
  <c r="AK43" s="1"/>
  <c r="AU43" s="1"/>
  <c r="AK104"/>
  <c r="AB94"/>
  <c r="AJ28"/>
  <c r="AK28" s="1"/>
  <c r="AU28" s="1"/>
  <c r="AR8"/>
  <c r="AL68"/>
  <c r="AR68" s="1"/>
  <c r="AV68" s="1"/>
  <c r="AP8"/>
  <c r="AP28"/>
  <c r="AR28"/>
  <c r="AE268"/>
  <c r="AJ42"/>
  <c r="AK42" s="1"/>
  <c r="AU42" s="1"/>
  <c r="AU116"/>
  <c r="AJ27"/>
  <c r="AK27" s="1"/>
  <c r="AU27" s="1"/>
  <c r="AJ133"/>
  <c r="AK133" s="1"/>
  <c r="AU133" s="1"/>
  <c r="AO67"/>
  <c r="AU67" s="1"/>
  <c r="AJ13"/>
  <c r="AJ88"/>
  <c r="AK88" s="1"/>
  <c r="AU88" s="1"/>
  <c r="AF267"/>
  <c r="P268"/>
  <c r="AF268" s="1"/>
  <c r="AJ146"/>
  <c r="AK146" s="1"/>
  <c r="AU146" s="1"/>
  <c r="AJ10"/>
  <c r="AJ204"/>
  <c r="AK204" s="1"/>
  <c r="AU204" s="1"/>
  <c r="AV204" s="1"/>
  <c r="AJ130"/>
  <c r="AK130" s="1"/>
  <c r="AU130" s="1"/>
  <c r="AV177"/>
  <c r="AV256"/>
  <c r="AV38"/>
  <c r="AJ92"/>
  <c r="AK92" s="1"/>
  <c r="AU92" s="1"/>
  <c r="AJ153"/>
  <c r="AK153" s="1"/>
  <c r="AU153" s="1"/>
  <c r="AJ147"/>
  <c r="AK147" s="1"/>
  <c r="AU147" s="1"/>
  <c r="AJ91"/>
  <c r="AK91" s="1"/>
  <c r="AU91" s="1"/>
  <c r="AJ86"/>
  <c r="AK86" s="1"/>
  <c r="AU86" s="1"/>
  <c r="AS17"/>
  <c r="AU198"/>
  <c r="AK84"/>
  <c r="AU76"/>
  <c r="AR144"/>
  <c r="AP49"/>
  <c r="AR49"/>
  <c r="AR42"/>
  <c r="AP42"/>
  <c r="AO66"/>
  <c r="AO14"/>
  <c r="AK36"/>
  <c r="AK156"/>
  <c r="AJ164"/>
  <c r="AR6"/>
  <c r="AP6"/>
  <c r="AJ114"/>
  <c r="AK106"/>
  <c r="AR30"/>
  <c r="AP21"/>
  <c r="AR21"/>
  <c r="AR51"/>
  <c r="AP51"/>
  <c r="AR57"/>
  <c r="AJ151"/>
  <c r="AK151" s="1"/>
  <c r="AU151" s="1"/>
  <c r="AJ149"/>
  <c r="AK149" s="1"/>
  <c r="AU149" s="1"/>
  <c r="AJ8"/>
  <c r="AK54"/>
  <c r="AJ6"/>
  <c r="AJ203"/>
  <c r="AK203" s="1"/>
  <c r="AU203" s="1"/>
  <c r="AV203" s="1"/>
  <c r="AM27"/>
  <c r="AP27" s="1"/>
  <c r="AJ7"/>
  <c r="AS267"/>
  <c r="AJ132"/>
  <c r="AK132" s="1"/>
  <c r="AU132" s="1"/>
  <c r="Y215"/>
  <c r="AB215" s="1"/>
  <c r="AC215"/>
  <c r="AL33" s="1"/>
  <c r="AL34" s="1"/>
  <c r="AJ184"/>
  <c r="AK176"/>
  <c r="AP46"/>
  <c r="AR46"/>
  <c r="AJ144"/>
  <c r="AK136"/>
  <c r="AP32"/>
  <c r="AR32"/>
  <c r="AR29"/>
  <c r="AP29"/>
  <c r="AR56"/>
  <c r="AL70"/>
  <c r="AR70" s="1"/>
  <c r="AR10"/>
  <c r="AR40"/>
  <c r="AP41"/>
  <c r="AR41"/>
  <c r="AL67"/>
  <c r="AR67" s="1"/>
  <c r="AR7"/>
  <c r="AJ152"/>
  <c r="AK152" s="1"/>
  <c r="AU152" s="1"/>
  <c r="AJ148"/>
  <c r="AK148" s="1"/>
  <c r="AU148" s="1"/>
  <c r="AJ205"/>
  <c r="AK205" s="1"/>
  <c r="AU205" s="1"/>
  <c r="AV205" s="1"/>
  <c r="AJ199"/>
  <c r="AM47"/>
  <c r="AP47" s="1"/>
  <c r="AJ54"/>
  <c r="AJ126"/>
  <c r="AR26"/>
  <c r="AU46"/>
  <c r="AO54"/>
  <c r="AV87"/>
  <c r="AR94"/>
  <c r="AG226"/>
  <c r="AL72"/>
  <c r="AR72" s="1"/>
  <c r="AV72" s="1"/>
  <c r="AP12"/>
  <c r="AR12"/>
  <c r="AR62"/>
  <c r="AP62"/>
  <c r="AP19"/>
  <c r="AR19"/>
  <c r="AK26"/>
  <c r="AR20"/>
  <c r="AR50"/>
  <c r="AV107"/>
  <c r="AR114"/>
  <c r="AR31"/>
  <c r="AP31"/>
  <c r="AR27"/>
  <c r="AR47"/>
  <c r="AJ12"/>
  <c r="AJ127"/>
  <c r="AK127" s="1"/>
  <c r="AU127" s="1"/>
  <c r="AT66"/>
  <c r="AT74" s="1"/>
  <c r="AD74"/>
  <c r="AU47"/>
  <c r="AJ131"/>
  <c r="AK131" s="1"/>
  <c r="AU131" s="1"/>
  <c r="AJ128"/>
  <c r="AK128" s="1"/>
  <c r="AU128" s="1"/>
  <c r="AM7"/>
  <c r="AM37"/>
  <c r="AP37" s="1"/>
  <c r="AT267"/>
  <c r="AG94"/>
  <c r="AG216"/>
  <c r="AU56"/>
  <c r="AO64"/>
  <c r="AL69"/>
  <c r="AR69" s="1"/>
  <c r="AV69" s="1"/>
  <c r="AP9"/>
  <c r="AR9"/>
  <c r="AJ174"/>
  <c r="AK166"/>
  <c r="AP22"/>
  <c r="AR22"/>
  <c r="AR52"/>
  <c r="AP52"/>
  <c r="AR59"/>
  <c r="AP59"/>
  <c r="AM20"/>
  <c r="AS20" s="1"/>
  <c r="AM40"/>
  <c r="AS40" s="1"/>
  <c r="AM30"/>
  <c r="AS30" s="1"/>
  <c r="AM60"/>
  <c r="AS60" s="1"/>
  <c r="AM10"/>
  <c r="AM50"/>
  <c r="AS50" s="1"/>
  <c r="AR60"/>
  <c r="AR11"/>
  <c r="AP11"/>
  <c r="AL71"/>
  <c r="AR71" s="1"/>
  <c r="AV71" s="1"/>
  <c r="AR61"/>
  <c r="AP61"/>
  <c r="AP17"/>
  <c r="AR17"/>
  <c r="AG74"/>
  <c r="AJ9"/>
  <c r="AM57"/>
  <c r="AV48"/>
  <c r="AV39"/>
  <c r="Z185"/>
  <c r="Z268" s="1"/>
  <c r="N268"/>
  <c r="AD268" s="1"/>
  <c r="AD185"/>
  <c r="AB185"/>
  <c r="Y185"/>
  <c r="Y216"/>
  <c r="D267"/>
  <c r="Q28" i="5"/>
  <c r="T28" s="1"/>
  <c r="L9"/>
  <c r="I12" i="3"/>
  <c r="K9" i="5"/>
  <c r="Q30"/>
  <c r="T30" s="1"/>
  <c r="R30"/>
  <c r="R27"/>
  <c r="Q27"/>
  <c r="T27" s="1"/>
  <c r="N25"/>
  <c r="R25" s="1"/>
  <c r="R26"/>
  <c r="Q26"/>
  <c r="T26" s="1"/>
  <c r="R23"/>
  <c r="Q23"/>
  <c r="T23" s="1"/>
  <c r="Q22"/>
  <c r="T22" s="1"/>
  <c r="R22"/>
  <c r="R21"/>
  <c r="Q21"/>
  <c r="T21" s="1"/>
  <c r="R20"/>
  <c r="Q20"/>
  <c r="T20" s="1"/>
  <c r="I15" i="3"/>
  <c r="N18" i="5"/>
  <c r="R18" s="1"/>
  <c r="Q19"/>
  <c r="T19" s="1"/>
  <c r="R19"/>
  <c r="R15"/>
  <c r="Q15"/>
  <c r="T15" s="1"/>
  <c r="R16"/>
  <c r="Q16"/>
  <c r="T16" s="1"/>
  <c r="M9"/>
  <c r="N9"/>
  <c r="R10"/>
  <c r="Q10"/>
  <c r="T10" s="1"/>
  <c r="R11"/>
  <c r="Q11"/>
  <c r="T11" s="1"/>
  <c r="I6" i="3"/>
  <c r="L17" i="10"/>
  <c r="L21"/>
  <c r="L40"/>
  <c r="K6" i="40"/>
  <c r="K17"/>
  <c r="K20"/>
  <c r="K35"/>
  <c r="K36"/>
  <c r="Q8"/>
  <c r="Q45" s="1"/>
  <c r="S8"/>
  <c r="S45" s="1"/>
  <c r="K38"/>
  <c r="V16"/>
  <c r="R34"/>
  <c r="R8"/>
  <c r="O8"/>
  <c r="O45" s="1"/>
  <c r="T38"/>
  <c r="U38" s="1"/>
  <c r="N8"/>
  <c r="N45" s="1"/>
  <c r="E8"/>
  <c r="V9"/>
  <c r="K9"/>
  <c r="G45"/>
  <c r="I45"/>
  <c r="E4"/>
  <c r="K16"/>
  <c r="V38"/>
  <c r="P34"/>
  <c r="P8"/>
  <c r="U10"/>
  <c r="T9"/>
  <c r="U36"/>
  <c r="T35"/>
  <c r="U6"/>
  <c r="T5"/>
  <c r="U21"/>
  <c r="T20"/>
  <c r="K21" i="10"/>
  <c r="K19"/>
  <c r="L35"/>
  <c r="G18" i="39"/>
  <c r="E9"/>
  <c r="F16"/>
  <c r="H16"/>
  <c r="G16"/>
  <c r="F18"/>
  <c r="F19"/>
  <c r="E17"/>
  <c r="H15"/>
  <c r="E14"/>
  <c r="F13"/>
  <c r="G12"/>
  <c r="H11"/>
  <c r="E10"/>
  <c r="G19"/>
  <c r="F17"/>
  <c r="E15"/>
  <c r="F14"/>
  <c r="G13"/>
  <c r="H12"/>
  <c r="E11"/>
  <c r="F10"/>
  <c r="H19"/>
  <c r="E18"/>
  <c r="G17"/>
  <c r="F15"/>
  <c r="G14"/>
  <c r="H13"/>
  <c r="E12"/>
  <c r="F11"/>
  <c r="G10"/>
  <c r="G5"/>
  <c r="G9" s="1"/>
  <c r="E19"/>
  <c r="H17"/>
  <c r="G15"/>
  <c r="H14"/>
  <c r="E13"/>
  <c r="F12"/>
  <c r="G11"/>
  <c r="H10"/>
  <c r="H9"/>
  <c r="F5"/>
  <c r="E16"/>
  <c r="J12" i="3" l="1"/>
  <c r="J26"/>
  <c r="J28"/>
  <c r="J27"/>
  <c r="J6"/>
  <c r="AJ24" i="44"/>
  <c r="AP190"/>
  <c r="AY70"/>
  <c r="AP26"/>
  <c r="AJ187"/>
  <c r="AS187"/>
  <c r="AX96" s="1"/>
  <c r="AK44"/>
  <c r="BD26"/>
  <c r="AV17"/>
  <c r="AV128"/>
  <c r="AV19"/>
  <c r="AR193"/>
  <c r="AW42" s="1"/>
  <c r="BB42" s="1"/>
  <c r="AR188"/>
  <c r="AK8"/>
  <c r="AJ189"/>
  <c r="AR187"/>
  <c r="AW26" s="1"/>
  <c r="BB26" s="1"/>
  <c r="AV42"/>
  <c r="AV147"/>
  <c r="AV133"/>
  <c r="AX189"/>
  <c r="AX68"/>
  <c r="BC8"/>
  <c r="AX99"/>
  <c r="AX169"/>
  <c r="BC169" s="1"/>
  <c r="AX79"/>
  <c r="BC79" s="1"/>
  <c r="AX59"/>
  <c r="AX139"/>
  <c r="BC139" s="1"/>
  <c r="AX179"/>
  <c r="BC179" s="1"/>
  <c r="AX109"/>
  <c r="BC109" s="1"/>
  <c r="AX29"/>
  <c r="BC29" s="1"/>
  <c r="AX159"/>
  <c r="BC159" s="1"/>
  <c r="AX89"/>
  <c r="BC89" s="1"/>
  <c r="AX119"/>
  <c r="BC119" s="1"/>
  <c r="AX49"/>
  <c r="BC49" s="1"/>
  <c r="AX129"/>
  <c r="BC129" s="1"/>
  <c r="AX149"/>
  <c r="BC149" s="1"/>
  <c r="AX39"/>
  <c r="BC39" s="1"/>
  <c r="AX131"/>
  <c r="BC131" s="1"/>
  <c r="AX171"/>
  <c r="BC171" s="1"/>
  <c r="AX161"/>
  <c r="BC161" s="1"/>
  <c r="AX51"/>
  <c r="AX181"/>
  <c r="AX111"/>
  <c r="BC111" s="1"/>
  <c r="AX41"/>
  <c r="AX21"/>
  <c r="BC21" s="1"/>
  <c r="AX81"/>
  <c r="BC81" s="1"/>
  <c r="AX121"/>
  <c r="BC121" s="1"/>
  <c r="AX101"/>
  <c r="BC101" s="1"/>
  <c r="AX91"/>
  <c r="BC91" s="1"/>
  <c r="AX151"/>
  <c r="BC151" s="1"/>
  <c r="AX141"/>
  <c r="AX31"/>
  <c r="BC31" s="1"/>
  <c r="BC28"/>
  <c r="BC122"/>
  <c r="AU36"/>
  <c r="AJ44"/>
  <c r="AL187"/>
  <c r="AY191"/>
  <c r="AX26"/>
  <c r="AX76"/>
  <c r="AV61"/>
  <c r="AV59"/>
  <c r="AP7"/>
  <c r="AM188"/>
  <c r="AW47"/>
  <c r="BB47" s="1"/>
  <c r="AV62"/>
  <c r="AW62"/>
  <c r="BB62" s="1"/>
  <c r="AV152"/>
  <c r="AJ188"/>
  <c r="AW57"/>
  <c r="BB57" s="1"/>
  <c r="AV49"/>
  <c r="AV91"/>
  <c r="AV92"/>
  <c r="AV130"/>
  <c r="AP68"/>
  <c r="AP189"/>
  <c r="AW36"/>
  <c r="BB36" s="1"/>
  <c r="AV178"/>
  <c r="BC48"/>
  <c r="BC42"/>
  <c r="BC142"/>
  <c r="BC178"/>
  <c r="BC182"/>
  <c r="BC32"/>
  <c r="BC52"/>
  <c r="AV18"/>
  <c r="AM44"/>
  <c r="AM34"/>
  <c r="AP34" s="1"/>
  <c r="AK9"/>
  <c r="AJ190"/>
  <c r="AR192"/>
  <c r="AW61" s="1"/>
  <c r="AV22"/>
  <c r="AW22"/>
  <c r="BB22" s="1"/>
  <c r="AR190"/>
  <c r="AW19" s="1"/>
  <c r="AU64"/>
  <c r="AK12"/>
  <c r="AJ193"/>
  <c r="AV31"/>
  <c r="AW31"/>
  <c r="BB31" s="1"/>
  <c r="AV148"/>
  <c r="AV41"/>
  <c r="AW41"/>
  <c r="BB41" s="1"/>
  <c r="AV32"/>
  <c r="AW32"/>
  <c r="AV151"/>
  <c r="AV21"/>
  <c r="AV153"/>
  <c r="AV146"/>
  <c r="AK13"/>
  <c r="AJ194"/>
  <c r="AY176"/>
  <c r="AY76"/>
  <c r="AY96"/>
  <c r="AY16"/>
  <c r="AY86"/>
  <c r="AY116"/>
  <c r="AY106"/>
  <c r="AY56"/>
  <c r="AY146"/>
  <c r="AY136"/>
  <c r="AY126"/>
  <c r="AY166"/>
  <c r="AY156"/>
  <c r="AY46"/>
  <c r="AY6"/>
  <c r="BC58"/>
  <c r="AX193"/>
  <c r="AX72"/>
  <c r="BC12"/>
  <c r="BC118"/>
  <c r="BD60"/>
  <c r="BD191" s="1"/>
  <c r="AX9"/>
  <c r="AP10"/>
  <c r="AM191"/>
  <c r="AV52"/>
  <c r="AW52"/>
  <c r="BB52" s="1"/>
  <c r="AV131"/>
  <c r="AV127"/>
  <c r="AR191"/>
  <c r="AW20" s="1"/>
  <c r="AV29"/>
  <c r="AW29"/>
  <c r="BB29" s="1"/>
  <c r="AV132"/>
  <c r="AV149"/>
  <c r="AV51"/>
  <c r="AK10"/>
  <c r="AJ191"/>
  <c r="AV88"/>
  <c r="AR189"/>
  <c r="AW28" s="1"/>
  <c r="BC102"/>
  <c r="AT188"/>
  <c r="AY7" s="1"/>
  <c r="AT14"/>
  <c r="BC82"/>
  <c r="AW16"/>
  <c r="BB16" s="1"/>
  <c r="AK11"/>
  <c r="AJ192"/>
  <c r="BC38"/>
  <c r="AP192"/>
  <c r="AP193"/>
  <c r="AX46"/>
  <c r="AX116"/>
  <c r="AX86"/>
  <c r="AY36"/>
  <c r="AX19"/>
  <c r="F9" i="39"/>
  <c r="I5"/>
  <c r="I9" s="1"/>
  <c r="AP36" i="44"/>
  <c r="AP187" s="1"/>
  <c r="AL66"/>
  <c r="AR66" s="1"/>
  <c r="AV28"/>
  <c r="AJ34"/>
  <c r="AU124"/>
  <c r="AV124" s="1"/>
  <c r="AV116"/>
  <c r="AV60"/>
  <c r="AK154"/>
  <c r="AJ94"/>
  <c r="AP60"/>
  <c r="AP69"/>
  <c r="AK94"/>
  <c r="AV40"/>
  <c r="AP50"/>
  <c r="AP40"/>
  <c r="AM24"/>
  <c r="AP20"/>
  <c r="D268"/>
  <c r="AC268" s="1"/>
  <c r="AG268" s="1"/>
  <c r="AC267"/>
  <c r="AG267" s="1"/>
  <c r="AS57"/>
  <c r="AM64"/>
  <c r="AK174"/>
  <c r="AU166"/>
  <c r="AK184"/>
  <c r="AU176"/>
  <c r="AS27"/>
  <c r="AJ154"/>
  <c r="AP71"/>
  <c r="AV50"/>
  <c r="AV30"/>
  <c r="AS24"/>
  <c r="AM67"/>
  <c r="AS7"/>
  <c r="AM14"/>
  <c r="AK34"/>
  <c r="AU26"/>
  <c r="AJ134"/>
  <c r="AK126"/>
  <c r="AK199"/>
  <c r="AJ206"/>
  <c r="AV56"/>
  <c r="AK144"/>
  <c r="AU136"/>
  <c r="AK164"/>
  <c r="AU156"/>
  <c r="AO74"/>
  <c r="AU66"/>
  <c r="AU74" s="1"/>
  <c r="AU94"/>
  <c r="AV94" s="1"/>
  <c r="AV86"/>
  <c r="AU84"/>
  <c r="AV84" s="1"/>
  <c r="AV76"/>
  <c r="AP30"/>
  <c r="AS37"/>
  <c r="AU44"/>
  <c r="AV36"/>
  <c r="AL63"/>
  <c r="AL53"/>
  <c r="AL43"/>
  <c r="AL44" s="1"/>
  <c r="AL23"/>
  <c r="AL13"/>
  <c r="AG215"/>
  <c r="AJ14"/>
  <c r="AK6"/>
  <c r="AP72"/>
  <c r="AM70"/>
  <c r="AS70" s="1"/>
  <c r="AV70" s="1"/>
  <c r="AS10"/>
  <c r="AS47"/>
  <c r="AM54"/>
  <c r="AV46"/>
  <c r="AK114"/>
  <c r="AU106"/>
  <c r="AU16"/>
  <c r="AK24"/>
  <c r="AV198"/>
  <c r="AU154"/>
  <c r="AV154" s="1"/>
  <c r="AV20"/>
  <c r="AU54"/>
  <c r="AP57"/>
  <c r="AG185"/>
  <c r="AI185"/>
  <c r="AB216"/>
  <c r="AB267" s="1"/>
  <c r="AB268" s="1"/>
  <c r="Y267"/>
  <c r="Y268" s="1"/>
  <c r="G7" i="7"/>
  <c r="F7"/>
  <c r="Q25" i="5"/>
  <c r="T25" s="1"/>
  <c r="Q18"/>
  <c r="T18" s="1"/>
  <c r="Q9"/>
  <c r="T9" s="1"/>
  <c r="R9"/>
  <c r="K17" i="10"/>
  <c r="L38"/>
  <c r="L39"/>
  <c r="K5" i="40"/>
  <c r="K34"/>
  <c r="V34"/>
  <c r="R45"/>
  <c r="V8"/>
  <c r="P45"/>
  <c r="E45"/>
  <c r="U20"/>
  <c r="T16"/>
  <c r="U16" s="1"/>
  <c r="U35"/>
  <c r="T34"/>
  <c r="U34" s="1"/>
  <c r="U9"/>
  <c r="U5"/>
  <c r="T4"/>
  <c r="K39" i="10"/>
  <c r="K36"/>
  <c r="I18" i="39"/>
  <c r="I16"/>
  <c r="I13"/>
  <c r="I19"/>
  <c r="I12"/>
  <c r="I11"/>
  <c r="I15"/>
  <c r="G20"/>
  <c r="G21" s="1"/>
  <c r="H20"/>
  <c r="H21" s="1"/>
  <c r="I17"/>
  <c r="I10"/>
  <c r="E20"/>
  <c r="E21" s="1"/>
  <c r="F20"/>
  <c r="I14"/>
  <c r="J34" i="3" l="1"/>
  <c r="AW46" i="44"/>
  <c r="BB46" s="1"/>
  <c r="AW51"/>
  <c r="BB51" s="1"/>
  <c r="AW56"/>
  <c r="BB56" s="1"/>
  <c r="AL194"/>
  <c r="AW21"/>
  <c r="BB21" s="1"/>
  <c r="AW6"/>
  <c r="BB6" s="1"/>
  <c r="AV66"/>
  <c r="AJ195"/>
  <c r="AX176"/>
  <c r="AW27"/>
  <c r="BB27" s="1"/>
  <c r="AX36"/>
  <c r="BC36" s="1"/>
  <c r="AW8"/>
  <c r="BB8" s="1"/>
  <c r="AW10"/>
  <c r="BB10" s="1"/>
  <c r="AX106"/>
  <c r="BC106" s="1"/>
  <c r="AX126"/>
  <c r="BC126" s="1"/>
  <c r="AX136"/>
  <c r="BC136" s="1"/>
  <c r="AX146"/>
  <c r="BC146" s="1"/>
  <c r="AX16"/>
  <c r="BC16" s="1"/>
  <c r="AX156"/>
  <c r="BC156" s="1"/>
  <c r="AX166"/>
  <c r="BC166" s="1"/>
  <c r="AX56"/>
  <c r="BC56" s="1"/>
  <c r="AX6"/>
  <c r="BC6" s="1"/>
  <c r="AM195"/>
  <c r="BD7"/>
  <c r="BB20"/>
  <c r="BB19"/>
  <c r="BB28"/>
  <c r="BB61"/>
  <c r="AS54"/>
  <c r="BD36"/>
  <c r="AU11"/>
  <c r="AK192"/>
  <c r="AU10"/>
  <c r="AK191"/>
  <c r="BC72"/>
  <c r="BC193"/>
  <c r="AY187"/>
  <c r="AY14"/>
  <c r="AY66"/>
  <c r="BD6"/>
  <c r="BD126"/>
  <c r="BD106"/>
  <c r="BD96"/>
  <c r="AU7"/>
  <c r="AK188"/>
  <c r="BC96"/>
  <c r="BC41"/>
  <c r="BC59"/>
  <c r="AW86"/>
  <c r="AW116"/>
  <c r="AW106"/>
  <c r="AW146"/>
  <c r="AW156"/>
  <c r="AW126"/>
  <c r="AW166"/>
  <c r="AW76"/>
  <c r="AW176"/>
  <c r="AW96"/>
  <c r="AW136"/>
  <c r="AU8"/>
  <c r="AK189"/>
  <c r="AW167"/>
  <c r="AW157"/>
  <c r="AW127"/>
  <c r="AW77"/>
  <c r="BB77" s="1"/>
  <c r="AW117"/>
  <c r="AW97"/>
  <c r="AW147"/>
  <c r="AW137"/>
  <c r="BB137" s="1"/>
  <c r="AW37"/>
  <c r="AW177"/>
  <c r="BB177" s="1"/>
  <c r="AW87"/>
  <c r="BB87" s="1"/>
  <c r="AW107"/>
  <c r="BB107" s="1"/>
  <c r="AK187"/>
  <c r="AW50"/>
  <c r="BB32"/>
  <c r="AW9"/>
  <c r="AW11"/>
  <c r="AW49"/>
  <c r="AP66"/>
  <c r="AP188"/>
  <c r="BD70"/>
  <c r="AX71"/>
  <c r="AW17"/>
  <c r="BB17" s="1"/>
  <c r="AU34"/>
  <c r="AS64"/>
  <c r="BC19"/>
  <c r="AT195"/>
  <c r="AT185"/>
  <c r="AT268" s="1"/>
  <c r="AX190"/>
  <c r="AX69"/>
  <c r="BC9"/>
  <c r="BD166"/>
  <c r="BD56"/>
  <c r="BD16"/>
  <c r="BC26"/>
  <c r="BC51"/>
  <c r="BC99"/>
  <c r="BB66"/>
  <c r="AS188"/>
  <c r="AX27" s="1"/>
  <c r="BC116"/>
  <c r="AW118"/>
  <c r="AW98"/>
  <c r="AW178"/>
  <c r="AW78"/>
  <c r="AW148"/>
  <c r="AW138"/>
  <c r="AW88"/>
  <c r="AW168"/>
  <c r="AW158"/>
  <c r="AW108"/>
  <c r="AW18"/>
  <c r="AW128"/>
  <c r="AW38"/>
  <c r="AW48"/>
  <c r="AW58"/>
  <c r="AW130"/>
  <c r="AW170"/>
  <c r="AW160"/>
  <c r="AW180"/>
  <c r="AW80"/>
  <c r="AW90"/>
  <c r="AW120"/>
  <c r="BB120" s="1"/>
  <c r="AW100"/>
  <c r="AW110"/>
  <c r="AW150"/>
  <c r="AW140"/>
  <c r="BD156"/>
  <c r="BD146"/>
  <c r="BD86"/>
  <c r="BD176"/>
  <c r="AU13"/>
  <c r="AK194"/>
  <c r="AU12"/>
  <c r="AK193"/>
  <c r="BC76"/>
  <c r="BC181"/>
  <c r="BC68"/>
  <c r="BC189"/>
  <c r="AW66"/>
  <c r="AW172"/>
  <c r="AW162"/>
  <c r="AW112"/>
  <c r="AW132"/>
  <c r="AW122"/>
  <c r="AW102"/>
  <c r="AW82"/>
  <c r="AW152"/>
  <c r="AW142"/>
  <c r="AW92"/>
  <c r="AW182"/>
  <c r="AP191"/>
  <c r="BC46"/>
  <c r="AW60"/>
  <c r="AV10"/>
  <c r="AV191" s="1"/>
  <c r="AS191"/>
  <c r="AX10" s="1"/>
  <c r="BC10" s="1"/>
  <c r="AS34"/>
  <c r="BC86"/>
  <c r="AY137"/>
  <c r="BD137" s="1"/>
  <c r="AY87"/>
  <c r="BD87" s="1"/>
  <c r="AY117"/>
  <c r="BD117" s="1"/>
  <c r="AY27"/>
  <c r="AY157"/>
  <c r="BD157" s="1"/>
  <c r="AY127"/>
  <c r="BD127" s="1"/>
  <c r="AY147"/>
  <c r="BD147" s="1"/>
  <c r="AY47"/>
  <c r="BD47" s="1"/>
  <c r="AY97"/>
  <c r="BD97" s="1"/>
  <c r="AY167"/>
  <c r="BD167" s="1"/>
  <c r="AY37"/>
  <c r="BD37" s="1"/>
  <c r="AY17"/>
  <c r="BD17" s="1"/>
  <c r="AY107"/>
  <c r="AY114" s="1"/>
  <c r="AY177"/>
  <c r="BD177" s="1"/>
  <c r="AY77"/>
  <c r="AY84" s="1"/>
  <c r="AY57"/>
  <c r="BD57" s="1"/>
  <c r="BD46"/>
  <c r="BD136"/>
  <c r="AY124"/>
  <c r="BD116"/>
  <c r="BD76"/>
  <c r="AW159"/>
  <c r="AW109"/>
  <c r="AW149"/>
  <c r="AW129"/>
  <c r="AW169"/>
  <c r="AW99"/>
  <c r="BB99" s="1"/>
  <c r="AW179"/>
  <c r="AW79"/>
  <c r="AW139"/>
  <c r="AW89"/>
  <c r="AW119"/>
  <c r="AW39"/>
  <c r="AW151"/>
  <c r="AW141"/>
  <c r="BB141" s="1"/>
  <c r="AW91"/>
  <c r="AW161"/>
  <c r="AW111"/>
  <c r="AW131"/>
  <c r="AW81"/>
  <c r="AW121"/>
  <c r="AW101"/>
  <c r="AW171"/>
  <c r="AW181"/>
  <c r="BB181" s="1"/>
  <c r="AU9"/>
  <c r="AK190"/>
  <c r="BC176"/>
  <c r="BC141"/>
  <c r="AP44"/>
  <c r="AW59"/>
  <c r="BB59" s="1"/>
  <c r="AX192"/>
  <c r="AW30"/>
  <c r="BB30" s="1"/>
  <c r="AW40"/>
  <c r="BB7"/>
  <c r="AW12"/>
  <c r="F21" i="39"/>
  <c r="AS14" i="44"/>
  <c r="AV7"/>
  <c r="AV57"/>
  <c r="AP70"/>
  <c r="AV26"/>
  <c r="AR43"/>
  <c r="AP43"/>
  <c r="AU164"/>
  <c r="AV164" s="1"/>
  <c r="AV156"/>
  <c r="AK134"/>
  <c r="AU126"/>
  <c r="AV27"/>
  <c r="AV47"/>
  <c r="AU24"/>
  <c r="AV16"/>
  <c r="AR33"/>
  <c r="AP33"/>
  <c r="AS44"/>
  <c r="AV37"/>
  <c r="AU199"/>
  <c r="AK206"/>
  <c r="AK267" s="1"/>
  <c r="AU184"/>
  <c r="AV184" s="1"/>
  <c r="AV176"/>
  <c r="AP67"/>
  <c r="AU114"/>
  <c r="AV114" s="1"/>
  <c r="AV106"/>
  <c r="AK14"/>
  <c r="AU6"/>
  <c r="AR23"/>
  <c r="AP23"/>
  <c r="AL24"/>
  <c r="AP24" s="1"/>
  <c r="AR63"/>
  <c r="AP63"/>
  <c r="AP64" s="1"/>
  <c r="AL64"/>
  <c r="AU144"/>
  <c r="AV144" s="1"/>
  <c r="AV136"/>
  <c r="AS67"/>
  <c r="AM74"/>
  <c r="AR13"/>
  <c r="AL73"/>
  <c r="AP13"/>
  <c r="AL14"/>
  <c r="AP53"/>
  <c r="AP54" s="1"/>
  <c r="AR53"/>
  <c r="AL54"/>
  <c r="AU174"/>
  <c r="AV174" s="1"/>
  <c r="AV166"/>
  <c r="K38" i="10"/>
  <c r="L34"/>
  <c r="J45" i="40"/>
  <c r="K45" s="1"/>
  <c r="T8"/>
  <c r="U8" s="1"/>
  <c r="U4"/>
  <c r="K35" i="10"/>
  <c r="I20" i="39"/>
  <c r="C13" i="6"/>
  <c r="E14" i="7"/>
  <c r="C14"/>
  <c r="D14"/>
  <c r="B14"/>
  <c r="C16" i="1"/>
  <c r="S7" i="8"/>
  <c r="D10" i="6"/>
  <c r="D11"/>
  <c r="D12"/>
  <c r="AW188" i="44" l="1"/>
  <c r="AW187"/>
  <c r="AY184"/>
  <c r="AX187"/>
  <c r="AP194"/>
  <c r="AP195" s="1"/>
  <c r="AS195"/>
  <c r="AW189"/>
  <c r="BD124"/>
  <c r="AX66"/>
  <c r="AY154"/>
  <c r="BD54"/>
  <c r="BD154"/>
  <c r="AW68"/>
  <c r="AW70"/>
  <c r="BD94"/>
  <c r="AY44"/>
  <c r="BD44"/>
  <c r="BB171"/>
  <c r="BB131"/>
  <c r="BB89"/>
  <c r="AW193"/>
  <c r="AW72"/>
  <c r="BB12"/>
  <c r="BB91"/>
  <c r="BB119"/>
  <c r="BB149"/>
  <c r="BB152"/>
  <c r="BB140"/>
  <c r="BB160"/>
  <c r="BB48"/>
  <c r="BB138"/>
  <c r="AX117"/>
  <c r="AX107"/>
  <c r="AX147"/>
  <c r="AX137"/>
  <c r="AX87"/>
  <c r="AX167"/>
  <c r="AX157"/>
  <c r="AX127"/>
  <c r="AX177"/>
  <c r="AX77"/>
  <c r="AX97"/>
  <c r="AX17"/>
  <c r="AU187"/>
  <c r="AZ126" s="1"/>
  <c r="AR34"/>
  <c r="AV34" s="1"/>
  <c r="AU190"/>
  <c r="AZ9" s="1"/>
  <c r="BA9" s="1"/>
  <c r="AV9"/>
  <c r="AV190" s="1"/>
  <c r="BB121"/>
  <c r="BB161"/>
  <c r="BB39"/>
  <c r="BB79"/>
  <c r="BB129"/>
  <c r="BD77"/>
  <c r="BD84" s="1"/>
  <c r="BB142"/>
  <c r="BB122"/>
  <c r="BB172"/>
  <c r="AU194"/>
  <c r="AZ13" s="1"/>
  <c r="BB100"/>
  <c r="BB180"/>
  <c r="BB58"/>
  <c r="BB18"/>
  <c r="BB88"/>
  <c r="BB178"/>
  <c r="BC69"/>
  <c r="BC190"/>
  <c r="AW190"/>
  <c r="AW69"/>
  <c r="BB9"/>
  <c r="BB176"/>
  <c r="BB156"/>
  <c r="BB86"/>
  <c r="AU188"/>
  <c r="AU192"/>
  <c r="AZ11" s="1"/>
  <c r="BE11" s="1"/>
  <c r="AV11"/>
  <c r="AV192" s="1"/>
  <c r="BC27"/>
  <c r="BD184"/>
  <c r="AY64"/>
  <c r="BD144"/>
  <c r="AY54"/>
  <c r="AY94"/>
  <c r="AY164"/>
  <c r="BD64"/>
  <c r="AY104"/>
  <c r="BD134"/>
  <c r="BB40"/>
  <c r="BB101"/>
  <c r="BB111"/>
  <c r="BB151"/>
  <c r="BB139"/>
  <c r="BB169"/>
  <c r="BB159"/>
  <c r="BD27"/>
  <c r="BD34" s="1"/>
  <c r="AY34"/>
  <c r="AX80"/>
  <c r="BC80" s="1"/>
  <c r="AX120"/>
  <c r="AX100"/>
  <c r="BC100" s="1"/>
  <c r="AX90"/>
  <c r="BC90" s="1"/>
  <c r="AX150"/>
  <c r="BC150" s="1"/>
  <c r="AX140"/>
  <c r="BC140" s="1"/>
  <c r="AX170"/>
  <c r="BC170" s="1"/>
  <c r="AX160"/>
  <c r="BC160" s="1"/>
  <c r="AX180"/>
  <c r="BC180" s="1"/>
  <c r="AX110"/>
  <c r="BC110" s="1"/>
  <c r="AX130"/>
  <c r="BC130" s="1"/>
  <c r="AX50"/>
  <c r="BC50" s="1"/>
  <c r="AX60"/>
  <c r="BC60" s="1"/>
  <c r="AX20"/>
  <c r="AX40"/>
  <c r="BC40" s="1"/>
  <c r="AX30"/>
  <c r="BB60"/>
  <c r="BB92"/>
  <c r="BB102"/>
  <c r="BB162"/>
  <c r="BB110"/>
  <c r="BB80"/>
  <c r="BB130"/>
  <c r="BB128"/>
  <c r="BB168"/>
  <c r="BB78"/>
  <c r="AW192"/>
  <c r="AW71"/>
  <c r="BB11"/>
  <c r="BB37"/>
  <c r="BB67" s="1"/>
  <c r="BB117"/>
  <c r="BB167"/>
  <c r="BB96"/>
  <c r="BB126"/>
  <c r="BB116"/>
  <c r="BC192"/>
  <c r="BC71"/>
  <c r="BD14"/>
  <c r="BD66"/>
  <c r="BD187"/>
  <c r="AW191"/>
  <c r="BD164"/>
  <c r="AY24"/>
  <c r="AY174"/>
  <c r="BD104"/>
  <c r="AX47"/>
  <c r="AR44"/>
  <c r="BD107"/>
  <c r="BD114" s="1"/>
  <c r="BB182"/>
  <c r="BB82"/>
  <c r="BB112"/>
  <c r="AU193"/>
  <c r="AZ12" s="1"/>
  <c r="AV12"/>
  <c r="AV193" s="1"/>
  <c r="BB150"/>
  <c r="BB90"/>
  <c r="BB170"/>
  <c r="BB38"/>
  <c r="BB158"/>
  <c r="BB148"/>
  <c r="BB118"/>
  <c r="BB49"/>
  <c r="BB50"/>
  <c r="BB97"/>
  <c r="BB157"/>
  <c r="BB136"/>
  <c r="BB166"/>
  <c r="BB106"/>
  <c r="AU191"/>
  <c r="AZ10" s="1"/>
  <c r="BA10" s="1"/>
  <c r="AS185"/>
  <c r="AS268" s="1"/>
  <c r="BD24"/>
  <c r="BD174"/>
  <c r="AY188"/>
  <c r="AY195" s="1"/>
  <c r="AP14"/>
  <c r="AL195"/>
  <c r="BB109"/>
  <c r="AR194"/>
  <c r="AW63" s="1"/>
  <c r="BB81"/>
  <c r="BB179"/>
  <c r="BB132"/>
  <c r="BB108"/>
  <c r="BB98"/>
  <c r="BC66"/>
  <c r="BC187"/>
  <c r="BB147"/>
  <c r="BB127"/>
  <c r="AV8"/>
  <c r="AV189" s="1"/>
  <c r="AU189"/>
  <c r="AZ8" s="1"/>
  <c r="BB76"/>
  <c r="BB146"/>
  <c r="AV188"/>
  <c r="AK195"/>
  <c r="AY144"/>
  <c r="AX37"/>
  <c r="AW67"/>
  <c r="AX57"/>
  <c r="AY134"/>
  <c r="AY67"/>
  <c r="AY74" s="1"/>
  <c r="AP73"/>
  <c r="AP74" s="1"/>
  <c r="AV53"/>
  <c r="AR54"/>
  <c r="AV54" s="1"/>
  <c r="AR73"/>
  <c r="AL74"/>
  <c r="AV63"/>
  <c r="AR64"/>
  <c r="AV64" s="1"/>
  <c r="AU14"/>
  <c r="AV6"/>
  <c r="AV33"/>
  <c r="AS74"/>
  <c r="AV67"/>
  <c r="AV23"/>
  <c r="AR24"/>
  <c r="AV24" s="1"/>
  <c r="AV43"/>
  <c r="AV44"/>
  <c r="AU134"/>
  <c r="AV134" s="1"/>
  <c r="AV126"/>
  <c r="AV13"/>
  <c r="AR14"/>
  <c r="AK185"/>
  <c r="AK268" s="1"/>
  <c r="AV199"/>
  <c r="AU206"/>
  <c r="K34" i="10"/>
  <c r="T45" i="40"/>
  <c r="BA11" i="44" l="1"/>
  <c r="AX191"/>
  <c r="BD67"/>
  <c r="BD74" s="1"/>
  <c r="AX70"/>
  <c r="BA12"/>
  <c r="BE12"/>
  <c r="BF12" s="1"/>
  <c r="BE126"/>
  <c r="BA126"/>
  <c r="BB63"/>
  <c r="AW64"/>
  <c r="AX44"/>
  <c r="BC37"/>
  <c r="BC44" s="1"/>
  <c r="BB187"/>
  <c r="AZ78"/>
  <c r="AZ118"/>
  <c r="AZ138"/>
  <c r="AZ158"/>
  <c r="AZ108"/>
  <c r="AZ48"/>
  <c r="AZ98"/>
  <c r="AZ168"/>
  <c r="AZ58"/>
  <c r="AZ38"/>
  <c r="AZ128"/>
  <c r="AZ178"/>
  <c r="AZ148"/>
  <c r="AZ28"/>
  <c r="AZ18"/>
  <c r="AZ88"/>
  <c r="AX188"/>
  <c r="AX67"/>
  <c r="AX74" s="1"/>
  <c r="AX14"/>
  <c r="BC7"/>
  <c r="AZ173"/>
  <c r="BE173" s="1"/>
  <c r="AZ53"/>
  <c r="BE53" s="1"/>
  <c r="AZ143"/>
  <c r="BE143" s="1"/>
  <c r="AZ93"/>
  <c r="BE93" s="1"/>
  <c r="AZ63"/>
  <c r="BE63" s="1"/>
  <c r="AZ103"/>
  <c r="BE103" s="1"/>
  <c r="AZ33"/>
  <c r="BE33" s="1"/>
  <c r="AZ113"/>
  <c r="BE113" s="1"/>
  <c r="AZ123"/>
  <c r="BE123" s="1"/>
  <c r="AZ183"/>
  <c r="BE183" s="1"/>
  <c r="AZ83"/>
  <c r="BE83" s="1"/>
  <c r="AZ163"/>
  <c r="BE163" s="1"/>
  <c r="AZ133"/>
  <c r="BE133" s="1"/>
  <c r="AZ153"/>
  <c r="BE153" s="1"/>
  <c r="AZ43"/>
  <c r="BE43" s="1"/>
  <c r="AZ23"/>
  <c r="BE23" s="1"/>
  <c r="AZ49"/>
  <c r="AZ79"/>
  <c r="AZ119"/>
  <c r="AZ159"/>
  <c r="AZ99"/>
  <c r="AZ89"/>
  <c r="AZ139"/>
  <c r="AZ179"/>
  <c r="AZ59"/>
  <c r="AZ29"/>
  <c r="AZ109"/>
  <c r="AZ169"/>
  <c r="AZ129"/>
  <c r="AZ19"/>
  <c r="AZ39"/>
  <c r="AZ149"/>
  <c r="BC17"/>
  <c r="AX24"/>
  <c r="AX134"/>
  <c r="BC127"/>
  <c r="BC134" s="1"/>
  <c r="BC137"/>
  <c r="AX144"/>
  <c r="BB72"/>
  <c r="BB193"/>
  <c r="AU195"/>
  <c r="AW23"/>
  <c r="AR195"/>
  <c r="AV187"/>
  <c r="BE10"/>
  <c r="BD188"/>
  <c r="BD195" s="1"/>
  <c r="BA8"/>
  <c r="AW143"/>
  <c r="AW93"/>
  <c r="AW123"/>
  <c r="AW163"/>
  <c r="AW113"/>
  <c r="AW153"/>
  <c r="AW133"/>
  <c r="AW173"/>
  <c r="AW103"/>
  <c r="AW83"/>
  <c r="AW183"/>
  <c r="AZ50"/>
  <c r="AZ60"/>
  <c r="AZ110"/>
  <c r="AZ180"/>
  <c r="BE180" s="1"/>
  <c r="BF180" s="1"/>
  <c r="AZ40"/>
  <c r="AZ90"/>
  <c r="BE90" s="1"/>
  <c r="BF90" s="1"/>
  <c r="AZ100"/>
  <c r="AZ120"/>
  <c r="BE120" s="1"/>
  <c r="AZ140"/>
  <c r="BE140" s="1"/>
  <c r="BF140" s="1"/>
  <c r="AZ80"/>
  <c r="AZ170"/>
  <c r="AZ150"/>
  <c r="AZ160"/>
  <c r="BE160" s="1"/>
  <c r="BF160" s="1"/>
  <c r="AZ20"/>
  <c r="BE20" s="1"/>
  <c r="AZ30"/>
  <c r="BE30" s="1"/>
  <c r="AZ130"/>
  <c r="AX54"/>
  <c r="BC47"/>
  <c r="BF126"/>
  <c r="BC30"/>
  <c r="AZ51"/>
  <c r="AZ141"/>
  <c r="AZ101"/>
  <c r="AZ61"/>
  <c r="AZ31"/>
  <c r="AZ41"/>
  <c r="AZ81"/>
  <c r="AZ111"/>
  <c r="AZ181"/>
  <c r="AZ161"/>
  <c r="AZ171"/>
  <c r="AZ121"/>
  <c r="AZ91"/>
  <c r="AZ131"/>
  <c r="AZ151"/>
  <c r="AZ21"/>
  <c r="BB189"/>
  <c r="BB68"/>
  <c r="BC177"/>
  <c r="AX184"/>
  <c r="BC87"/>
  <c r="AX94"/>
  <c r="BC117"/>
  <c r="AX124"/>
  <c r="BB188"/>
  <c r="AW33"/>
  <c r="AX34"/>
  <c r="AZ77"/>
  <c r="AZ107"/>
  <c r="AZ137"/>
  <c r="AZ87"/>
  <c r="BE87" s="1"/>
  <c r="AZ167"/>
  <c r="BE167" s="1"/>
  <c r="AZ117"/>
  <c r="AZ177"/>
  <c r="BE177" s="1"/>
  <c r="AZ157"/>
  <c r="AZ97"/>
  <c r="AZ37"/>
  <c r="BE37" s="1"/>
  <c r="AZ17"/>
  <c r="BE17" s="1"/>
  <c r="AZ127"/>
  <c r="AZ27"/>
  <c r="AZ47"/>
  <c r="BE47" s="1"/>
  <c r="AZ57"/>
  <c r="BE57" s="1"/>
  <c r="AZ147"/>
  <c r="AZ96"/>
  <c r="AZ56"/>
  <c r="AZ86"/>
  <c r="AZ76"/>
  <c r="AZ146"/>
  <c r="AZ116"/>
  <c r="AZ46"/>
  <c r="AZ136"/>
  <c r="AZ106"/>
  <c r="AZ176"/>
  <c r="AZ166"/>
  <c r="AZ16"/>
  <c r="AZ36"/>
  <c r="AZ156"/>
  <c r="AZ26"/>
  <c r="BC77"/>
  <c r="AX84"/>
  <c r="BC167"/>
  <c r="BC174" s="1"/>
  <c r="AX174"/>
  <c r="BC107"/>
  <c r="AX114"/>
  <c r="AW13"/>
  <c r="AW53"/>
  <c r="AX64"/>
  <c r="BC57"/>
  <c r="AZ82"/>
  <c r="AZ142"/>
  <c r="AZ162"/>
  <c r="AZ112"/>
  <c r="AZ32"/>
  <c r="AZ102"/>
  <c r="AZ52"/>
  <c r="AZ182"/>
  <c r="AZ172"/>
  <c r="AZ122"/>
  <c r="AZ62"/>
  <c r="AZ152"/>
  <c r="AZ42"/>
  <c r="AZ22"/>
  <c r="AZ92"/>
  <c r="AZ132"/>
  <c r="BB192"/>
  <c r="BF11"/>
  <c r="BB71"/>
  <c r="BC20"/>
  <c r="BA20"/>
  <c r="BA120"/>
  <c r="BC120"/>
  <c r="BB70"/>
  <c r="BB69"/>
  <c r="BB190"/>
  <c r="BB64"/>
  <c r="BC97"/>
  <c r="BC104" s="1"/>
  <c r="AX104"/>
  <c r="BC157"/>
  <c r="BC164" s="1"/>
  <c r="AX164"/>
  <c r="BC147"/>
  <c r="BC154" s="1"/>
  <c r="AX154"/>
  <c r="AV194"/>
  <c r="BE8"/>
  <c r="AW43"/>
  <c r="AZ7"/>
  <c r="BE13"/>
  <c r="BE9"/>
  <c r="BF9" s="1"/>
  <c r="AZ6"/>
  <c r="BB191"/>
  <c r="AU185"/>
  <c r="AU267"/>
  <c r="AV206"/>
  <c r="AV267" s="1"/>
  <c r="AV73"/>
  <c r="AR74"/>
  <c r="AV74" s="1"/>
  <c r="AV14"/>
  <c r="AR185"/>
  <c r="AR268" s="1"/>
  <c r="AZ69" l="1"/>
  <c r="BA69" s="1"/>
  <c r="BA57"/>
  <c r="BA30"/>
  <c r="BA160"/>
  <c r="AZ190"/>
  <c r="BA190" s="1"/>
  <c r="AZ68"/>
  <c r="BA68" s="1"/>
  <c r="BF120"/>
  <c r="BF37"/>
  <c r="BA140"/>
  <c r="AZ192"/>
  <c r="BA192" s="1"/>
  <c r="AZ72"/>
  <c r="BA72" s="1"/>
  <c r="AZ191"/>
  <c r="BA191" s="1"/>
  <c r="AZ189"/>
  <c r="BA189" s="1"/>
  <c r="AZ73"/>
  <c r="BF167"/>
  <c r="BA87"/>
  <c r="AZ71"/>
  <c r="BA71" s="1"/>
  <c r="BE62"/>
  <c r="BF62" s="1"/>
  <c r="BA62"/>
  <c r="BE162"/>
  <c r="BF162" s="1"/>
  <c r="BA162"/>
  <c r="AZ187"/>
  <c r="AZ14"/>
  <c r="AZ66"/>
  <c r="BA6"/>
  <c r="BE6"/>
  <c r="BC70"/>
  <c r="BC191"/>
  <c r="BF20"/>
  <c r="BE132"/>
  <c r="BF132" s="1"/>
  <c r="BA132"/>
  <c r="BE152"/>
  <c r="BF152" s="1"/>
  <c r="BA152"/>
  <c r="BE182"/>
  <c r="BF182" s="1"/>
  <c r="BA182"/>
  <c r="BE112"/>
  <c r="BF112" s="1"/>
  <c r="BA112"/>
  <c r="AZ164"/>
  <c r="BE156"/>
  <c r="BA156"/>
  <c r="AZ184"/>
  <c r="BE176"/>
  <c r="BA176"/>
  <c r="AZ124"/>
  <c r="BE116"/>
  <c r="BA116"/>
  <c r="AZ64"/>
  <c r="BE56"/>
  <c r="BA56"/>
  <c r="BE147"/>
  <c r="BF147" s="1"/>
  <c r="BA147"/>
  <c r="BE127"/>
  <c r="BF127" s="1"/>
  <c r="BA127"/>
  <c r="BE157"/>
  <c r="BF157" s="1"/>
  <c r="BA157"/>
  <c r="BF87"/>
  <c r="BC94"/>
  <c r="BE131"/>
  <c r="BF131" s="1"/>
  <c r="BA131"/>
  <c r="BE161"/>
  <c r="BF161" s="1"/>
  <c r="BA161"/>
  <c r="BE41"/>
  <c r="BF41" s="1"/>
  <c r="BA41"/>
  <c r="BE141"/>
  <c r="BF141" s="1"/>
  <c r="BA141"/>
  <c r="BF47"/>
  <c r="BC54"/>
  <c r="BE40"/>
  <c r="BF40" s="1"/>
  <c r="BA40"/>
  <c r="BE50"/>
  <c r="BF50" s="1"/>
  <c r="BA50"/>
  <c r="BA173"/>
  <c r="BB173"/>
  <c r="AW174"/>
  <c r="BA163"/>
  <c r="BB163"/>
  <c r="AW164"/>
  <c r="BF10"/>
  <c r="BE149"/>
  <c r="BF149" s="1"/>
  <c r="BA149"/>
  <c r="BE169"/>
  <c r="BF169" s="1"/>
  <c r="BA169"/>
  <c r="BE179"/>
  <c r="BF179" s="1"/>
  <c r="BA179"/>
  <c r="BE159"/>
  <c r="BF159" s="1"/>
  <c r="BA159"/>
  <c r="BE148"/>
  <c r="BF148" s="1"/>
  <c r="BA148"/>
  <c r="BE58"/>
  <c r="BF58" s="1"/>
  <c r="BA58"/>
  <c r="BE108"/>
  <c r="BF108" s="1"/>
  <c r="BA108"/>
  <c r="BE78"/>
  <c r="BF78" s="1"/>
  <c r="BA78"/>
  <c r="AZ70"/>
  <c r="BA70" s="1"/>
  <c r="BA177"/>
  <c r="AZ194"/>
  <c r="BA180"/>
  <c r="BF63"/>
  <c r="AZ134"/>
  <c r="AZ193"/>
  <c r="BA193" s="1"/>
  <c r="AV185"/>
  <c r="AV195"/>
  <c r="BE73"/>
  <c r="BE194"/>
  <c r="BA43"/>
  <c r="BB43"/>
  <c r="AW44"/>
  <c r="BE42"/>
  <c r="BF42" s="1"/>
  <c r="BA42"/>
  <c r="BE172"/>
  <c r="BF172" s="1"/>
  <c r="BA172"/>
  <c r="BE32"/>
  <c r="BF32" s="1"/>
  <c r="BA32"/>
  <c r="BE82"/>
  <c r="BF82" s="1"/>
  <c r="BA82"/>
  <c r="BC64"/>
  <c r="BF57"/>
  <c r="BA53"/>
  <c r="AW54"/>
  <c r="BB53"/>
  <c r="AZ34"/>
  <c r="BE26"/>
  <c r="BA26"/>
  <c r="AZ174"/>
  <c r="BE166"/>
  <c r="BA166"/>
  <c r="AZ54"/>
  <c r="BE46"/>
  <c r="BA46"/>
  <c r="BE86"/>
  <c r="BA86"/>
  <c r="BE27"/>
  <c r="BF27" s="1"/>
  <c r="BA27"/>
  <c r="BE97"/>
  <c r="BF97" s="1"/>
  <c r="BA97"/>
  <c r="BE77"/>
  <c r="BF77" s="1"/>
  <c r="BA77"/>
  <c r="BF177"/>
  <c r="BC184"/>
  <c r="BE151"/>
  <c r="BF151" s="1"/>
  <c r="BA151"/>
  <c r="BE171"/>
  <c r="BF171" s="1"/>
  <c r="BA171"/>
  <c r="BE81"/>
  <c r="BF81" s="1"/>
  <c r="BA81"/>
  <c r="BE101"/>
  <c r="BF101" s="1"/>
  <c r="BA101"/>
  <c r="BE80"/>
  <c r="BF80" s="1"/>
  <c r="BA80"/>
  <c r="BE60"/>
  <c r="BF60" s="1"/>
  <c r="BA60"/>
  <c r="BA103"/>
  <c r="BB103"/>
  <c r="AW104"/>
  <c r="BA113"/>
  <c r="BB113"/>
  <c r="AW114"/>
  <c r="BA143"/>
  <c r="BB143"/>
  <c r="AW144"/>
  <c r="BA23"/>
  <c r="BB23"/>
  <c r="AW24"/>
  <c r="BE129"/>
  <c r="BF129" s="1"/>
  <c r="BA129"/>
  <c r="BE59"/>
  <c r="BF59" s="1"/>
  <c r="BA59"/>
  <c r="BE99"/>
  <c r="BF99" s="1"/>
  <c r="BA99"/>
  <c r="BE49"/>
  <c r="BF49" s="1"/>
  <c r="BA49"/>
  <c r="BC67"/>
  <c r="BC188"/>
  <c r="BC195" s="1"/>
  <c r="BC14"/>
  <c r="BE28"/>
  <c r="BF28" s="1"/>
  <c r="BA28"/>
  <c r="BE38"/>
  <c r="BF38" s="1"/>
  <c r="BA38"/>
  <c r="BE48"/>
  <c r="BF48" s="1"/>
  <c r="BA48"/>
  <c r="BE118"/>
  <c r="BF118" s="1"/>
  <c r="BA118"/>
  <c r="BA37"/>
  <c r="BA17"/>
  <c r="BA64"/>
  <c r="AZ188"/>
  <c r="AZ67"/>
  <c r="BA67" s="1"/>
  <c r="BE7"/>
  <c r="BF7" s="1"/>
  <c r="BF8"/>
  <c r="BE22"/>
  <c r="BF22" s="1"/>
  <c r="BA22"/>
  <c r="BE122"/>
  <c r="BF122" s="1"/>
  <c r="BA122"/>
  <c r="BE102"/>
  <c r="BF102" s="1"/>
  <c r="BA102"/>
  <c r="BE142"/>
  <c r="BF142" s="1"/>
  <c r="BA142"/>
  <c r="AW194"/>
  <c r="BA13"/>
  <c r="AW73"/>
  <c r="AW14"/>
  <c r="BA14" s="1"/>
  <c r="BB13"/>
  <c r="BC114"/>
  <c r="BC84"/>
  <c r="AZ24"/>
  <c r="BA16"/>
  <c r="BE16"/>
  <c r="AZ144"/>
  <c r="BE136"/>
  <c r="BA136"/>
  <c r="AZ84"/>
  <c r="BE76"/>
  <c r="BA76"/>
  <c r="BE117"/>
  <c r="BF117" s="1"/>
  <c r="BA117"/>
  <c r="BE107"/>
  <c r="BF107" s="1"/>
  <c r="BA107"/>
  <c r="BA33"/>
  <c r="AW34"/>
  <c r="BA34" s="1"/>
  <c r="BB33"/>
  <c r="BE21"/>
  <c r="BA21"/>
  <c r="BE121"/>
  <c r="BF121" s="1"/>
  <c r="BA121"/>
  <c r="BE111"/>
  <c r="BF111" s="1"/>
  <c r="BA111"/>
  <c r="BE61"/>
  <c r="BF61" s="1"/>
  <c r="BA61"/>
  <c r="BF30"/>
  <c r="BC34"/>
  <c r="BE170"/>
  <c r="BF170" s="1"/>
  <c r="BA170"/>
  <c r="BE100"/>
  <c r="BF100" s="1"/>
  <c r="BA100"/>
  <c r="BE110"/>
  <c r="BF110" s="1"/>
  <c r="BA110"/>
  <c r="BA83"/>
  <c r="BB83"/>
  <c r="AW84"/>
  <c r="BA84" s="1"/>
  <c r="BA153"/>
  <c r="BB153"/>
  <c r="AW154"/>
  <c r="BA93"/>
  <c r="BB93"/>
  <c r="AW94"/>
  <c r="BC144"/>
  <c r="BC24"/>
  <c r="BF17"/>
  <c r="BE19"/>
  <c r="BF19" s="1"/>
  <c r="BA19"/>
  <c r="BE29"/>
  <c r="BF29" s="1"/>
  <c r="BA29"/>
  <c r="BE89"/>
  <c r="BF89" s="1"/>
  <c r="BA89"/>
  <c r="BE79"/>
  <c r="BF79" s="1"/>
  <c r="BA79"/>
  <c r="BA188"/>
  <c r="AX195"/>
  <c r="BE18"/>
  <c r="BF18" s="1"/>
  <c r="BA18"/>
  <c r="BE128"/>
  <c r="BF128" s="1"/>
  <c r="BA128"/>
  <c r="BE98"/>
  <c r="BF98" s="1"/>
  <c r="BA98"/>
  <c r="BE138"/>
  <c r="BF138" s="1"/>
  <c r="BA138"/>
  <c r="BC124"/>
  <c r="BA47"/>
  <c r="BA90"/>
  <c r="BA7"/>
  <c r="BA167"/>
  <c r="BE92"/>
  <c r="BF92" s="1"/>
  <c r="BA92"/>
  <c r="BE52"/>
  <c r="BF52" s="1"/>
  <c r="BA52"/>
  <c r="AZ44"/>
  <c r="BA36"/>
  <c r="BE36"/>
  <c r="AZ114"/>
  <c r="BE106"/>
  <c r="BA106"/>
  <c r="AZ154"/>
  <c r="BE146"/>
  <c r="BA146"/>
  <c r="AZ104"/>
  <c r="BE96"/>
  <c r="BA96"/>
  <c r="BA137"/>
  <c r="BE137"/>
  <c r="BF137" s="1"/>
  <c r="BE91"/>
  <c r="BF91" s="1"/>
  <c r="BA91"/>
  <c r="BE181"/>
  <c r="BF181" s="1"/>
  <c r="BA181"/>
  <c r="BE31"/>
  <c r="BF31" s="1"/>
  <c r="BA31"/>
  <c r="BE51"/>
  <c r="BF51" s="1"/>
  <c r="BA51"/>
  <c r="BE130"/>
  <c r="BF130" s="1"/>
  <c r="BA130"/>
  <c r="BE150"/>
  <c r="BF150" s="1"/>
  <c r="BA150"/>
  <c r="BA183"/>
  <c r="BB183"/>
  <c r="AW184"/>
  <c r="BA133"/>
  <c r="BB133"/>
  <c r="AW134"/>
  <c r="BA134" s="1"/>
  <c r="BA123"/>
  <c r="BB123"/>
  <c r="AW124"/>
  <c r="BA124" s="1"/>
  <c r="BE39"/>
  <c r="BF39" s="1"/>
  <c r="BA39"/>
  <c r="BE109"/>
  <c r="BF109" s="1"/>
  <c r="BA109"/>
  <c r="BE139"/>
  <c r="BF139" s="1"/>
  <c r="BA139"/>
  <c r="BE119"/>
  <c r="BF119" s="1"/>
  <c r="BA119"/>
  <c r="AZ94"/>
  <c r="BE88"/>
  <c r="BF88" s="1"/>
  <c r="BA88"/>
  <c r="BE178"/>
  <c r="BF178" s="1"/>
  <c r="BA178"/>
  <c r="BE168"/>
  <c r="BF168" s="1"/>
  <c r="BA168"/>
  <c r="BE158"/>
  <c r="BF158" s="1"/>
  <c r="BA158"/>
  <c r="BA63"/>
  <c r="AU268"/>
  <c r="AV268" s="1"/>
  <c r="BA184" l="1"/>
  <c r="BE193"/>
  <c r="BF193" s="1"/>
  <c r="BE69"/>
  <c r="BF69" s="1"/>
  <c r="BA164"/>
  <c r="BF183"/>
  <c r="BB184"/>
  <c r="BF93"/>
  <c r="BB94"/>
  <c r="BF33"/>
  <c r="BB34"/>
  <c r="BE84"/>
  <c r="BF76"/>
  <c r="BF13"/>
  <c r="BB73"/>
  <c r="BB194"/>
  <c r="BB14"/>
  <c r="BA194"/>
  <c r="AW195"/>
  <c r="BE67"/>
  <c r="BE188"/>
  <c r="BF188" s="1"/>
  <c r="BF23"/>
  <c r="BB24"/>
  <c r="BE94"/>
  <c r="BF86"/>
  <c r="BE34"/>
  <c r="BF26"/>
  <c r="BF43"/>
  <c r="BB44"/>
  <c r="BE184"/>
  <c r="BF176"/>
  <c r="BE14"/>
  <c r="BE66"/>
  <c r="BE187"/>
  <c r="BF6"/>
  <c r="AZ195"/>
  <c r="BA187"/>
  <c r="BE72"/>
  <c r="BF72" s="1"/>
  <c r="BA104"/>
  <c r="BE70"/>
  <c r="BF70" s="1"/>
  <c r="BA174"/>
  <c r="BE104"/>
  <c r="BF96"/>
  <c r="BE44"/>
  <c r="BF36"/>
  <c r="BF153"/>
  <c r="BB154"/>
  <c r="BF21"/>
  <c r="BE192"/>
  <c r="BF192" s="1"/>
  <c r="BE71"/>
  <c r="BF71" s="1"/>
  <c r="BE144"/>
  <c r="BF136"/>
  <c r="BF143"/>
  <c r="BB144"/>
  <c r="BE164"/>
  <c r="BF156"/>
  <c r="BA94"/>
  <c r="BE189"/>
  <c r="BF189" s="1"/>
  <c r="BE134"/>
  <c r="BA24"/>
  <c r="BA54"/>
  <c r="BA44"/>
  <c r="BE191"/>
  <c r="BF191" s="1"/>
  <c r="BF123"/>
  <c r="BB124"/>
  <c r="BE154"/>
  <c r="BF146"/>
  <c r="BF83"/>
  <c r="BB84"/>
  <c r="BA73"/>
  <c r="AW74"/>
  <c r="BF67"/>
  <c r="BC74"/>
  <c r="BF113"/>
  <c r="BB114"/>
  <c r="BE54"/>
  <c r="BF46"/>
  <c r="BF53"/>
  <c r="BB54"/>
  <c r="BF163"/>
  <c r="BB164"/>
  <c r="BE64"/>
  <c r="BF64" s="1"/>
  <c r="BF56"/>
  <c r="AZ74"/>
  <c r="BA66"/>
  <c r="BE190"/>
  <c r="BF190" s="1"/>
  <c r="BA154"/>
  <c r="BE68"/>
  <c r="BF68" s="1"/>
  <c r="BA144"/>
  <c r="BF133"/>
  <c r="BB134"/>
  <c r="BF134" s="1"/>
  <c r="BE114"/>
  <c r="BF106"/>
  <c r="BE24"/>
  <c r="BF16"/>
  <c r="BF103"/>
  <c r="BB104"/>
  <c r="BE174"/>
  <c r="BF166"/>
  <c r="BF173"/>
  <c r="BB174"/>
  <c r="BE124"/>
  <c r="BF116"/>
  <c r="BA114"/>
  <c r="BF54" l="1"/>
  <c r="BF114"/>
  <c r="BA74"/>
  <c r="BA195"/>
  <c r="BF84"/>
  <c r="BF174"/>
  <c r="BF104"/>
  <c r="BF34"/>
  <c r="BF164"/>
  <c r="BE195"/>
  <c r="BF187"/>
  <c r="BF144"/>
  <c r="BF73"/>
  <c r="BB74"/>
  <c r="BF154"/>
  <c r="BF24"/>
  <c r="BF184"/>
  <c r="BF194"/>
  <c r="BB195"/>
  <c r="BE74"/>
  <c r="BF66"/>
  <c r="BF124"/>
  <c r="BF44"/>
  <c r="BF14"/>
  <c r="BF94"/>
  <c r="S29" i="8"/>
  <c r="S30"/>
  <c r="S31"/>
  <c r="S32"/>
  <c r="S33"/>
  <c r="S34"/>
  <c r="S35"/>
  <c r="S36"/>
  <c r="S37"/>
  <c r="S27"/>
  <c r="BF74" i="44" l="1"/>
  <c r="BF195"/>
  <c r="T44" i="10"/>
  <c r="S44"/>
  <c r="R44"/>
  <c r="Q44"/>
  <c r="P44"/>
  <c r="O44"/>
  <c r="N44"/>
  <c r="V43"/>
  <c r="T43"/>
  <c r="T42" s="1"/>
  <c r="S42"/>
  <c r="R42"/>
  <c r="Q42"/>
  <c r="P42"/>
  <c r="O42"/>
  <c r="N42"/>
  <c r="V41"/>
  <c r="T41"/>
  <c r="U41" s="1"/>
  <c r="V40"/>
  <c r="T40"/>
  <c r="U40" s="1"/>
  <c r="S39"/>
  <c r="R39"/>
  <c r="Q39"/>
  <c r="P39"/>
  <c r="O39"/>
  <c r="N39"/>
  <c r="V37"/>
  <c r="T37"/>
  <c r="T36" s="1"/>
  <c r="S36"/>
  <c r="S35" s="1"/>
  <c r="R36"/>
  <c r="R35" s="1"/>
  <c r="Q36"/>
  <c r="P36"/>
  <c r="O36"/>
  <c r="O35" s="1"/>
  <c r="N36"/>
  <c r="N35" s="1"/>
  <c r="Q35"/>
  <c r="V33"/>
  <c r="T33"/>
  <c r="T32" s="1"/>
  <c r="S32"/>
  <c r="R32"/>
  <c r="Q32"/>
  <c r="P32"/>
  <c r="O32"/>
  <c r="N32"/>
  <c r="V31"/>
  <c r="T31"/>
  <c r="T30" s="1"/>
  <c r="S30"/>
  <c r="R30"/>
  <c r="Q30"/>
  <c r="P30"/>
  <c r="O30"/>
  <c r="N30"/>
  <c r="V28"/>
  <c r="T28"/>
  <c r="U28" s="1"/>
  <c r="V27"/>
  <c r="T27"/>
  <c r="U27" s="1"/>
  <c r="V26"/>
  <c r="T26"/>
  <c r="U26" s="1"/>
  <c r="S25"/>
  <c r="R25"/>
  <c r="Q25"/>
  <c r="P25"/>
  <c r="O25"/>
  <c r="N25"/>
  <c r="V24"/>
  <c r="T24"/>
  <c r="U24" s="1"/>
  <c r="S23"/>
  <c r="R23"/>
  <c r="Q23"/>
  <c r="P23"/>
  <c r="O23"/>
  <c r="N23"/>
  <c r="V22"/>
  <c r="T22"/>
  <c r="U22" s="1"/>
  <c r="S21"/>
  <c r="S20" s="1"/>
  <c r="R21"/>
  <c r="R20" s="1"/>
  <c r="Q21"/>
  <c r="Q20" s="1"/>
  <c r="P21"/>
  <c r="P20" s="1"/>
  <c r="O20"/>
  <c r="N20"/>
  <c r="V19"/>
  <c r="T19"/>
  <c r="U19" s="1"/>
  <c r="V18"/>
  <c r="T18"/>
  <c r="U18" s="1"/>
  <c r="S17"/>
  <c r="R17"/>
  <c r="Q17"/>
  <c r="P17"/>
  <c r="O17"/>
  <c r="N17"/>
  <c r="V15"/>
  <c r="T15"/>
  <c r="T14" s="1"/>
  <c r="S14"/>
  <c r="R14"/>
  <c r="Q14"/>
  <c r="P14"/>
  <c r="O14"/>
  <c r="N14"/>
  <c r="V13"/>
  <c r="T13"/>
  <c r="U13" s="1"/>
  <c r="V12"/>
  <c r="T12"/>
  <c r="U12" s="1"/>
  <c r="V11"/>
  <c r="T11"/>
  <c r="S10"/>
  <c r="R10"/>
  <c r="R9" s="1"/>
  <c r="Q10"/>
  <c r="P10"/>
  <c r="O10"/>
  <c r="N9"/>
  <c r="V7"/>
  <c r="T7"/>
  <c r="T6" s="1"/>
  <c r="T5" s="1"/>
  <c r="S6"/>
  <c r="S5" s="1"/>
  <c r="S4" s="1"/>
  <c r="R6"/>
  <c r="R5" s="1"/>
  <c r="R4" s="1"/>
  <c r="Q6"/>
  <c r="Q5" s="1"/>
  <c r="Q4" s="1"/>
  <c r="P6"/>
  <c r="P5" s="1"/>
  <c r="O6"/>
  <c r="N4"/>
  <c r="S8" i="8"/>
  <c r="S9"/>
  <c r="S11"/>
  <c r="S12"/>
  <c r="S13"/>
  <c r="S14"/>
  <c r="S15"/>
  <c r="S16"/>
  <c r="S17"/>
  <c r="S18"/>
  <c r="S19"/>
  <c r="R17"/>
  <c r="R21"/>
  <c r="S10"/>
  <c r="C35" i="4"/>
  <c r="E35"/>
  <c r="I7" l="1"/>
  <c r="N9" i="8"/>
  <c r="R9" s="1"/>
  <c r="T10" i="10"/>
  <c r="U10" s="1"/>
  <c r="Q9"/>
  <c r="N38"/>
  <c r="N34" s="1"/>
  <c r="U31"/>
  <c r="U32"/>
  <c r="P16"/>
  <c r="O5"/>
  <c r="O4" s="1"/>
  <c r="O9"/>
  <c r="S9"/>
  <c r="N16"/>
  <c r="R16"/>
  <c r="R8" s="1"/>
  <c r="U30"/>
  <c r="U37"/>
  <c r="U11"/>
  <c r="O38"/>
  <c r="O34" s="1"/>
  <c r="S38"/>
  <c r="S34" s="1"/>
  <c r="U43"/>
  <c r="U44"/>
  <c r="V10"/>
  <c r="O16"/>
  <c r="S16"/>
  <c r="V36"/>
  <c r="U14"/>
  <c r="V17"/>
  <c r="R38"/>
  <c r="R34" s="1"/>
  <c r="P38"/>
  <c r="U7"/>
  <c r="U15"/>
  <c r="Q16"/>
  <c r="T21"/>
  <c r="T20" s="1"/>
  <c r="U20" s="1"/>
  <c r="V23"/>
  <c r="V25"/>
  <c r="V30"/>
  <c r="U33"/>
  <c r="V39"/>
  <c r="U36"/>
  <c r="U42"/>
  <c r="V14"/>
  <c r="V20"/>
  <c r="V32"/>
  <c r="Q38"/>
  <c r="Q34" s="1"/>
  <c r="V42"/>
  <c r="V44"/>
  <c r="P4"/>
  <c r="T4"/>
  <c r="V6"/>
  <c r="U6"/>
  <c r="P9"/>
  <c r="T17"/>
  <c r="V21"/>
  <c r="P35"/>
  <c r="T35"/>
  <c r="T23"/>
  <c r="U23" s="1"/>
  <c r="T25"/>
  <c r="U25" s="1"/>
  <c r="T39"/>
  <c r="T9" l="1"/>
  <c r="Q9" i="8"/>
  <c r="O8" i="10"/>
  <c r="O45" s="1"/>
  <c r="V5"/>
  <c r="U21"/>
  <c r="N8"/>
  <c r="N45" s="1"/>
  <c r="S8"/>
  <c r="S45" s="1"/>
  <c r="U5"/>
  <c r="V16"/>
  <c r="V38"/>
  <c r="R45"/>
  <c r="Q8"/>
  <c r="Q45" s="1"/>
  <c r="U39"/>
  <c r="T38"/>
  <c r="U38" s="1"/>
  <c r="V35"/>
  <c r="P34"/>
  <c r="V34" s="1"/>
  <c r="V9"/>
  <c r="P8"/>
  <c r="U4"/>
  <c r="U35"/>
  <c r="U9"/>
  <c r="T16"/>
  <c r="U16" s="1"/>
  <c r="U17"/>
  <c r="V4"/>
  <c r="C22" i="19"/>
  <c r="V8" i="10" l="1"/>
  <c r="T8"/>
  <c r="U8" s="1"/>
  <c r="T34"/>
  <c r="U34" s="1"/>
  <c r="P45"/>
  <c r="T45" l="1"/>
  <c r="G11" i="7" l="1"/>
  <c r="D14" i="2"/>
  <c r="H13" i="7" s="1"/>
  <c r="G10"/>
  <c r="G12"/>
  <c r="D12" i="2"/>
  <c r="H11" i="7" s="1"/>
  <c r="D10" i="2"/>
  <c r="H9" i="7" s="1"/>
  <c r="G9"/>
  <c r="D9" i="2"/>
  <c r="H8" i="7" s="1"/>
  <c r="H7" l="1"/>
  <c r="I7" s="1"/>
  <c r="J7" s="1"/>
  <c r="E8" i="2"/>
  <c r="F8" i="7"/>
  <c r="E9" i="2"/>
  <c r="G8" i="7"/>
  <c r="F9"/>
  <c r="I9" s="1"/>
  <c r="J9" s="1"/>
  <c r="E10" i="2"/>
  <c r="F10" i="7"/>
  <c r="D13" i="2"/>
  <c r="H12" i="7" s="1"/>
  <c r="G13"/>
  <c r="D11" i="2"/>
  <c r="H10" i="7" s="1"/>
  <c r="E11" i="2" l="1"/>
  <c r="I8" i="7"/>
  <c r="J8" s="1"/>
  <c r="D15" i="2"/>
  <c r="E15" s="1"/>
  <c r="B15"/>
  <c r="F12" i="7"/>
  <c r="I12" s="1"/>
  <c r="J12" s="1"/>
  <c r="E13" i="2"/>
  <c r="F11" i="7"/>
  <c r="E12" i="2"/>
  <c r="G14" i="7"/>
  <c r="C15" i="2"/>
  <c r="H14" i="7"/>
  <c r="F13"/>
  <c r="I13" s="1"/>
  <c r="J13" s="1"/>
  <c r="E14" i="2"/>
  <c r="I10" i="7"/>
  <c r="J10" s="1"/>
  <c r="I11"/>
  <c r="J11" s="1"/>
  <c r="D13" i="6"/>
  <c r="P7" i="8"/>
  <c r="P8"/>
  <c r="P9"/>
  <c r="P10"/>
  <c r="P11"/>
  <c r="P12"/>
  <c r="P13"/>
  <c r="P14"/>
  <c r="P15"/>
  <c r="P16"/>
  <c r="P17"/>
  <c r="P18"/>
  <c r="P19"/>
  <c r="S20"/>
  <c r="S21"/>
  <c r="P27"/>
  <c r="S28"/>
  <c r="P28"/>
  <c r="P30"/>
  <c r="P31"/>
  <c r="P32"/>
  <c r="P33"/>
  <c r="P34"/>
  <c r="P35"/>
  <c r="P36"/>
  <c r="P37"/>
  <c r="F14" i="7" l="1"/>
  <c r="I14" s="1"/>
  <c r="J14" s="1"/>
  <c r="T9" i="8" l="1"/>
  <c r="T17"/>
  <c r="T21"/>
  <c r="F25" i="4"/>
  <c r="F24"/>
  <c r="I24" s="1"/>
  <c r="I19"/>
  <c r="N19" i="8"/>
  <c r="R19" s="1"/>
  <c r="N18"/>
  <c r="R18" s="1"/>
  <c r="N16"/>
  <c r="R16" s="1"/>
  <c r="N15"/>
  <c r="R15" s="1"/>
  <c r="N14"/>
  <c r="R14" s="1"/>
  <c r="N10"/>
  <c r="R10" s="1"/>
  <c r="N7"/>
  <c r="R7" s="1"/>
  <c r="I10" i="4" l="1"/>
  <c r="N12" i="8"/>
  <c r="Q10"/>
  <c r="T10" s="1"/>
  <c r="I9" i="4"/>
  <c r="N11" i="8"/>
  <c r="Q14"/>
  <c r="T14" s="1"/>
  <c r="Q19"/>
  <c r="T19" s="1"/>
  <c r="Q18"/>
  <c r="T18" s="1"/>
  <c r="I6" i="4"/>
  <c r="N8" i="8"/>
  <c r="I11" i="4"/>
  <c r="N13" i="8"/>
  <c r="I18" i="4"/>
  <c r="N20" i="8"/>
  <c r="Q16"/>
  <c r="T16" s="1"/>
  <c r="Q15"/>
  <c r="T15" s="1"/>
  <c r="I34" i="4"/>
  <c r="N37" i="8"/>
  <c r="I33" i="4"/>
  <c r="N36" i="8"/>
  <c r="I32" i="4"/>
  <c r="N35" i="8"/>
  <c r="I31" i="4"/>
  <c r="N34" i="8"/>
  <c r="I30" i="4"/>
  <c r="N33" i="8"/>
  <c r="I29" i="4"/>
  <c r="N32" i="8"/>
  <c r="I28" i="4"/>
  <c r="N31" i="8"/>
  <c r="I27" i="4"/>
  <c r="N30" i="8"/>
  <c r="I26" i="4"/>
  <c r="N29" i="8"/>
  <c r="I25" i="4"/>
  <c r="N28" i="8"/>
  <c r="N27"/>
  <c r="F35" i="4"/>
  <c r="E13" i="6"/>
  <c r="I14" i="4"/>
  <c r="I12"/>
  <c r="I16"/>
  <c r="I5"/>
  <c r="Q7" i="8"/>
  <c r="T7" s="1"/>
  <c r="I8" i="4"/>
  <c r="I13"/>
  <c r="I17"/>
  <c r="N38" i="8" l="1"/>
  <c r="R11"/>
  <c r="Q11"/>
  <c r="T11" s="1"/>
  <c r="R8"/>
  <c r="Q8"/>
  <c r="T8" s="1"/>
  <c r="R12"/>
  <c r="Q12"/>
  <c r="T12" s="1"/>
  <c r="R13"/>
  <c r="Q13"/>
  <c r="T13" s="1"/>
  <c r="R20"/>
  <c r="Q20"/>
  <c r="T20" s="1"/>
  <c r="R37"/>
  <c r="Q37"/>
  <c r="T37" s="1"/>
  <c r="R36"/>
  <c r="Q36"/>
  <c r="T36" s="1"/>
  <c r="R35"/>
  <c r="Q35"/>
  <c r="T35" s="1"/>
  <c r="Q34"/>
  <c r="T34" s="1"/>
  <c r="R34"/>
  <c r="R33"/>
  <c r="Q33"/>
  <c r="T33" s="1"/>
  <c r="R32"/>
  <c r="Q32"/>
  <c r="T32" s="1"/>
  <c r="R31"/>
  <c r="Q31"/>
  <c r="T31" s="1"/>
  <c r="Q30"/>
  <c r="T30" s="1"/>
  <c r="R30"/>
  <c r="R29"/>
  <c r="Q29"/>
  <c r="T29" s="1"/>
  <c r="R28"/>
  <c r="Q28"/>
  <c r="T28" s="1"/>
  <c r="Q27"/>
  <c r="T27" s="1"/>
  <c r="R27"/>
  <c r="K5" i="10" l="1"/>
  <c r="K6"/>
  <c r="L22"/>
  <c r="K20"/>
  <c r="K22"/>
  <c r="L10"/>
  <c r="K10"/>
  <c r="K7"/>
  <c r="L9"/>
  <c r="L11"/>
  <c r="L6"/>
  <c r="J45"/>
  <c r="L16"/>
  <c r="L5"/>
  <c r="K8"/>
  <c r="L4"/>
  <c r="L45"/>
  <c r="K9"/>
  <c r="K4"/>
  <c r="K11"/>
  <c r="K16"/>
  <c r="K45" l="1"/>
  <c r="H19" i="4"/>
  <c r="H18"/>
</calcChain>
</file>

<file path=xl/comments1.xml><?xml version="1.0" encoding="utf-8"?>
<comments xmlns="http://schemas.openxmlformats.org/spreadsheetml/2006/main">
  <authors>
    <author>RMUTSV</author>
  </authors>
  <commentList>
    <comment ref="M136" authorId="0">
      <text>
        <r>
          <rPr>
            <b/>
            <sz val="9"/>
            <color indexed="81"/>
            <rFont val="Tahoma"/>
            <family val="2"/>
          </rPr>
          <t>RMUTSV:</t>
        </r>
        <r>
          <rPr>
            <sz val="9"/>
            <color indexed="81"/>
            <rFont val="Tahoma"/>
            <family val="2"/>
          </rPr>
          <t xml:space="preserve">
ค่าใช้สอย 1,169,704.20.-</t>
        </r>
      </text>
    </comment>
    <comment ref="M137" authorId="0">
      <text>
        <r>
          <rPr>
            <b/>
            <sz val="9"/>
            <color indexed="81"/>
            <rFont val="Tahoma"/>
            <family val="2"/>
          </rPr>
          <t>ค่าใช้สอย 632,783.72</t>
        </r>
      </text>
    </comment>
  </commentList>
</comments>
</file>

<file path=xl/sharedStrings.xml><?xml version="1.0" encoding="utf-8"?>
<sst xmlns="http://schemas.openxmlformats.org/spreadsheetml/2006/main" count="40428" uniqueCount="3244">
  <si>
    <t>รูปแบบรายงานต้นทุนผลผลิต</t>
  </si>
  <si>
    <t>รายได้</t>
  </si>
  <si>
    <t>รายได้จากรัฐบาล</t>
  </si>
  <si>
    <t>รายได้จากเงินช่วยเหลือและเงินบริจาค</t>
  </si>
  <si>
    <t>รายได้รวม</t>
  </si>
  <si>
    <t>ประเภทค่าใช้จ่าย</t>
  </si>
  <si>
    <t>เงินในงบประมาณ</t>
  </si>
  <si>
    <t>เงินนอกงบประมาณ</t>
  </si>
  <si>
    <t>รวม</t>
  </si>
  <si>
    <t>ชื่อกิจกรรม</t>
  </si>
  <si>
    <t>งบกลาง</t>
  </si>
  <si>
    <t>ค่าเสื่อมราคา</t>
  </si>
  <si>
    <t>ต้นทุนรวม</t>
  </si>
  <si>
    <t>ปริมาณ</t>
  </si>
  <si>
    <t>ต้นทุนต่อหน่วย</t>
  </si>
  <si>
    <t>รายได้สูง (ต่ำ) กว่าค่าใช้จ่ายสะสม</t>
  </si>
  <si>
    <t>ชื่อผลผลิต</t>
  </si>
  <si>
    <t>1. ผู้สำเร็จการศึกษาด้านสังคมศาสตร์</t>
  </si>
  <si>
    <t xml:space="preserve">รูปแบบรายงานต้นทุนผลผลิต </t>
  </si>
  <si>
    <t>4. ผลงานทำนุบำรุงศิลปวัฒนธรรม</t>
  </si>
  <si>
    <t>โครงการ</t>
  </si>
  <si>
    <t>งบกลาง (ถ้ามี)</t>
  </si>
  <si>
    <t xml:space="preserve">     -  กลุ่มสาขาวิชาวิศวกรรมศาสตร์</t>
  </si>
  <si>
    <t xml:space="preserve">     -  กลุ่มสาขาวิชาวิทยาศาสตร์กายภาพ</t>
  </si>
  <si>
    <t xml:space="preserve">     -  กลุ่มสาขาวิชาเกษตรศาสตร์</t>
  </si>
  <si>
    <t xml:space="preserve">     -  กลุ่มสาขาวิชาสังคมศาสตร์</t>
  </si>
  <si>
    <t xml:space="preserve">     -  กลุ่มสาขาวิชาสถาปัตยกรรมศาสตร์</t>
  </si>
  <si>
    <t xml:space="preserve">     -  กลุ่มสาขาวิชาบริหารธุรกิจ</t>
  </si>
  <si>
    <t>ต้นทุนต่อหน่วย
เพิ่ม(ลด) %</t>
  </si>
  <si>
    <t>หน่วยนับ
เพิ่ม(ลด) %</t>
  </si>
  <si>
    <t>ต้นทุนรวม
เพิ่ม(ลด) %</t>
  </si>
  <si>
    <t>ผลการเปรียบเทียบ</t>
  </si>
  <si>
    <t>2. ผู้สำเร็จการศึกษาด้านวิทยาศาสตร์และเทคโนโลยี</t>
  </si>
  <si>
    <t>หน่วย : บาท</t>
  </si>
  <si>
    <t>3. ผลงานการให้บริการวิชาการ</t>
  </si>
  <si>
    <t>รายงานเปรียบเทียบต้นทุนต่อหน่วยผลผลิต</t>
  </si>
  <si>
    <t>มหาวิทยาลัยเทคโนโลยีราชมงคลศรีวิชัย</t>
  </si>
  <si>
    <t xml:space="preserve">มหาวิทยาลัยเทคโนโลยีราชมงคลศรีวิชัย </t>
  </si>
  <si>
    <t>ผลผลิตด้านการเรียนการสอน</t>
  </si>
  <si>
    <t>FTES</t>
  </si>
  <si>
    <t>งปม.</t>
  </si>
  <si>
    <t>นอกงปม.</t>
  </si>
  <si>
    <t>รวมต้นทุน</t>
  </si>
  <si>
    <t>กลุ่มสาขาวิชาบริหารธุรกิจ</t>
  </si>
  <si>
    <t>คณะบริหารธุรกิจ</t>
  </si>
  <si>
    <t>คณะเทคโนโลยีการจัดการ</t>
  </si>
  <si>
    <t>กลุ่มสาขาวิชาสถาปัตยกรรมศาสตร์</t>
  </si>
  <si>
    <t>คณะสถาปัตยกรรมศาสตร์</t>
  </si>
  <si>
    <t>กลุ่มสาขาวิชาสังคมศาสตร์</t>
  </si>
  <si>
    <t>คณะศิลปศาสตร์</t>
  </si>
  <si>
    <t>กลุ่มสาขาวิชาเกษตรศาสตร์</t>
  </si>
  <si>
    <t>คณะอุตสาหกรรมเกษตร</t>
  </si>
  <si>
    <t>คณะเกษตรศาสตร์</t>
  </si>
  <si>
    <t>กลุ่มสาขาวิชาวิทยาศาสตร์กายภาพ</t>
  </si>
  <si>
    <t>คณะวิทยาศาสตร์และเทคโนโลยี</t>
  </si>
  <si>
    <t>คณะวิทยาศาสตร์และเทคโนโลยีการประมง</t>
  </si>
  <si>
    <t>กลุ่มสาขาวิชาวิศวกรรมศาสตร์</t>
  </si>
  <si>
    <t>คณะวิศวกรรมศาสตร์</t>
  </si>
  <si>
    <t>คณะครุศาสตร์อุตสาหกรรมและเทคโนโลยี</t>
  </si>
  <si>
    <t>วิทยาลัยเทคโนโลยีอุตสาหกรรมและการจัดการ</t>
  </si>
  <si>
    <t>วิทยาลัยรัตภูมิ</t>
  </si>
  <si>
    <t>รวมทั้งสิ้น</t>
  </si>
  <si>
    <t>1. ค่าใช้จ่ายด้านบุคลากร</t>
  </si>
  <si>
    <t xml:space="preserve">รายได้อื่น </t>
  </si>
  <si>
    <t>ที่</t>
  </si>
  <si>
    <t xml:space="preserve"> *  รายได้จากรัฐบาลรวมงบลงทุน</t>
  </si>
  <si>
    <t xml:space="preserve"> * ข้อมูลรวมงบลงทุน</t>
  </si>
  <si>
    <t>หมายเหตุ</t>
  </si>
  <si>
    <t>คณะสัตวแพทย์ศาสตร์</t>
  </si>
  <si>
    <t>วิทยาลัยการโรงแรมและท่องเที่ยว</t>
  </si>
  <si>
    <t>ชื่อหน่วยงาน</t>
  </si>
  <si>
    <t>ค่าใช้จ่ายด้านบุคลากร</t>
  </si>
  <si>
    <t>ค่าใช้จ่ายเงินอุดหนุน</t>
  </si>
  <si>
    <t>ค่าใช้จ่ายอื่น ๆ</t>
  </si>
  <si>
    <t>ค่าเสื่อมราคาและค่าตัดจำหน่าย</t>
  </si>
  <si>
    <t>รวมคชจ.</t>
  </si>
  <si>
    <t xml:space="preserve"> หน่วยงานหลัก </t>
  </si>
  <si>
    <t xml:space="preserve"> 1. คณะวิศวกรรมศาสตร์ (สงขลา) </t>
  </si>
  <si>
    <t xml:space="preserve"> 2. คณะบริหารธุรกิจ (สงขลา) </t>
  </si>
  <si>
    <t xml:space="preserve"> 3.  คณะศิลปศาสตร์ (สงขลา)</t>
  </si>
  <si>
    <t xml:space="preserve"> 4. คณะสถาปัตยกรรมศาสตร์ (สงขลา) </t>
  </si>
  <si>
    <t xml:space="preserve"> 5. คณะครุศาสตร์อุตสาหกรรมและเทคโนโลยี (สงขลา)</t>
  </si>
  <si>
    <t xml:space="preserve"> 6. วิทยาลัยรัตภูมิ (สงขลา) </t>
  </si>
  <si>
    <t xml:space="preserve"> 7. คณะวิทยาศาสตร์และเทคโนโลยี (ทุ่งใหญ่) </t>
  </si>
  <si>
    <t xml:space="preserve"> 7. คณะวิทยาศาสตร์และเทคโนโลยี (ไสใหญ่) </t>
  </si>
  <si>
    <t xml:space="preserve"> 8. คณะเกษตรศาสตร์ (ทุ่งใหญ่) </t>
  </si>
  <si>
    <t xml:space="preserve"> 8. คณะเกษตรศาสตร์ (ไสใหญ่) </t>
  </si>
  <si>
    <t xml:space="preserve"> 9. คณะอุตสาหกรรมเกษตร (ทุ่งใหญ่) </t>
  </si>
  <si>
    <t xml:space="preserve"> 10. คณะสัตวแพทย์ศาสตร์ (ทุ่งใหญ่) </t>
  </si>
  <si>
    <t xml:space="preserve"> 11. คณะเทคโนโลยีการจัดการ (ไสใหญ่) </t>
  </si>
  <si>
    <t xml:space="preserve"> 12. คณะวิทยาศาสตร์และเทคโนโลยีการประมง (ตรัง) </t>
  </si>
  <si>
    <t xml:space="preserve"> 13. วิทยาลัยการโรงแรมและการท่องเที่ยว (ตรัง) </t>
  </si>
  <si>
    <t xml:space="preserve"> 14. วิทยาลัยเทคโนโลยีอุตสาหกรรมและการจัดการ (ขนอม) </t>
  </si>
  <si>
    <t xml:space="preserve"> หน่วยงานสนับสนุน </t>
  </si>
  <si>
    <t xml:space="preserve"> 3. สำนักงานวิทยาเขตนครศรีธรรมราช (ไสใหญ่) </t>
  </si>
  <si>
    <t xml:space="preserve"> 4. สำนักงานวิทยาเขตนครศรีธรรมราช (ทุ่งใหญ่) </t>
  </si>
  <si>
    <t xml:space="preserve"> 5. สำนักงานวิทยาเขตตรัง </t>
  </si>
  <si>
    <t xml:space="preserve"> 6. สถาบันวิจัยและพัฒนา  (ตรัง)</t>
  </si>
  <si>
    <t xml:space="preserve"> 2. ส่วนกลางสงขลา  </t>
  </si>
  <si>
    <t xml:space="preserve">     -  กลุ่มสาขาวิชาวิทยาศาสตร์สุขภาพ</t>
  </si>
  <si>
    <t xml:space="preserve">     -  กลุ่มสาขาวิชาครุศาสตร์</t>
  </si>
  <si>
    <t>จำนวน นศ.</t>
  </si>
  <si>
    <t>***  หน่วยนับด้านการเรียนการสอนตามเกณฑ์ของกรมบัญชีกลางใช้ค่า FTES  เพื่อเป็นมาตรฐานเดียวกันในสถาบันอุดมศึกษา สามารถเปรียบเทียบต้นทุนผลผลิตด้านการเรียนการสอนในประเภทมหาวิทยาลัยเดียวกันได้</t>
  </si>
  <si>
    <t>*   ระดับปริญญาโทไม่สามารถแยกค่าใช้จ่ายได้จึงใช้วิธีการปันส่วนโดยใช้ค่า FTES</t>
  </si>
  <si>
    <t>**  คณะที่มีผลผลิตทั้งทางด้านวิทยาศาสตร์และเทคโนโลยี และด้านสังคมศาสตร์  กำหนดให้มีผลผลิตเพียงด้านใดด้านหนึ่งตามกรมบัญชีกลาง โดยแบ่งกลุ่มสาขาวิชาตามสมศ.</t>
  </si>
  <si>
    <t>รายได้จากรัฐบาล *</t>
  </si>
  <si>
    <t>รายได้จากการขายสินค้าและบริการ 
(เงินนอกงบประมาณ)</t>
  </si>
  <si>
    <t>ผู้สำเร็จการศึกษาด้านสังคมศาสตร์</t>
  </si>
  <si>
    <t>ผู้สำเร็จการศึกษาด้านวิทยาศาสตร์และเทคโนโลยี</t>
  </si>
  <si>
    <t>2. ค่าใช้จ่ายด้านการฝึกอบรม</t>
  </si>
  <si>
    <t>3. ค่าใช้จ่ายในการเดินทาง</t>
  </si>
  <si>
    <t>4. ค่าตอบแทน ใช้สอย และวัสดุ</t>
  </si>
  <si>
    <t>5. ค่าเสื่อมราคาและค่าตัดจำหน่าย</t>
  </si>
  <si>
    <t>6. ค่าใช้จ่ายเงินอุดหนุน</t>
  </si>
  <si>
    <t>7. ค่าใช้จ่ายอื่น ๆ</t>
  </si>
  <si>
    <t>4. การจัดการเรียนการสอนกลุ่มสาขาวิชาวิศวกรรมศาสตร์ ระดับปวส.</t>
  </si>
  <si>
    <t>5. การจัดการเรียนการสอนกลุ่มสาขาวิชาวิศวกรรมศาสตร์ ระดับปริญญาตรี</t>
  </si>
  <si>
    <t>6. การจัดการเรียนการสอนกลุ่มสาขาวิชาวิศวกรรมศาสตร์ ระดับปริญญาโท</t>
  </si>
  <si>
    <t>7. การจัดการเรียนการสอนกลุ่มสาขาวิชาเกษตรศาสตร์ ระดับปริญญาตรี</t>
  </si>
  <si>
    <t>8. การจัดการเรียนการสอนกลุ่มสาขาวิชาเกษตรศาสตร์ ระดับปริญญาโท</t>
  </si>
  <si>
    <t>9. การจัดการเรียนการสอนกลุ่มสาขาวิชาวิทยาศาสตร์กายภาพ ระดับปริญญาตรี</t>
  </si>
  <si>
    <t>10. การจัดการเรียนการสอนกลุ่มสาขาวิชาวิทยาศาสตร์กายภาพ ระดับปริญญาโท</t>
  </si>
  <si>
    <t>11. การจัดการเรียนการสอนกลุ่มสาขาวิชาวิทยาศาสตร์สุขภาพ ระดับปริญญาตรี</t>
  </si>
  <si>
    <t>12. การจัดการเรียนการสอนกลุ่มสาขาวิชาครุศาสตร์ ระดับปริญญาตรี</t>
  </si>
  <si>
    <t>14. จัดอบรมและสัมมนาเชิงวิชาการหรือปฏิบัติการ</t>
  </si>
  <si>
    <t>15. ส่งเสริมและทำนุบำรุงศิลปวัฒนธรรม</t>
  </si>
  <si>
    <t>ระดับปริญญาตรี</t>
  </si>
  <si>
    <t>ระดับปริญญาโท</t>
  </si>
  <si>
    <t>ระดับประกาศนียบัตรวิชาชีพชั้นสูง (ปวส.)</t>
  </si>
  <si>
    <t>4. ค่าใช้จ่ายตอบแทน ใช้สอย และวัสดุ</t>
  </si>
  <si>
    <t>ค่าใช้จ่ายด้านการฝึกอบรม</t>
  </si>
  <si>
    <t>ค่าใช้จ่ายในการเดินทาง</t>
  </si>
  <si>
    <t>ค่าตอบแทน ใช้สอย และวัสดุ</t>
  </si>
  <si>
    <t>รายได้อื่นที่ไม่เกิดจากการดำเนินงาน</t>
  </si>
  <si>
    <t>1. ฟาร์ม (ทุ่งใหญ่)</t>
  </si>
  <si>
    <t>2. หอพัก (ทุ่งใหญ่)</t>
  </si>
  <si>
    <t>3 โรงพยาบาลสัตว์ (ทุ่งใหญ่)</t>
  </si>
  <si>
    <t>6. หอพัก (ตรัง)</t>
  </si>
  <si>
    <t xml:space="preserve"> 7. สถาบันทรัพยากรธรรมชาติและสิ่งแวดล้อม (ตรัง)</t>
  </si>
  <si>
    <t xml:space="preserve">คณะบริหารธุรกิจ </t>
  </si>
  <si>
    <t xml:space="preserve">คณะเกษตรศาสตร์ </t>
  </si>
  <si>
    <t xml:space="preserve">วิทยาลัยรัตภูมิ </t>
  </si>
  <si>
    <t>กลุ่มสาขาวิชาวิทยาศาสตร์สุขภาพ</t>
  </si>
  <si>
    <t>กลุ่มสาขาวิชาครุศาสตร์</t>
  </si>
  <si>
    <t>รวทั้งสิ้น</t>
  </si>
  <si>
    <t>ต้นทุนต่อหน่วย
(FTES)</t>
  </si>
  <si>
    <t>จำนวนเอกสารรายการ</t>
  </si>
  <si>
    <t>จำนวนบุคลากร</t>
  </si>
  <si>
    <t>ด้าน</t>
  </si>
  <si>
    <t>จำนวนนักศึกษา</t>
  </si>
  <si>
    <t xml:space="preserve">เพิ่ม (ลด)% </t>
  </si>
  <si>
    <t>เพิ่ม (ลด) %</t>
  </si>
  <si>
    <t>เงินช่วยการศึกษาบุตร</t>
  </si>
  <si>
    <t>บำนาญปกติ</t>
  </si>
  <si>
    <t>เงินบำเหน็จตกทอด</t>
  </si>
  <si>
    <t>รวมทุกหน่วยงาน</t>
  </si>
  <si>
    <t>ต้นทุนต่อหน่วย
ไม่คิดค่าเสื่อม</t>
  </si>
  <si>
    <t>1. การจัดการเรียนการสอนกลุ่มสาขาวิชาบริหารธุรกิจ - ระดับปริญญาตรี</t>
  </si>
  <si>
    <t>2. การจัดการเรียนการสอนกลุ่มสาขาวิชาบริหารธุรกิจ -  ระดับปริญญาโท</t>
  </si>
  <si>
    <t>3. การจัดการเรียนการสอนกลุ่มสาขาวิชาสังคมศาสตร์ -  ระดับปริญญาตรี</t>
  </si>
  <si>
    <t xml:space="preserve">               ค่าใช้จ่ายรวม</t>
  </si>
  <si>
    <t>หน่วยงานหลัก</t>
  </si>
  <si>
    <t>วิทย์</t>
  </si>
  <si>
    <t>เงินงปม.</t>
  </si>
  <si>
    <t>เงินนอกงปม.</t>
  </si>
  <si>
    <t>สังคม</t>
  </si>
  <si>
    <t>วิทยาลัยการโรงแรมและการท่องเที่ยว (ตรัง)</t>
  </si>
  <si>
    <t>กิจกรรมด้านบริหาร</t>
  </si>
  <si>
    <t>กิจกรรมด้านการคลัง</t>
  </si>
  <si>
    <t>กิจกรรมด้านบริหารบุคลากร</t>
  </si>
  <si>
    <t>กิจกรรมด้านนโยบายและแผน</t>
  </si>
  <si>
    <t>กิจกรรมด้านพัฒนานักศึกษา</t>
  </si>
  <si>
    <t>กิจกรรมด้านพัฒนาระบบบริหารราชการ</t>
  </si>
  <si>
    <t>กิจกรรมด้านการประชาสัมพันธ์</t>
  </si>
  <si>
    <t>กิจกรรมด้านยานพาหนะและอาคารสถานที่</t>
  </si>
  <si>
    <t>กิจกรรมด้านเทคโนโลยีสารสนเทศ</t>
  </si>
  <si>
    <t>กิจกรรมด้านการจัดการทรัพยากรธรรมชาติและสิ่งแวดล้อม</t>
  </si>
  <si>
    <t>กิจกรรมด้านงานทะเบียน</t>
  </si>
  <si>
    <t>เงินบำเหน็จ</t>
  </si>
  <si>
    <t>งปม.+นอกงปม.
แต่ละกิจกรรม</t>
  </si>
  <si>
    <t>ร้อยละ
ปันส่วน</t>
  </si>
  <si>
    <t>ค่าเสื่อมราคา
หลังปันส่วน</t>
  </si>
  <si>
    <t>ค่าเสื่อมราคา
ก่อนปันส่วน</t>
  </si>
  <si>
    <t xml:space="preserve"> รวมปันส่วน</t>
  </si>
  <si>
    <t>กิจกรรม</t>
  </si>
  <si>
    <t>หน่วยงาน</t>
  </si>
  <si>
    <t>สำนักงานอธิการบดี</t>
  </si>
  <si>
    <t>สำนักงานวิทยาเขตนครศรีธรรมราช</t>
  </si>
  <si>
    <t>กองคลัง</t>
  </si>
  <si>
    <t>กองบริหารงานบุคคล</t>
  </si>
  <si>
    <t>กองนโยบายและแผน</t>
  </si>
  <si>
    <t>กองพัฒนนักศึกษา</t>
  </si>
  <si>
    <t>กองวิเทศสัมพันธ์และการประกันคุณภาพ</t>
  </si>
  <si>
    <t>กองประชาสัมพันธ์</t>
  </si>
  <si>
    <t>สำนักวิทยบริการและเทคโนโลยีสารสนเทศ</t>
  </si>
  <si>
    <t>สำนักส่งเสริมวิชาการและงานทะเบียน</t>
  </si>
  <si>
    <t>ค่าเสื่อม</t>
  </si>
  <si>
    <t xml:space="preserve">กองกลาง+กองออกแบบและพัฒนาอาคารฯ </t>
  </si>
  <si>
    <t>สำนักงานวิทยาเขตตรัง</t>
  </si>
  <si>
    <t>สถาบันทรัพยากรธรรมชาติและสิ่งแวดล้อม+สถาบันวิจัยและพัฒนา</t>
  </si>
  <si>
    <t>รวมต้นทุน
กิจกรรม</t>
  </si>
  <si>
    <t>รวมด้านบริหาร</t>
  </si>
  <si>
    <t>ลำดับ</t>
  </si>
  <si>
    <t>ปวส.</t>
  </si>
  <si>
    <t>ปริญญาตรี</t>
  </si>
  <si>
    <t>ปริญญาโท</t>
  </si>
  <si>
    <t>ภาคปกติ</t>
  </si>
  <si>
    <t>ภาคสมทบ</t>
  </si>
  <si>
    <t>การจัดการ-การจัดการทั่วไป</t>
  </si>
  <si>
    <t>การตลาด</t>
  </si>
  <si>
    <t>การบัญชี</t>
  </si>
  <si>
    <t>การเงิน</t>
  </si>
  <si>
    <t>ระบบสารสนเทศทางธุรกิจ</t>
  </si>
  <si>
    <t>วิศวกรรมอิเล็กทรอนิกส์</t>
  </si>
  <si>
    <t>วิศวกรรมโยธา</t>
  </si>
  <si>
    <t>วิศวกรรมไฟฟ้า</t>
  </si>
  <si>
    <t>เทคโนโลยีคอมพิวเตอร์</t>
  </si>
  <si>
    <t>เทคโนโลยีอุตสาหการ</t>
  </si>
  <si>
    <t>การโรงแรม</t>
  </si>
  <si>
    <t>ภาษาอังกฤษเพื่อการสื่อสารสากล</t>
  </si>
  <si>
    <t>อาหารและโภชนาการ</t>
  </si>
  <si>
    <t>เทคโนโลยีเครื่องจักรกลเกษตร</t>
  </si>
  <si>
    <t>คอมพิวเตอร์ธุรกิจ</t>
  </si>
  <si>
    <t>ช่างยนต์</t>
  </si>
  <si>
    <t>วิทยาศาสตร์และเทคโนโลยี</t>
  </si>
  <si>
    <t>การแพทย์แผนไทย</t>
  </si>
  <si>
    <t>ชีววิทยาประยุกต์</t>
  </si>
  <si>
    <t>เคมีอุตสาหกรรม</t>
  </si>
  <si>
    <t>เทคโนโลยีการยาง</t>
  </si>
  <si>
    <t>เทคโนโลยีน้ำมันปาล์มและโอลิโอเคมี</t>
  </si>
  <si>
    <t>เทคโนโลยีสารสนเทศ</t>
  </si>
  <si>
    <t>เกษตรศาสตร์</t>
  </si>
  <si>
    <t>การเพาะเลี้ยงสัตว์น้ำและการจัดการทรัพยากรประมง</t>
  </si>
  <si>
    <t>นักศึกษาลงทะเบียนข้ามวิทยาเขต</t>
  </si>
  <si>
    <t>ประมง</t>
  </si>
  <si>
    <t>พัฒนาการเกษตรและธุรกิจเกษตร</t>
  </si>
  <si>
    <t>พืชศาสตร์</t>
  </si>
  <si>
    <t>สัตวศาสตร์</t>
  </si>
  <si>
    <t>เกษตรกลวิธาน</t>
  </si>
  <si>
    <t>เทคโนโลยีการผลิตพืช</t>
  </si>
  <si>
    <t>เทคโนโลยีภูมิทัศน์</t>
  </si>
  <si>
    <t>เทคโนโลยีการจัดการ</t>
  </si>
  <si>
    <t>สัตวแพทยศาสตร์</t>
  </si>
  <si>
    <t>อุตสาหกรรมเกษตร (วิทยาเขตนครศรีธรรมราช ทุ่งใหญ่)</t>
  </si>
  <si>
    <t>วิทยาศาสตร์และเทคโนโลยีการอาหาร</t>
  </si>
  <si>
    <t>เกษตรศาสตร์ (วิทยาเขตนครศรีธรรมราช ทุ่งใหญ่)</t>
  </si>
  <si>
    <t>การโรงแรมและการท่องเที่ยว</t>
  </si>
  <si>
    <t>วิทยาลัยการโรงแรมและการท่องเที่ยว</t>
  </si>
  <si>
    <t>การจัดการชายฝั่งแบบบูรณาการ</t>
  </si>
  <si>
    <t>การจัดการประมงและธุรกิจสัตว์น้ำ</t>
  </si>
  <si>
    <t>อุตสาหกรรมอาหาร</t>
  </si>
  <si>
    <t>เทคโนโลยีการจัดการสิ่งแวดล้อม</t>
  </si>
  <si>
    <t>เทคโนโลยีการเพาะเลี้ยงสัตว์น้ำ</t>
  </si>
  <si>
    <t>เทคโนโลยีสารสนเทศ- เทคโนโลยีสารสนเทศ</t>
  </si>
  <si>
    <t>เพาะเลี้ยงสัตว์น้ำ</t>
  </si>
  <si>
    <t>วิศวกรรมสารสนเทศและการสื่อสาร</t>
  </si>
  <si>
    <t>รวมต้นทุนกิจกรรมหน่วยงานสนับสนุน (1,3-7)  ไม่รวมส่วนกลางสงขลา</t>
  </si>
  <si>
    <t>คณะ/หน่วยงานที่เทียบเท่า</t>
  </si>
  <si>
    <t>ประเภทบุคลากร</t>
  </si>
  <si>
    <t>ข้าราชการ </t>
  </si>
  <si>
    <t>พนักงานมหาลัย</t>
  </si>
  <si>
    <t>พนักงานราชการ</t>
  </si>
  <si>
    <t>จ้างประจำ</t>
  </si>
  <si>
    <t>จ้างชั่วคราว</t>
  </si>
  <si>
    <t>ชาย</t>
  </si>
  <si>
    <t>หญิง</t>
  </si>
  <si>
    <t>กองกลาง</t>
  </si>
  <si>
    <t>กองนโยบายและแผนงาน</t>
  </si>
  <si>
    <t>กองพัฒนานักศึกษา</t>
  </si>
  <si>
    <t>กองออกแบบและพัฒนาอาคารสถานที่</t>
  </si>
  <si>
    <t>คณะเกษตรศาสตร์ พื้นที่ทุ่งใหญ่</t>
  </si>
  <si>
    <t>คณะเกษตรศาสตร์ พื้นที่ไสใหญ่</t>
  </si>
  <si>
    <t>คณะเทคโนโลยีการจัดการ พื้นที่ไสใหญ่</t>
  </si>
  <si>
    <t>คณะวิทยาศาสตร์และเทคโนโลยี พื้นที่ทุ่งใหญ่</t>
  </si>
  <si>
    <t>คณะวิทยาศาสตร์และเทคโนโลยี พื้นที่ไสใหญ่</t>
  </si>
  <si>
    <t>คณะสัตวแพทยศาสตร์ พื้นที่ทุ่งใหญ่</t>
  </si>
  <si>
    <t>คณะอุตสาหกรรมเกษตร พื้นที่ทุ่งใหญ่</t>
  </si>
  <si>
    <t>งานฟาร์ม (คณะเกษตรศาสตร์) พื้นที่ทุ่งใหญ่</t>
  </si>
  <si>
    <t>งานฟาร์ม (คณะสัตวแพทยศาสตร์) พื้นที่ทุ่งใหญ่</t>
  </si>
  <si>
    <t>งานหอพัก (สำนักงานวิทยาเขตนครศรีธรรมราช) พื้นที่ทุ่งใหญ่</t>
  </si>
  <si>
    <t>สถาบันทรัพยากรธรรมชาติและสิ่งแวดล้อม</t>
  </si>
  <si>
    <t>สถาบันวิจัยและพัฒนา</t>
  </si>
  <si>
    <t>สำนักงานนิติการ</t>
  </si>
  <si>
    <t>สำนักงานวิทยาเขตนครศรีธรรมราช พื้นที่ทุ่งใหญ่</t>
  </si>
  <si>
    <t>สำนักงานวิทยาเขตนครศรีธรรมราช พื้นที่ไสใหญ่</t>
  </si>
  <si>
    <t>สำนักงานสภามหาวิทยาลัยเทคโนโลยีราชมงคลศรีวิชัย</t>
  </si>
  <si>
    <t>หน่วยตรวจสอบภายใน</t>
  </si>
  <si>
    <t>ส.</t>
  </si>
  <si>
    <t>ว</t>
  </si>
  <si>
    <t>การจัดการ</t>
  </si>
  <si>
    <t>การจัดการโลจิสติกส์</t>
  </si>
  <si>
    <t>ธุรกิจอิเล็กทรอนิกส์</t>
  </si>
  <si>
    <t xml:space="preserve"> รวมหลังปันส่วน</t>
  </si>
  <si>
    <t>รวมต้นทุนผลผลิต (หลังรับปันส่วนจากหน่วยงานสนับสนุน)</t>
  </si>
  <si>
    <r>
      <rPr>
        <b/>
        <sz val="16"/>
        <rFont val="TH SarabunPSK"/>
        <family val="2"/>
      </rPr>
      <t xml:space="preserve">               </t>
    </r>
    <r>
      <rPr>
        <b/>
        <u/>
        <sz val="16"/>
        <rFont val="TH SarabunPSK"/>
        <family val="2"/>
      </rPr>
      <t>หัก</t>
    </r>
    <r>
      <rPr>
        <sz val="16"/>
        <rFont val="TH SarabunPSK"/>
        <family val="2"/>
      </rPr>
      <t xml:space="preserve">  ต้นทุนหน่วยงานที่ไม่เกี่ยวข้องในการผลิตผลผลิต</t>
    </r>
  </si>
  <si>
    <t>ค่าใช้จ่ายที่ไม่เป็นต้นทุนผลผลิตของมหาวิทยาลัยฯ</t>
  </si>
  <si>
    <t>การจัดการทรัพยากรและสิ่งแวดล้อม</t>
  </si>
  <si>
    <t>ช่างไฟฟ้า</t>
  </si>
  <si>
    <t>ครุศาสตร์อุตสาหกรรมและเทคโนโลยี</t>
  </si>
  <si>
    <t>วิศวกรรมอิเล็กทรอนิกส์และโทรคมนาคม</t>
  </si>
  <si>
    <t>วิศวกรรมอุตสาหการ</t>
  </si>
  <si>
    <t>วิศวกรรมแมคคาทรอนิกส์</t>
  </si>
  <si>
    <t>เทคโนโลยีปิโตรเลียม</t>
  </si>
  <si>
    <t>เทคโนโลยีสื่อสารมวลชน</t>
  </si>
  <si>
    <t>บริหารธุรกิจ</t>
  </si>
  <si>
    <t>การจัดการ-การจัดการทรัพยากรมนุษย์</t>
  </si>
  <si>
    <t>การจัดการ-การจัดการสำนักงานอิเล็กทรอนิกส์</t>
  </si>
  <si>
    <t>การจัดการ-การจัดการอุตสาหกรรม</t>
  </si>
  <si>
    <t>การจัดการธุรกิจขนาดกลางและขนาดย่อม</t>
  </si>
  <si>
    <t>วิศวกรรมศาสตร์</t>
  </si>
  <si>
    <t>วิศวกรรมการผลิต</t>
  </si>
  <si>
    <t>วิศวกรรมคอมพิวเตอร์</t>
  </si>
  <si>
    <t>วิศวกรรมสำรวจ</t>
  </si>
  <si>
    <t>วิศวกรรมเครื่องกล</t>
  </si>
  <si>
    <t>วิศวกรรมเครื่องนุ่งห่ม</t>
  </si>
  <si>
    <t>วิศวกรรมโทรคมนาคม</t>
  </si>
  <si>
    <t>เทคโนโลยีเครื่องกล</t>
  </si>
  <si>
    <t>ศิลปศาสตร์</t>
  </si>
  <si>
    <t>การท่องเที่ยว</t>
  </si>
  <si>
    <t>ธุรกิจคหกรรมศาสตร์</t>
  </si>
  <si>
    <t>สถาปัตยกรรมศาสตร์</t>
  </si>
  <si>
    <t>การผังเมือง</t>
  </si>
  <si>
    <t>การออกแบบแฟชั่นและสิ่งทอ</t>
  </si>
  <si>
    <t>จิตรกรรม</t>
  </si>
  <si>
    <t>สถาปัตยกรรม</t>
  </si>
  <si>
    <t>14. คณะวิศวกรรมศาสตร์และเทคโนโลยี</t>
  </si>
  <si>
    <t>ว.</t>
  </si>
  <si>
    <t xml:space="preserve">งบกลาง </t>
  </si>
  <si>
    <t>(1)-รับปันส่วนจากส่วนกลางสงขลา (เฉพาะพื้นที่สงขลา).</t>
  </si>
  <si>
    <t>ต้นทุนกิจกรรมก่อนรับการปันส่วน</t>
  </si>
  <si>
    <t>ตสน.+วัฒนธรรมฯ+นิติการ+สภา+สภาคณาจารย์</t>
  </si>
  <si>
    <t>FTES/59</t>
  </si>
  <si>
    <t>(3)-รับปันส่วนจากหน่วยงานสนับสนุน</t>
  </si>
  <si>
    <t>(2)-ปันส่วนงบกลาง สอ.</t>
  </si>
  <si>
    <t>คณะวิศวกรรมศาสตร์และเทคโนโลยี</t>
  </si>
  <si>
    <t>1. มหาวิทยาลัยเทคโนโลยีราชมงคลศรีวิชัย เป็นมหาวิทยาลัยกลุ่มผลิตบัณฑิต โดยเน้นการผลิตบัณฑิตด้านวิทยาศาสตร์และเทคโนโลยี จึงทำให้มีต้นทุนต่อหน่วยสูงกว่าด้านสังคมศาสตร์</t>
  </si>
  <si>
    <t xml:space="preserve"> งบกลาง (ถ้ามี)</t>
  </si>
  <si>
    <t>บริการ</t>
  </si>
  <si>
    <t>13. การจัดการเรียนการสอนกลุ่มสาขาวิชาสถาปัตยกรรมศาสตร์และศิลปกรรม ระดับปริญญาตรี</t>
  </si>
  <si>
    <t>ปีงบประมาณ 2560</t>
  </si>
  <si>
    <t>5. ผลงานวิจัยเพื่อสร้างสะสมองค์ความรู้</t>
  </si>
  <si>
    <t>16. ดำเนินการวิจัยเพื่อสร้างสะสมองค์ความรู้</t>
  </si>
  <si>
    <t>6. รายการบุคลาภาครัฐ</t>
  </si>
  <si>
    <t>ช่วยผู้รับเบี้ยหวัด</t>
  </si>
  <si>
    <t>ช่วยค่าครองชีพ</t>
  </si>
  <si>
    <t>บำเหน็จดำรงชีพ</t>
  </si>
  <si>
    <t>เงินช่วยพิเศษ-บ/นตาย</t>
  </si>
  <si>
    <t>บำเหน็จรายเดือน</t>
  </si>
  <si>
    <t>ค่ารักษาบำนาญนอก-รัฐ</t>
  </si>
  <si>
    <t>ค่ารักษาบำนาญ-ใน-รัฐ</t>
  </si>
  <si>
    <t>รักษาบำนาญ-นอก-เอกชน</t>
  </si>
  <si>
    <t>รักษาบำนาญ-ใน-เอกชน</t>
  </si>
  <si>
    <t>4. ศูนย์ฝึกวิชาชีพ  (วิทยาลัยฯ ตรัง)</t>
  </si>
  <si>
    <t>5. ฟาร์ม (คณะวิทย์ฯ ตรัง)</t>
  </si>
  <si>
    <t>สรุปค่า FTES แยกตามผลผลิต (คณะที่นักศึกษาสังกัด)</t>
  </si>
  <si>
    <t>คณะ/สาขา ที่ นศ.สังกัด</t>
  </si>
  <si>
    <t>ค่า FTES</t>
  </si>
  <si>
    <t>ภาษาอังกฤษเพื่อการสื่อสาร</t>
  </si>
  <si>
    <t>เทคโนโลยียางและพอลิเมอร์</t>
  </si>
  <si>
    <t>การจัดการการตลาด</t>
  </si>
  <si>
    <t>การจัดการการเป็นผู้ประกอบการ</t>
  </si>
  <si>
    <t>การจัดการเทคโนโลยีสารสนเทศ</t>
  </si>
  <si>
    <t>การจัดการอุตสาหกรรมอาหารและบริการ</t>
  </si>
  <si>
    <t>วิทยาศาสตร์และเทคโนโลยีสิ่งแวดล้อม</t>
  </si>
  <si>
    <t>ทัศนศิลป์</t>
  </si>
  <si>
    <t>วิศวกรรมเครื่องจักรกลเกษตร</t>
  </si>
  <si>
    <t>Ftes-60</t>
  </si>
  <si>
    <t>Ftes-59</t>
  </si>
  <si>
    <t>นศ.</t>
  </si>
  <si>
    <t>งบกลางสอ.ปันส่วน</t>
  </si>
  <si>
    <t>เงินงปม.ที่ได้รับ
จัดสรรปี 60</t>
  </si>
  <si>
    <t>ผลผลิต</t>
  </si>
  <si>
    <t>คณะ/หน่วยงาน</t>
  </si>
  <si>
    <t>ผลการดำเนินงาน</t>
  </si>
  <si>
    <t>ผลการเบิกจ่าย</t>
  </si>
  <si>
    <t>บรรลุ</t>
  </si>
  <si>
    <t>ไม่บรรลุ</t>
  </si>
  <si>
    <t>ทำนุฯ</t>
  </si>
  <si>
    <t xml:space="preserve"> </t>
  </si>
  <si>
    <t xml:space="preserve">   รายงานผลการคำนวณเปรียบเทียบต้นทุนต่อหน่วยผลผลิต ปีงปม.2561   </t>
  </si>
  <si>
    <r>
      <t>ตารางที่ 1</t>
    </r>
    <r>
      <rPr>
        <sz val="16"/>
        <rFont val="TH SarabunPSK"/>
        <family val="2"/>
      </rPr>
      <t xml:space="preserve">  รายงานรายได้แยกประเภทตามแหล่งของเงิน ประจำปีงบประมาณ 2561</t>
    </r>
  </si>
  <si>
    <t>ปีงบประมาณ 2561</t>
  </si>
  <si>
    <r>
      <t>ตารางที่ 2</t>
    </r>
    <r>
      <rPr>
        <b/>
        <sz val="16"/>
        <rFont val="TH SarabunPSK"/>
        <family val="2"/>
      </rPr>
      <t xml:space="preserve"> </t>
    </r>
    <r>
      <rPr>
        <sz val="16"/>
        <rFont val="TH SarabunPSK"/>
        <family val="2"/>
      </rPr>
      <t xml:space="preserve"> รายงานต้นทุนตามประเภทค่าใช้จ่าย ประจำปีงบประมาณ 2561</t>
    </r>
  </si>
  <si>
    <r>
      <t>ตารางที่ 3</t>
    </r>
    <r>
      <rPr>
        <sz val="16"/>
        <rFont val="TH SarabunPSK"/>
        <family val="2"/>
      </rPr>
      <t xml:space="preserve"> รายงานต้นทุนกิจกรรม ประจำปีงบประมาณ 2561</t>
    </r>
  </si>
  <si>
    <r>
      <t xml:space="preserve">ตารางที่ 4 </t>
    </r>
    <r>
      <rPr>
        <sz val="14"/>
        <rFont val="TH SarabunPSK"/>
        <family val="2"/>
      </rPr>
      <t xml:space="preserve"> รายงานต้นทุนผลผลิต ประจำปีงบประมาณ 2561</t>
    </r>
  </si>
  <si>
    <r>
      <t>ตารางที่ 5</t>
    </r>
    <r>
      <rPr>
        <sz val="16"/>
        <rFont val="TH SarabunPSK"/>
        <family val="2"/>
      </rPr>
      <t xml:space="preserve">  รายงานเปรียบเทียบรายได้แยกประเภทตามแหล่งของเงิน ประจำปีงบประมาณ 2560 และ 2561</t>
    </r>
  </si>
  <si>
    <r>
      <t>ตารางที่ 6</t>
    </r>
    <r>
      <rPr>
        <b/>
        <sz val="16"/>
        <rFont val="TH SarabunPSK"/>
        <family val="2"/>
      </rPr>
      <t xml:space="preserve"> </t>
    </r>
    <r>
      <rPr>
        <sz val="16"/>
        <rFont val="TH SarabunPSK"/>
        <family val="2"/>
      </rPr>
      <t xml:space="preserve"> รายงานเปรียบเทียบต้นทุนตามประเภทค่าใช้จ่าย ประจำปีงบประมาณ 2560 และ 2561</t>
    </r>
  </si>
  <si>
    <r>
      <t>ตารางที่ 7</t>
    </r>
    <r>
      <rPr>
        <sz val="20"/>
        <rFont val="TH SarabunPSK"/>
        <family val="2"/>
      </rPr>
      <t xml:space="preserve"> รายงานเปรียบเทียบต้นทุนกิจกรรม ประจำปีงบประมาณ 2560 และ 2561</t>
    </r>
  </si>
  <si>
    <r>
      <t xml:space="preserve">ตารางที่ 8  </t>
    </r>
    <r>
      <rPr>
        <sz val="18"/>
        <rFont val="TH SarabunPSK"/>
        <family val="2"/>
      </rPr>
      <t>รายงานเปรียบเทียบต้นทุนผลผลิต ประจำปีงบประมาณ 2560 และ 2561</t>
    </r>
  </si>
  <si>
    <t>ต้นทุนต่อหน่วยผลผลิตด้านการเรียนการสอนแยกตามกลุ่มสาขาวิชาสมศ.  ประจำปีงบประมาณ 2561</t>
  </si>
  <si>
    <t>ต้นทุนกิจกรรมด้านการเรียนการสอนแยกตามกลุ่มสาขาวิชาสมศ.  ประจำปีงบประมาณ 2561</t>
  </si>
  <si>
    <t>ต้นทุนกิจกรรมหน่วยงานสนับสนุน ประจำปีงบประมาณ พ.ศ.2561</t>
  </si>
  <si>
    <t>5. รายการบุคลากรภาครัฐ</t>
  </si>
  <si>
    <t>8. โครงการวิจัยและพัฒนาเพื่อสร้าง/สะสมองค์ความรู้ที่มีศักยภาพ</t>
  </si>
  <si>
    <t>6. โครงการวิจัยและนัวัตกรรมในอุตสาหกรรมยุทธศาสตร์และ
เป้าหมายของประเทศ</t>
  </si>
  <si>
    <t>7. โครงการวิจัยและนวัตกรรมเพื่อแก้ปัญหาหรือสร้างความเข้มแข็ง
ด้านสังคมชุมชนความมั่นคง และคุณภาพชีวิต</t>
  </si>
  <si>
    <t>7. โครงการวิจัยและนัวัตกรรมในอุตสาหกรรมยุทธศาสตร์และ
เป้าหมายของประเทศ</t>
  </si>
  <si>
    <t>8. โครงการวิจัยและนวัตกรรมเพื่อแก้ปัญหาหรือสร้างความเข้มแข็ง
ด้านสังคมชุมชนความมั่นคง และคุณภาพชีวิต</t>
  </si>
  <si>
    <t>9. โครงการวิจัยและพัฒนาเพื่อสร้าง/สะสมองค์ความรู้ที่มีศักยภาพ</t>
  </si>
  <si>
    <t>16. ดำเนินการบุคลากรภาครัฐ</t>
  </si>
  <si>
    <t>18. การวิจัยและนวัติกรรมเพื่อแก้ปัญหาหรือสร้างความเข้มแข็งด้านสังคม 
 ชุมชน และคุณภาพชีวิตประชาชน</t>
  </si>
  <si>
    <t>19. การวิจัยและพัฒนาเพื่อสร้าง/สะสมองค์ความรู้ที่มีศักยภาพ</t>
  </si>
  <si>
    <t>20. กิจกรรมด้านบริหาร</t>
  </si>
  <si>
    <t>21. กิจกรรมด้านการคลัง</t>
  </si>
  <si>
    <t>22. กิจกรรมด้านบริหารบุคลากร</t>
  </si>
  <si>
    <t>23. กิจกรรมด้านนโยบายและแผน</t>
  </si>
  <si>
    <t>24. กิจกรรมด้านการพัฒนานักศึกษา</t>
  </si>
  <si>
    <t>25. กิจกรรมด้านพัฒนาระบบบริหารราชการ</t>
  </si>
  <si>
    <t>26. กิจกรรมด้านการประชาสัมพันธ์</t>
  </si>
  <si>
    <t>27. กิจกรรมด้านยานพาหนะและอาคารสถานที่</t>
  </si>
  <si>
    <t>28. กิจกรรมด้านเทคโนโลยีสารสนเทศ</t>
  </si>
  <si>
    <t>29. กิจกรรมด้านการจัดการทรัพยากรธรรมชาติและสิ่งแวดล้อม</t>
  </si>
  <si>
    <t>30. กิจกรรมด้านงานทะเบียน</t>
  </si>
  <si>
    <t>16. กิจกรรมด้านบุคลากรภาครัฐ</t>
  </si>
  <si>
    <t>17. กิจกรรมการวิจัยและนวัติกรรมในอุตสาหกรรมยุทธศาสตร์และเป้าหมายประเทศ</t>
  </si>
  <si>
    <t>18. กิจกรรมการวิจัยและนวัติกรรมเพื่อแก้ปัญหาหรือสร้างความเข้มแข็งด้านสังคม 
 ชุมชน และคุณภาพชีวิตประชาชน</t>
  </si>
  <si>
    <t>19. กิจกรรมการวิจัยและพัฒนาเพื่อสร้าง/สะสมองค์ความรู้ที่มีศักยภาพ</t>
  </si>
  <si>
    <t>20..กิจกรรมด้านบริหาร</t>
  </si>
  <si>
    <t xml:space="preserve">รายงานสรุปจำนวนบุคคลากรทั้งหมดแยกประเภทบุคลากร มหาวิทยาลัยเทคโนโลยีราชมงคลศรีวิชัย </t>
  </si>
  <si>
    <t>สำนักศิลปวัฒนธรรมศรีวิชัย</t>
  </si>
  <si>
    <r>
      <t> </t>
    </r>
    <r>
      <rPr>
        <b/>
        <sz val="16"/>
        <color rgb="FF000000"/>
        <rFont val="TH SarabunPSK"/>
        <family val="2"/>
      </rPr>
      <t>วันที่</t>
    </r>
    <r>
      <rPr>
        <sz val="16"/>
        <color rgb="FF000000"/>
        <rFont val="TH SarabunPSK"/>
        <family val="2"/>
      </rPr>
      <t xml:space="preserve"> 6 พ.ย 61  </t>
    </r>
    <r>
      <rPr>
        <b/>
        <sz val="16"/>
        <color rgb="FF000000"/>
        <rFont val="TH SarabunPSK"/>
        <family val="2"/>
      </rPr>
      <t xml:space="preserve"> เวลา</t>
    </r>
    <r>
      <rPr>
        <sz val="16"/>
        <color rgb="FF000000"/>
        <rFont val="TH SarabunPSK"/>
        <family val="2"/>
      </rPr>
      <t xml:space="preserve"> 09:49:17</t>
    </r>
  </si>
  <si>
    <t>ข้อมูล ณ วันที่ 30-10-2018</t>
  </si>
  <si>
    <t>ปีการศึกษา 2561</t>
  </si>
  <si>
    <t>การจัดการสิ่งแวดล้อมท้องถิ่น แขนงการจัดการสิ่งเเวดล้อม</t>
  </si>
  <si>
    <t>การจัดการสิ่งแวดล้อมท้องถิ่น แขนงทรัพยากรและสิ่งแวดล้อม</t>
  </si>
  <si>
    <t>วิทยาศาสตร์ทางทะเล</t>
  </si>
  <si>
    <t>วิทยาศาสตร์ทางทะเล แขนงการจัดการทรัพยากรและการท่องเที่ยวทางทะเล</t>
  </si>
  <si>
    <t>วิทยาศาสตร์ทางทะเล แขนงชีววิทยาทางทะเล</t>
  </si>
  <si>
    <t>วิทยาศาสตร์สิ่งแวดล้อม แขนงวิทยาศาสตร์สิ่งเเวดล้อม</t>
  </si>
  <si>
    <t>เทคโนโลยีอุตสาหกรรม แขนงเทคโนโลยีโยธา</t>
  </si>
  <si>
    <t>วิศวกรรมก่อสร้าง</t>
  </si>
  <si>
    <t>เทคโนโลยีสารสนเทศ แขนงเทคโนโลยีมัลติมีเดีย</t>
  </si>
  <si>
    <t>เทคโนโลยีสารสนเทศ แขนงเทคโนโลยีสารสนเทศ</t>
  </si>
  <si>
    <t>เทคโนโลยีอุตสาหกรรม แขนงเทคโนโลยีไฟฟ้า</t>
  </si>
  <si>
    <t>วิศวกรรมเครื่องกลเรือ</t>
  </si>
  <si>
    <t xml:space="preserve"> 14. คณะวิศวกรรมศาสตร์และเทคโนโลยี (ตรัง)</t>
  </si>
  <si>
    <t xml:space="preserve"> 15. วิทยาลัยเทคโนโลยีอุตสาหกรรมและการจัดการ (ขนอม) </t>
  </si>
  <si>
    <t>8. ฟาร์ม (ไสใหญ่)</t>
  </si>
  <si>
    <t>9. หอพัก (ไสใหญ่)</t>
  </si>
  <si>
    <t>10. โครงการฝึกทักษะวิชาชีพนักศึกษา (ไสใหญ่)</t>
  </si>
  <si>
    <t>11. หอพัก (ขนอม)</t>
  </si>
  <si>
    <t>**ค่าใช้จ่ายของงานฟาร์ม โรงพยาบาลสัตว์ หรือศูนย์ฝึกวิชาชีพ ที่เป็นต้นทุนผลผลิตด้านการเรียนการสอนของมหาวิทยาลัยฯ ให้รวมอยู่ในคณะ /วิทยาลัยที่มีการเบิกจ่าย</t>
  </si>
  <si>
    <t xml:space="preserve">**ส่วนค่าใช้จ่ายใดที่ไม่ใช่ต้นทุนผลผลิตด้านการเรียนการสอน ให้แยกค่าใช้จ่ายแสดงไว้ในส่วนของค่าใช้จ่ายที่ไม่เป็นต้นทุนผลผลิตของมหาวิทยาลัยฯ </t>
  </si>
  <si>
    <t>ชื่อหน่วยงาน /กิจกรรม/ผลผลิต</t>
  </si>
  <si>
    <t>ค่าใช้จ่ายด้านฝึกอบรม</t>
  </si>
  <si>
    <t>ค่าใช้จ่ายอื่นๆ</t>
  </si>
  <si>
    <t>รวม คชจ</t>
  </si>
  <si>
    <t>   1.ผู้สำเร็จการศึกษาด้านสังคมศาสตร์</t>
  </si>
  <si>
    <t>   2.ผู้สำเร็จการศึกษาด้านวิทยาศาสตร์และเทคโนโลยี</t>
  </si>
  <si>
    <t>   3.ผลงานการให้บริการวิชาการ</t>
  </si>
  <si>
    <t>   4.ผลงานทำนุบำรุงศิลปวัฒนธรรม</t>
  </si>
  <si>
    <t>   5.รายการบุคลากรภาครัฐ</t>
  </si>
  <si>
    <t>   6.โครงการวิจัยและนวัตกรรมในอุตสาหกรรมยุทธศาสตร์และเป้าหมายของประเทศ</t>
  </si>
  <si>
    <t>   7.โครงการการวิจัยและนวัตกรรมเพื่อแก้ปัญหาหรือสร้างความเข้มแข็งด้านสังคม ชุมชน ความมั่นคงและคุณภาพชีวิตประชาชนตามยุทธศาสตร์ของประเทศ</t>
  </si>
  <si>
    <t>   8.โครงการวิจัยและพัฒนาเพื่อสร้าง/สะสมองค์ความรู้ที่มีศักยภาพ</t>
  </si>
  <si>
    <t>รวม::</t>
  </si>
  <si>
    <t xml:space="preserve">คณะวิทยาศาสตร์และเทคโนโลยี (ทุ่งใหญ่) </t>
  </si>
  <si>
    <t>คณะวิทยาศาสตร์และเทคโนโลยี (ไสใหญ่)</t>
  </si>
  <si>
    <t xml:space="preserve">คณะเกษตรศาสตร์ (ทุ่งใหญ่) </t>
  </si>
  <si>
    <t>คณะเกษตรศาสตร์ (ไสใหญ่)</t>
  </si>
  <si>
    <t>ชื่อ คณะอุตสาหกรรมเกษตร (ทุ่งใหญ่)</t>
  </si>
  <si>
    <t xml:space="preserve">คณะสัตวแพทย์ศาสตร์ (ทุ่งใหญ่) </t>
  </si>
  <si>
    <t>คณะเทคโนโลยีการจัดการ (ไสใหญ่)</t>
  </si>
  <si>
    <t>คณะวิทยาศาสตร์และเทคโนโลยีการประมง (ตรัง)</t>
  </si>
  <si>
    <t>คณะวิศวกรรมศาสตร์และเทคโนโลยี (ตรัง)</t>
  </si>
  <si>
    <t>วิทยาลัยเทคโนโลยีอุตสาหกรรมและการจัดการ (ขนอม)</t>
  </si>
  <si>
    <t>รวมหน่วยงานหลัก</t>
  </si>
  <si>
    <t>ส่วนกลางสงขลา</t>
  </si>
  <si>
    <t>สำนักงานวิทยาเขตนครศรีธรรมราช (ไสใหญ่)</t>
  </si>
  <si>
    <t xml:space="preserve">สำนักงานวิทยาเขตนครศรีธรรมราช (ทุ่งใหญ่) </t>
  </si>
  <si>
    <t>ส.5</t>
  </si>
  <si>
    <t>ส.6</t>
  </si>
  <si>
    <t>สถาบันทรัพยากรธรรมชาติและสิ่งแวดล้อม (ตรัง)</t>
  </si>
  <si>
    <t>ส.7</t>
  </si>
  <si>
    <t>สถาบันวิจัยและพัฒนา (ตรัง)</t>
  </si>
  <si>
    <t>รวมหน่วยงานสนับสนุน</t>
  </si>
  <si>
    <t>รวมต้นทุนกิจกรรมพื้นที่สงขลา (หน่วยงาน1-6)</t>
  </si>
  <si>
    <t>วข.ตรังข้อมูลตารางที่ 1 และ 2 ไม่ตรงกัน แจ้งให้จนท.ตรัง (น้องส้ม) แก้ไข  แต่ไม่ได้รับการแก้ไข กองคลังจึงปรับข้อมูลตัวเลขของตารางที่ 2 ให้ตรงกับตารางที่ 1</t>
  </si>
  <si>
    <t>Ftes-61</t>
  </si>
  <si>
    <t>ป.ตรี</t>
  </si>
  <si>
    <t>ป.โท</t>
  </si>
  <si>
    <t>ต้นทุนกิจกรรม (หลังรับปันส่วนค่าเสื่อมราคา ส่วนกลางสงขลา และปันส่วนงบกลางสอ.)</t>
  </si>
  <si>
    <t>ปันส่วนให้กับหน่วยงานหลักในพื้นที่สงขลาเรียบร้อยแล้ว</t>
  </si>
  <si>
    <t>สำนักงานอธิการบดีและหน่วยงานในหน่วยเบิกจ่าย00</t>
  </si>
  <si>
    <t>1. งานสนับสนุนการเรียนการสอนด้านสังคมศาสตร์</t>
  </si>
  <si>
    <t>2. งานสนับสนุนการเรียนการสอนด้านวิทยาศาสตร์และเทคโนโลยี</t>
  </si>
  <si>
    <t>3. งานสนับสนุนการจัดอบรมและสัมมนาเชิงวิชาการหรือปฏิบัติการ</t>
  </si>
  <si>
    <t>4. งานสนับสนุนส่งเสริมและทำนุบำรุงศิลปวัฒนธรรม</t>
  </si>
  <si>
    <t>5. งานสนับสนุนบุคลากรภาครัฐ</t>
  </si>
  <si>
    <t>6. งานสนับสนุนวิจัยและนวัตกรรมในอุตสาหกรรมยุทธศาสตร์และเป้าหมายของประเทศ</t>
  </si>
  <si>
    <t>7. งานสนับสนุนวิจัยและนวัตกรรมเพื่อแก้ปัญหาหรือสร้างความเข้มแข็งด้านสังคม ชุมชน และคุณภาพชีวิตประชาชน</t>
  </si>
  <si>
    <t>8. งานสนับสนุนการวิจัยและพัฒนาเพื่อสร้าง/สะสมองค์ความรู้ที่มีศักยภาพ</t>
  </si>
  <si>
    <t>รวมต้นทุนกิจกรรมหน่วยงานหลัก (1-15)</t>
  </si>
  <si>
    <t>FTES/61</t>
  </si>
  <si>
    <t>รายละเอียดแสดงต้นทุนกิจกรรม และต้นทุนผลผลิต แยกตามหน่วยงานและแหล่งเงิน ประจำปีงบประมาณ พ.ศ. 2561</t>
  </si>
  <si>
    <t>ส.4</t>
  </si>
  <si>
    <t>ส.3</t>
  </si>
  <si>
    <t>ส.2</t>
  </si>
  <si>
    <t>ส.1</t>
  </si>
  <si>
    <t>ชดใช้ค่าเสียหาย</t>
  </si>
  <si>
    <t>ไม่เป็นผลผลิตในปีงบประมาณ 2561</t>
  </si>
  <si>
    <t>รายละเอียดการดำเนินโครงการ</t>
  </si>
  <si>
    <t>ประจำปีงบประมาณ 2561</t>
  </si>
  <si>
    <t>จากวันที่ 01/10/2560 ถึงวันที่ 30/09/2561</t>
  </si>
  <si>
    <t>แผนงาน</t>
  </si>
  <si>
    <t>หมวดรายจ่าย</t>
  </si>
  <si>
    <t>แผนกลยุทธ์</t>
  </si>
  <si>
    <t>งบประมาณที่ได้รับจัดสรร</t>
  </si>
  <si>
    <t>โอนเปลี่ยนแปลง</t>
  </si>
  <si>
    <t>เหลือจ่าย</t>
  </si>
  <si>
    <t>วัน/เดือน/ปี</t>
  </si>
  <si>
    <t>จำนวนผู้เข้าร่วมโครงการ</t>
  </si>
  <si>
    <t>ร้อยละความพึงพอใจ</t>
  </si>
  <si>
    <t>ค่าเป้าหมายตัวชี้วัด</t>
  </si>
  <si>
    <t>บรรลุ/</t>
  </si>
  <si>
    <t>สถานะการ</t>
  </si>
  <si>
    <t>ชื่อผู้รับผิดชอบ</t>
  </si>
  <si>
    <t xml:space="preserve">ที่จัดโครงการ </t>
  </si>
  <si>
    <t xml:space="preserve">ไม่บรรลุ </t>
  </si>
  <si>
    <t xml:space="preserve">ดำเนินโครงการ </t>
  </si>
  <si>
    <t xml:space="preserve">โครงการ </t>
  </si>
  <si>
    <t>แผ่นดิน</t>
  </si>
  <si>
    <t>งปม.อื่น</t>
  </si>
  <si>
    <t>เงินรายได้</t>
  </si>
  <si>
    <t>โอน</t>
  </si>
  <si>
    <t>รับ</t>
  </si>
  <si>
    <t>แผน</t>
  </si>
  <si>
    <t>ผล</t>
  </si>
  <si>
    <t>นักศึกษา</t>
  </si>
  <si>
    <t>บุคลากร</t>
  </si>
  <si>
    <t>บุคคลภายนอก</t>
  </si>
  <si>
    <t>ระดับผลลัพธ์</t>
  </si>
  <si>
    <t>ระดัลผลผลิต</t>
  </si>
  <si>
    <t>ชื่อตัวชี้วัด</t>
  </si>
  <si>
    <t>วิทย์ฯ</t>
  </si>
  <si>
    <t>โครงการพัฒนาคุณภาพการจัดการศึกษา</t>
  </si>
  <si>
    <t>โครงการศึกษาดูงานเพื่อพัฒนางานตามนโยบายมหาวิทยาลัย</t>
  </si>
  <si>
    <t>-</t>
  </si>
  <si>
    <t>1. ผู้เข้าร่วมโครงการสามารถนำความรู้ไปใช้ประโยชน์ได้</t>
  </si>
  <si>
    <t>ผ่าน</t>
  </si>
  <si>
    <t>1. ผู้เข้าร่วมโครงการได้รับความรู้เพิ่มขึ้น ร้อยละ 85</t>
  </si>
  <si>
    <t>n/a</t>
  </si>
  <si>
    <t>ส่งเอกสารขออนุญาตดำเนินโครงการ 25/5/2561</t>
  </si>
  <si>
    <t>(งบรายจ่ายอื่น งบประมาณ)</t>
  </si>
  <si>
    <t>แผนงานพื้นฐานด้านการพัฒนาและเสริมสร้างศักยภาพคน</t>
  </si>
  <si>
    <t>ค่าใช้จ่ายโครงการบริการวิชาการ</t>
  </si>
  <si>
    <t>โครงการศูนย์ถ่ายทอดเทคโนโลยีการผลิตปลาสลิดชุมชนวังไทร : กิจกรรมย่อยที่ 4 การเสวนารายงานผลการดำเนินงานสู่การปรับปรุงและพัฒนาแผนการดำเนินงาน</t>
  </si>
  <si>
    <t>1. ผู้เข้าร่วมโครงการสามารถนำความรู้ไปใช้ประโยชน์ได้อยู่ในระดับมาก</t>
  </si>
  <si>
    <t>1. อย่างน้อยร้อยละ 80 ของผู้เข้าร่วมโครงการได้รับความรู้เพิ่มขึ้น</t>
  </si>
  <si>
    <t>086-7815670</t>
  </si>
  <si>
    <t>2. คณาจารย์ได้ทราบความปัญหาจากการดำเนินโครงการบริการวิชาการ</t>
  </si>
  <si>
    <t>โครงการขับเคลื่อนยุทธศาสตร์การพัฒนา มทร.ศรีวิชัย</t>
  </si>
  <si>
    <t>ต.ค 60-ก.ย. 61</t>
  </si>
  <si>
    <t>โครงการอบรมเพื่อสร้างแรงบันดาลใจสำหรับการเป็นผู้ประกอบการด้านวิสาหกิจ เพื่อสังคม Social Enterprise</t>
  </si>
  <si>
    <t>1. ผู้รับบริการนำความรู้ที่ได้ไปใช้ในระดับดี</t>
  </si>
  <si>
    <t>1. บุคลากรนำความรู้ที่ได้มาพัฒนาเพ่อให้สอดคล้องกับการดำเนินงานของหน่วยงานให้มีประสิทธิภาพยิ่งขึ้น</t>
  </si>
  <si>
    <t>2. เพื่อให้นักศึกษา และคณาจารย์ ตระหนักและให้ความสำคัญต่อการเป็นผู้ประกอบการด้านวิสาหกิจเพื่อสังคม Social Enterprise</t>
  </si>
  <si>
    <t>โครงการบริการวิชาการ</t>
  </si>
  <si>
    <t>งบกลางระดับ ป.ตรี</t>
  </si>
  <si>
    <t>โครงการยกร่างและวิพากษ์หลักสูตรบริหารธุรกิจบัณฑิต สาขาวิชาคอมพิวเตอร์ธุรกิจ (ต่อเนื่อง) หลักสูตรปรับปรุง พ.ศ .... : ครั้งที่ 2 วิพากษ์หลักสูตร</t>
  </si>
  <si>
    <t>1. มีหลักสูตรคอมพิวเตอร์ธุรกิจ(ต่อเนื่อง) สอดคล้องกับความต้องการของตลาดแรงงานและสถานประกอบการ และสนองนโยบายของสำนักงานคณะกรรมการการอุดมศึกษา</t>
  </si>
  <si>
    <t>1. ผู้เข้าร่วมโครงการอยู่ในกระบวนการของการจัดกิจกรรมครบถ้วน ร้อยละ 85</t>
  </si>
  <si>
    <t>(งบกลาง งบเงินรายได้)</t>
  </si>
  <si>
    <t>โครงการเชิดชูเกียรติบุคลากรดีเด่น ประจำปี 2561</t>
  </si>
  <si>
    <t>1. ผู้เข้าร่วมโครงการได้รับรางวัลจากการประกวดแข่งขันอย่างน้อย 1 รางวัล</t>
  </si>
  <si>
    <t>1. ความพึงพอใจของผู้เข้าร่วมโครงการ ไม่น้อยกว่าร้อยละ 80</t>
  </si>
  <si>
    <t>- -</t>
  </si>
  <si>
    <t>2. ผู้เข้าร่วมโครงการทุกคนบอกประเด็นความรู้หรือประสบการณ์ที่ได้รับเพิ่มขึ้นอย่างน้อย 1 เรื่อง</t>
  </si>
  <si>
    <t>โครงการพัฒนากิจกรรมศูนย์ภาษา : กิจกรรมย่อยที่ 3 โครงการสอบวัดสมรรถนะภาษา (SPEEXX) สำหรับบุคลากรสายวิชาการ</t>
  </si>
  <si>
    <t>โครงการแลกเปลี่ยนเรียนรู้ประสบการณ์วิชาการและวิชาชีพแก่ศิษย์เก่าและศิษย์ปัจจุบัน</t>
  </si>
  <si>
    <t>1. ผู้เข้าร่วมโครงการนำความรู้ไปใช้ประโยชน์ อย่างน้อยร้อยละ 80</t>
  </si>
  <si>
    <t>1. ผู้เข้าร่วมโครงการมีความรู้ความเข้าใจ ร้อยละ 80</t>
  </si>
  <si>
    <t>โครงการเมืองท่าข้ามเมืองแห่งนวัตกรรมด้านอาหาร (Thakham of Food Innopolis):กิจกรรมย่อยที่ 6 เสวนารายงานสรุปผลการดำเนินงานและพัฒนาแผนการดำเนินงาน</t>
  </si>
  <si>
    <t>1. ผู้เข้าร่วมโครงการสามารถนำความรู้ไปใช้ได้อยู่ในระดับมาก</t>
  </si>
  <si>
    <t>081-5438933</t>
  </si>
  <si>
    <t>2. ชุมชนรับทราบและต่อยอดการอบรมโครงการอื่นๆ</t>
  </si>
  <si>
    <t>2. ชุมชนรับทราบข้อมูลในการอบรมในปีที่ผ่านมา</t>
  </si>
  <si>
    <t>ค่าใช้จ่ายอนุรักษ์พันธุกรรมพืช อันเนื่องมาจากพระราชดำริ สนองพระราชดำริ</t>
  </si>
  <si>
    <t>โครงการจัดทำฐานข้อมูลป่าชายหาด อพ.สธ. มทร.ศรีวิชัย วิทยาเขตตรัง</t>
  </si>
  <si>
    <t>1. ระดับความพึงพอใจเฉลี่ยจากผู้ทดลองใช้ฐานข้อมูล ไม่น้อยกว่าร้อยละ 80</t>
  </si>
  <si>
    <t>1. ได้ระบบฐานข้อมูลจัดเก็บพันธุ์พืช 1 ระบบ ที่สามารถเข้าถึงระบบอินเตอรืเน็ตได้ตลอดเวลา</t>
  </si>
  <si>
    <t>2. จำนวนผู้สนใจเข้าถึงฐานข้อมุลผ่านระบบอินเตอร์เน็ต</t>
  </si>
  <si>
    <t>โครงการสร้างสรรค์ขบวนพาเหรด ศรีวิชัยเกมส์</t>
  </si>
  <si>
    <t>5 ส.ค. 61-11 ส.ค. 61</t>
  </si>
  <si>
    <t>1. นักศึกษามีสุขภาพร่างกายที่แข็งแรงสมบูรณ์</t>
  </si>
  <si>
    <t>1. นักศึกษาได้ร่วมทำกิจกรรมกับคณะอื่นๆ</t>
  </si>
  <si>
    <t>081-0817586</t>
  </si>
  <si>
    <t>โครงการเสริมสร้างความเข้มแข็งด้านอาชีพการปศุสัตว์แก่ชุมชนในพื้นที่เทศบาลตำบลทุ่งสัง อ.ทุ่งใหญ่ จ.นครศรีธรรมราช : กิจกรรมย่อยที่ 5 การเสวนารายงานผลการดำเนินงานสู่การปรับปรุงและพัฒนาแผนการดำเนินงาน</t>
  </si>
  <si>
    <t>15 ส.ค. 61-14 ก.ย. 61</t>
  </si>
  <si>
    <t>1. สร้างความยั่งยืนด้านอาชีพในท้องถิ่น</t>
  </si>
  <si>
    <t>1. ชุมชนเกิดความเข้มแข็งด้านอาชีพที่ให้บริการ</t>
  </si>
  <si>
    <t>075-4896111</t>
  </si>
  <si>
    <t>2. สร้างประสบการณ์เกษตรกรสู่ผู้ประกอบการ</t>
  </si>
  <si>
    <t>โครงการพัฒนาอาชีพทางด้านอุตสาหกรรมเกษตรในชุมชนแปรรูปจากขนาบนากแบบยั่งยืน:กิจกรรมย่อยที่ 7 การเสวนารายงานผลการดำเนินงานสู่การปรับปรุงและพัฒนาแผนการดำเนินงาน</t>
  </si>
  <si>
    <t>092-4519799</t>
  </si>
  <si>
    <t>2. สามารถวิเคราะห์ผลการดำเนินงานได้ด้วยตนเอง และนำไปจัดทำแผนการปรับปรุงในปีต่อไป</t>
  </si>
  <si>
    <t>2. กลุ่มเกษตรกรผู้ปลูกและแปรรูปจาก ต.ขนาบนาก อ.ปากพนัง จ.นครศรีธรรมราช ไม่น้อยกว่า 15 คน มีส่วนร่วมในการเสวนาและสรุปผลการดำเนินงาน</t>
  </si>
  <si>
    <t>รอรับเช็คและดำเนินโครงการ 6/7/2561</t>
  </si>
  <si>
    <t>โครงการเพิ่มประสิทธิภาพงานนโยบายและแผน เพื่อรองรับระบบงบประมาณเชิงยุทธศาสตร์แบบบุรณาการ 3 มิติ</t>
  </si>
  <si>
    <t>มี.ค. 61-ก.ย. 61</t>
  </si>
  <si>
    <t>1 มิ.ย. 61-30 ก.ย. 61</t>
  </si>
  <si>
    <t>รอรับเช็คและดำเนินโครงการ 4/5/2561</t>
  </si>
  <si>
    <t>ค่าใช้จ่ายโครงการศิลปวัฒนธรรม</t>
  </si>
  <si>
    <t>โครงการพัฒนาศักยภาพสำนักศิลปวัฒนะรรมศรีวิชัย</t>
  </si>
  <si>
    <t>24 ก.ย. 61-26 พ.ย 61</t>
  </si>
  <si>
    <t>1. ผู้เข้าร่วมโครงการมีความตระหนักในการทำนุบำรุงศิลปวัฒนธรรม</t>
  </si>
  <si>
    <t>1. ความพึงพอใจของผู้เข้าร่วมโครงการไม่น้อยกว่าร้อยละ 80</t>
  </si>
  <si>
    <t>เสนอผู้บริหารอนุมัติ 23/11/2561</t>
  </si>
  <si>
    <t>โครงการสนับสนุนพื้นที่แหล่งเรียนรู้ทางวัฒนธรรม</t>
  </si>
  <si>
    <t>โครงการพัฒนาศักยภาพการจัดการศึกษา พื้นที่สงขลา</t>
  </si>
  <si>
    <t>ส่งเอกสารขออนุญาตดำเนินโครงการ 11/6/2561</t>
  </si>
  <si>
    <t>โครงการทำบุญเนื่องในวันคล้ายวันสถาปนามหาวิทยาลัย ประจำปี 2561</t>
  </si>
  <si>
    <t>1. ผู้เข้าร่วมโครงการมีความตระหนักในการทำนุบำรุงศิลปวัฒนธรรมไทยและอนุรักษ์สิ่งแวดล้อม</t>
  </si>
  <si>
    <t>1. ความพึงพอใจของผู้เข้าร่วมโครงการ ไม่น้อยกว่าร้อยละ 85</t>
  </si>
  <si>
    <t>โครงการฝึกอบรมเทคนิคการเขียนรายงานการประชุม</t>
  </si>
  <si>
    <t>1. ผู้เข้าร่วมโครงการสามารถนำไปใช้ประโยชน์ได้อยู่ในระดับมาก</t>
  </si>
  <si>
    <t>1. อย่างน้อยร้อยละ 85 ของผู้เข้าร่วมดครงการได้รับความรู้เพิ่มขึ้น</t>
  </si>
  <si>
    <t>โครงการเข้าค่ายคุณธรรม</t>
  </si>
  <si>
    <t>23 มิ.ย. 61-24 มิ.ย. 61</t>
  </si>
  <si>
    <t>1. ผู้เข้าร่วมโครงการมีความตระหนักในการทำนุบำรุงศิลปวัฒนธรรมไทย และอนุรักษ์สิ่งแวดล้อม</t>
  </si>
  <si>
    <t>ร้อยละ 80</t>
  </si>
  <si>
    <t>โครงการเข้าร่วมจัดนิทรรศการวิชาการ ราชมงคลศรีวิชัยแฟร์ 2018</t>
  </si>
  <si>
    <t>ม.ค. 61-พ.ย 60</t>
  </si>
  <si>
    <t>17 ม.ค. 61-19 ม.ค. 61</t>
  </si>
  <si>
    <t>1. ผู้เข้าร่วมโครงการนำความรู้ไปใช้ประโยชน์ได้อยู่ในระดับมาก</t>
  </si>
  <si>
    <t>โครงการสัมนาขับเคลื่อนยุทธศาสตร์การพัฒนามหาวิทยาลัยเทคโนโลยีราชมงคลศรีวิชัย เพื่อรองรับยุทธศาสตร์ชาติ (พ.ศ.2562-2566) : โครงการอุตสาหกรรมการท่องเที่ยวและบริการ</t>
  </si>
  <si>
    <t>7 ก.ย. 61-9 ก.ย. 61</t>
  </si>
  <si>
    <t>1. อย่างน้อยร้อยละ 80 ของผ๔้เข้าร่วมโครงการได้รับความรู้เพิ่มขึ้น</t>
  </si>
  <si>
    <t>โครงการพัฒนาขีดความสามารถด้านเทคโนโลยีสารสนเทศ IC3</t>
  </si>
  <si>
    <t>โครงการตรวจประเมินคุณภาพการศึกษาภายในระดับหลักสูตรบัญชีบัณฑิต สาขาวิชาการบัญชี ประจำปีการศึกษา 2560</t>
  </si>
  <si>
    <t>1. ผู้เข้าร่วมดครงการสามารถนำความรู้ไปใช้ประโยชน์ได้อยู่ในระดับมาก</t>
  </si>
  <si>
    <t>โครงการศึกษาดูงานและพัฒนาทักษะด้านการนำเที่ยวอย่างมืออาชีพ : กิจกรรมย่อยที่ 1 ทัศนศึกษาภาคกลางและภาคเหนือ</t>
  </si>
  <si>
    <t>17 ก.พ. 61-23 ก.พ. 61</t>
  </si>
  <si>
    <t>1. ผู้เข้าร่วมโครงการได้รับการพัฒนาทักษะวิชาชีพเฉพาะทางและเพิ่มความเชี่ยวชาญในวิชาชีพมากขึ้น</t>
  </si>
  <si>
    <t>undefined</t>
  </si>
  <si>
    <t>1. มีกิจกรรมแลกเปลี่ยนเรียนรู้ประสบการณ์/ทักษะวิชาชีพ/วิชาการภายในหน่วยงาน</t>
  </si>
  <si>
    <t>โครงการแข่งขันกีฬาภายใน มทร.ศรีวิชัย ครั้งที่ 11</t>
  </si>
  <si>
    <t>4 ส.ค. 61-11 ส.ค. 61</t>
  </si>
  <si>
    <t>1. ผู้เข้าร่วมโครงการได้รับรางวัลจากการแข่งขันอย่างน้อย 1 รางวัล</t>
  </si>
  <si>
    <t>1 รางวัล</t>
  </si>
  <si>
    <t>1. ผู้เข้าร่วมโครงการทุกคนบอกประเด็นความรู้หรือประสบการณ์ที่ได้รับอย่างน้อย 1 เรื่อง</t>
  </si>
  <si>
    <t>1 เรื่อง</t>
  </si>
  <si>
    <t>โครงการพัฒนาทักษะวิชาชีพสำหรับบุคลากรในสถานประกอบการ</t>
  </si>
  <si>
    <t>พ.ค 2561</t>
  </si>
  <si>
    <t>17 เม.ย. 61-16 มิ.ย. 61</t>
  </si>
  <si>
    <t>โครงการพัฒนาเพิ่มทักษะวิชาชีพแก่นักศึกษา : กิจกรรมย่อยที่ 1 การอนุรักษ์อาหารพื้นบ้าน อาหารโบราณ</t>
  </si>
  <si>
    <t>พ.ย 2560</t>
  </si>
  <si>
    <t>16 พ.ย 60</t>
  </si>
  <si>
    <t>โครงการเสริมสร้างทักษะทางวิชาการ : กิจกรรมย่อยที่ 1 โครงการเสริมสร้างทักษะทางวิชาการด้านบริหารธุรกิจ 9 มทร.</t>
  </si>
  <si>
    <t>29 ม.ค. 61-3 ก.พ. 61</t>
  </si>
  <si>
    <t>1. ผู้เข้าร่วมโครงการได้รับรางวัลจากการประกวด แข่งขัน อย่างน้อย 1 เรื่อง</t>
  </si>
  <si>
    <t>1. ผู้เข้าร่วมโครงการทุกคนบอกประเด็นความรู้หรือประสบการณ์ที่ได้รับเพิ่มขึ้นอย่างน้อย 1 เรื่อง</t>
  </si>
  <si>
    <t>โครงการศึกษาดูงานและพัฒนาทักษะด้านการนำเที่ยวอย่างมืออาชีพ : กิจกรรมย่อยที่ 2 ทัศนศึกษาภาคใต้ฝั่งตะวันตก-ตะวันออก</t>
  </si>
  <si>
    <t>19 มี.ค. 61-23 มี.ค. 61</t>
  </si>
  <si>
    <t>โครงการศึกษาดูงานและพัฒนาทักษะด้านการนำเที่ยวอย่างมืออาชีพ : กิจกรรมย่อยที่ 3 ศึกษาดูงานโรงแรมและพัฒนาทักษะด้านการโรงแรม</t>
  </si>
  <si>
    <t>29 พ.ค 61-1 มิ.ย. 61</t>
  </si>
  <si>
    <t>โครงการพัฒนาเพิ่มทักษะวิชาชีพแก่นักศึกษา : กิจกรรมย่อยที่ 2 พัฒนาความรู้ด้านการจัดทำบัญชีสำหรับธุรกิจเฉพาะ</t>
  </si>
  <si>
    <t>โครงการพัฒนาเพิ่มทักษะวิชาชีพแก่นักศึกษา : กิจกรรมย่อยที่ 3 โครงการฝึกทักษะทางด้านภาษาอังกฤษสำหรับนักบัญชี</t>
  </si>
  <si>
    <t>โครงการพัฒนาเพิ่มทักษะวิชาชีพแก่นักศึกษา : กิจกรรมย่อยที่ 4 เตรียมความพร้อมสู่การเป็นนักบัญชีมืออาชีพ-ด้านการสอบบัญชี</t>
  </si>
  <si>
    <t>โครงการพัฒนาเพิ่มทักษะวิชาชีพแก่นักศึกษา : กิจกรรมย่อยที่ 5 โครงการเตรียมความพร้อมสู่การเป็นผู้สอบบัญชีภาษีอากร</t>
  </si>
  <si>
    <t>โครงการพัฒนาเพิ่มทักษะวิชาชีพแก่นักศึกษา : กิจกรรมย่อยที่ 6 เตรียมความพร้อมนักศึกษาสาขาวิชาการบัญชีก่อนออกฝึกงาน</t>
  </si>
  <si>
    <t>โครงการพัฒนาเพิ่มทักษะวิชาชีพแก่นักศึกษา : กิจกรรมย่อยที่ 7 เตรียมความพร้อมสู่การเป็นนักบัญชีมืออาชีพ- ด้านการจัดทำบัญชี</t>
  </si>
  <si>
    <t>โครงการพัฒนาเพิ่มทักษะวิชาชีพแก่นักศึกษา : กิจกรรมย่อยที่ 8 เทคนิคการพัฒนาบุคลิกภาพสู่การบริการที่เป็นเลิศ</t>
  </si>
  <si>
    <t>โครงการพัฒนาเพิ่มทักษะวิชาชีพแก่นักศึกษา : กิจกรรมย่อยที่ 9 ทดสอบสมรรถนะด้านการบริการอาหารและเครื่องดื่ม</t>
  </si>
  <si>
    <t>8 ก.พ. 61-9 ก.พ. 61</t>
  </si>
  <si>
    <t>โครงการเสริมสร้างทักษะทางวิชาการ : กิจกรรมย่อยที่ 2 โครงการเสริมสร้างทักษะและการแข่งขันทางศิลปศาสตร์ 9 มทร.</t>
  </si>
  <si>
    <t>10 ก.พ. 61-13 ก.พ. 61</t>
  </si>
  <si>
    <t>โครงการปฐมนิเทศนักศึกษา</t>
  </si>
  <si>
    <t>โครงการปัจฉิมนิเทศนักศึกษา</t>
  </si>
  <si>
    <t>โครงการสร้างสรรค์ขบวนพาเหรดศรีวิชัยเกมส์ ครั้งที่ 11</t>
  </si>
  <si>
    <t>1. ผู้เข้าร่วมโครงการบอกประเด็นความรู้หรือประสบการณ์ที่ได้รับอย่างน้อย 1 เรื่อง</t>
  </si>
  <si>
    <t>โครงการสร้างนักบัญชีคุณภาพรุ่นใหม่ (Young</t>
  </si>
  <si>
    <t>21 ก.พ. 61-23 ก.พ. 61</t>
  </si>
  <si>
    <t>โครงการเสริมหลักสูตรด้านกฎหมายและกระบวนการยุติธรรมแก่นักศึกษา</t>
  </si>
  <si>
    <t>โครงการ CHT นิทรรศการทางวิชาการ</t>
  </si>
  <si>
    <t>1. ผู้เข้าร่วมโครงการมีความพึงพอใจต่อความรู้ที่ได้รับจากนิทรรศการ อย่างน้อยร้อยละ 80</t>
  </si>
  <si>
    <t>โครงการพัฒนาศักยภาพแนวทางด้านการเขียนรายงานการประเมินตนเองทั้งระดับหลักสูตรและระดับคณะ : กิจกรรมย่อยที่ 1 ตรวจประเมินคุณภาพการศึกษาภายในระดับหลักสูตร</t>
  </si>
  <si>
    <t>1. ผู้เข้าร่วมโครงการสามารถนำความรู้ไปใช้ประโยชน์อยู่ในระดับมาก</t>
  </si>
  <si>
    <t>โครงการฝึกทักษะนำเที่ยวต่างประเทศด้วยประสบการณ์จริงเพื่อเพิ่มความเชี่ยวชาญด้านวิชาชีพมัคคุเทศก์</t>
  </si>
  <si>
    <t>24 มี.ค. 61-25 มี.ค. 61</t>
  </si>
  <si>
    <t>โครงการพัฒนาศักยภาพแนวทางด้านการเขียนรายงานการประเมินตนเองทั้งระดับหลักสูตรและระดับคณะ : กิจกรรมย่อยที่ 2 ตรวจประเมินคุณภาพการศึกษาภายในระดับคณะ</t>
  </si>
  <si>
    <t>โครงการอบรมเยาวชนนักอนุรักษ์ทรัพยากรธรรมชาติ (ป่าชายหาด)</t>
  </si>
  <si>
    <t>22 ก.พ. 61-23 ก.พ. 61</t>
  </si>
  <si>
    <t>1. ผู้เข้าร่วมโครงการได้รับความรู้เพิ่มมากขึ้น</t>
  </si>
  <si>
    <t>1. ความพึงพอใจของผู้เข้าร่วมโครงการไม่น้อยกว่าร้อยละ80</t>
  </si>
  <si>
    <t>16.แผนบริหารจัดการและการประกันคุณภาพ</t>
  </si>
  <si>
    <t>โครงการตรวจประเมินคุณภาพการศึกษาภายใน ระดับหลักสูตรและระดับคณะ ประจำปีการศึกษา 2560 : กิจกรรมย่อยที่ 1 การตรวจประเมินคุณภาพการศึกษาภายใน ระดับหลักสูตร ประจำปีการศึกษา 2560</t>
  </si>
  <si>
    <t>โครงการตรวจประเมินคุณภาพการศึกษาภายใน ระดับหลักสูตรและระดับคณะ ประจำปีการศึกษา 2560 : กิจกรรมย่อยที่ 2 การตรวจประเมินคุณภาพการศึกษาภายในระดับคณะ ประจำปีการศึกษา 2560</t>
  </si>
  <si>
    <t>โครงการปรับปรุงวิพากษ์หลักสูตรสาขาวิชาภาษาอังกฤษเพื่อการสื่อสารสากล</t>
  </si>
  <si>
    <t>20 ก.ค. 61-23 ก.ค. 61</t>
  </si>
  <si>
    <t>1. อย่างน้อยร้อยละ 80 ของผู้เข้าร่วมโครงการสามารถจัดทำหลักสูตรเสร็จสิ้น</t>
  </si>
  <si>
    <t>โครงการติดตามความก้าวหน้าและประเมินผลการวิจัย รอบ 6 เดือน</t>
  </si>
  <si>
    <t>7 มิ.ย. 61-8 มิ.ย. 61</t>
  </si>
  <si>
    <t>1. นักวิจัยได้รับการสนับสนุนให้ดำเนินโครงการต่อไป ร้อยละ 100</t>
  </si>
  <si>
    <t>1. นักวิจัยรายงานความก้าวหน้าเพื่อรับการประเมินโครงการวิจัยครบถ้วน ร้อยละ 100</t>
  </si>
  <si>
    <t>โครงการหลักสูตรดำน้ำลึก</t>
  </si>
  <si>
    <t>20 ส.ค. 61-23 ส.ค. 61</t>
  </si>
  <si>
    <t>โครงการสร้างความสัมพันธ์เครือข่าย Tourism Excellent Network Southern Chapter</t>
  </si>
  <si>
    <t>26 ส.ค. 61-29 ส.ค. 61</t>
  </si>
  <si>
    <t>1. มีกิจกรรมความร่วมมืออย่างน้อย 1 กิจกรรม</t>
  </si>
  <si>
    <t>โครงการการสร้างเครือข่ายการจัดทำบัญชีครัวเรือน อำเภอสิเกา จังหวัดตรัง</t>
  </si>
  <si>
    <t>โครงการอาสาสมัครมัคคุเทศก์ประจำชุมชน รุ่นที่ 3</t>
  </si>
  <si>
    <t>โครงการการสร้างต้นแบบการพัฒนาศักยภาพการท่องเที่ยวโดยชุมชนเขาหลัก จังหวัดตรัง อย่างยั่งยืน : กิจกรรมย่อยที่ 1 การอบรมเชิงปฏิบัติการการวางแผนจัดรายการนำเที่ยว และการบริการสู่ความเป็นเลิศ</t>
  </si>
  <si>
    <t>2 มี.ค. 61-3 มี.ค. 61</t>
  </si>
  <si>
    <t>โครงการการสร้างต้นแบบการพัฒนาศักยภาพการท่องเที่ยวโดยชุมชนเขาหลัก จังหวัดตรัง อย่างยั่งยืน : กิจกรรมย่อยที่ 2 ภาษาอังกฤษเพื่อการสื่อสารสำหรับการท่องเที่ยวโดยชุมชน</t>
  </si>
  <si>
    <t>10 มี.ค. 61-12 มี.ค. 61</t>
  </si>
  <si>
    <t>โครงการการสร้างต้นแบบการพัฒนาศักยภาพการท่องเที่ยวโดยชุมชนเขาหลัก จังหวัดตรัง อย่างยั่งยืน : กิจกรรมย่อยที่ 3 พัฒนาศักยภาพด้านการจัดทำบัญชีต้นทุนกลุ่มวิสาหกิจการท่องเที่ยวโดยชุมชน</t>
  </si>
  <si>
    <t>17 ก.พ. 61-18 ก.พ. 61</t>
  </si>
  <si>
    <t>โครงการการสร้างต้นแบบการพัฒนาศักยภาพการท่องเที่ยวโดยชุมชนเขาหลัก จังหวัดตรัง อย่างยั่งยืน : กิจกรรมย่อยที่ 4 การส่งเสริมการท่องเที่ยวบ้านเขาหลัก จังหวัดตรัง</t>
  </si>
  <si>
    <t>28 เม.ย. 61-29 เม.ย. 61</t>
  </si>
  <si>
    <t>โครงการการสร้างต้นแบบการพัฒนาศักยภาพการท่องเที่ยวโดยชุมชนเขาหลัก จังหวัดตรัง อย่างยั่งยืน : กิจกรรมย่อยที่ 5 การจัดการธุรกิจท่องเที่ยวโฮมสเตย์โดยชุมชน (Homestay Management by KhaoLak Community)</t>
  </si>
  <si>
    <t>โครงการการสร้างต้นแบบการพัฒนาศักยภาพการท่องเที่ยวโดยชุมชนเขาหลัก จังหวัดตรังอย่างยั่งยืน :กิจกรรมย่อยที่ 6 เสวนารายงานสรุปผลการดำเนินงานและพัฒนาแผนการดำเนินงาน</t>
  </si>
  <si>
    <t>โครงการเทคนิคการใช้สื่อความหมายในการถ่ายทอดความรู้ผลิตภัณฑ์วิสาหกิจชุมชน บ้านปากคลอง ต.บ่อหิน อ.สิเกา จ.ตรัง (ภายใต้โครงการยกระดับคุณภาพชีวิตชุมชนแบบมีส่วนร่วมสู่แหล่งเรียนรู้ ภูมิปัญญาท้องถิ่นต้นแบบของจังหวัดตรัง)</t>
  </si>
  <si>
    <t>25 พ.ค 61-26 พ.ค 61</t>
  </si>
  <si>
    <t>1. สามารถเล่าเรื่องราวเกี่ยวกับผลิตภัรฑ์ของกลุ่มวิสาหกิจชุมชนปากคลอง</t>
  </si>
  <si>
    <t>1. สามารถอธิบายถ่ายทอดความรู้เกี่ยวกับผลิตภัณฑ์วิสาหกิจชุมชนปากคลอง จังหวัดตรัง</t>
  </si>
  <si>
    <t>2. ได้สื่อการเรียนรู้และสื่อมาตรฐานของศูนย์เรียนรู้ชุมชนวิสาหกิจชุมชนปากคลอง</t>
  </si>
  <si>
    <t>โดครงการสร้างนักธุรกิจรุ่นเยาว์ครั้งที่ 1 Young Business 1 (ภายใต้โครงการเชื่อมโยงสถาบันอุดมศึกษาไปสู่โรงเรียน (Educational pipeline) ปี2)</t>
  </si>
  <si>
    <t>1. เป็นการสอนให้เยาวชนมีความรู้ทางด้านการเป็นผู้ประกอบการเพิ่มขึ้น</t>
  </si>
  <si>
    <t>1. ผู้เข้าร่วมโครงการมีความพึงพอใจไม่น้อยกว่าร้อยละ 80</t>
  </si>
  <si>
    <t>โครงการถ่ายทอดองค์ความรู้ด้านการท่องเที่ยวโดยชุมชนสู่เยาวชน อำเภอสิเกา จังหวัดตรัง (ภายใต้โครงการเชื่อมโยงสถาบันอุดมศึกษาไปสู่โรงเรียน (Educational pipeline) ปี2)</t>
  </si>
  <si>
    <t>1. สามารถเล่าเรื่องราวชุมชนของเยาวชนปากเมงได้</t>
  </si>
  <si>
    <t>1. ได้รับข้อมูลเรื่องการท่องเที่ยวโดยชุมชน</t>
  </si>
  <si>
    <t>2. ทราบถึงเทคนิคการเล่าเรื่องที่น่าสนใจ</t>
  </si>
  <si>
    <t>โครงการเสริมสร้างสมรรถนะพื้นฐานการผลิตบัณฑิตนักปฏิบัติคณะเกษตรศาสตร์ : กิจกรรมย่อยที่ 1 การพัฒนาศักยภาพนักศึกษาด้านการขยายพันธุ์พืชเพื่อการค้า</t>
  </si>
  <si>
    <t>ม.ค. 61-ส.ค. 61</t>
  </si>
  <si>
    <t>089-8756323</t>
  </si>
  <si>
    <t>ก.ค. 61-ส.ค. 61</t>
  </si>
  <si>
    <t>1. ผู้เข้าร่วมโครงการได้รับรางวัลจากการประกวด แข่งขัน อย่างน้อย 1 รางวัล</t>
  </si>
  <si>
    <t>1. ผู้เข้าร่วมโครงการทุกคนบอกประเด็นความรู้หรือประสบการณ์ที่ได้รับเพิ่มขึ้น อย่างน้อย 1 เรื่อง</t>
  </si>
  <si>
    <t>088-7840587</t>
  </si>
  <si>
    <t>โครงการการประชุมวิชาการวิทยาศาสตร์การประมงระดับปริญญาตรีครั้งที่ 13 The 13th Undergrad. Fisheries Science Conference (UFSC)</t>
  </si>
  <si>
    <t>17 มี.ค. 61-18 มี.ค. 61</t>
  </si>
  <si>
    <t>1. ผู้เข้าร่วมโครงการทุกคนบอกประเด็นความรู้ที่ได้รับ อย่างน้อย 1 เรื่อง</t>
  </si>
  <si>
    <t>081-5990778</t>
  </si>
  <si>
    <t>โครงการเสริมสร้างทักษะวิชาชีพ และประสบการณ์สู่การเป็นผู้ประกอบการใหม่</t>
  </si>
  <si>
    <t>23 ก.พ. 61-25 ก.พ. 61</t>
  </si>
  <si>
    <t>1. ผู้เข้าร่วมโครงการได้รับการพัฒนาทักษะวิชาชีพเฉพาะทาง และเพิ่มความเชี่ยวชาญในวิชาชีพมากขึ้น</t>
  </si>
  <si>
    <t>085-5735901</t>
  </si>
  <si>
    <t>โครงการพัฒนางานฟาร์มโคเนื้อ ชุมพร</t>
  </si>
  <si>
    <t>2 ต.ค 60-14 ก.ย. 61</t>
  </si>
  <si>
    <t>081-9781359</t>
  </si>
  <si>
    <t>โครงการประชุมคณบดีสาขาการเกษตรแห่งประเทศไทย ครั้งที่ 2/2561</t>
  </si>
  <si>
    <t>13 มิ.ย. 61-15 มิ.ย. 61</t>
  </si>
  <si>
    <t>1. ผู้เข้าร่วมประชุมมีความพึงพอใจต่อการจัดประชุมไม่น้อยกว่าร้อยละ 80</t>
  </si>
  <si>
    <t>1. มีคณบดี หรือตัวแทนเข้าร่วมประชุมตามจำนวนสมาชิกของสภาฯ ไม่น้อยกว่าร้อยละ 80</t>
  </si>
  <si>
    <t>โครงการสำรวจเก็บรวบรวมพันธุกรรมมะขามป้อมในพื้นที่ จ.นครศรีธรรมราช</t>
  </si>
  <si>
    <t>ม.ค. 61-ก.ย. 61</t>
  </si>
  <si>
    <t>8 ม.ค. 61-14 ก.ย. 61</t>
  </si>
  <si>
    <t>1. พันธุ์มะขามป้อมจากการสำรวจในแปลงปกปักฯ</t>
  </si>
  <si>
    <t>1. จำนวนตัวอย่างพันธุ์มะขามป้อมจากการสำรวจไม่น้อยกว่า 20 โคลน</t>
  </si>
  <si>
    <t>088-7899230</t>
  </si>
  <si>
    <t>2. เป็นแหล่งเรียนรู้ของนักศึกษาและประชาชนทั่วไปได้</t>
  </si>
  <si>
    <t>2. มีการขยายพันธุ์เพิ่มจำนวนเพิ่มเติมไม่น้อยกว่า 100 ต้น</t>
  </si>
  <si>
    <t>โครงการการสำรวจเก็บรวบรวมพันธุกรรมทรัพยากรกายภาพ ชีวภาพ ของทุเรียนเทศในจังหวัดนครศรีธรรมราช</t>
  </si>
  <si>
    <t>1. ตัวอย่างต้นทุเรียนเทศ จากการสำรวจในแปลงปกปักฯ</t>
  </si>
  <si>
    <t>1. จำนวนตัวอย่างพันธุ์ทุเรียนเทศ จากการสำรวจไม่น้อยกว่า 20 ตัวอย่าง</t>
  </si>
  <si>
    <t>2. มีการขยายพันธุ์เพิ่มจำนวนเพิ่มเติม ไม่น้อยกว่า 80 ต้น</t>
  </si>
  <si>
    <t>โครงการปลูกรักษาพันธุกรรมพืชสมุนไพรมะขามป้อมที่ได้จากการสำรวจเก็บรวบรวมในพื้นที่ใหม่</t>
  </si>
  <si>
    <t>27 พ.ย 60-28 ก.ย. 61</t>
  </si>
  <si>
    <t>1. สมุนไพรมะขามป้อมทั้งสายพันธุพื้นเมืองและสายพันธุเชิงการค้าได้รับการปลูกเก็บรวบรวม อนุรักษ์ ปกปักรักษาในสภาพแปลงปลูกจริง</t>
  </si>
  <si>
    <t>1. มีสวนพันธุกรรมมะขามป้อม</t>
  </si>
  <si>
    <t>081-0892159</t>
  </si>
  <si>
    <t>โครงการการใช้ประโยชน์ทุเรียนเทศเพื่อการป้องกันกำจัดศัตรูพืช (ปลวกใต้ดิน)</t>
  </si>
  <si>
    <t>ม.ค. 61-มิ.ย. 61</t>
  </si>
  <si>
    <t>29 พ.ย 60-31 ส.ค. 61</t>
  </si>
  <si>
    <t>1. ผู้เข้าชมนิทรรศการมีความพึงพอใจต่อประโยชน์ที่ได้รับอย่างน้อยร้อยละ 80</t>
  </si>
  <si>
    <t>1. ได้ผลิตภัณฑ์ุเรียนเทศเพื่อการควบคุมปลวกใจต้อดินอย่างน้อย 1 ผลิตภัณฑ์</t>
  </si>
  <si>
    <t>083-6566529</t>
  </si>
  <si>
    <t>2. ได้จัดนิทรรศการใช้ประโยชน์ทุเรียนเทศเพื่อควบคุมปลวกใต้ดินอย่างน้อย 1 ครั้ง</t>
  </si>
  <si>
    <t>โครงการกิจกรรม 5ส plus ประจำปีการศึกษา 2560</t>
  </si>
  <si>
    <t>มี.ค. 61-เม.ย. 61</t>
  </si>
  <si>
    <t>3 เม.ย. 61-10 เม.ย. 61</t>
  </si>
  <si>
    <t>081-3262944</t>
  </si>
  <si>
    <t>โครงการรับการตรวจประเมินคุณภาพการศึกษาภายใน (SAR) ระดับหลักสูตร และระดับคณะ ประจำปีการศึกษา 2560 : โครงการย่อยที่ 1 : รับการตรวจประเมินคุณภาพการศึกษาภายใน (SAR) ระดับหลักสูตร</t>
  </si>
  <si>
    <t>มิ.ย. 61-ก.ค. 61</t>
  </si>
  <si>
    <t>12 ก.ค. 61-19 ก.ค. 61</t>
  </si>
  <si>
    <t>โครงการรับการตรวจประเมินคุณภาพการศึกษาภายใน (SAR) ระดับหลักสูตร และระดับคณะ ประจำปีการศึกษา 2560 : โครงการย่อยที่ 2 : รับการตรวจประเมินคุณภาพการศึกษาภายใน (SAR) ระดับคณะ</t>
  </si>
  <si>
    <t>โครงการทดสอบสมรรถนะวิชาชีพการผลิตบัณฑิตนักปฏิบัติ</t>
  </si>
  <si>
    <t>12 มี.ค. 61-20 มี.ค. 61</t>
  </si>
  <si>
    <t>087-2761618</t>
  </si>
  <si>
    <t>โครงการการสัมมนาวิชาการ การเรียนการสอนสายเกษตรที่ตอบสนองความต้องการของชุมชนท้องถิ่นและผู้ประกอบการเพื่อการพัฒนาหลักสูตรในอนาคต</t>
  </si>
  <si>
    <t>โครงการเสริมสร้างศักยภาพนักศึกษาด้านมาตรฐานไอที</t>
  </si>
  <si>
    <t>29 ม.ค. 61-31 ม.ค. 61</t>
  </si>
  <si>
    <t>โครงการ Journal Club in Agriculture for Master Student</t>
  </si>
  <si>
    <t>ม.ค. 61-มี.ค. 61</t>
  </si>
  <si>
    <t>13 มี.ค. 61-28 มี.ค. 61</t>
  </si>
  <si>
    <t>081-8966819</t>
  </si>
  <si>
    <t>โครงการพัฒนาศักยภาพนักศึกษาปริญญาโทด้านการวิจัยกับมหาวิทยาลัยคู่สัญญา Southwest University ประเทศสาธารณรัฐประชาชนจีน</t>
  </si>
  <si>
    <t>28 พ.ค 61-12 มิ.ย. 61</t>
  </si>
  <si>
    <t>1. บทความวิจัยที่เกี่ยวข้องกับหัวข้อที่ฝึกอบรมอย่างน้อย 1 บทความ</t>
  </si>
  <si>
    <t>1. ความพึงพอใจของนักศึกษาที่เข้าร่วมโครงการไม่น้อยกว่าร้อยละ 80</t>
  </si>
  <si>
    <t>(งบรายจ่ายอื่น งบเงินรายได้)</t>
  </si>
  <si>
    <t>โครงการอบรมโปรแกรมเทคโนโลยีคอมพิวเตอร์ (Computer Technology) แบบเข้มข้น (Intensive Course)</t>
  </si>
  <si>
    <t>9 พ.ย 60-11 พ.ย 60</t>
  </si>
  <si>
    <t>1. อย่างน้อยร้อยละ 80 ของผู้เข้าร่วมโครงการสอบผ่านสมรรถนะด้านสารสนเทศ</t>
  </si>
  <si>
    <t>โครงการนิทรรศการวิชาการราชมงคลศรีวิชัยแฟร์ 2018 : กิจกรรมย่อยที่ 1 การแสดงผลงานวิชาการและการประกวดแข่งขันวิชาการ สาขาพืชศาสตร์</t>
  </si>
  <si>
    <t>1. ผู้เข้าร่วมโครงการมีความรู้ไปใช้ประโยชน์อย่างน้อยร้อยละ 80</t>
  </si>
  <si>
    <t>โครงการนิทรรศการวิชาการราชมงคลศรีวิชัยแฟร์ 2018 : กิจกรรมย่อยที่ 2 การแสดงผลงานทางวิชาการ สาขาสัตวศาสตร์</t>
  </si>
  <si>
    <t>โครงการนิทรรศการวิชาการราชมงคลศรีวิชัยแฟร์ 2018 : กิจกรรมย่อยที่ 3 การแสดงผลงานทางวิชการ สาขาประมง</t>
  </si>
  <si>
    <t>โครงการนิทรรศการวิชาการราชมงคลศรีวิชัยแฟร์ 2018 : กิจกรรมย่อยที่ 4 การแสดงผลงานวิชาการและการประกวดแข่งขันวิชาการ สาขาเทคโนโลยีภูมิทัศน์</t>
  </si>
  <si>
    <t>โครงการนิทรรศการวิชาการราชมงคลศรีวิชัยแฟร์ 2018 : กิจกรรมย่อยที่ 5 การแสดงผลงานวิชาการ สาขาเกษตรกลวิธาน</t>
  </si>
  <si>
    <t>โครงการนิทรรศการวิชาการราชมงคลศรีวิชัยแฟร์ 2018 : กิจกรรมย่อยที่ 6 การแสดงผลงานทางวิชาการ สาขาพัฒนาการเกษตรและการจัดการธุรกิจเกษตร</t>
  </si>
  <si>
    <t>โครงการนิทรรศการวิชาการราชมงคลศรีวิชัยแฟร์ 2018 : กิจกรรมย่อยที่ 7 ศูนย์ประสานงานและประชาสัมพันธ์การจัดนิทรรศการวิชาการราชมงคลศรีวิชัยแฟร์ 2018 คณะเกษตรศาสตร์</t>
  </si>
  <si>
    <t>โครงการเสริมสร้างสมรรถนะพื้นฐานการผลิตบัณฑิตนักปฏิบัติคณะเกษตรศาสตร์ : กิจกรรมย่อยที่ 2 การเลี้ยงไก่ลูกผสมสามสายเลือด</t>
  </si>
  <si>
    <t>ต.ค 60-มี.ค. 61</t>
  </si>
  <si>
    <t>29 ธ.ค. 60-31 มี.ค. 61</t>
  </si>
  <si>
    <t>085-4788249</t>
  </si>
  <si>
    <t>โครงการเสริมสร้างสมรรถนะพื้นฐานการผลิตบัณฑิตนักปฏิบัติคณะเกษตรศาสตร์ : กิจกรรมย่อยที่ 3 การเสริมสร้างสมรรถนะพื้นฐานการผลิตพืชผักอินทรีย์วิถีแห่งภูมิปัญญาไทย</t>
  </si>
  <si>
    <t>087-0093652</t>
  </si>
  <si>
    <t>โครงการเสริมสร้างสมรรถนะพื้นฐานการผลิตบัณฑิตนักปฏิบัติคณะเกษตรศาสตร์ : กิจกรรมย่อยที่ 4 การเสริมสร้างสมรรถนะพื้นฐานการผลิตโคขุน</t>
  </si>
  <si>
    <t>1 ม.ค. 61-28 มี.ค. 61</t>
  </si>
  <si>
    <t>081-9786283</t>
  </si>
  <si>
    <t>โครงการเสริมสร้างสมรรถนะพื้นฐานการผลิตบัณฑิตนักปฏิบัติคณะเกษตรศาสตร์ : กิจกรรมย่อยที่ 5 การเสริมสร้างสมรรถนะพื้นฐานสาขาประมง(วิทยสัประยุทธ์)</t>
  </si>
  <si>
    <t>โครงการเสริมสร้างสมรรถนะพื้นฐานการผลิตบัณฑิตนักปฏิบัติคณะเกษตรศาสตร์ : กิจกรรมย่อยที่ 6 การเสริมสร้างสมรรถนะพื้นฐานการผลิตบัณฑิตนักปฏิบัติสาขาเทคโนโลยีภูมิทัศน์(การออกแบบและการสร้างวัสดุตกแต่งในงานภูมิทัศน์)</t>
  </si>
  <si>
    <t>25 ก.ค. 61-22 ส.ค. 61</t>
  </si>
  <si>
    <t>089-1696364</t>
  </si>
  <si>
    <t>โครงการเสริมสร้างสมรรถนะพื้นฐานการผลิตบัณฑิตนักปฏิบัติคณะเกษตรศาสตร์ : กิจกรรมย่อยที่ 7 การเสริมสร้างสมรรถนะพื้นฐานการใช้การซ่อมบำรุงแทรกเตอร์และเครื่องจักรกลเกษตร</t>
  </si>
  <si>
    <t>ม.ค. 61-ก.พ. 61</t>
  </si>
  <si>
    <t>085-6809954</t>
  </si>
  <si>
    <t>โครงการเสริมสร้างสมรรถนะพื้นฐานการผลิตบัณฑิตนักปฏิบัติคณะเกษตรศาสตร์ : กิจกรรมย่อยที่ 8 การเสริมสร้างสมรรถนะพื้นฐานการเป็นผู้ประกอบการใหม่</t>
  </si>
  <si>
    <t>30 ม.ค. 61-31 ม.ค. 61</t>
  </si>
  <si>
    <t>โครงการอบรมเชิงปฏิบัติการเพาะเลี้ยงเนื้อเยื่อพืชเศรษฐกิจแบบครบวงจร</t>
  </si>
  <si>
    <t>3 ก.พ. 61-4 ก.พ. 61</t>
  </si>
  <si>
    <t>088-2520395</t>
  </si>
  <si>
    <t>2. เกษตรกรมีองค์ความรู้ และสามารถนำไปปฏิบัติได้ อย่างน้อยร้อยละ 80</t>
  </si>
  <si>
    <t>2. ผู้สนใจประมาณ 20 คน ได้พัฒนาความรู้ สร้างอาชีพ</t>
  </si>
  <si>
    <t>โครงการส่งเสริมการปลูกสร้างแปลงหญ้าเลี้ยงโค กระบือ</t>
  </si>
  <si>
    <t>096-1595997</t>
  </si>
  <si>
    <t>2. เกษตรกรที่ร่วมโครงการฯ ไม่น้อยกว่าร้อยละ 85 นำความรู้ไปปฏิบัติ สามารถปลูกสร้างแปลงหญ้าไว้เลี้ยงโค กระบือ ของตนเองได้</t>
  </si>
  <si>
    <t>โครงการศูนย์ถ่ายทอดเทคโนโลยีการผลิตปลาสลิดชุมชนวังไทร : กิจกรรมย่อยที่ 1 เทคโนโลยีการเลี้ยงปลาสลิดเพื่อความยั่งยืนของชุมชน</t>
  </si>
  <si>
    <t>2. ผลิตปลาสลิดได้ไม่น้อยกว่า 100 กิโลกรัม</t>
  </si>
  <si>
    <t>โครงการศูนย์ถ่ายทอดเทคโนโลยีการผลิตปลาสลิดชุมชนวังไทร : กิจกรรมย่อยที่ 2 การถ่ายทอดเทคโนโลยีการให้อาหารปลาอัตโนมัติ</t>
  </si>
  <si>
    <t>089-8216600</t>
  </si>
  <si>
    <t>2. เกษตรกรและประชาชนที่เข้าร่วมโครงการ สามารถนำความรู้ความเข้าใจ เกี่ยวกับ เครื่องให้อาหารปลาอัตโนมัติ เพื่อนำไปพัฒนาอาชีพเกษตรกรรมได้ อย่างน้อย 1 ราย</t>
  </si>
  <si>
    <t>2. ได้เครื่องให้อาหารปลาอัตโนมัติ จำนวน 1 เครื่อง</t>
  </si>
  <si>
    <t>โครงการศูนย์ถ่ายทอดเทคโนโลยีการผลิตปลาสลิดชุมชนวังไทร : กิจกรรมย่อยที่ 3 การวิเคราะห์ต้นทุนการผลิตปลาสลิดและการจัดการบัญชีครัวเรือนชุมชนบ้านวังไทร</t>
  </si>
  <si>
    <t>2. เกษตรได้รับความรู้ด้านคำนวนต้นทุนการผลิตและการจัดทำบัญชีครัวเรือน และสามารถนำไปพัฒนาต่อยอดผลิตภัณฑ์ของชุมชนในเชิงพาณิชย์ได้อย่างเข้มแข็ง</t>
  </si>
  <si>
    <t>ดครงการการเลี้ยงไก่ไข่อินทรีย์ (ภายใต้โครงการเชื่อมโยงสถาบันอุดมศึกษาไปสู่โรงเรียน (Educational pipeline) ปี2)</t>
  </si>
  <si>
    <t>1. ผู้เข้าอบรมสามารถประกอบสูตรอาหารเลี้ยงไก่ไข่เอง และได้ผลผลิตไข่ ไม่ต่ำกว่าร้อยละ 85</t>
  </si>
  <si>
    <t>1. ผู้เข้าอบรมมีความรํูความเข้าใจ และรู้จักนำวัตถุดิบอาหารและผลผลิตพลอยได้ทางเกษตรในการประกอบสูตรอาหารเลี้ยงไก่ไข่อินทีย์ ได้อย่างน้อย 80%</t>
  </si>
  <si>
    <t>โครงการการจัดสวนถาด (ภายใต้โครงการเชื่อมโยงสถาบันอุดมศึกษาไปสู่โรงเรียน (Educational pipeline) ปี2)</t>
  </si>
  <si>
    <t>1. ผู้เข้าอบรมมีความพึงพอใจจากการเข้าอบรมอย่างน้อยร้อยละ 80</t>
  </si>
  <si>
    <t>1. ผู้เข้าร่วมอบรมสามารถจัดสวนถาดได้ทุกคน</t>
  </si>
  <si>
    <t>โครงการการทำเกษตรทฤษฎีใหม่ในโรงเรียน (ภายใต้โครงการเชื่อมโยงสถาบันอุดมศึกษาไปสู่โรงเรียน (Educational pipeline) ปี2)</t>
  </si>
  <si>
    <t>1. ผู้เข้าร่วมโครงการนำความรู้ช่วยเหลือครอบครัวได้อย่างน้อยร้อยละ 85</t>
  </si>
  <si>
    <t>1. ผู้เข้าร่วมโครงการสามารถทำเกษตรทฤษฎีใหม่ได้ทุกคน</t>
  </si>
  <si>
    <t>2. ผู้เข้าร่วมโครงการทำการเกษตรได้ประสบผลสำเร็จ</t>
  </si>
  <si>
    <t>2. ผู้เข้าร่วมโครงการได้รับความรู้พื้นฐานด้านเศรษฐกิจพอเพียง</t>
  </si>
  <si>
    <t>โครงการฝึกอบรมการจัดดอกไม้ (ภายใต้โครงการ มทร.ศรีวิชัย รับผิดชอบต่อสังคม ประจำปี 2561)</t>
  </si>
  <si>
    <t>21 ก.ค. 61-22 ก.ค. 61</t>
  </si>
  <si>
    <t>1. เกษตรมีองค์ความรู้และสามารถนำไปปฏิบัติได้</t>
  </si>
  <si>
    <t>1. สร้างความมั่นใจให้นักศึกษาในการเป็นผู้ช่วยวิทยากรให้ความรู้และคำแนะนำแก่เกษตรกร</t>
  </si>
  <si>
    <t>โครงการอบรมเชิงปฏิบัติการการดูแลสุขภาพสัตว์เลี้ยง (ภายใต้โครงการ มทร.ศรีวิชัย รับผิดชอบต่อสังคม ประจำปี 2561)</t>
  </si>
  <si>
    <t>26 พ.ค 61</t>
  </si>
  <si>
    <t>1. ผู้เข้าร่วมโครงการสามารถเลี้ยงสัตว์และดูแลสุขภาพสัตว์ได้อย่างถูกต้องทุกคน</t>
  </si>
  <si>
    <t>2. อาจารย์และนักศึกษาเพิ่มความเชี่ยวชาญด้านวิชาชีพความชำนาญ</t>
  </si>
  <si>
    <t>โครงการจัดการฟาร์มเลี้ยงด้วงสาคู (ภายใตัโครงการยกระดับคุณภาพชีวิตชุมชนแบบมีส่วนร่วมสู่แหล่งเรียนรู้ภูมิปัญยาท้องถิ่นต้นแบบ จังหวัดนครศรีธรรมราช)</t>
  </si>
  <si>
    <t>1. ชาวชุมชนกะปางมีองค์ความรู้เรื่องการจัดการฟาร์มเลี้ยงด้วงสาคู</t>
  </si>
  <si>
    <t>1. มีฟาร์มด้วงสาคูขนาดเล็ก 1 ฟาร์ม</t>
  </si>
  <si>
    <t>2. ความพึงพอใจในการเข้าร่วมโครงการมากกว่าร้อยละ 80</t>
  </si>
  <si>
    <t>2. มีชาวชุมชนกะปางเข้าร่วมโครงการ 50 คน</t>
  </si>
  <si>
    <t>โครงการรักษ์โลก รักสถาบัน ร่วมกันพัฒนา รักษาสิ่งแวดล้อม</t>
  </si>
  <si>
    <t>ม.ค. 61-พ.ค 61</t>
  </si>
  <si>
    <t>15 ม.ค. 61-16 มี.ค. 61</t>
  </si>
  <si>
    <t>13 ก.ค. 61-15 ก.ค. 61</t>
  </si>
  <si>
    <t>081-9687066</t>
  </si>
  <si>
    <t>โครงการเกษตรกล พัฒนาคน พัฒนาวัด</t>
  </si>
  <si>
    <t>089-6461395</t>
  </si>
  <si>
    <t>โครงการนำนักศึกษา อาจารย์เข้าร่วมการแข่งขันทักษะวิชาการ เกาตรราชมงคล ครั้งที่ 3</t>
  </si>
  <si>
    <t>25 ม.ค. 61-26 ม.ค. 61</t>
  </si>
  <si>
    <t>1. จำนวนรางวัลที่ได้รับจากการแข่งขันอย่างน้อยสาขาละ 1 ทักษะ</t>
  </si>
  <si>
    <t>1. จำนวนนักศึกษาเข้าร่วมการแข่งขันทักษะวิชาชีพ จำนวน 45 คน</t>
  </si>
  <si>
    <t>โครงการนำเสนอผลงานทางวิชาการระดับปริญญาบัณฑิตด้านวิทยาศาสตร์และเทคโนโลยีการเกษตร ครั้งที่ 5</t>
  </si>
  <si>
    <t>21 มี.ค. 61-23 มี.ค. 61</t>
  </si>
  <si>
    <t>1. รางวัลที่ได้รับจากการนำเสนอผลงานวิชาการไม่ต่ำกว่า 2 รางวัล</t>
  </si>
  <si>
    <t>1. จำนวนนักศึกษาเข้าร่วมโครงการ 10 คน อาจารย์ 5 คน รวม 10 คน</t>
  </si>
  <si>
    <t>พ.ค 61-มิ.ย. 61</t>
  </si>
  <si>
    <t>086-2707697</t>
  </si>
  <si>
    <t>085-8816988</t>
  </si>
  <si>
    <t>10 ส.ค. 61-11 ส.ค. 61</t>
  </si>
  <si>
    <t>089-2122615</t>
  </si>
  <si>
    <t>โครงการเสริมสร้างสุขภาพและต่อต้านสารเสพติด เสริมสร้างระเบียบวินัย</t>
  </si>
  <si>
    <t>โครงการพัฒนาทักษะด้านวิชาชีพบุคลารกในสถานประกอบการต่างประเทศ</t>
  </si>
  <si>
    <t>23 มี.ค. 61-23 เม.ย. 61</t>
  </si>
  <si>
    <t>1. ผู้เข้าร่วมโครงการได้รับการพัฒนาทักษะวิชาชีพเฉพาะทางในบริษัทต่างประเทศและเพิ่มความเชี่ยวชาญในวิชาชีพมากขึ้น</t>
  </si>
  <si>
    <t>1. มีกิจกรรมแลกเปลี่ยนเรียนรู้ประสบการณ์/ทักษะวิชาชีพ/วิชาการภายในบริษัท</t>
  </si>
  <si>
    <t>08-94743386</t>
  </si>
  <si>
    <t>สภาคณาจารย์และข้าราชการ</t>
  </si>
  <si>
    <t>โครงการเสริมสร้างแนวคิด ติดอาวุธทางปัญญา และพัฒนางานสภาคณาจารย์และข้าราชการ</t>
  </si>
  <si>
    <t>15 ส.ค. 61-17 ส.ค. 61</t>
  </si>
  <si>
    <t>1. ผู้เข้าร่วมโครงการได้รับการพัฒนาทักษะและเพิ่มประสบการณ์ในการทำงาน</t>
  </si>
  <si>
    <t>โครงการตรวจประเมินคุณภาพการศึกษาภายในตามมาตรฐานการอาชีวศึกษา ระดับประกาศนียบัตรวิชาชีพชั้นสูง (ปวส.) ประจำปีการศึกษา 2560</t>
  </si>
  <si>
    <t>11 ก.ค. 61-12 ก.ค. 61</t>
  </si>
  <si>
    <t>091-0471787</t>
  </si>
  <si>
    <t>โครงการเตรียมความพร้อมการสอบมาตรฐานสมรรถนะ (ด้านไอที) สำหรับนักศึกษา</t>
  </si>
  <si>
    <t>086-6244319</t>
  </si>
  <si>
    <t>โครงการเตรียมความพร้อมนักศึกษาสำหรับการฝึกงานในสถานประกอบการ</t>
  </si>
  <si>
    <t>โครงการขอรับรองปริญญาและประกาศนียบัตรทางการศึกษาเพื่อการประกอบวิชาชีพ หลักสูตรครุศาสตร์อุตสาหกรรมบัณฑิต (หลักสูตรปรับปรุง พ.ศ. 2558)</t>
  </si>
  <si>
    <t>1. ผู้เข้าร่วมโครงการสามารถนำความรู้ไปใช้ประโยชน์ได้ในระดับมาก</t>
  </si>
  <si>
    <t>084-1238355</t>
  </si>
  <si>
    <t>โครงการอบรมเชิงปฏิบัติการการออกแบบสื่อประชาสัมพันธ์เพื่อการพัฒนานักศึกษา</t>
  </si>
  <si>
    <t>1. ผู้เข้าร่วมโครงการได้รับรางวัลการประกวด แข่งขัน อย่างน้อย 1 รางวัล</t>
  </si>
  <si>
    <t>080-7154767</t>
  </si>
  <si>
    <t>087-8373297</t>
  </si>
  <si>
    <t>โครงการแข่งขันกีฬาศึกษาศาสตร์-ครุศาสตร์เกมส์ ครั้งที่ 7</t>
  </si>
  <si>
    <t>2 ก.พ. 61-4 ก.พ. 61</t>
  </si>
  <si>
    <t>083-5147834</t>
  </si>
  <si>
    <t>โครงการรักกันมั่นวันต้อนรับวัยใสอย่างสร้างสรรค์</t>
  </si>
  <si>
    <t>088-3991917</t>
  </si>
  <si>
    <t>โครงการสัปดาห์วิชาการ IED @nakhonsithammarat Fair 2018</t>
  </si>
  <si>
    <t>095-4416601</t>
  </si>
  <si>
    <t>โครงการประชุมเครือข่ายผู้ปกครองนักศึกษา</t>
  </si>
  <si>
    <t>โครงการอบรมเชิงปฏิบัติการเพื่อพัฒนาหลักสูตรสาขาวิชาเทคโนโลยีปิโตเลียม</t>
  </si>
  <si>
    <t>1. อย่างน้อยร้อยละ 80 ของผู้เข้าร่วมโครงการได้รับความรู่้เพิ่มขึ้น</t>
  </si>
  <si>
    <t>074-317180</t>
  </si>
  <si>
    <t>โครงการส่งเสริมและพัฒนาศักยภาพของผู้เรียน ด้านการอนุรักษ์ศิลปวัฒนธรรม กลองยาว คณะครุศาสตร์อุตสาหกรรมและเทคโนโลยี</t>
  </si>
  <si>
    <t>10 ก.ย. 61-14 ก.ย. 61</t>
  </si>
  <si>
    <t>โครงการวันครู ครั้งที่ 7</t>
  </si>
  <si>
    <t>15 ม.ค. 61-16 ม.ค. 61</t>
  </si>
  <si>
    <t>080-6931449</t>
  </si>
  <si>
    <t>14 มิ.ย. 61-15 มิ.ย. 61</t>
  </si>
  <si>
    <t>โครงการฝึกอบรมผู้กำกับลูกเสือสามัญเบื้องต้น สำหรับนักศึกษาคณะครุศาสตร์อุตสาหกรรมและเทคโนโลยี มหาวิทยาลัยเทคโนโลยีราชมงคลศรีวิชัย รุ่นที่ 1 ประจำปีการศึกษา 2560</t>
  </si>
  <si>
    <t>11 ก.พ. 61-14 ก.พ. 61</t>
  </si>
  <si>
    <t>โครงการสัมมนาทางเทคโนโลยีสื่อสารมวลชน ครั้งที่ 1 สื่อสร้างสรรค์กับแนวทางประกอบอาชีพสื่อสารมวลชนในยุคดิจิทัล</t>
  </si>
  <si>
    <t>1. ผู้เข้าร่วมโครงการมีความพึงพอใจต่อความรู้ที่ได้รับจากนิทรรศการอย่างน้อยร้อยละ 80</t>
  </si>
  <si>
    <t>โครงการเตรียมความพร้อมนักศึกษาฝึกประสบการณ์วิชาชีพครู</t>
  </si>
  <si>
    <t>097-3458802</t>
  </si>
  <si>
    <t>โครงการประชุมสัมมนาเชิงปฏิบัติการปรับแผนกลยุทธ์ แผนปฏิบัติงานประจำปีและบริหารความเสี่ยง</t>
  </si>
  <si>
    <t>17 พ.ค 61</t>
  </si>
  <si>
    <t>1. ผู้เข้าร่วมโครงการสามารถนำความรู้ไปใช้ประโยชน์ได้อยู่ในระดับมา่ก</t>
  </si>
  <si>
    <t>098-0139809</t>
  </si>
  <si>
    <t>โครงการสัมมนาเชิงปฏิบัติการการจัดการความรู้ของการทำงานอย่างมีประสิทธิภาพ</t>
  </si>
  <si>
    <t>18 พ.ค 61</t>
  </si>
  <si>
    <t>โครงการพัฒนาศักยภาพบุคลากรเพื่อเพิ่มประสิทธิผลในการปฏิบัติงาน</t>
  </si>
  <si>
    <t>6 มิ.ย. 61-8 มิ.ย. 61</t>
  </si>
  <si>
    <t>081-4780680</t>
  </si>
  <si>
    <t>โครงการศึกษาดูงานสถานประกอบการของนักศึกษา คณะครุศาสตร์อุตสาหกรรมและเทคโนโลยี</t>
  </si>
  <si>
    <t>6 พ.ค 61-29 มิ.ย. 61</t>
  </si>
  <si>
    <t>089-7387682</t>
  </si>
  <si>
    <t>โครงการพัฒนาทักษะด้านวิชาชีพสำหรับบุคลากรในสถานประกอบการ</t>
  </si>
  <si>
    <t>1. ผู้เข้าร่วมโครงการได้รับการพัฒนา ทักษะวิชาชีพเฉพาะทางและเพิ่มความเชี่ยวชาญในวิชาชีพมากขึ้น</t>
  </si>
  <si>
    <t>1. มีกิจกรรมแลกเปลี่ยนประสบการณ์และทักษะวิชาชีพ ที่ดำเนินการอย่างต่อเนื่อง</t>
  </si>
  <si>
    <t>084-6339811</t>
  </si>
  <si>
    <t>โครงการพัฒนาคุณภาพการบริหารจัดการและงานประกันคุณภาพการศึกษา</t>
  </si>
  <si>
    <t>2 ก.ค. 61-3 ก.ค. 61</t>
  </si>
  <si>
    <t>โครงการส่งเสริมและพัฒนาศักยภาพของนักศึกษาสาขาครุศาสตร์อุตสาหกรรม</t>
  </si>
  <si>
    <t>ก.พ. 61-ส.ค. 61</t>
  </si>
  <si>
    <t>13 ก.พ. 61-17 ก.พ. 61</t>
  </si>
  <si>
    <t>1. ผู้เข้าร่วมโครงการได้รับรางวัลจากการแข่งขัน อย่างน้อย 1 รางวัล</t>
  </si>
  <si>
    <t>1. ผู้เข้าร่วมโครงการทุกคนบอกประเด็นความรู้หรือประสบการณ์ที่ได้เพิ่มขึ้นอย่างน้อย 1 เรื่อง</t>
  </si>
  <si>
    <t>084-1942744</t>
  </si>
  <si>
    <t>โครงการ Pre-Teaching Academy</t>
  </si>
  <si>
    <t>17 ม.ค. 61-18 ม.ค. 61</t>
  </si>
  <si>
    <t>1. ผู้เข้าร่วมโครงการได้รับความรู้ /พัฒนาทักษะเพิ่มขึ้น</t>
  </si>
  <si>
    <t>โครงการแข่งขัน Teaching Academy 2018 ครั้งที่ 7</t>
  </si>
  <si>
    <t>27 ม.ค. 61-2 ก.พ. 61</t>
  </si>
  <si>
    <t>094-6895151</t>
  </si>
  <si>
    <t>โครงการการให้บริการทางวิชาการด้านวิทยาศาสตร์และเทคโนโลยีเพื่อส่งเสริมผลิตภัณฑ์ชุมชนพะตง : กิจกรรมย่อยที่ 6 การเสวนาแลกเปลี่ยนเรียนรู้แนวปฏิบัติที่ดีด้านการบริการวิชาการสู่ชุมชน</t>
  </si>
  <si>
    <t>31 พ.ค 61</t>
  </si>
  <si>
    <t>089-6580474</t>
  </si>
  <si>
    <t>โครงการการให้บริการทางวิชาการด้านวิทยาศาสตร์และเทคโนโลยีเพื่อส่งเสริมผลิตภัณฑ์ชุมชนพะตง : กิจกรรมย่อยที่ 1 การอบรมเชิงปฏิบัติการออกแบบโครงสร้างตะกร้าจากโลหะ</t>
  </si>
  <si>
    <t>3 พ.ค 61-4 พ.ค 61</t>
  </si>
  <si>
    <t>090-2252284</t>
  </si>
  <si>
    <t>โครงการการให้บริการทางวิชาการด้านวิทยาศาสตร์และเทคโนโลยีเพื่อส่งเสริมผลิตภัณฑ์ชุมชนพะตง : กิจกรรมย่อยที่ 2 การออกแบบตราสินค้าสำหรับผลิตภัณฑ์ชุมชน</t>
  </si>
  <si>
    <t>โครงการการให้บริการทางวิชาการด้านวิทยาศาสตร์และเทคโนโลยีเพื่อส่งเสริมผลิตภัณฑ์ชุมชนพะตง : กิจกรรมย่อยที่ 3 การออกแบบบรรจุภัณฑ์สำหรับบรรจุไวน์จากไม้ไผ่</t>
  </si>
  <si>
    <t>15 พ.ค 61</t>
  </si>
  <si>
    <t>082-4389951</t>
  </si>
  <si>
    <t>โครงการการให้บริการทางวิชาการด้านวิทยาศาสตร์และเทคโนโลยีเพื่อส่งเสริมผลิตภัณฑ์ชุมชนพะตง : กิจกรรมย่อยที่ 4 การพัฒนาถ่านไม้ไผ่เพื่อใช้ในการดับกลิ่น</t>
  </si>
  <si>
    <t>16 พ.ค 61</t>
  </si>
  <si>
    <t>โครงการการให้บริการทางวิชาการด้านวิทยาศาสตร์และเทคโนโลยีเพื่อส่งเสริมผลิตภัณฑ์ชุมชนพะตง : กิจกรรมย่อยที่ 5 การออกแบบและสร้างเครื่องขัดผิวในการ ผลิตบรรจุภัณฑ์</t>
  </si>
  <si>
    <t>โครงการปรับปรุงแม่พิมพ์สำหรับผลิตภัณฑ์สบู่ โหนด นา เล (ภายใต้โครงการยกระดับคุณภาพชีวิตชุมชนแบบมีส่วนร่วมสุ่แหล่งเรียนรู้ ภูมิปัญญาท้องถิ่นต้นแบบของจังหวัดสงขลา)</t>
  </si>
  <si>
    <t>18 มิ.ย. 61-20 มิ.ย. 61</t>
  </si>
  <si>
    <t>1. ช่วยสร้างงานและอาชีพให้แก่ชุมชนได้</t>
  </si>
  <si>
    <t>1. ได้แม่พิมพ์สำหรับใช้ในการผลิตสบู่ตาลโตนด โหนด นา เล แก่ชุมชน 1 เครื่อง</t>
  </si>
  <si>
    <t>โครงการตู้อบกล้วยควบคุมอัตโนมัติด้วยพลังงานแก๊ส</t>
  </si>
  <si>
    <t>เม.ย. 61-ก.ย. 61</t>
  </si>
  <si>
    <t>8 มิ.ย. 61-30 มิ.ย. 61</t>
  </si>
  <si>
    <t>1. กล้วยที่ได้จากการอบมีประสิทธิภาพสูงและถูกสุขอนามัย</t>
  </si>
  <si>
    <t>1. ได้เครื่องจักรนำไปใช้ประโยชน์จากกล้วยตามโครงการอันเนื่องมาจากพระราชดำริ</t>
  </si>
  <si>
    <t>โครงการพัฒนาศักยภาพบุคลากร การใช้งานระบบบัญชี 3 มิติ</t>
  </si>
  <si>
    <t>19 เม.ย. 61-21 เม.ย. 61</t>
  </si>
  <si>
    <t>1. ผู้เข้าร่วมโครงการสามารถนำความรู้ไปใช้ประโยชน์ได้อยู่ในระดับมากขึ้น</t>
  </si>
  <si>
    <t>โครงการอบรมเชิงปฏิบัติการจัดหาพัสดุแนวทางใหม่</t>
  </si>
  <si>
    <t>ต.ค 2560</t>
  </si>
  <si>
    <t>21 ต.ค 60-22 ต.ค 60</t>
  </si>
  <si>
    <t>1. ผู้เข้าร่วมโครงการมีความพึงพอใจในกระบวนการจัดการโครงการ ร้อยละ 80</t>
  </si>
  <si>
    <t>โครงการพัฒนาศักยภาพบุคลากรงานคลัง</t>
  </si>
  <si>
    <t>21 มิ.ย. 61-22 มิ.ย. 61</t>
  </si>
  <si>
    <t>2. บุคลากรด้านงานคลังทุกหน่วยเบิกจ่าย มีความรักและสามัคคีในองค์กรและสามารถนำความรู้ที่ได้รับจากการอบรมไปพัฒนาองค์กรได้ร้อยละ 80</t>
  </si>
  <si>
    <t>2. บุคลากรด้านงานคลังทุกหน่วยเบิกจ่าย มีความพึงพอใจในโครงการ ร้อยละ 80</t>
  </si>
  <si>
    <t>โครงการพิธีทำบุญตักบาตรถวายเป็นพระราชกุศลแด่ พระบาทสมเด็จพระปรมินทร มหาภูมิพลอดุลยเดช</t>
  </si>
  <si>
    <t>19 ต.ค 60</t>
  </si>
  <si>
    <t>1. ความพึงพอใจของผู้เข้าร่วมดครงการ ไม่น้อยกว่าร้อยละ 80</t>
  </si>
  <si>
    <t>โครงการพิธีบำเพ็ญกุศลสวดพระอภิธรรมถวายเป็นพระราชกุศลแด่พระบาทสมเด็จพระปรมินทร มหาภูมิพลอดุลยเดช</t>
  </si>
  <si>
    <t>โครงการพิธีหลอมหล่อทองคำบูรณะกลีบบัวทองคำองค์พระบรมธาตูเจดีย์</t>
  </si>
  <si>
    <t>4 มิ.ย. 61-6 มิ.ย. 61</t>
  </si>
  <si>
    <t>1. ผู้เข้าร่วมโครงการมีความตระหยนักในการทำนุบำรุงศิลปวัฒนธรรมและอนุรักษ์สิ่งแวกล้อม</t>
  </si>
  <si>
    <t>โครงการฝึกอบรมสัมมนาการพัสดุ การปฏิบัติหน้าที่และการบริหารสัญญา</t>
  </si>
  <si>
    <t>12 พ.ค 61-13 พ.ค 61</t>
  </si>
  <si>
    <t>โครงการการนำผลงานทรัพย์สินทางปัญญาสามารถต่อยอดสู่เชิงพาณิชย์ : กิจกรรมที่ 2 พัฒนาผลงานทรัพย์สินทางปัญญาเพื่อต่อยอดสู่เชิงพาณิชย์</t>
  </si>
  <si>
    <t>4 มิ.ย. 61-31 ก.ค. 61</t>
  </si>
  <si>
    <t>1. ผลงานนวัตกรรมหรือสิ่งประดิษฐ์ที่สามารถต่อยอดสู่เชิงพาณิชย์ได้ 1 ผลงาน</t>
  </si>
  <si>
    <t>1. ได้นวัตกรรมหรือสิ่งประดิษฐ์ให้สามารถต่อยอดสู่เชิงพาณิชย์ได้</t>
  </si>
  <si>
    <t>โครงการกิจกรรมมหาวิทยาลัยสามเหลี่ยมเศรษฐกิจภาคใต้ (IMT-GT)</t>
  </si>
  <si>
    <t>20 ก.ค. 61-26 ก.ค. 61</t>
  </si>
  <si>
    <t>1. ผู้เข้าร่วมโครงการมีความตระหนักในการทำนุบำรุงศิลปวัฒนธรรมไทย</t>
  </si>
  <si>
    <t>โครงการประชุมเชิงปฏิบัติการภายใต้กิจกรรม การทำงานเชิงรุกสู่ความสำเร็จ และการแข่งขันกีฬาบุคลากรสัมพันธ์</t>
  </si>
  <si>
    <t>โครงการนิทรรศการวิชาการ ราชมงคลศรีวิชัยแฟร์ 2018</t>
  </si>
  <si>
    <t>1 ม.ค. 61-22 ม.ค. 61</t>
  </si>
  <si>
    <t>1. มีผลงานนักศึกษาที่ได้จากการ ประกวดแข่งขัน ไม่น้อยกว่า10 ผลงาน</t>
  </si>
  <si>
    <t>2. ผู้เข้าร่วมโครงการได้รับความรู้ และความพึงพอใจจากการเข้าร่วมกิจกรรมอย่างน้อย ร้อยละ 80</t>
  </si>
  <si>
    <t>2. มีผลงานนิทรรศการ/ สิ่งประดิษฐ์/นวัตกรรม/ กิจกรรมและการ แสดงของนักศึกษา/ อาจารย์ ไม่น้อย กว่า 14 หน่วยงาน</t>
  </si>
  <si>
    <t>3. มีนักเรียน/นักศึกษาบุคคลภายนอกเข้าร่วมงาน และ เข้าร่วมกิจกรรมการประกวดแข่งขันทักษะวิชาชีพ อย่างน้อย ร้อยละ 80</t>
  </si>
  <si>
    <t>โครงการแนะแนวการศึกษา</t>
  </si>
  <si>
    <t>1. .ข้อมูลข่าวสารของหน่วยงานได้รับการเผยแพร่ ประชาสัมพันธ์ทำให้มหาวิทยาลัยเป็นที่รู้จักมากขึ้น</t>
  </si>
  <si>
    <t>1. ความพึงพอใจของผู้รับบริการ ไม่น้อยกว่าร้อยละ 80</t>
  </si>
  <si>
    <t>2. ผู้เข้าร่วมโครงการได้รับความรู้และ ความพึงพอใจ จากการเข้าร่วมโครงการ อย่างน้อย ร้อยละ 80</t>
  </si>
  <si>
    <t>2. มีอาจารย์/บุคลากรภายนอก ที่เกี่ยวข้องกับการ แนะแนวเข้าร่วมโครงการ อย่างน้อยร้อยละ 80</t>
  </si>
  <si>
    <t>3. นักเรียน ได้รับความรู้เพื่อเป็น แนวทางการศึกษาต่ออย่างน้อย ร้อยละ 80</t>
  </si>
  <si>
    <t>3. มีสถาบันการศึกษา ที่ได้รับการแนะแนวการศึกษา อย่างน้อย 20 สถาบัน</t>
  </si>
  <si>
    <t>โครงการเตรียมความพร้อมในการพัฒนาและปรับปรุงสิ่งประดิษฐ์เพื่อสู่เกณฑ์มาตรฐานของเวทีการประกวดระดับนานาชาติ</t>
  </si>
  <si>
    <t>พ.ย 60-ก.ย. 61</t>
  </si>
  <si>
    <t>1. ผู้เข้าร่วมโครงการได้รับรางวัลจากการประกวดแข่งขัน อย่างน้อย 1 รางวัล</t>
  </si>
  <si>
    <t>2. ผลงานวิจัย สิ่งประดิษฐ์ และนวัตกรรม ได้รับรางวัลจากการเข้าร่วมประกวดและจัดแสดงในเวทีนานาชาติ อย่างน้อย 3 รางวัล</t>
  </si>
  <si>
    <t>2. พัฒนาและปรับปรุงงานวิจัย สิ่งประดิษฐ์ และนวัตกรรม เพื่อสู่เกณฑ์มาตรฐานของเวทีการประกวดระดับนานาชาติ</t>
  </si>
  <si>
    <t>โครงการนวัตกรรมทรัพย์สินทางปัญญาสำหรับนักศึกษา</t>
  </si>
  <si>
    <t>081-5697303</t>
  </si>
  <si>
    <t>2. ผู้ร่วมโครงการอยู่ในกระบวนการของการจัดกิจกรรมครบถ้วนร้อยละ 85</t>
  </si>
  <si>
    <t>โครงการยกระดับหนังสือ ตำรา เพื่อนำไปสู่งานด้านวรรณกรรมที่กฎหมายลิขสิทธิ์คุ้มครอง</t>
  </si>
  <si>
    <t>24 พ.ค 61-25 พ.ค 61</t>
  </si>
  <si>
    <t>1. ผู้เข้าร่วมดครงการทุกคนบอกประเด็นความรู้ที่ได้รับ อย่างน้อย 1 เรื่อง</t>
  </si>
  <si>
    <t>2. ผลงานหนังสือและตำราสามารถต่อยอดสู่เชิงพาณิชย์ ได้ 2 ผลงาน</t>
  </si>
  <si>
    <t>2. ผลงานหนังสือและตำรามีคุณภาพและสามารถต่อยอดเพื่อนำไปสู่งานด้านวรรณกรรมที่กฎหมายลิขสิทธิ์คุ้มครอง</t>
  </si>
  <si>
    <t>โครงการการนำผลงานทรัพย์สินทางปัญญาสามารถต่อยอดสู่เชิงพาณิชย์ : กิจกรรมที่ 1 อบรมเชิงปฏิบัติการเรื่องการนำผลงานทรัพย์สินทางปัญญาสามารถต่อยอดเชิงพาณิชย์</t>
  </si>
  <si>
    <t>2. ผลงานนวัตกรรมหรือสิ่งประดิษฐ์ที่สามารถต่อยอดสู่เชิงพาณิชย์ได้ 1 ผลงาน</t>
  </si>
  <si>
    <t>โครงการเทคนิคการยกร่างคำขอสิทธิบัตร/อนุสิทธิบัตร</t>
  </si>
  <si>
    <t>2. ผู้เข้าร่วมโครงการมีความพึงพอใจในกระบวนการจัดโครงการและมีความพึงพอใจต่อประโยชน์ที่ได้รับ ร้อยละ 80</t>
  </si>
  <si>
    <t>โครงการจัดทำของที่ระลึกแด่ผู้เกษียณอายุราชการ ประจำปี พ.ศ.2561</t>
  </si>
  <si>
    <t>1. ผู้เข้าร่วมโครงการมีความพึงพอใจในกระบวนการจัดการโครงการ โดยใช้วิธีการสังเกต</t>
  </si>
  <si>
    <t>a</t>
  </si>
  <si>
    <t>1. ผู้เกษียณอายุราชการ 15 คน</t>
  </si>
  <si>
    <t>โครงการ มทร.ศรีวิชัย รับผิดชอบต่อสังคม ประจำปี 2561</t>
  </si>
  <si>
    <t>2. ผู้รับบริการมีคุณภาพชีวิตที่ดีขึ้น สามารถลดรายจ่าย เพิ่มรายได้ และพัฒนาตนเองอย่างต่อเนื่อง</t>
  </si>
  <si>
    <t>2. ดำเนินโครงการย่อย ไม่น้อยกว่า 10 โครงการ</t>
  </si>
  <si>
    <t>โครงการยกระดับคุณภาพชีวิตชุมชนแบบมีส่วนร่วมสู่แหล่งเรียนรู้ ภูมิปัญญาท้องถิ่นต้นแบบของจังหวัดสงขลา ปี 3</t>
  </si>
  <si>
    <t>2. สมาชิกในชุมชนมีคุณภาพชีวิตที่ดีขึ้น สามารถลดรายจ่ายเพิ่มรายได้ และพัฒนาตนเองอย่างต่อเนื่อง</t>
  </si>
  <si>
    <t>2. สมาชิกในชุมชนได้รับการบริการทางวิชาการจากหน่วยงานภายในมหาวิทยาลัย ไม่น้อยกว่า 6 กิจกรรม</t>
  </si>
  <si>
    <t>3. มีการจดทะเบียนวิสาหกิจชุมชน</t>
  </si>
  <si>
    <t>โครงการยกระดับคุณภาพชีวิตชุมชนแบบมีส่วนร่วมสู่แหล่งเรียนรู้ ภูมิปัญญาท้องถิ่นต้นแบบของจังหวัดตรัง ปี 3</t>
  </si>
  <si>
    <t>2. มาชิกในชุมชนได้รับการบริการทางวิชาการจากหน่วยงานในมหาวิทยาลัย ไม่น้อยกว่า 3 กิจกรรม</t>
  </si>
  <si>
    <t>4. มีผลผลิตชุมชนที่มีคุณภาพ</t>
  </si>
  <si>
    <t>โครงการยกระดับคุณภาพชีวิตชุมชนแบบมีส่วนร่วมสู่แหล่งเรียนรู้ ภูมิปัญญาท้องถิ่นต้นแบบของจังหวัดนครศรีธรรมราช ปี 3</t>
  </si>
  <si>
    <t>โครงการการเชื่อมโยงสถาบันอุดมศึกษาไปสู่โรงเรียน (Educational pipeline) ปี 2</t>
  </si>
  <si>
    <t>3. ผู้รับบริการมีคุณภาพการศึกษาที่ดีขึ้น และเอื้อต่อการเรียน ตั้งแต่ระดับประถมถึงปริญญาตรี</t>
  </si>
  <si>
    <t>โครงการจัดทำหนังสือเผยแพร่ผลสำเร็จจากการบริการวิชาการสู่สาธารณะ</t>
  </si>
  <si>
    <t>1 ม.ค. 61-31 มี.ค. 61</t>
  </si>
  <si>
    <t>1. แนวทางปฏิบัติและผลสำเร็จที่ได้ ตีพิมพ์เผยแพร่ มีคุณภาพในระดับดี</t>
  </si>
  <si>
    <t>1. แนวทางปฏิบัติและผลสำเร็จที่ได้ ตีพิมพ์เผยแพร่ จำนวน ไม่น้อยกว่า 30 เรื่อง</t>
  </si>
  <si>
    <t>โครงการ มทร.ศรีวิชัยถ่ายทอดเทคโนโลยีและนวัตกรรมสู่ชุมชน ประจำปีงบประมาณ 2561</t>
  </si>
  <si>
    <t>1 ม.ค. 61-28 ก.พ. 61</t>
  </si>
  <si>
    <t>2. บุคลากรในมหาวิทยาลัย มีจิตสำนึกและได้แสดงออกในด้านความรับผิดชอบต่อสังคมในระดับที่ดีขึ้น</t>
  </si>
  <si>
    <t>2. มีผู้เข้ารับการปรึกษาและข้อมูลตามแผนปฏิบัติงานจังหวัด</t>
  </si>
  <si>
    <t>โครงการพัฒนาระบบการบริหารจัดการหน่วยบริการวิชาการแก่สังคมที่มีประสิทธิภาพ</t>
  </si>
  <si>
    <t>1 ต.ค 60-30 ก.ย. 61</t>
  </si>
  <si>
    <t>1. บริการทางวิชาการแก่สังคม มีประสิทธิภาพการทำงานมากขึ้น</t>
  </si>
  <si>
    <t>1. ผู้รับบริการมีความพึงพอใจต่อการให้บริการของหน่วยบริการทางวิชาการแก่สังคม อย่างน้อยร้อยละ 80</t>
  </si>
  <si>
    <t>โครงการประกวดครูต้นแบบงานบริการทางวิชาการแก่สังคม</t>
  </si>
  <si>
    <t>2. บุคลากรของมหาวิทยาลัยมีจิตสำนึกและได้แสดงออกในด้านความรับผิดชอบต่อสังคมในระดับที่ดีขึ้น</t>
  </si>
  <si>
    <t>2. ได้ครูแบบงานบริการทางวิชาการแก่สังคม</t>
  </si>
  <si>
    <t>ค่าใช้จ่ายโครงการพัฒนาสังคมและเศรษฐกิจชายฝั่งทะเลใต้</t>
  </si>
  <si>
    <t>โครงการทบทวนแผนพัฒนามหาวิทยาลัยเทคโนโลยีราชมงคลศรีวิชัย สู่การเปลี่ยนแปลงที่ยั่งยืนด้วยนวัตกรรม ประจำปี พ.ศ.2559-2560</t>
  </si>
  <si>
    <t>ต.ค 60-พ.ย 60</t>
  </si>
  <si>
    <t>30 ต.ค 60-1 พ.ย 60</t>
  </si>
  <si>
    <t>1. ผู้เข้าร่วมโครงการสามารถนำความรู้ไปใช้ประโยชน์ได้ อยู่ในระดับมาก</t>
  </si>
  <si>
    <t>1. อย่างน้อยร้อยละ 80 ของผู้เข้าร่วมดครงการได้รับความรู้เพิ่มขึ้น</t>
  </si>
  <si>
    <t>โครงการคิดดีที่ศรีวิชัย (KIDDEE@Srivijaya) ครั้งที่ 1</t>
  </si>
  <si>
    <t>1. ผู้เข้าร่วมโครงการนำความรู้ไปใช้ประโยชน์อย่างน้อยร้อยละ 80</t>
  </si>
  <si>
    <t>โครงการคิดดีที่ศรีวิชัย (KIDDEE@Srivijaya) ครั้งที่ 2</t>
  </si>
  <si>
    <t>12 พ.ค 61</t>
  </si>
  <si>
    <t>โครงการคิดดีที่ศรีวิชัย (KIDDEE@Srivijaya) ครั้งที่ 3</t>
  </si>
  <si>
    <t>โครงการคิดดีที่ศรีวิชัย (KIDDEE@Srivijaya) ครั้งที่ 4</t>
  </si>
  <si>
    <t>โครงการคิดดีที่ศรีวิชัย (KIDDEE@Srivijaya) ครั้งที่ 5</t>
  </si>
  <si>
    <t>โครงการคิดดีที่ศรีวิชัย (KIDDEE@Srivijaya) ครั้งที่ 6</t>
  </si>
  <si>
    <t>โครงการคิดดีที่ศรีวิชัย (KIDDEE@Srivijaya) ครั้งที่ 7</t>
  </si>
  <si>
    <t>โครงการคิดดีที่ศรีวิชัย (KIDDEE@Srivijaya) ด้านเศรษฐศาสตร์และบริหารธุรกิจ</t>
  </si>
  <si>
    <t>โครงการคิดดีที่ศรีวิชัย (KIDDEE@Srivijaya) ด้านเทคโนโลยีและระบบควบคุมอัตโนมัติ</t>
  </si>
  <si>
    <t>โครงการคิดดีที่ศรีวิชัย (KIDDEE@Srivijaya) ด้านเครื่องจักรกลเกษตร</t>
  </si>
  <si>
    <t>โครงการคิดดีที่ศรีวิชัย (KIDDEE@Srivijaya) ด้านการยางและพอลิเมอร์</t>
  </si>
  <si>
    <t>โครงการคิดดีที่ศรีวิชัย (KIDDEE@Srivijaya) ด้านวิศวกรรมโยธาและโครงสร้าง</t>
  </si>
  <si>
    <t>โครงการคิดดีที่ศรีวิชัย (KIDDEE@Srivijaya) ด้านสัตวแพทยศาสตร์</t>
  </si>
  <si>
    <t>โครงการคิดดีที่ศรีวิชัย (KIDDEE@Srivijaya) ด้านเทคโนโลยีสมองกลฝังตัวและ Smart loT</t>
  </si>
  <si>
    <t>โครงการพัฒนาศักยภาพผู้นำการเปลี่ยนแปลง ด้านการถ่ายทอดความรู้ด้วยเทคนิค Coaching</t>
  </si>
  <si>
    <t>23 เม.ย. 61-25 เม.ย. 61</t>
  </si>
  <si>
    <t>โครงการ มทร.ศรีวิชัย ขับเคลื่อนพื้นที่เศรษฐกิจชายฝั่งอันดามันสู่การเปลี่ยนแปลง : ครั้งที่ 1</t>
  </si>
  <si>
    <t>080-6317686</t>
  </si>
  <si>
    <t>โครงการ มทร.ศรีวิชัย ขับเคลื่อนพื้นที่เศรษฐกิจชายฝั่งอันดามันสู่การเปลี่ยนแปลง : ครั้งที่ 2</t>
  </si>
  <si>
    <t>18 พ.ค 61-21 พ.ค 61</t>
  </si>
  <si>
    <t>2. ผู้เข้าร่วมโครงการนำความรู้ไปใช้ประโยชน์อย่างน้อยร้อยละ 80</t>
  </si>
  <si>
    <t>โครงการ มทร.ศรีวิชัย ขับเคลื่อนพื้นที่เศรษฐกิจชายฝั่งอันดามันสู่การเปลี่ยนแปลง : ครั้งที่ 3</t>
  </si>
  <si>
    <t>8 ก.ย. 61-9 ก.ย. 61</t>
  </si>
  <si>
    <t>โครงการพัฒนาภาษาอังกฤษสำหรับครูผู้สอนสาขาวิชาวิศวกรรมเครื่องกลเรือ</t>
  </si>
  <si>
    <t>7 ก.ย. 61-7 ต.ค 61</t>
  </si>
  <si>
    <t>1. ผู้เข้าร่วมดครงการสามารถนำความรุ้ไปใช้ในการเรียนการสอนหลักสูตรสาขาวิชาวิศวกรรมเครื่องกลเรือ</t>
  </si>
  <si>
    <t>1. 80% ของผู้เข้าร่วมโครงการได้รับประกาศนียบัตรที่ผ่านการฝึกอบรม</t>
  </si>
  <si>
    <t>-(งบรายจ่ายอื่น งบประมาณ)</t>
  </si>
  <si>
    <t>โครงการสัมมนาทางวิศวกรรมเครื่องกลเรือสู่อุตสาหกรรมพานิชยนาวีสากลเพื่อสร้างเครือข่ายความร่วมมือ</t>
  </si>
  <si>
    <t>5 ก.ย. 61-6 ก.ย. 61</t>
  </si>
  <si>
    <t>1. อย่างน้อยร้อยละ 80 ของผู้เข้าร่วงมดครงการได้รับความรู้เพิ่มขึ้น</t>
  </si>
  <si>
    <t>โครงการอบรมเพืิ่อเตรียมความพร้อมการตรวจรับรองระบบมาตรฐานคุณภาพ ISO 9001:2015</t>
  </si>
  <si>
    <t>30 ส.ค. 61-31 ส.ค. 61</t>
  </si>
  <si>
    <t>โครงการสัมมนาเชิงปฏิบัติการการพัฒนาหลักสูตรสู่ความเป้นเลิศด้านพาณิชย์นาวี</t>
  </si>
  <si>
    <t>1. ผู้เข้าร่วมโครงการสามารถนำความรู้ไปใช้ประโยชน์ไๆด้อยู่ในระดับมาก</t>
  </si>
  <si>
    <t>โครงการประชาสัมพันธ์หลักสูตร (ภายใต้โครงการผลิตกำลังคนด้านการขนส่งทางน้ำ)</t>
  </si>
  <si>
    <t>20 ก.พ. 61-22 ก.พ. 61</t>
  </si>
  <si>
    <t>1. ข้อมูลข่าวสารของหน่วยงานได้รับการเผยแพร่ ประชาสัมพันธ์ มทำให้รู้จักมหาวิทยาลัยมากขึ้น</t>
  </si>
  <si>
    <t>1. ความพึงพอใจของผู้รับบริการ ไม่น้อยกว่า้อยละ 80</t>
  </si>
  <si>
    <t>โครงการส่งเสริมการจัดกิจกรรมพิพิธภัณฑ์สัตว์น้ำ</t>
  </si>
  <si>
    <t>2 ต.ค 60-28 ก.ย. 61</t>
  </si>
  <si>
    <t>1. ข้อมูลข่าวสารของหน่วยงานได้รับการเผยแพร่ ประชาสัมพันธ์ ทำให้มหาวิทยาลัยเป็นที่รู้จักมากขึ้น</t>
  </si>
  <si>
    <t>2. มีการเผยแพร่ประชาสัมพันธ์ข้อมูลข่าวสารของพิพิธภัณฑ์สัตว์น้ำ อย่างน้อย 1 ครั้ง/ปี</t>
  </si>
  <si>
    <t>โครงการพัฒนาคุณภาพชีวิตบุคลากรและเพิ่มประสิทธิภาพในการปฏิบัติงานด้านการบริการด้วยใจอย่างมีความสุข</t>
  </si>
  <si>
    <t>30 พ.ค 61-31 พ.ค 61</t>
  </si>
  <si>
    <t>2. ร้อยละของความพึงพอใจตามสายงาน 80</t>
  </si>
  <si>
    <t>2. ร้อยละของบุคลากรที่ได้รับการพัฒนาไม่น้อยกว่าร้อยละ 80</t>
  </si>
  <si>
    <t>โครงการจัดกิจกรรมวันสำคัญของประเทศ</t>
  </si>
  <si>
    <t>ธ.ค. 60-เม.ย. 61</t>
  </si>
  <si>
    <t>30 ธ.ค. 60-13 ม.ค. 61</t>
  </si>
  <si>
    <t>โครงการจัดตั้งพิพิธภัณฑ์ทรัพยากรกายภาพ ชีวภาพ วัฒนธรรม และภูมิปัญญาท้องถิ่น</t>
  </si>
  <si>
    <t>2 เม.ย. 61-29 มิ.ย. 61</t>
  </si>
  <si>
    <t>1. นักวิจัยสามารถนำข้อมูลไปวิเคราะห์เพื่อใช้วิจัยในงานที่เกี่ยวข้อง</t>
  </si>
  <si>
    <t>1. ได้ระบบฐานข้อมูลที่เก็บข้อมุลเกี่ยวกับพันธุ์พืช สำหรับสนับสนุนการอนุรักษ์พันธุ์พืช</t>
  </si>
  <si>
    <t>โครงการการจัดการน้ำใช้ในการอุปโภคในสถานที่ผลิตเพื่อผ่านเกณฑ์รับรองมาตรฐาน (ภายใต้โครงการยกระดับคุณภาพชีวิตชุมชนแบบมีส่วนร่วมสู่แหล่งเรียนรู้ ภูมิปัญญาท้องถิ่นต้นแบบของจังหวัดตรัง)</t>
  </si>
  <si>
    <t>1. ผลิตภัณฑ์ในชุมชนสามารถผ่านเกณฑ์มาตรฐานอย่างน้อย 1 อย่าง</t>
  </si>
  <si>
    <t>1. มีผู้เข้าร่วมโครงการไม่น้อยกว่า 10 คน</t>
  </si>
  <si>
    <t>โครงการการจัดทำฐานข้อมูลสมุนไพรมะขามป้อม</t>
  </si>
  <si>
    <t>15 ม.ค. 61-31 ม.ค. 61</t>
  </si>
  <si>
    <t>1. อย่างน้อยร้อยละ 80 มีความพึงพอใจฐานข้อมูลด้านสมุนไพรมะขามป้อม</t>
  </si>
  <si>
    <t>1. ได้ฐานข้อมูลด้านสมุนไพรมะขามป้อม</t>
  </si>
  <si>
    <t>โครงการพัฒนาศักยภาพทางการตลาดผลิตภัณฑ์ชุมชนกลุ่มวิสาหกิจชุมชนบ้านนาไม้ไผ่ อ.ทุ่งสง จ.นครศรีธรรมราช</t>
  </si>
  <si>
    <t>1. อย่างน้อยร้อยละ80 ของผู้เข้าร่วมโครงการได้รับความรู้เพิ่มขึ้น</t>
  </si>
  <si>
    <t>ร้อยละ80</t>
  </si>
  <si>
    <t>โครงการบริการวิชาการสร้างอาชีพ เสริมรายได้ ลดค่าครองชีพ เพื่อความยั่งยืนแก่ชุมชน : กิจกรรมย่อยที่ 1 ผักสวนครัว รั้วกินได้ ริมทางสีเขียว ลดรายจ่าย เสริมรายได้ ตามแนวทางเศรษฐกิจพอเพียงสู่ชุมชน</t>
  </si>
  <si>
    <t>โครงการบริการวิชาการสร้างอาชีพ เสริมรายได้ ลดค่าครองชีพ เพื่อความยั่งยืนแก่ชุมชน : กิจกรรมย่อยที่ 2 การพัฒนาความเป็นผู้ประกอบการกลุ่มเครื่องแกงภายในท้องถิ่น อำเภอบางขัน จังหวันครศรีธรรมราช</t>
  </si>
  <si>
    <t>5 ก.พ. 61-6 ก.พ. 61</t>
  </si>
  <si>
    <t>โครงการบริการวิชาการสร้างอาชีพ เสริมรายได้ ลดค่าครองชีพ เพื่อความยั่งยืนแก่ชุมชน : กิจกรรมย่อยที่ 3 การฝึกอบรม และถ่ายทอดเทคโนโลยีหลักเกณฑ์และวิธีการที่ดีในการผลิตอาหาร (GHP) กับผลิตภัณฑ์เครื่องแกงชุมชน</t>
  </si>
  <si>
    <t>18 ก.พ. 61-25 ก.พ. 61</t>
  </si>
  <si>
    <t>โครงการบริการวิชาการสร้างอาชีพ เสริมรายได้ ลดค่าครองชีพ เพื่อความยั่งยืนแก่ชุมชน : กิจกรรมย่อยที่ 4 การสร้างมูลค่าเพิ่มผลิตภัณฑ์และบรรจุภัณฑ์เครื่องแกงแก่ชุมชน</t>
  </si>
  <si>
    <t>7 เม.ย. 61-8 เม.ย. 61</t>
  </si>
  <si>
    <t>โครงการบริการวิชาการสร้างอาชีพ เสริมรายได้ ลดค่าครองชีพ เพื่อความยั่งยืนแก่ชุมชน : กิจกรรมย่อยที่ 5 การจัดการช่องทางการจำหน่ายผลิตภัณฑ์</t>
  </si>
  <si>
    <t>8 พ.ค 61</t>
  </si>
  <si>
    <t>โครงการบริการวิชาการสร้างอาชีพ เสริมรายได้ ลดค่าครองชีพ เพื่อความยั่งยืนแก่ชุมชน : กิจกรรมย่อยที่ 6 การเสวนารายงานผลการดำเนินงานสู่การปรับปรุงพัฒนาแผนการดำเนินงานอย่างเข้มแข็งยังยืน</t>
  </si>
  <si>
    <t>28 พ.ค 61</t>
  </si>
  <si>
    <t>Fโครงการอบรมเชิงปฏิบัติการการเขียนแผนธุรกิจโรงเรียนทุ่งสง (ภายใต้โครงการเชื่อมโยงสถาบันอุดมศึกษาไปสู่โรงเรียน (Educational pipeline) ปี2)</t>
  </si>
  <si>
    <t>30 พ.ค 61-20 มิ.ย. 61</t>
  </si>
  <si>
    <t>1. เปิดโอกาสให้ผู้สอน นักเรียนและมหาวิทยาลัยได้ใช้ศักยภาพด้านการจัดทำแผนธุรกิจ</t>
  </si>
  <si>
    <t>1. โรงเรียนทุ่งสงมีเอกสารประกอบการสอนการจัดทำแผนธุรกิจเพื่อใช้ประโยชน์ต่อไป</t>
  </si>
  <si>
    <t>โครงการยกระดับการมีส่วนร่วมความเข้มแข็งกระบวนการกลุ่มชุมชนกะปาง (ภายใตัโครงการยกระดับคุณภาพชีวิตชุมชนแบบมีส่วนร่วมสู่แหล่งเรียนรู้ภูมิปัญยาท้องถิ่นต้นแบบ จังหวัดนครศรีธรรมราช)</t>
  </si>
  <si>
    <t>4 พ.ค 61-6 พ.ค 61</t>
  </si>
  <si>
    <t>1. ชุมชนมีความเข้าใจเกี่ยวกับกระบวนการกลุ่ม</t>
  </si>
  <si>
    <t>1. สมาชิกชุมกะปางเข้าร่วมไม่น้อยกว่า 20 คน</t>
  </si>
  <si>
    <t>2. สามารถประยุกต์ความรู้ความเข้าใจในการดำเนินการของกลุ่ม</t>
  </si>
  <si>
    <t>โครงการออกแบบและพัฒนาบรรจุภัณฑ์สำหรับผลิตภัณฑ์ของกลุ่มคนเลี้ยงแพะ (ภายใต้โครงการ มทร.ศรีวิชัย รับผิดชอบต่อสังคม)</t>
  </si>
  <si>
    <t>25 พ.ค 61</t>
  </si>
  <si>
    <t>1. สามารถออกแบบและพัฒนาบรรจุภัณฑ์ต้นแบบสำหรับผลิตภัณฑ์ของกลุ่มคนเลี้ยงแพะ</t>
  </si>
  <si>
    <t>1. มีกลุ่มและผู้ประกอบการเข้าร่วมโครงการไม่น้อยกว่า 20 คน</t>
  </si>
  <si>
    <t>โครงการอบรมคุณธรรมจริยธรรม</t>
  </si>
  <si>
    <t>1. ผู้เข้ารร่วมโครงการมีความตระหนักในการทำนุบำรุงศิลปวัฒนธรรมไทยและอนุรักษ์สิ่งแวดล้อม</t>
  </si>
  <si>
    <t>1. ความพึงพอใจของผู้เข้าร่วมไม่น้อยกว่า ร้อยละ80</t>
  </si>
  <si>
    <t>โครงการเสวนานักศึกษาฝึกประสบการณ์และฝึกสหกิจศึกษา : ครั้งที่ 2</t>
  </si>
  <si>
    <t>โครงการศตวรรษที่ 21 บัณฑิตนักการตลาดสร้างชุมชุน วัฒนธรรมใต้</t>
  </si>
  <si>
    <t>27 ม.ค. 61-6 ก.พ. 61</t>
  </si>
  <si>
    <t>1 กิจกรรม</t>
  </si>
  <si>
    <t>089-822-4140</t>
  </si>
  <si>
    <t>โครงการอบรมพัฒนาการเรียนการสอน Ploblem based Learning (PBL)</t>
  </si>
  <si>
    <t>โครงการ Marketing Contest Display Expo</t>
  </si>
  <si>
    <t>โครงการอบรมเตรียมความพร้อมสู่การเป็นผู้แนะนำการลงทุนด้านหลักทรัพย์</t>
  </si>
  <si>
    <t>โครงการตรวจประเมินคุณภาพการศึกษาภายในระดับหลักสูตร คณะเทคโนโลยีการจัดการ</t>
  </si>
  <si>
    <t>8 มิ.ย. 61-29 ส.ค. 61</t>
  </si>
  <si>
    <t>โครงการตรวจประเมินคุณภาพการศึกษาภายใน คณะเทคโนโลยีการจัดการ</t>
  </si>
  <si>
    <t>โครงการพัฒนางานประชาสัมพันธ์เพื่อการเผยแพร่ข้อมูลข่าวสาร</t>
  </si>
  <si>
    <t>1. ข้อมูลข่าวสารของหน่วยงานได้รับการเผยแพร่ ประชาสัมพันธ์ทำให้มหาวิทยาลัยเป็นที่รู้จักมากขึ้น</t>
  </si>
  <si>
    <t>โครงการสานสัมพันธ์ผู้ปกครองนักศึกษาใหม่</t>
  </si>
  <si>
    <t>1. ผู้ปกครองมีความเข้าใจการจัดการศึกษา กิจกรรม</t>
  </si>
  <si>
    <t>1. ผู้ปกครองเข้าร่วมกิจกรรม</t>
  </si>
  <si>
    <t>2. ความพึงพอใจของผู้รับบริการ ไม่น้อยกว่าร้อยละ 80</t>
  </si>
  <si>
    <t>3. ข้อมูลข่าวสารของหน่วยงานได้รับการเผยแพร่ ประชาสัมพันธ์ทำให้มหาวิทยาลัยเป็นที่รู้จักมากขึ้น</t>
  </si>
  <si>
    <t>โครงการพัฒนาคุณภาพชีวิตบุคลากรและเพิ่มประสิทธิภาพในการทำงาน</t>
  </si>
  <si>
    <t>โครงการเสาวนานักศึกษาฝึกประสบการณ์และฝึกสหิจศึกษา : ครั้งที่ 1</t>
  </si>
  <si>
    <t>30 ต.ค 60</t>
  </si>
  <si>
    <t>083-5395141</t>
  </si>
  <si>
    <t>โครงการนิทรรศการ ราชมงคลศรีวิชัยแฟร์ 2018</t>
  </si>
  <si>
    <t>โครงการอบรมเชิงปฏิบัติการพัฒนาสมถรรนะด้านสารสนเทศ</t>
  </si>
  <si>
    <t>25 พ.ย 60-26 พ.ย 60</t>
  </si>
  <si>
    <t>1. ร้อยละ 80 ของนักศึกษาเข้าร่วมโครงการมีความพึงพอใจ</t>
  </si>
  <si>
    <t>1. ร้อยละ 80 ของนักศึกษาที่เข้าร่วมโครงการมีความรู้ความชำนาญด้านทักษะคอมพิวเตอร์เพิ่มขึ้น</t>
  </si>
  <si>
    <t>โครงการพัฒนาสมถรรณะด้านภาษาต่างประเทศ</t>
  </si>
  <si>
    <t>24 มี.ค. 61-7 เม.ย. 61</t>
  </si>
  <si>
    <t>1. ร้อยละ 80 ของนักศึกษามีความพึงพอใจต่อการจัดโครงการ และส่งเสริมให้นักศึกษาตระหนักถึงความสำคัญของการพัฒนาสมรรถนะด้านภาษาต่างประเทศ</t>
  </si>
  <si>
    <t>1. ร้อยละ 80 ของนักศึกษาเข้าร่วมโครงการและมีความรู้ความชำนาญด้านการใช้ภาษาอังกฤษมากขึ้น</t>
  </si>
  <si>
    <t>โครงการอบรมเชิงปฏิบัติการพัฒนาสมรรถนะด้านสารสนเทศ ครั้งที่ 2</t>
  </si>
  <si>
    <t>23 มี.ค. 61-29 มี.ค. 61</t>
  </si>
  <si>
    <t>1. ร้อยละ 80 ของนักศึกษามีความพึงพอใจต่อการจัดโครงการ และส่งเสริมให้นักศึกษาตระหนักถึงความสำคัญของการพัฒนาสมรรถนะด้านสารสนเทศของตน</t>
  </si>
  <si>
    <t>1. ร้อยละ 80 ของนักศึกษาเข้าร่วมโครงการและมีความรู้ความชำนาญด้านทักษะคอมพิวเตอร์มากขึ้น</t>
  </si>
  <si>
    <t>โครงการเผยแพร่ นำเสนอ ประกวด แข่งขัน ผลงานนักศึกษา : กิจกรรมย่อยที่ 2 หลักสูตรบริหารธุรกิจบัณฑิต สาขาวิชาการจัดการโลจิสติกส์</t>
  </si>
  <si>
    <t>โครงการเผยแพร่ นำเสนอ ประกวด แข่งขัน ผลงานนักศึกษา : กิจกรรมย่อยที่ 3 หลักสูตรบริหารธุรกิจบัณฑิต สาขาวิชาการตลาด</t>
  </si>
  <si>
    <t>โครงการเผยแพร่ นำเสนอ ประกวด แข่งขัน ผลงานนักศึกษา : กิจกรรมย่อยที่ 4 หลักสูตรบริหารธุรกิจบัณฑิต สาขาวิชาระบบสารสนเทศ ทางธุรกิจ</t>
  </si>
  <si>
    <t>22 มี.ค. 61-26 มี.ค. 61</t>
  </si>
  <si>
    <t>โครงการเผยแพร่ นำเสนอ ประกวด แข่งขัน ผลงานนักศึกษา : กิจกรรมย่อยที่ 5 หลักสูตรบริหารธุรกิจบัณฑิต สาขาวิชาธุรกิจอิเล็กทรอนิกส์</t>
  </si>
  <si>
    <t>โครงการเผยแพร่ นำเสนอ ประกวด แข่งขัน ผลงานนักศึกษา : กิจกรรมย่อยที่ 6 หลักสูตรบัญชีบัณฑิต</t>
  </si>
  <si>
    <t>โครงการเผยแพร่ นำเสนอ ประกวด แข่งขัน ผลงานนักศึกษา : กิจกรรมย่อยที่ 7 หลักสูตรบริหารธุรกิจบัณฑิต สาขาการเงิน</t>
  </si>
  <si>
    <t>24 ก.ค. 61-28 ก.ค. 61</t>
  </si>
  <si>
    <t>โครงการพัฒนาคุณภาพงานประกันคุณภาพการศึกษา : กิจกรรมที่ 2</t>
  </si>
  <si>
    <t>28 ก.พ. 61-28 มี.ค. 61</t>
  </si>
  <si>
    <t>มี.ค. 61-พ.ค 61</t>
  </si>
  <si>
    <t>26 มี.ค. 61-11 พ.ค 61</t>
  </si>
  <si>
    <t>โครงการร่วมสัมมนาและการแข่งขันทักษะทางวิชาการด้านบริหารธุรกิจของ 9 มทร.</t>
  </si>
  <si>
    <t>31 ม.ค. 61-2 ก.พ. 61</t>
  </si>
  <si>
    <t>1. นักศึกษาได้ประสบกรณ์และได้รับรางวัล</t>
  </si>
  <si>
    <t>2. นักศึกษาได้ร่วมแข่งขันทักษะ</t>
  </si>
  <si>
    <t>โครงการเผยแพร่ นำเสนอ ประกวด แข่งขัน ผลงานนักศึกษา : กิจกรรมย่อยที่ 1 หลักสูตรบริหารธุรกิจบัณฑิต สาขาวิชาการจัดการ</t>
  </si>
  <si>
    <t>29 มี.ค. 61-31 พ.ค 61</t>
  </si>
  <si>
    <t>โครงการพัฒนาคุณภาพงานประกันคุณภาพการศึกษา : กิจกรรมที่ 1</t>
  </si>
  <si>
    <t>โครงการ RMUTSV MOOC : จัดอบรมเพื่อเตรียมอาจารย์และผู้เกี่ยวข้องในกระบวนการพัฒนารายวิชา</t>
  </si>
  <si>
    <t>1. อย่างน้อยร้อยละ 80 ของผู้เข้าร่วมโครงการมีความพึงพอใจต่อการจัดโครงการ และผู้เข้าร่วมโครงการสามารถนำความรู้ไปใช้ประโยชน์ได้</t>
  </si>
  <si>
    <t>โครงการ RMUTSV MOOC</t>
  </si>
  <si>
    <t>18 ก.ค. 61-20 ก.ค. 61</t>
  </si>
  <si>
    <t>1. ผู้เข้าร่วมโครงการได้รับการพัฒนาทักษะวิชาชีพเฮพาะทางและเพิ่มความเชี่ยวชาญในวิชาชีพมากขึ้น</t>
  </si>
  <si>
    <t>โครงการยกร่างและวิพากษ์หลักสูตรบริหารธุรกิจบัณฑิต สาขาวิชาคอมพิวเตอร์ธุรกิจ (ต่อเนื่อง) หลักสูตรปรับปรุง พ.ศ .... : ครั้งที่ 1 ยกร่างหลักสูตร</t>
  </si>
  <si>
    <t>โครงการค่ายคุณธรรม</t>
  </si>
  <si>
    <t>22 มิ.ย. 61-23 มิ.ย. 61</t>
  </si>
  <si>
    <t>095-0235363</t>
  </si>
  <si>
    <t>โครงการจัดกิจกรรมวันสำคัญทางศาสนา : กิจกรรมที่ 1 วันมาฆบูชา แห่ผ้าขึ้นธาตุ วัดพระมหาธาตุวรมหาวิหาร</t>
  </si>
  <si>
    <t>089-7306134</t>
  </si>
  <si>
    <t>โครงการจัดกิจกรรมวันสำคัญทางศาสนา : กิจกรรมที่ 2 วันฮารีรายอ ทำบุญพิธีทางศาสนาอิสลามเดือนรอมฎอน</t>
  </si>
  <si>
    <t>โครงการจัดกิจกรรมวันสำคัญทางศาสนา : กิจกรรมที่ 3 วันอาสาฬหบูชาและวันเข้าพรรษา พิธีหล่อเทียนพรรษาและแห่เทียนพรรษา</t>
  </si>
  <si>
    <t>17 ก.ค. 61-26 ก.ค. 61</t>
  </si>
  <si>
    <t>โครงการพัฒนาแหล่งเรียนรู้ด้านศิลปวัฒนธรรมเพื่อสร้างมูลค่าเพิ่มให้กับชุมชน บ้านแหลมประทับ จังหวัดนครศรีธรรมราช</t>
  </si>
  <si>
    <t>25 เม.ย. 61-26 เม.ย. 61</t>
  </si>
  <si>
    <t>088-2721266</t>
  </si>
  <si>
    <t>โครงการสืบทอดประเพณีและวัฒนธรรมไทย : กิจกรรมที่ 1 วันวิสาขบูชา แห่ผ้าขึ้นพระธาตุเจดีย์ปะการังเขาธาตุ วัดจันทน์ธาตุทาราม</t>
  </si>
  <si>
    <t>29 พ.ค 61</t>
  </si>
  <si>
    <t>โครงการอบรมการเขียนแบบสามมิติพื้นฐาน ครั้งที่ 2 (ภายใต้โครงการเชื่อมโยงสถาบันอุดมศึกษาไปสู่โรงเรียน (Educational pipeline) ปี2)</t>
  </si>
  <si>
    <t>20 มี.ค. 61-22 มี.ค. 61</t>
  </si>
  <si>
    <t>1. ผู้เข้าร่วมโครงการสามารถนำไปใช้ในการเรียนหรือทำโครงงานหลังจากผ่านการอบรม</t>
  </si>
  <si>
    <t>1. ผู้เข้าร่วมโครงการไม่น้อยกว่า 25 คน</t>
  </si>
  <si>
    <t>095-4268008</t>
  </si>
  <si>
    <t>โครงการอบรมเชิงปฏิบัติการโปรแกรมตัดต่อ VDO และสื่อ Digtal เพื่อการประชาสัมพันธ์ (ภายใต้โครงการ มทร.ศรีวิชัย รับผิดชอบต่อสังคม ประจำปี 2561)</t>
  </si>
  <si>
    <t>27 ก.พ. 61-28 ก.พ. 61</t>
  </si>
  <si>
    <t>1. ผู้เข้ารับการฝึกอบรมเข้าใจหลักการใช้โปรแกรมตัดต่อ VDO และสื่อ Digital</t>
  </si>
  <si>
    <t>1. เป้าหมายผู้เข้าร่วมโครงการ 15 คน</t>
  </si>
  <si>
    <t>092-2817616</t>
  </si>
  <si>
    <t>โครงการการจัดการระบบนิเวศน์และเส้นทางการศึกษาทางเดินป่าสาคู (ภายใตัโครงการยกระดับคุณภาพชีวิตชุมชนแบบมีส่วนร่วมสู่แหล่งเรียนรู้ภูมิปัญญาท้องถิ่นต้นแบบ จังหวัดนครศรีธรรมราช)</t>
  </si>
  <si>
    <t>2 เม.ย. 61-1 พ.ค 61</t>
  </si>
  <si>
    <t>1. ผู้เข่าร่วมโครงการนำความรู้ไปใช้ประโยชน์ได้อยู่ในระดับมาก</t>
  </si>
  <si>
    <t>087-6233502</t>
  </si>
  <si>
    <t>โครงการฝึกอบรมเชิงปฏิบัติการโยคะเพื่อสุขภาพ (ภายใต้โครงการ มทร.ศรีวิชัย รับผิดชอบต่อสังคม)</t>
  </si>
  <si>
    <t>21 พ.ค 61</t>
  </si>
  <si>
    <t>1. ผู้เข้าร่วมโครงการหันมาสนใจการออกกำลังกายในรูปแบบของโยคะมากขึ้น</t>
  </si>
  <si>
    <t>1. ผู้เข้าร่วมโครงการมีความรู้ความสามารถในการฝึกโยคะ จำนวนร้อยละ 85 ของผู้เข้าร่วมโครงการ</t>
  </si>
  <si>
    <t>061-7722199</t>
  </si>
  <si>
    <t>โครงการอบรมทักษะการให้บริการอย่างมีคุณภาพสำหรับพนักงานในกลุ่มธุรกิจบริการ</t>
  </si>
  <si>
    <t>19 มี.ค. 61-20 มี.ค. 61</t>
  </si>
  <si>
    <t>082-7899251</t>
  </si>
  <si>
    <t>2. เพื่อบูรณาการกิจกรรมบริการวิชาการกับการเรียนการสอน</t>
  </si>
  <si>
    <t>โครงการการให้บริการทางวิชาการด้านวิทยาศาสตร์และเทคโนโลยีเพื่อเสริมสร้างความยั่งยืนของชุมชนบ้านท่า - บ่อโก : กิจกรรมย่อยที่ 1 การวางแผนและการจัดรายการนำเที่ยว ชุมชนบ้านท่า</t>
  </si>
  <si>
    <t>084-3309981</t>
  </si>
  <si>
    <t>2. ชุมชนบ้านท่า-บ่อโก นำความรู้ที่ได้มาเป็นแนวทางในการสร้างความเป็นอยู่ที่ดีขึ้น</t>
  </si>
  <si>
    <t>2. นักศึกษาหลักสูตรวิชาการโรงแรมฯ 10 คน</t>
  </si>
  <si>
    <t>โครงการการให้บริการทางวิชาการด้านวิทยาศาสตร์และเทคโนโลยีเพื่อเสริมสร้างความยั่งยืนของชุมชนบ้านท่า - บ่อโก : กิจกรรมย่อยที่ 2 การบริการวิชาการด้านการบัญชีชุมชนบ้านท่า-บ่อโก</t>
  </si>
  <si>
    <t>080-5287222</t>
  </si>
  <si>
    <t>โครงการการให้บริการทางวิชาการด้านวิทยาศาสตร์และเทคโนโลยีเพื่อเสริมสร้างความยั่งยืนของชุมชนบ้านท่า - บ่อโก : กิจกรรมย่อยที่ 3 การให้บริการวิชาการด้านวิศวกรรมโยธา สร้างฐานการเรียนรู้การท่องเที่ยวเชิงนิเวศ</t>
  </si>
  <si>
    <t>22 ม.ค. 61-24 ม.ค. 61</t>
  </si>
  <si>
    <t>082-1323812</t>
  </si>
  <si>
    <t>2. สมาชิกในชุมชนบ้านท่า-บ่อโกได้นำความรู้ที่ได้มาเป็นแนวทางในการสร้างความเป็นอยู่ที่ดีขึ้นรวมถึงนำความรู้ที่ได้รับมาพัฒนาอาชีพตามวิธีของชุมชนได้เป็นอย่างดี</t>
  </si>
  <si>
    <t>โครงการการให้บริการทางวิชาการด้านวิทยาศาสตร์และเทคโนโลยีเพื่อเสริมสร้างความยั่งยืนของชุมชนบ้านท่า - บ่อโก : กิจกรรมย่อยที่ 4 การอบรมเชิงปฏิบัติการ การสร้างและเพิ่มมูลค่าสินค้าผลิตภัณฑ์ชุมชนบ้านท่า - บ่อโก</t>
  </si>
  <si>
    <t>11 พ.ค 61</t>
  </si>
  <si>
    <t>1. มีการส่งเสริมให้คนในชุมชนใช้เวลาว่างให้เกิดประโยชน์</t>
  </si>
  <si>
    <t>089-8733183</t>
  </si>
  <si>
    <t>2. ผู้เข้าร่วมโครงการสามารถนำความรู้ไปใช้ประโยชน์ได้อยู่ในระดับมาก</t>
  </si>
  <si>
    <t>3. สามารถพัฒนาคนในชุมชนให้มีแนวคิดในการพัฒนาความเข้าใจทางด้านความรู้ด้านการบริการ</t>
  </si>
  <si>
    <t>โครงการการให้บริการทางวิชาการด้านวิทยาศาสตร์และเทคโนโลยีเพื่อเสริมสร้างความยั่งยืนของชุมชนบ้านท่า - บ่อโก : กิจกรรมย่อยที่ 5 การติดตั้งระบบไฟฟ้าจากพลังงานแสงอาทิตย์ ชุมชนบ้านท่า-บ่อโก</t>
  </si>
  <si>
    <t>087-2801366</t>
  </si>
  <si>
    <t>โครงการการให้บริการทางวิชาการด้านวิทยาศาสตร์และเทคโนโลยีเพื่อเสริมสร้างความยั่งยืนของชุมชนบ้านท่า - บ่อโก : กิจกรรมย่อยที่ 6 พัฒนาศูนย์ดิจิทัลชุนบ้านท่า-บ่อโก เพื่อการขายสินค้าและบริการออนไลน์</t>
  </si>
  <si>
    <t>089-9391889</t>
  </si>
  <si>
    <t>2. มีการบูรณาการกิจกรรมบริการวิชาการกับการเรียนการสอนในรายวิชาระบบจัดการฐานข้อมูลวิชาเว็บไดนามิกส์ วิชาคอมพิวเตอร์กราฟิก</t>
  </si>
  <si>
    <t>โครงการการให้บริการทางวิชาการด้านวิทยาศาสตร์และเทคโนโลยีเพื่อเสริมสร้างความยั่งยืนของชุมชนบ้านท่า - บ่อโก : กิจกรรมย่อยที่ 7 เสวนารายงานผลการดำเนินงานสู่การปรับปรุงและพัฒนาแผนการดำเนินงาน</t>
  </si>
  <si>
    <t>088-3996498</t>
  </si>
  <si>
    <t>2. สมาชิกในชุมชนบ้านท่า-บ่อโกสามารถนำความรู้ที่ได้ มาใช้ในหมู่บ้านได้อย่างมีประสิทธิภาพประสิทธิผล</t>
  </si>
  <si>
    <t>2. สมาชิกในหมู่บ้านของชุมชนบ้านท่า-บ่อโกได้รับความรู้</t>
  </si>
  <si>
    <t>โครงการเตรียมวิศวะ มทร.ศรีวิชัย ขนอม (ภายใต้โครงการเชื่อมโยงสถาบันอุดมศึกษาไปสู่โรงเรียน (Educational pipeline) ปี2)</t>
  </si>
  <si>
    <t>27 ก.พ. 61-15 มี.ค. 61</t>
  </si>
  <si>
    <t>1. ผู้เข้าร่วมโครงการสามารถนำความรุ้ที่ได้ไปใช้ในการศึกษาต่อทางด้านวิศวกรรมศาสตร์</t>
  </si>
  <si>
    <t>1. เป้าหมายผูเข้าร่วมโครงการไม่น้อยกว่า 18 คน</t>
  </si>
  <si>
    <t>087-0779880</t>
  </si>
  <si>
    <t>087-3894229</t>
  </si>
  <si>
    <t>1. ผู้เข้าร่วมโครงการได้รับรางวัลจากการประกวด แข่งขันอย่างน้อย 1 รางวัล</t>
  </si>
  <si>
    <t>084-9048868</t>
  </si>
  <si>
    <t>โครงการฝึกซ้อมย่อยบัณฑิตเพื่อเข้ารับพระราชทานปริญญาบัตร ประจำปีการศึกษา 2560</t>
  </si>
  <si>
    <t>22 ก.ย. 61-23 ก.ย. 61</t>
  </si>
  <si>
    <t>081-0861731</t>
  </si>
  <si>
    <t>โครงการศึกษาดูงานบริษัทปูนซีเมนต์ไทย(ทุ่งสง) จำกัด จังหวัดนครศรีธรรมราช</t>
  </si>
  <si>
    <t>081-9562007</t>
  </si>
  <si>
    <t>โครงการแข่งขันกีฬากระชับความสัมพันะ์</t>
  </si>
  <si>
    <t>1. ผู้เข้าร่วมโครงการได้รับความรู้/พัฒนาทักษะเพิ่มขึ้น</t>
  </si>
  <si>
    <t>โครงการตรวจประเมินคุณภาพการศึกษาภายใน ประจำปีการศึกษา 2560 : กิจกรรมที่ 1 การตรวจประเมินคุณภาพการศึกษาภายใน ระดับหลักสูตร (หลักสูตรวิชาวิศวกรรมไฟฟ้า) ประจำปีการศึกษา 2560</t>
  </si>
  <si>
    <t>084-6902012</t>
  </si>
  <si>
    <t>โครงการตรวจประเมินคุณภาพการศึกษาภายใน ประจำปีการศึกษา 2560 : กิจกรรมที่ 2 การตรวจประเมินคุณภาพการศึกษาภายใน ระดับหลักสูตร (หลักสูตรวิชาวิศวกรรมโยธา) ประจำปีการศึกษา 2560</t>
  </si>
  <si>
    <t>โครงการตรวจประเมินคุณภาพการศึกษาภายใน ประจำปีการศึกษา 2560 : กิจกรรมที่ 3 การตรวจประเมินคุณภาพการศึกษาภายใน ระดับหลักสูตร (หลักสูตรวิชาการจัดการ) ประจำปีการศึกษา 2560</t>
  </si>
  <si>
    <t>โครงการตรวจประเมินคุณภาพการศึกษาภายใน ประจำปีการศึกษา 2560 : กิจกรรมที่ 4 การตรวจประเมินคุณภาพการศึกษาภายใน ระดับหลักสูตร (หลักสูตรวิชาการบัญชี) ประจำปีการศึกษา 2560</t>
  </si>
  <si>
    <t>โครงการตรวจประเมินคุณภาพการศึกษาภายใน ประจำปีการศึกษา 2560 : กิจกรรมที่ 5 การตรวจประเมินคุณภาพการศึกษาภายใน ระดับหลักสูตร (หลักสูตรวิชาระบบสารสนเทศทางธุรกิจ) ประจำปีการศึกษา 2560</t>
  </si>
  <si>
    <t>โครงการตรวจประเมินคุณภาพการศึกษาภายใน ประจำปีการศึกษา 2560 : กิจกรรมที่ 6 การตรวจประเมินคุณภาพการศึกษาภายใน ระดับหลักสูตร (หลักสูตรวิชาการโรงแรมและการท่องเที่ยว) ประจำปีการศึกษา 2560</t>
  </si>
  <si>
    <t>โครงการตรวจประเมินคุณภาพการศึกษาภายใน ประจำปีการศึกษา 2560 : กิจกรรมที่ 7 การตรวจประเมินคุณภาพการศึกษาภายใน ระดับคณะ ประจำปีการศึกษา 2560</t>
  </si>
  <si>
    <t>โครงการกีฬาสานสัมพันธ์กับหน่วยงานภายนอก : กิจกรรมที่ 1 ร่วมการแข่งขันกีฬา ศูนย์กีฬา หมู่ที่ 8 ตำบลควนทอง</t>
  </si>
  <si>
    <t>23 มี.ค. 61-31 มี.ค. 61</t>
  </si>
  <si>
    <t>โครงการกีฬาสานสัมพันธ์กับหน่วยงานภายนอก : กิจกรรมที่ 2 ร่วมการแข่งขันกีฬา ศูนย์กีฬา หมู่ที่ 3 ตำบลควนทอง</t>
  </si>
  <si>
    <t>15 มี.ค. 61-24 มี.ค. 61</t>
  </si>
  <si>
    <t>โครงการสานสัมพันธ์บุคลากรวิทยาลัยเทคโนโลยีอุตสาหกรรมและการจัดการ</t>
  </si>
  <si>
    <t>1. ผู้เข้าร่วมโครงการสามารถนำความรู้ไปใมช้ประโยชน์ได้อยู่ในระดับมาก</t>
  </si>
  <si>
    <t>1. ผู้เข้าร่วมโครงการมีความพึงพอใจในกิจกรรมของโครงการอย่างน้อยร้อยละ 80</t>
  </si>
  <si>
    <t>095-7693494</t>
  </si>
  <si>
    <t>โครงการพัฒนาทักษะด้านภาษาต่างประเทศ : กิจกรรมย่อยที่ 7 English Clinic</t>
  </si>
  <si>
    <t>20 ส.ค. 61-7 ก.ย. 61</t>
  </si>
  <si>
    <t>087-2642188</t>
  </si>
  <si>
    <t>โครงการพัฒนาทักษะด้านภาษาต่างประเทศ : กิจกรรมย่อยที่ 9 English for Career Prepartion</t>
  </si>
  <si>
    <t>26 มี.ค. 61-30 มี.ค. 61</t>
  </si>
  <si>
    <t>089-47022070</t>
  </si>
  <si>
    <t>โครงการพัฒนาทักษะด้านภาษาต่างประเทศ : กิจกรรมย่อยที่ 8 Khanom Young Tourist Guides</t>
  </si>
  <si>
    <t>10 ก.พ. 61-4 มี.ค. 61</t>
  </si>
  <si>
    <t>1. ผู้เข้าร่วมโครงการได้รับความรู้/ พัฒนาทักษะเพิ่มขึ้น</t>
  </si>
  <si>
    <t>089-4702270</t>
  </si>
  <si>
    <t>โครงการนิทรรศการวิชาการ วิทยาลัยเทคโนโลยีอุตสาหกรรมและการจัดการราชมงคลศรีวิชัยแฟร์ (ไสใหญ่)</t>
  </si>
  <si>
    <t>16 ม.ค. 61-19 ม.ค. 61</t>
  </si>
  <si>
    <t>โครงการศรีวิชัยขนอมวิชาการ</t>
  </si>
  <si>
    <t>1. ความพึงพอใจของผู้รับบริการไม่น้อยกว่า ร้อยละ 80</t>
  </si>
  <si>
    <t>083-1765383</t>
  </si>
  <si>
    <t>โครงการพัฒนาทักษะด้านภาษาต่างประเทศ : กิจกรรมย่อยที่ 1 ค่ายภาษาอังกฤษสัญจร</t>
  </si>
  <si>
    <t>15 ก.พ. 61-8 มี.ค. 61</t>
  </si>
  <si>
    <t>โครงการพัฒนาทักษะด้านภาษาต่างประเทศ : กิจกรรมย่อยที่ 2 English Singing Contest</t>
  </si>
  <si>
    <t>089-4702207</t>
  </si>
  <si>
    <t>โครงการพัฒนาทักษะด้านภาษาต่างประเทศ : กิจกรรมย่อยที่ 3 ภาษาจีนเบื้องต้น</t>
  </si>
  <si>
    <t>โครงการพัฒนาทักษะด้านภาษาต่างประเทศ : กิจกรรมย่อยที่ 4 โครงการเตรียมความพร้อมนักศึกษาเพื่อการสอบ TOEIC</t>
  </si>
  <si>
    <t>เม.ย. 61-พ.ค 61</t>
  </si>
  <si>
    <t>โครงการพัฒนาทักษะด้านภาษาต่างประเทศ : กิจกรรมย่อยที่ 5 โครงการอบรมแนวทางการสอบ RMUTSV TEST สำหรับนักศึกษาชั้นปีสุดท้าย</t>
  </si>
  <si>
    <t>โครงการพัฒนาทักษะด้านภาษาต่างประเทศ : กิจกรรมย่อยที่ 6 โครงการจัดหาอาจารย์หรือผู้เชี่ยวชาญชาวต่างชาติ</t>
  </si>
  <si>
    <t>โครงการยูทีนสแควร์เส้นทางสู่อาชีพ : กิจกรรมย่อยที่ 1 กิจกรรมจัดทำโปสเตอร์/แผ่นพับ/และสื่อประชาสัมพันธ์ต่าง ๆ พร้อมทั้งดำเนินกิจกรรมให้ความรู้ต่าง ๆ</t>
  </si>
  <si>
    <t>ก.พ. 61-พ.ค 61</t>
  </si>
  <si>
    <t>9 พ.ย 60-30 มี.ค. 61</t>
  </si>
  <si>
    <t>083-5929434</t>
  </si>
  <si>
    <t>โครงการยูทีนสแควร์เส้นทางสู่อาชีพ : กิจกรรมย่อยที่ 2 กิจกรรมการให้ความรู้เกี่ยวกับสาขา/หลักสูตรวิชา</t>
  </si>
  <si>
    <t>2 มี.ค. 61-25 พ.ค 61</t>
  </si>
  <si>
    <t>โครงการผลิตสื่อเพื่อการประชาสัมพันธ์ วิทยาลัยเทคโนโลยีอุตสาหกรรมและการจัดการ : กิจกรรมย่อยที่ 1 ผลิตสื่อเพื่อการประชาสัมพันธ์ วิทยาลัยเทคโนโลยีอุตสาหกรรมและการจัดการ</t>
  </si>
  <si>
    <t>2 ต.ค 60-3 ก.ย. 61</t>
  </si>
  <si>
    <t>1. ความพึงพอใจของผู้รับบริการ ไม่น้อยกว่า ร้อยละ 80</t>
  </si>
  <si>
    <t>086-5968398</t>
  </si>
  <si>
    <t>โครงการผลิตสื่อเพื่อการประชาสัมพันธ์ วิทยาลัยเทคโนโลยีอุตสาหกรรมและการจัดการ : กิจกรรมย่อยที่ 2 จัดทำจุลสาร วิทยาลัยเทคโนโลยีอุตสาหกรรมและการจัดการ</t>
  </si>
  <si>
    <t>โครงการประชุมวิชาการระดับปริญญาตรี ด้านคอมพิวเตอร์ภูมิภาคอาเซียน</t>
  </si>
  <si>
    <t>1. ผู้เข้าร่วมโครงการทุกคนบอกประเด็นความรู้ที่ได้รับอย่างน้อย 1 เรื่อง</t>
  </si>
  <si>
    <t>โครงการสัมมนาและการแข่งขันทักษะทางวิชาการ ด้านบริหารธุรกิจ ครั้งที่ 3</t>
  </si>
  <si>
    <t>1. ผู้เข้าร่วมโครงการเกิดทักษะทางวิชาการ/วิชาชีพ และสามารถนำไปใช้ประโยชน์ได้</t>
  </si>
  <si>
    <t>โครงการการฝึกปฏิบัติการสำรวจภาคสนาม</t>
  </si>
  <si>
    <t>23 เม.ย. 61-3 พ.ค 61</t>
  </si>
  <si>
    <t>1. อย่างน้อยร้อยละ 80 ของผู้เข้าร่วมโครงการจะได้รับความรู้เพิ่มขึ้น</t>
  </si>
  <si>
    <t>โครงการแข่งขันคอนกรีตมวลเบา ระดับอุดมศึกษา : กิจกรรมย่อยที่ 1 กิจกรรมเตรียมความพร้อมแข่งขันคอนกรีตมวลเบา</t>
  </si>
  <si>
    <t>13 ม.ค. 61-22 ม.ค. 61</t>
  </si>
  <si>
    <t>1. อย่างน้อยร้อยละ90สามารถนำความรู้ไปใช้ประโยชน์ได้</t>
  </si>
  <si>
    <t>1. อย่างน้อยร้อยละ 100 ของผู้เข้าร่วมโครงการจะได้รับความรู้เพิ่มขึ้น</t>
  </si>
  <si>
    <t>โครงการแข่งขันคอนกรีตมวลเบา ระดับอุดมศึกษา : กิจกรรมย่อยที่ 2 กิจกรรมแข่งขันคอนกรีตมวลเบา ณ วิทยาเขตวังไกลกังวล มทร.รัตนโกสินทร์</t>
  </si>
  <si>
    <t>24 ม.ค. 61-26 ม.ค. 61</t>
  </si>
  <si>
    <t>1. ผู้เข้าร่วมโครงการเกิดทักษะทางวิชาการ/วิชาชีพและสามารถนำไปใช้ประโยชน์ได้</t>
  </si>
  <si>
    <t>3 มิ.ย. 61-27 มิ.ย. 61</t>
  </si>
  <si>
    <t>โครงการพัฒนาศักยภาพบุคลากรสายวิชาการ</t>
  </si>
  <si>
    <t>1. อย่างน้อยรค้อยละ 80 ของผู้เข้าร่วมโครงการได้รับความรู้เพิ่มขึ้น</t>
  </si>
  <si>
    <t>โครงการพัฒนาศักยภาพบุคลากรสายสนับสนุน (ครั้งที่ 1)</t>
  </si>
  <si>
    <t>089-2221148</t>
  </si>
  <si>
    <t>โครงการพัฒนาศักยภาพบุคลากรสายสนับสนุน (ครั้งที่ 2)</t>
  </si>
  <si>
    <t>3 พ.ค 61</t>
  </si>
  <si>
    <t>084 - 8391078</t>
  </si>
  <si>
    <t>โครงการฝึกทักษะปฏิบัตินักศึกษาการโรงแรมและการท่องเที่ยว : กิจกรรมย่อยที่ 1 การจัดดอกไม้สดและผูกผ้าในงานพิธีต่างๆ</t>
  </si>
  <si>
    <t>089-5319584</t>
  </si>
  <si>
    <t>โครงการฝึกทักษะปฏิบัตินักศึกษาการโรงแรมและการท่องเที่ยว : กิจกรรมย่อยที่ 2 สัมมนาทางการโรงแรมและการท่องเที่ยว</t>
  </si>
  <si>
    <t>โครงการฝึกทักษะปฏิบัตินักศึกษาการโรงแรมและการท่องเที่ยว : กิจกรรมย่อยที่ 3 ศึกษาระบบการจัดการท่าอากาศยานสุวรรณภูมิ</t>
  </si>
  <si>
    <t>โครงการฝึกทักษะปฏิบัตินักศึกษาการโรงแรมและการท่องเที่ยว : กิจกรรมย่อยที่ 4 ปฏิบัติการมัคคุเทศก์เส้นทางภาคกลาง-อีสาน-ภาคเหนือ</t>
  </si>
  <si>
    <t>15 ก.พ. 61-20 ก.พ. 61</t>
  </si>
  <si>
    <t>โครงการฝึกทักษะปฏิบัตินักศึกษาการโรงแรมและการท่องเที่ยว : กิจกรรมย่อยที่ 5 ศึกษาดูงานการจัดการท่องเที่ยวโดยชุมชนอย่างยั่งยืน</t>
  </si>
  <si>
    <t>29 พ.ย 60-30 พ.ย 60</t>
  </si>
  <si>
    <t>โครงการฝึกทักษะปฏิบัตินักศึกษาการโรงแรมและการท่องเที่ยว : กิจกรรมย่อยที่ 6 ศึกษาดูงานการจัดการระบบการจัดการโรงแรม</t>
  </si>
  <si>
    <t>16 ก.ค. 61-17 ก.ค. 61</t>
  </si>
  <si>
    <t>โครงการฝึกทักษะปฏิบัตินักศึกษาการโรงแรมและการท่องเที่ยว : กิจกรรมย่อยที่ 7 ปฏิบัติการมัคคุเทศก์เส้นทางภาคใต้</t>
  </si>
  <si>
    <t>5 ก.ย. 61-7 ก.ย. 61</t>
  </si>
  <si>
    <t>โครงการแข่งขันทักษะด้านการบัญชี</t>
  </si>
  <si>
    <t>1. ผู้เข้าร่วมโครงการได้รับความรู้/พัฒนาทักษะ เพิ่มขึ้น</t>
  </si>
  <si>
    <t>096-8814148</t>
  </si>
  <si>
    <t>โครงการสำรวจเก็บรวบรวมภูมิปัญญาท้องถิ่นที่เกี่ยวข้องกับมะขามป้อมในพื้นที่จังหวัดนครศรีธรรมราขและจังหวัดใกล้เคียง</t>
  </si>
  <si>
    <t>13 มิ.ย. 61-17 มิ.ย. 61</t>
  </si>
  <si>
    <t>1. เป็นการรักษาองค์ความรู้ภูมิปัญญาพื้นบ้านในการดูแลรักษาสุขภาพมิให้สูญหาย</t>
  </si>
  <si>
    <t>1. เป็นฐานข้อมูลให้กับหน่วยงานทีี่เกี่ยวข้องนำไปวางแผนดูแลสุขภาพให้กับประชาชน</t>
  </si>
  <si>
    <t>โครงการสำรวจเก็บรวบรวมภูมิปัญญาที่เกี่ยวข้องกับทุเรียนเทศ</t>
  </si>
  <si>
    <t>7 มิ.ย. 61-19 มิ.ย. 61</t>
  </si>
  <si>
    <t>1. เป็นฐานข้อมูลให้กับหน่วยงานที่เกี่ยวข้องนำไปวางแผนดูแลสุขภาพให้กับประชาชน</t>
  </si>
  <si>
    <t>โครงการจัดทำรายงานประจำปี</t>
  </si>
  <si>
    <t>31 พ.ค 61-17 ส.ค. 61</t>
  </si>
  <si>
    <t>1. ข้อมูลข่าวสารของหน่วยงานได้รับการเผยแพร่ประชาสัมพันธ์ทำให้มหาวิทยาลัยเป็นที่รู้จักมากขึ้น</t>
  </si>
  <si>
    <t>1. ความพึงพอใจของผู้ได้รับบริการไม่น้อยกว่าร้อยละ 80</t>
  </si>
  <si>
    <t>โครงการจัดทำแผนยุทธศาสตร์การพัฒนา มทร.ศรีวิชัย</t>
  </si>
  <si>
    <t>9 พ.ย 60-10 พ.ย 60</t>
  </si>
  <si>
    <t>085-0812365</t>
  </si>
  <si>
    <t>โครงการพัฒนาศักยภาพบุคลากร ด้านการจัดทำงบประมาณรายจ่ายประจำปี</t>
  </si>
  <si>
    <t>16 พ.ย 60-17 พ.ย 60</t>
  </si>
  <si>
    <t>โครงการจัดทำของที่ระลึกแด่ผู้เกษียณอายุราชการ ประจำปี 2561</t>
  </si>
  <si>
    <t>2. ผู้เข้าร่วมโครงการมีความพึงพอใจในกระบวนการจัดการโครงการ โดยใช้วิธีการสังเกต</t>
  </si>
  <si>
    <t>2. ผู้เกษียณอายุราชการ 15 ราย</t>
  </si>
  <si>
    <t>โครงการพัฒนาคุณภาพชีวิตบุคลากร เพื่อเพิ่มประสิทธิภาพ ในการปฏิบัติงาน</t>
  </si>
  <si>
    <t>1. ผู้เข้าร่วมโครงการสามารถนำความรู้ไปใช้ประโยชน์ได้อยู่ในระดับดีมาก</t>
  </si>
  <si>
    <t>โครงการอบรมเชิงปฏิบัติการ เรื่อง เทคนิคการเขียนตำราจากงานวิจัย</t>
  </si>
  <si>
    <t>074-317126</t>
  </si>
  <si>
    <t>2. ผู้เข้าร่วมโครงการมีความพึงพอใจการเข้าร่วมโครงการร้อยละ 80</t>
  </si>
  <si>
    <t>2. ผู้เข้าร่วมโครงการเข้าร่วมโครงการ ร้อยละ 85</t>
  </si>
  <si>
    <t>โครงการสัมมนาเชิงปฏิบัติการ การบริหารงานบุคคล</t>
  </si>
  <si>
    <t>2. ผู้เข้าร่วมโครงการสามารถปฏิบัติงานด้านการบริหารงานบุคคลให้เกิดประสิทธิภาพและประสิทธิผลสูงสุด ลดความผิดพลาดในการปฏิบัติงาน</t>
  </si>
  <si>
    <t>โครงการสร้างผลงานเพื่อเข้าสู่ตำแหน่งชำนาญการและชำนาญการพิเศษ</t>
  </si>
  <si>
    <t>2 ก.ค. 61-11 ก.ค. 61</t>
  </si>
  <si>
    <t>โครงการอบรมบุคลากรสายผู้สอนบรรจุใหม่</t>
  </si>
  <si>
    <t>8 ส.ค. 61-10 ส.ค. 61</t>
  </si>
  <si>
    <t>โครงการสัมมนาผู้บริหารมหาวิทยาลัย เรื่อง กฎหมายที่สำคัญสำหรับผู้บริหาร เพื่อการบริหารงานภายในองค์กร</t>
  </si>
  <si>
    <t>23 ส.ค. 61-24 ส.ค. 61</t>
  </si>
  <si>
    <t>โครงการอบรมเชิงปฏิบัติการเรื่อง สร้างผลงานทางวิชาการเพื่อเข้าสู่ตำแหน่งรองศาสตราจารย์ : ครั้งที่ 1</t>
  </si>
  <si>
    <t>18 มิ.ย. 61-21 มิ.ย. 61</t>
  </si>
  <si>
    <t>1. ผู้เข้าร่วมโครงการมีความพึงพอใจต่อประโยชน์ที่ได้รับ ร้อยละ 80</t>
  </si>
  <si>
    <t>1. ผู้เข้าร่วมโครงการมีความพึงพอใจในกระบวนการจัดโครงการ ร้อยละ 80</t>
  </si>
  <si>
    <t>โครงการอบรมเชิงปฏิบัติการเรื่อง สร้างผลงานทางวิชาการเพื่อเข้าสู่ตำแหน่งรองศาสตราจารย์ : ครั้งที่ 2</t>
  </si>
  <si>
    <t>ส.ค. 61-ก.ย. 61</t>
  </si>
  <si>
    <t>27 ส.ค. 61-2 ก.ย. 61</t>
  </si>
  <si>
    <t>โครงการอบรมเชิงปฏิบัติการ เรื่องการพัฒนาคุณภาพงานวิจัยด้านบริหารธุรกิจ</t>
  </si>
  <si>
    <t>23 ก.ค. 61-24 ก.ค. 61</t>
  </si>
  <si>
    <t>1. ผู้เข้าร่วมโครงการมีความพึงพอใจในการเข้าร่วมโครงการ ร้อยละ 80</t>
  </si>
  <si>
    <t>1. ผู้เข้าร่วมโครงการเข้าร่วมโครงการ ร้อยละ 85</t>
  </si>
  <si>
    <t>โครงการยกย่องเชิดชูเกียรติ บุคลากร นักศึกษา และศิษย์เก่า มหาวิทยาลัยเทคโนโลยีราชมงคลศรีวิชัย ประจำปี พ.ศ.2561</t>
  </si>
  <si>
    <t>1. ผู้เข้าร่วมโครงการมีความพึงพอใจในกระบวนการจัดโครงการ อย่างน้อยร้อยละ 80</t>
  </si>
  <si>
    <t>1. บุคลากร นักศึกษา และศิษย์เก่า จำนวน 254 คน</t>
  </si>
  <si>
    <t>โครงการปัจฉิมนิเทศนักศึกษาระดับบัณฑิตศึกษา</t>
  </si>
  <si>
    <t>086-7483874</t>
  </si>
  <si>
    <t>โครงการฝึกอบรมทักษะการใช้ภาษาอังกฤษระดับบัณฑิตศึกษา</t>
  </si>
  <si>
    <t>พ.ย 60-ธ.ค. 60</t>
  </si>
  <si>
    <t>19 พ.ย 60-3 ธ.ค. 60</t>
  </si>
  <si>
    <t>โครงการพัฒนาพื้นที่แหล่งเรียนรู้ อ.กระแสสินธุ์ จ.สงขลา</t>
  </si>
  <si>
    <t>084-3005665</t>
  </si>
  <si>
    <t>โครงการอนุรักษ์และฟื้นฟูสัตว์น้ำเพื่อสร้างความยั่งยืนแก่ทรัพยากรทางทะเลริมชายฝั่ง</t>
  </si>
  <si>
    <t>081-8985920</t>
  </si>
  <si>
    <t>18 มิ.ย. 61-19 มิ.ย. 61</t>
  </si>
  <si>
    <t>1. ความพึงพอใจของผู้เข้าร่วมโครงการ ไม่น้อยกวาร้อยละ 80</t>
  </si>
  <si>
    <t>081-8976823</t>
  </si>
  <si>
    <t>โครงการเข้าร่วมแข่งขัน ประกวด และนำเสนอผลงานทางวิชาการของนักศึกษา</t>
  </si>
  <si>
    <t>ต.ค 60-ก.ค. 61</t>
  </si>
  <si>
    <t>26 ต.ค 60-30 ต.ค 60</t>
  </si>
  <si>
    <t>1. ผู่เข้าร่วมโครงการได้รับรางวัลจากการประกวด แข่งขัน อย่างน้อย 1 รางวัล</t>
  </si>
  <si>
    <t>โครงการเตรียมความพร้อมสมรรถนะด้านภาษาอังกฤษ ระบบสารสนเทศ และสมรรถนะวิชาชีพ : ครั้งที่ 1</t>
  </si>
  <si>
    <t>พ.ย 60-มี.ค. 61</t>
  </si>
  <si>
    <t>1 พ.ย 60-4 พ.ย 60</t>
  </si>
  <si>
    <t>1 เม.ย. 61-30 เม.ย. 61</t>
  </si>
  <si>
    <t>1. มีกิจกรรมแลกเปลี่ยนเรียนรู้ประสบการณ์ / ทักษะวิชาชีพ / วิชาการภายในหน่วยงาน</t>
  </si>
  <si>
    <t>โครงการนิทรรศการวิชาการบริหารธุรกิจ</t>
  </si>
  <si>
    <t>โครงการเตรียมความพร้อมสมรรถนะด้านภาษาอังกฤษ ระบบสารสนเทศ และสมรรถนะวิชาชีพ : ครั้งที่ 2</t>
  </si>
  <si>
    <t>11 ส.ค. 61-26 ส.ค. 61</t>
  </si>
  <si>
    <t>2. ผู้เข้าร่วมโครงการได้รับรางวัลจากการแข่งขันอย่างน้อย 10 รางวัล</t>
  </si>
  <si>
    <t>โครงการประกวดสื่อวีดีทัศน์เพื่อการประชาสัมพันธ์ แนวคิด บริหารธุรกิจยุคใหม่</t>
  </si>
  <si>
    <t>29 มี.ค. 61-30 มี.ค. 61</t>
  </si>
  <si>
    <t>โครงการสัมมนาทางวิชาการและการแข่งขันทักษะทางวิชาการด้านบริหารธุรกิจ 9 มทร. ครั้งที่ 6</t>
  </si>
  <si>
    <t>2. ผู้เข้าร่วมโครงการเกิดทักษะทางวิชาการ/วิชาชีพและสามารถนำไปใช้ประโยชน์ได้</t>
  </si>
  <si>
    <t>2. ผู้เข้าร่วมโครงการได้รับรางวัลจากการประกวด แข่งขัน อย่างน้อย 1 รางวัล</t>
  </si>
  <si>
    <t>โครงการแข่งขันทักษะวิชาชีพบัญชีระดับประกาศนียบัตรวิชาชีพชั้นสูงใน เขตพื้นที่ภาคใต้ ครั้งที่ 9</t>
  </si>
  <si>
    <t>087-2903114</t>
  </si>
  <si>
    <t>โครงการพัฒนาคุณภาพนักศึกษาด้านการเงินและบัญชี</t>
  </si>
  <si>
    <t>27 มิ.ย. 61-28 มิ.ย. 61</t>
  </si>
  <si>
    <t>โครงการปฐมนิเทศนักศึกษาก่อนออกฝึกประสบการณ์/สหกิจศึกษา</t>
  </si>
  <si>
    <t>มี.ค. 61-ส.ค. 61</t>
  </si>
  <si>
    <t>โครงการอบรมความรู้การประกันคุณภาพการศึกษาแก่นักศึกษา</t>
  </si>
  <si>
    <t>18 มิ.ย. 61-23 มิ.ย. 61</t>
  </si>
  <si>
    <t>093-6060504</t>
  </si>
  <si>
    <t>โครงการอบรมเชิงปฏิบัติการนำเสนอแนวปฏิบัติที่ดี และกิจกรรมบริหารธุรกิจสัมพันธ์ ครั้งที่ 9</t>
  </si>
  <si>
    <t>2 พ.ค 61-3 พ.ค 61</t>
  </si>
  <si>
    <t>083-6592651</t>
  </si>
  <si>
    <t>โครงการพัฒนาศักยภาพนักศึกษา คณะบริหารธุรกิจ</t>
  </si>
  <si>
    <t>โครงการเสริมสร้างประสบการณ์นักศึกษา คณะบริหารธุรกิจ</t>
  </si>
  <si>
    <t>โครงการอบรมเสริมสร้างสมรรถนะพื้นฐานในหัวข้อ ผู้บริหารในยุคทุกอย่าง 4.0</t>
  </si>
  <si>
    <t>โครงการปรับปรุงหลักสูตรการเงิน :ครั้งที่ 1</t>
  </si>
  <si>
    <t>4 มี.ค. 61-5 มี.ค. 61</t>
  </si>
  <si>
    <t>โครงการพัฒนาศักยภาพบุคลากรคณะบริหารธุรกิจ</t>
  </si>
  <si>
    <t>26 พ.ค 61-29 พ.ค 61</t>
  </si>
  <si>
    <t>โครงการจัดทำวารสาร Business Administration ปีที่ 9 ฉบับที่ 16-17</t>
  </si>
  <si>
    <t>ม.ค. 61-ก.ค. 61</t>
  </si>
  <si>
    <t>1. ข้อมูลข่าวสารของหน่วยงานได้รับการเผยแพร่ประชาสัมพันธ์ ทำให้มหาวิทยาลัยเป็นที่รู้จักมากขึ้น</t>
  </si>
  <si>
    <t>1. ความพึงพอใจของผู้อ่านวารสาร ไม่น้อยกว่าร้อยละ 80</t>
  </si>
  <si>
    <t>โครงการปรับปรุงหลักสูตรการเงิน :ครั้งที่ 2</t>
  </si>
  <si>
    <t>โครงการทำบรรจุภัณฑ์จากผลิตภัณฑ์กล้วยสู่เชิงพาณิชย์</t>
  </si>
  <si>
    <t>22 มี.ค. 61-23 มี.ค. 61</t>
  </si>
  <si>
    <t>1. ชุมชนมีอาชีพและรายได้เสริมจากต้นกล้วย</t>
  </si>
  <si>
    <t>1. สามารถออกแบบบรรจุภัณฑ์ให้ตรงกับความต้องการของตลาดอย่างน้อย 1 ผลิตภัณฑ์</t>
  </si>
  <si>
    <t>โครงการระบบัญชีบรรจุภัณฑ์แบบกล้วยๆสู่เชิงพาณิชย์</t>
  </si>
  <si>
    <t>1. ชุมชนมีจิตสำนึกในการจัดทำระบบัญชีของคนในชุมชน</t>
  </si>
  <si>
    <t>1. มีคู่มือการเรียนรู้ระบบบัญชีต้นทุนบรรจุภัณฑ์จากกล้วย อย่างน้อย 1 บรรจุภัณฑ์</t>
  </si>
  <si>
    <t>โครงการสร้างความเข้มแข็งแก่ชุมชนบ่อปาบ : กิจกรรมย่อยที่ 1 อบรมเชิงปฏิบัติการออกแบบและผลิตต้นแบบบรรจุภัณฑ์สำหรับบรรจุขนมก้อ</t>
  </si>
  <si>
    <t>2. ผู้เข้าอบรมมีความรู้ความเข้าใจเกี่ยวกับประโยชน์ของการมีบรรจุภัณฑ์ที่สามารถเพิ่มมูลค่าของ ขนมก้อได้ และได้บรรจุภัณฑ์ ต้นแบบ 1 บรรจุภัณฑ์</t>
  </si>
  <si>
    <t>2. ผู้เข้ารับการอบรม สามารถจัดการออกแบบบรรจุภัณฑ์สำหรับบรรจุ ขนมก้อ อย่างน้อย 1 บรรจุภัณฑ์</t>
  </si>
  <si>
    <t>โครงการสร้างความเข้มแข็งแก่ชุมชนบ่อปาบ : กิจกรรมย่อยที่ 2 อบรมเชิงปฎิบัติการการใช้เทคโนโลยีสารสนเทศเพิ่มช่องการจัดจำหน่าย และการโฆษณาขนมพื้นบ้านและแหล่งท่องเที่ยวเชิงอนุรักษ์ป่าชายเลน ชุมชนบ่อปาบ</t>
  </si>
  <si>
    <t>2. ผู้เข้าอบรมมีความรู้ความเข้าใจเกี่ยวกับประโยชน์ของการพัฒนาแหล่งท่องเที่ยวชุมชนเชิงอนุรักษ์ และ มีเว็บไซน์ 1เว็บไซน์</t>
  </si>
  <si>
    <t>2. ผู้เข้ารับการอบรม จัดทำเว็บไซน์ อย่างน้อย 1เว็บไซน์</t>
  </si>
  <si>
    <t>โครงการสร้างความเข้มแข็งแก่ชุมชนบ่อปาบ : กิจกรรมย่อยที่ 3 อบรมเชิงปฏิบัติการ การวางระบบบัญชีและการจัดทำบัญชีการผลิตขนมพื้นบ้านเพื่อสร้างความเข้มแข็งแก่กลุ่มทำขนมพื้นบ้าน ชุมชนบ่อปาบ</t>
  </si>
  <si>
    <t>26 ม.ค. 61-27 ม.ค. 61</t>
  </si>
  <si>
    <t>082-8254125</t>
  </si>
  <si>
    <t>2. ผู้เข้าอบรมมีความรู้ความเข้าใจเกี่ยวกับประโยชน์ของการมีบรรจุภัณฑ์ที่สามารถเพิ่มมูลค่าของขนมก้อ ได้ และได้บรรจุภัณฑ์ ต้นแบบ 1 บรรจุภัณฑ์</t>
  </si>
  <si>
    <t>2. ผู้เข้ารับการอบรม สามารถวางระบบบัญชีและการจัดทำบัญชีการผลิตขนมพื้นบ้าน อย่างน้อย 1 ระบบ</t>
  </si>
  <si>
    <t>โครงการสร้างความเข้มแข็งแก่ชุมชนบ่อปาบ : กิจกรรมย่อยที่ 4 รู้เท่าทันกฎหมายทรัพย์สินทางปัญญา สำหรับขนมพื้นบ้าน</t>
  </si>
  <si>
    <t>2. ผู้เข้าอบรมมีความรู้และสามารถนำความรู้ไปจดทะเบียนทรัพย์สินทางปัญญาได้</t>
  </si>
  <si>
    <t>2. ผู้เข้ารับการอบรม มีความรู้เท่าทันทรัพย์สินทางปัญญา</t>
  </si>
  <si>
    <t>โครงการสร้างความเข้มแข็งแก่ชุมชนบ่อปาบ : กิจกรรมย่อยที่ 5 อบรมเชิงปฏิบัติการออกแบบและผลิตต้นแบบแม่พิมพ์ขนมก้อ</t>
  </si>
  <si>
    <t>2. ผู้เข้าอบรมมีความรู้ความเข้าใจเกี่ยวกับประโยชน์ของการมีแม่พิมพ์ที่สามารถเพิ่มมูลค่าของขนมก้อ ได้ และได้บรรจุภัณฑ์ ต้นแบบ 1 แบบ</t>
  </si>
  <si>
    <t>2. สามารถจัดการออกแบบแม่พิมพ์สำหรับบรรจุขนม ก้อ อย่างน้อย 1 แบบ</t>
  </si>
  <si>
    <t>โครงการสร้างความเข้มแข็งแก่ชุมชนบ่อปาบ : กิจกรรมย่อยที่ 6 อบรมเชิงปฏิบัติการ การคำนวณต้นทุนการผลิตและการวิเคราะห์ความคุ้มค่าในการลงทุน เพื่อสร้างความเข้มแข็งแก่กลุ่มทำขนมพื้นบ้าน ชุมชนบ่อปาบ</t>
  </si>
  <si>
    <t>11 มิ.ย. 61-12 มิ.ย. 61</t>
  </si>
  <si>
    <t>089-4673969</t>
  </si>
  <si>
    <t>2. ผู้เข้าร่วมโครงการมีความรู้ในการคำนวณหาต้นทุนการผลิตขนมพื้นบ้าน</t>
  </si>
  <si>
    <t>2. สามารถคำนวณต้นทุนการผลิตขนมพื้นบ้านและการวิเคราะห์ความคุ้มค่าในการลงทุนได้อย่างถูกต้อง</t>
  </si>
  <si>
    <t>โครงการสร้างความเข้มแข็งแก่ชุมชนบ่อปาบ : กิจกรรมย่อยที่ 7 เสวนารายงานสรุปผลการดำเนินงานและพัฒนาแผนการดำเนินงาน</t>
  </si>
  <si>
    <t>1. ผู้เข้าร่วมโครงการสามารถองค์ความรู้ไปประยุกต์ใช้ในการประกอบอาชีพได้</t>
  </si>
  <si>
    <t>1. ชุมชนมีศักยภาพในการพัฒนาท้องถิ่น</t>
  </si>
  <si>
    <t>2. ผู้เข้าร่วมโครงการสามารถนำความรู้ไปใช้ประโยชน์ได้มาก</t>
  </si>
  <si>
    <t>2. อย่างน้อยร้อยละ 80 ของผู้เข้าร่วมโครงการได้รับความรู้เพิ่มขึ้น</t>
  </si>
  <si>
    <t>โครงการพัฒนาช่องทางการตลาดออนไลท์ เพื่อเพิ่มโอกาสทางธุรกิจ (ภายใต้โครงการยกระดับคุณภาพชีวิตชุมชนแบบมีส่วนร่วมสุ่แหล่งเรียนรู้ ภูมิปัญญาท้องถิ่นต้นแบบของจังหวัดสงขลา)</t>
  </si>
  <si>
    <t>24 มี.ค. 61-27 มี.ค. 61</t>
  </si>
  <si>
    <t>1. ผู้ประกอบการ โหนด นา เล มีดิจดทัลคอนเทนต์ เพื่อสื่อสารออนไลน์เพิ่มขึ้นอย่างน้อย 1 เรื่อง</t>
  </si>
  <si>
    <t>1. สามารถเพิ่มช่องทางการจัดจำหน่ายออนไลน์ผ่านผลิตภัณฑ์ โหนด นา เล</t>
  </si>
  <si>
    <t>โครงการเยาวชนรู้บัญชีมีประโยชน์เพื่อความพอเพียงตามรอยพ่อ กรณีเยาวชนโรงเรียนวัดเถาะถ้ำ อำเภอเมืองสงขลา (ภายใต้โครงการเชื่อมโยงสถาบันอุดมศึกษาไปสู่โรงเรียน (Educational pipeline) ปี2)</t>
  </si>
  <si>
    <t>18 ก.ค. 61-25 ก.ค. 61</t>
  </si>
  <si>
    <t>1. ผู้เข้ารับการอบรมมีความรู้ ความเข้าใจเกี่ยวกับประโยชน์ของระบบบัญชีเพื่อการออม</t>
  </si>
  <si>
    <t>1. สามารถนำความรู้ที่ได้รับเกี่ยวกับการบัญชีไปพัฒนาต่อยอดในการศึกษาต่อใระดับมัธยมศึกษา และอุดมศึกษา</t>
  </si>
  <si>
    <t>โครงการอบรมความรู้ด้านภาษาต่างประเทศเพื่อการดำเนินธุรกิจจากมหาวิทยาลัยพี่สู่โรงเรียนน้อง (ภายใต้โครงการเชื่อมโยงสถาบันอุดมศึกษาไปสู่โรงเรียน (Educational pipeline) ปี2)</t>
  </si>
  <si>
    <t>26 มิ.ย. 61-27 มิ.ย. 61</t>
  </si>
  <si>
    <t>1. ผู้รับบริการสามารถนำความรู้จากคู่มือไปใช้ในการประกอบธุรกิจในอนาคต</t>
  </si>
  <si>
    <t>1. ผู้รับบริการมีความรู้ความเข้าใจด้านภาษาต่างประเทศ มีคู่มือใช้ประกอบการเรียนอย่างน้อย 1 เล่ม</t>
  </si>
  <si>
    <t>Mr.Bangxin Peng</t>
  </si>
  <si>
    <t>โครงการอบรมเชิงปฏิบัติการพัฒนาบรรจุภัณฑ์ผลิตภัณฑ์ไข่นกกระทาบ้านบ่อเตี้ย (ภายใต้โครงการ มทร.ศรีวิชัย รับผิดชอบต่อสังคม ประจำปี 2561)</t>
  </si>
  <si>
    <t>19 เม.ย. 61-20 เม.ย. 61</t>
  </si>
  <si>
    <t>1. ผู้เข้าร่วมโครงการสามารถพัฒนาบรรจุภัณฑ์ไข่นกกระทา อย่างน้อย 1 บรรจุภัณฑ์</t>
  </si>
  <si>
    <t>1. ผู้เข้าร่วมโครงการสามารถพัฒนาหรือสร้างบรรจุภัณฑ์ผลิตภัณฑ์ไข่นกกระทา</t>
  </si>
  <si>
    <t>โครงการอบรมป้องกันสาธารภัย คณะบริหารธุรกิจ มทร.ศรีวิชัย</t>
  </si>
  <si>
    <t>1. ผู้เข้าร่วมโครงการสามารถนำความรูัไปใช้ประโยชน์ได้อยู่ในระดับมาก</t>
  </si>
  <si>
    <t>1. อย่างน้ัอยร้อยละ 80 ของผู้เข้าร่วมโครงการได้รับความรู้เพิ่มขึ้น</t>
  </si>
  <si>
    <t>โครงการพัฒนาศักยภาพอาจารย์ผู้สอน สาขาการจัดการเพื่อเพิ่มประสิทธิภาพในการจัดการเรียนการสอน</t>
  </si>
  <si>
    <t>โครงการพัฒนาศักยภาพอาจารย์ผู้สอน สาขาการบัญชีเพื่อเพิ่มประสิทธิภาพในการจัดการเรียนการสอน</t>
  </si>
  <si>
    <t>20 มี.ค. 61-23 มี.ค. 61</t>
  </si>
  <si>
    <t>1. ความพึงพอใจประโยชน์ที่ได้รับในการนำผลของดครงการไปใช้ประโยชน์ในการเรียนการสอน ร้อยละ 80</t>
  </si>
  <si>
    <t>1. อาจารย์สาขาบัญชี 1 คน</t>
  </si>
  <si>
    <t>โครงการพัฒนาศักยภาพอาจารย์ผู้สอนสาขาการบัญชีเพื่อเพิ่มประสิทธิภาพในการสอน</t>
  </si>
  <si>
    <t>1. ความพึงพอใจต่อประโยชน์ที่ได้รับการนำเสนอผลของโครงการไปใช้ในการสอน ร้อยละ 80</t>
  </si>
  <si>
    <t>1. อาจารย์สาขาการบัญชี 1 คน</t>
  </si>
  <si>
    <t>โครงการพัฒนาทักษะด้านวิชาชีพบุคลากรในสถานประกอบการต่างประเทศ</t>
  </si>
  <si>
    <t>1. ผู้เข้าร่วมโครงการได้รับการพัฒนาทักษะวิชาชีพเฉพาะทางในบริษัทต่างประเทษ และเพิ่มความเชี่ยวชาญวิชาชีพมากขึ้น</t>
  </si>
  <si>
    <t>1. มีกิจกรรมแลกเปลี่ยนเรียนรู้ประสบการณ์/ทักษะวิชาชีพ/วิชาการภายในในบริษัท</t>
  </si>
  <si>
    <t>โครงการอบรมพัฒนาศักยภาพของนักศึกษาในยุคไทยแลนด์ 4.0</t>
  </si>
  <si>
    <t>โครงการบริหารคนเพื่อการเติบโตอย่างยั่งยืน</t>
  </si>
  <si>
    <t>1. ผู้เข้าร่วมโครงการสามารถนำความรู้ไปใช้ประโยชน์ๆได้อยู่ในระดับมาก</t>
  </si>
  <si>
    <t>1. อย่างน้อยร้อยละ 80 ของผู้เข้าร่วมอบรมได้รับความรู้เพิ่มขึ้น</t>
  </si>
  <si>
    <t>โครงการจุลสารมหาวิทยาลัยเทคโนโลยีราชมงคลศรีวิชัย</t>
  </si>
  <si>
    <t>1 พ.ย 60-30 ก.ย. 61</t>
  </si>
  <si>
    <t>084-9633240</t>
  </si>
  <si>
    <t>2. มีการเผยแพร่ข้อมูลข่าวสารของหน่วยงาน อย่างน้อย 1ครั้ง ต่อปี</t>
  </si>
  <si>
    <t>โครงการสื่อสารมวลชนสัมพันธ์ราชมงคลศรีวิชัยสัญจร</t>
  </si>
  <si>
    <t>2. มีการเผยแพร่ข้อมูลข่าวสารของหน่วยงาน อย่างน้อย 1ครั้งต่อปี</t>
  </si>
  <si>
    <t>โครงการผลิตสื่อประชาสัมพันธ์ตลาดนัดอุดมศึกษาเพื่อน้องสัญจร</t>
  </si>
  <si>
    <t>1 ม.ค. 61-31 ส.ค. 61</t>
  </si>
  <si>
    <t>2. ข้อมูลข่าวสารของหน่วยงานได้รับการเผยแพร่ ประชาสัมพันธ์ทำให้มหาวิทยาลัยเป็นที่รู้จักมากขึ้น</t>
  </si>
  <si>
    <t>2. มีการเผยแพร่ข้อมูลข่าวสารของหน่วยงาน อย่างน้อย 1 ครั้ง ต่อปี</t>
  </si>
  <si>
    <t>โครงการพัฒนาทักษะด้านการประชาสัมพันธ์ของนักศึกษามหาวิทยาลัยเทคโนโลยีราชมงคลศรีวิชัย</t>
  </si>
  <si>
    <t>08-0712-0887</t>
  </si>
  <si>
    <t>โครงการผลิตสื่อประชาสัมพันธ์เพื่อรับสมัครนักศึกษาใหม่ ประจำปีการศึกษา 2561</t>
  </si>
  <si>
    <t>1 ต.ค 60-5 มิ.ย. 61</t>
  </si>
  <si>
    <t>1. จำนวนนักศึกษามาสมัครเรียนเพิ่มขึ้นร้อยละ 80</t>
  </si>
  <si>
    <t>1. บุคลากรภายนอกรู้จักมหาวิทยาลัยฯเพิ่มขึ้น</t>
  </si>
  <si>
    <t>โครงการอบรมเชิงปฏิบัติการพัฒนาบุคลากรด้านแนะแนวการศึกษา</t>
  </si>
  <si>
    <t>21 พ.ค 61-23 พ.ค 61</t>
  </si>
  <si>
    <t>1. มหาวิทยาลัยเป็นที่รู้จักมากขึ้นและจำนวนนักศึกษาที่สมัครเรียนมีปริมาณเพิ่มขึ้น</t>
  </si>
  <si>
    <t>1. อาจารย์และบุคลากรที่ทำหน้าที่แนะแนวได้ทราบข้อมูลของมหาวิทยาลัยที่ถูกต้องและชัดเจน</t>
  </si>
  <si>
    <t>โคงการอบรมเชิงปฏิบัติการนักจัดรายการวิทยุมือใหม่</t>
  </si>
  <si>
    <t>08-3501-3006</t>
  </si>
  <si>
    <t>โครงการสถานศึกษาสีขาว ปลอดยาเสพติดและอบายมุข : กิจกรรมย่อยที่ 1 พัฒนาศักยภาพผู้ปฏิบัติงานด้านการป้องกัน และอบายมุข ในสถานศึกษา</t>
  </si>
  <si>
    <t>083-6560982</t>
  </si>
  <si>
    <t>โครงการพัฒนาวงดนตรีเพื่อการประกวด</t>
  </si>
  <si>
    <t>8 ม.ค. 61-31 ม.ค. 61</t>
  </si>
  <si>
    <t>095-8749626</t>
  </si>
  <si>
    <t>โครงการเข้าร่วมการแข่งขันวงดนตรี 9 ราชมงคล ครั้งที่ 6</t>
  </si>
  <si>
    <t>5 ก.พ. 61-10 ก.พ. 61</t>
  </si>
  <si>
    <t>1. ผู้เข้าร่วมโครงการทุกคนบอกประเด็นความรู้หรือประสบการณ์ที่ได้รับเพื่มขึ้นอย่างน้อย 1 เรื่อง</t>
  </si>
  <si>
    <t>โครงการประกวดวงดนตรี</t>
  </si>
  <si>
    <t>โครงการแข่งขันกีฬาบุคลากรสำนักงานคณะกรรมการการอุดมศึกษา</t>
  </si>
  <si>
    <t>30 พ.ค 61-11 มิ.ย. 61</t>
  </si>
  <si>
    <t>097-0435459</t>
  </si>
  <si>
    <t>โครงการคนดีราชมงคลศรีวิชัย</t>
  </si>
  <si>
    <t>081-2759490</t>
  </si>
  <si>
    <t>โครงการสถานศึกษาสีขาว ปลอดยาเสพติดและอบายมุข : กิจกรรมย่อยที่ 2 อบรมแกนนำนักศึกษา ต้านภัยยาเสพติดและอบายมุข</t>
  </si>
  <si>
    <t>โครงการฝึกซ้อมนักกีฬาเข้าร่วมการแข่งขันกีฬามหาวิทยาลัยแห่งประเทศไทย ครั้งที่ 45 รอบคัดเลือก</t>
  </si>
  <si>
    <t>15 ต.ค 60-31 ต.ค 60</t>
  </si>
  <si>
    <t>097-0495459</t>
  </si>
  <si>
    <t>โครงการฝึกซ้อมนักกีฬาเข้าร่วมการแข่งขันกีฬามหาวิทยาลัยแห่งประเทศไทย ครั้งที่ 45 รอบมหกรรม</t>
  </si>
  <si>
    <t>28 ธ.ค. 60-19 ม.ค. 61</t>
  </si>
  <si>
    <t>โครงการฝึกซ้อมนักกีฬาเข้าร่วมการแข่งขันกีฬามหาวิทยาลัยเทคโนโลยีราชมงคลแห่งประเทศไทย ครั้งที่ 34</t>
  </si>
  <si>
    <t>10 ม.ค. 61-30 ม.ค. 61</t>
  </si>
  <si>
    <t>โครงการเข้าร่วมสัมมนาโครงการปัจฉิมนิเทศเพื่อเตรียมความพร้อมเข้าสู่อาชีพในพื้นที่และสร้างเครือข่ายผู้รับทุนโครงการทุนอุดมศึกษาเพื่อการพัฒนาจังหวัดชายแดนภาคใต้</t>
  </si>
  <si>
    <t>25 ม.ค. 61-29 ม.ค. 61</t>
  </si>
  <si>
    <t>โครงการกีฬาสานสัมพันธ์ของบุคลากร 4 สถาบันการศึกษาในจังหวัดสงขลา ครั้งที่ 3</t>
  </si>
  <si>
    <t>31 มี.ค. 61-8 เม.ย. 61</t>
  </si>
  <si>
    <t>โครงการเข้าร่วมสัมมนาโครงการปัจฉิมนิเทศเพื่อเตรียมความพร้อมเข้าสู่อาชีพและสร้างเครือข่ายนักศึกษาทุนการศึกษาเฉลิมราชกุมารี</t>
  </si>
  <si>
    <t>28 มิ.ย. 61-2 ก.ค. 61</t>
  </si>
  <si>
    <t>084-5071095</t>
  </si>
  <si>
    <t>โครงการฝึกซ้อมรับพระราชทานปริญญาบัตร</t>
  </si>
  <si>
    <t>23 ก.ย. 61-25 ก.ย. 61</t>
  </si>
  <si>
    <t>062-3820588</t>
  </si>
  <si>
    <t>โครงการสืบทอดประเพณีและวัฒนธรรมไทย : กิจกรรมประเพณีรดน้ำขอพรผู้สูงอายุและประเพณีสงกรานต์</t>
  </si>
  <si>
    <t>9 เม.ย. 61-13 เม.ย. 61</t>
  </si>
  <si>
    <t>081-5999068</t>
  </si>
  <si>
    <t>โครงการเจ้าภาพกิจกรรมสัมมนาเชิงปฏิบัติการเพื่อการพัฒนาเครือข่ายประกันคุณภาพกิจกรรมนักศึกษาและกิจกรรม 9 ราชมงคลร่วมใจสืบสานวัฒนธรรมไทย ครั้งที่ 10 : กิจกรรม เจ้าภาพการสัมมนาเชิงปฏิบัติการเพื่อสร้างเครือข่ายงานกิจการนักศึกษา 9 มทร.</t>
  </si>
  <si>
    <t>8 พ.ค 61-10 พ.ค 61</t>
  </si>
  <si>
    <t>081-9908919</t>
  </si>
  <si>
    <t>โครงการเจ้าภาพกิจกรรมสัมมนาเชิงปฏิบัติการเพื่อการพัฒนาเครือข่ายประกันคุณภาพกิจกรรมนักศึกษาและกิจกรรม 9 ราชมงคลร่วมใจสืบสานวัฒนธรรมไทย ครั้งที่ 10 : กิจกรรม 9 ราชมงคลร่วมใจสืบสานวัฒนธรรมไทย ครั้งที่ 10</t>
  </si>
  <si>
    <t>31 ม.ค. 61-12 ก.พ. 61</t>
  </si>
  <si>
    <t>061-9102059</t>
  </si>
  <si>
    <t>โครงการพัฒนาวงดนตรีลูกทุ่ง มทร.ศรีวิชัย</t>
  </si>
  <si>
    <t>25 มิ.ย. 61-18 ก.ค. 61</t>
  </si>
  <si>
    <t>โครงการวันไหว้ครู</t>
  </si>
  <si>
    <t>โครงการจัดกิจกรรมวันสำคัญทางศาสนา : กิจกรรมหล่อเทียนพรรษาและถวายเทียนพรรษา</t>
  </si>
  <si>
    <t>10 ก.ค. 61-11 ก.ค. 61</t>
  </si>
  <si>
    <t>โครงการจัดกิจกรรมวันสำคัญทางศาสนา : กิจกรรมเมาลิดสัมพันธ์ มทร.ศรีวิชัย</t>
  </si>
  <si>
    <t>โครงการเสริมสร้างจิตสาธารณะเพื่อพัฒนาคุณธรรมจริยธรรม ระเบียบวินัยนักศึกษา</t>
  </si>
  <si>
    <t>ค่าใช้จ่ายสนับสนุนทุนและกิจกรรมนักศึกษา</t>
  </si>
  <si>
    <t>โครงการแข่งขันกีฬามหาวิทยาลัยแห่งประเทศไทย ครั้งที่ 45 รอบคัดเลือก</t>
  </si>
  <si>
    <t>1 พ.ย 60-6 พ.ย 60</t>
  </si>
  <si>
    <t>1. ผู้เข้าร่วมโครงการได้รับรางวัลจากการประกวด แข่งขัน อย่างน้อย 1รางวัล</t>
  </si>
  <si>
    <t>1. ผู้เข้าร่วมโครงการทุกคนบอกประเด็นความรู้หรือประสบการณ์ที่ได้รับเพื่มขึ้นอย่างน้อย 1เรื่อง</t>
  </si>
  <si>
    <t>โครงการแข่งขันกีฬามหาวิทยาลัยแห่งประเทศไทย ครั้งที่ 45 รอบมหกรรม</t>
  </si>
  <si>
    <t>20 ม.ค. 61-31 ม.ค. 61</t>
  </si>
  <si>
    <t>1. ผู้เข้าร่วมโครงการได้รับรางวัลจากการประกวด แข่งขัน อย่างน้อย1 รางวัล</t>
  </si>
  <si>
    <t>1. ผู้เข้าร่วมโครงการทุกคนบอกประเด็นความรู้หรือประสบการณ์ที่ได้รับเพื่มขึ้นอย่างน้อย1 เรื่อง</t>
  </si>
  <si>
    <t>โครงการแข่งขันกีฬามหาวิทยาลัยเทคโนโลยีราชมงคล แห่งประเทศไทย ครั้งที่ 34</t>
  </si>
  <si>
    <t>งานฟาร์ม (สถาบันทรัพยากรธรรมชาติและสิ่งแวดล้อม)</t>
  </si>
  <si>
    <t>โครงการร้านจัดจำหน่ายและของที่ระลึกเพื่อบริการให้กับนักท่องเที่ยว</t>
  </si>
  <si>
    <t>มิ.ย. 61-ก.ย. 61</t>
  </si>
  <si>
    <t>1 ธ.ค. 60-30 ก.ย. 61</t>
  </si>
  <si>
    <t>1. มีสินค้าจัดจำหน่ายของที่ระลึกเพื่อให้บริการนักท่องเที่ยว</t>
  </si>
  <si>
    <t>1. ผู้รับบริการมีความพึงพอใจต่อการให้บริการไม่น้อยกว่าร้อยละ 80</t>
  </si>
  <si>
    <t>โครงการตรวจประเมินคุณภาพการศึกษาภายในตามมาตรฐานการอาชีวศึกษา ระดับประกาศนียบัติวิชาชชีพชั้นสูง (ปวส.) ประจำปีการศึกษา 260</t>
  </si>
  <si>
    <t>094-4450469</t>
  </si>
  <si>
    <t>โครงการต่อยอดสิ่งประดิษฐ์และนวัตกรรมของนักศึกษา วิทยาลัยรัตภูมิ : โครงการย่อยที่ 2 การสร้างชุดทดสอบสมรรถนะวิชาชีพช่างไฟฟ้า</t>
  </si>
  <si>
    <t>1 ม.ค. 61-14 ก.ย. 61</t>
  </si>
  <si>
    <t>1. สิ่งประดิษฐ์หรือนวัตกรรมอย่างน้อย 1 ผลงาน</t>
  </si>
  <si>
    <t>085-1503881</t>
  </si>
  <si>
    <t>โครงการต่อยอดสิ่งประดิษฐ์และนวัตกรรมของนักศึกษา วิทยาลัยรัตภูมิ : โครงการย่อยที่ 4 การสร้างชุดสาธิตระบบบังคับเลี้ยวแบบใช้น้ำมันไฮโดรอลิกส์</t>
  </si>
  <si>
    <t>091-8496123</t>
  </si>
  <si>
    <t>โครงการต่อยอดสิ่งประดิษฐ์และนวัตกรรมของนักศึกษา วิทยาลัยรัตภูมิ : โครงการย่อยที่ 3 การสร้างชุดฝึกปฏิบัติการไฟฟ้ารถยนต์</t>
  </si>
  <si>
    <t>โครงการต่อยอดสิ่งประดิษฐ์และนวัตกรรมของนักศึกษา วิทยาลัยรัตภูมิ : โครงการย่อยที่ 5 การสร้างตู้รับจดหมายบุคลากรวิทยาลัยรัตภูมิแจ้งเตือนอัตโนมัติผ่านทางแอพพลิเคชั่นไลน์</t>
  </si>
  <si>
    <t>1. ตู้รับจดหมายสามารถใช้งานได้อย่างมีประสิทธิภาพ</t>
  </si>
  <si>
    <t>1. ได้ตู่รับจดหมายที่มีระบบการแจ้งเตือนอัตโนมัติผ่านทางแอพพลิเคชั่นไลท์</t>
  </si>
  <si>
    <t>086-9644232</t>
  </si>
  <si>
    <t>โครงการต่อยอดสิ่งประดิษฐ์และนวัตกรรมของนักศึกษา วิทยาลัยรัตภูมิ : โครงการย่อยที่ 6 การสร้างระบบเปิด-ปิดไฟห้องน้ำอัติโนมัติด้วยเซนเซอร์ตรวจจับความเคลื่อนไหว</t>
  </si>
  <si>
    <t>1. ระบบสามารถทำงานได้อย่างมีประสิทธิภาพ</t>
  </si>
  <si>
    <t>1. ได้รับบการเปิด-ปิดไฟอัตโนมัติด้วยเซนเซอร์ตรวจจับความเคลื่อนไหวที่ติดตั้งและพร้อมใช้งาน</t>
  </si>
  <si>
    <t>089-8765828</t>
  </si>
  <si>
    <t>โครงการต่อยอดสิ่งประดิษฐ์และนวัตกรรมของนักศึกษา วิทยาลัยรัตภูมิ : โครงการย่อยที่ 7 การสร้างตู้ควบคุมความชื้นด้วยโซลาร์เซลล์</t>
  </si>
  <si>
    <t>086-2973340</t>
  </si>
  <si>
    <t>โครงการต่อยอดสิ่งประดิษฐ์และนวัตกรรมของนักศึกษา วิทยาลัยรัตภูมิ : โครงการย่อยที่ 8 การสร้างเครื่องแทงปาล์มด้วยระบบไฮโดรอลิกส์</t>
  </si>
  <si>
    <t>086-9612216</t>
  </si>
  <si>
    <t>โครงการต่อยอดสิ่งประดิษฐ์และนวัตกรรมของนักศึกษา วิทยาลัยรัตภูมิ : โครงการย่อยที่ 9 การสร้างเครื่องบดเศษไม้ไผ่เพื่อผลิตเชื้อเพลิงชีวมวล</t>
  </si>
  <si>
    <t>086-4904046</t>
  </si>
  <si>
    <t>โครงการต่อยอดสิ่งประดิษฐ์และนวัตกรรมของนักศึกษา วิทยาลัยรัตภูมิ : โครงการย่อยที่ 10 การสร้างเครื่องอบเมล็ดพันธุ์ข้าว</t>
  </si>
  <si>
    <t>โครงการต่อยอดสิ่งประดิษฐ์และนวัตกรรมของนักศึกษา วิทยาลัยรัตภูมิ : โครงการย่อยที่ 11 การสร้างแปลงปลูกผักป้องกันความเสียหายจากภัยน้ำท่วมระดับครัวเรือน</t>
  </si>
  <si>
    <t>081-5422225</t>
  </si>
  <si>
    <t>โครงการต่อยอดสิ่งประดิษฐ์และนวัตกรรมของนักศึกษา วิทยาลัยรัตภูมิ : โครงการย่อยที่ 12 การสร้างกังหันลมผลิตไฟฟ้าใช้ในการเกษตร</t>
  </si>
  <si>
    <t>โครงการต่อยอดสิ่งประดิษฐ์และนวัตกรรมของนักศึกษา วิทยาลัยรัตภูมิ : โครงการย่อยที่ 13 การสร้างตู้อบสมุนไพรด้วยความร้อนจากฮีทเตอร์อินฟราเรดโดยใช้พลังงานไฟฟ้าจากโซลาร์เซลล์</t>
  </si>
  <si>
    <t>โครงการพัฒนาทักษะด้านภาษาต่างประเทศ : กิจกรรมย่อยที่ 1 โครงการพัฒนาทักษะภาษาอังกฤษแก่นักศึกษา เพื่อเตรียมสอบ RMUTSV TEST</t>
  </si>
  <si>
    <t>20 พ.ย 60-24 พ.ย 60</t>
  </si>
  <si>
    <t>087-2858082</t>
  </si>
  <si>
    <t>โครงการพัฒนาทักษะด้านภาษาต่างประเทศ : กิจกรรมย่อยที่ 2 โครงการพัฒนาทักษะภาษาอังกฤษแก่นักศึกษา เพื่อเตรียมสอบ TOEIC</t>
  </si>
  <si>
    <t>30 พ.ค 61-2 มิ.ย. 61</t>
  </si>
  <si>
    <t>โครงการพัฒนาทักษะด้านภาษาต่างประเทศ : กิจกรรมย่อยที่ 3 โครงการ อบรมเชิงปฏิบัติการ ค่ายเรียนรู้ภาษาและวัฒนธรรมอาเซียน</t>
  </si>
  <si>
    <t>3 พ.ค 61-5 พ.ค 61</t>
  </si>
  <si>
    <t>โครงการอบรมเชิงปฏิบัติการ การพัฒนาทักษะการใช้คอมพิวเตอร์และเทคโนโลยีสารสนเทศ ตามมาตรฐาน IC3</t>
  </si>
  <si>
    <t>23 ธ.ค. 60-24 ธ.ค. 60</t>
  </si>
  <si>
    <t>087-2965069</t>
  </si>
  <si>
    <t>โครงการต่อยอดสิ่งประดิษฐ์และนวัตกรรมของนักศึกษา วิทยาลัยรัตภูมิ : โครงการย่อยที่ 1 การสร้างชุดฝึกปฤฏิบัติการเครื่องกลไฟฟ้า แบบ 3 เฟส</t>
  </si>
  <si>
    <t>โครงการพัฒนาทักษะวิชาชีพ สำหรับบุคลากรในสถานประกอบการ</t>
  </si>
  <si>
    <t>25 เม.ย. 61-25 พ.ค 61</t>
  </si>
  <si>
    <t>1. ผู้เข้าร่วมโครงการกิจกรรมแลกเปลี่ยนเรียนรู้ประสบการณ์/ทักษะ/วิชาชีพ ภายในหน่วยงาน</t>
  </si>
  <si>
    <t>082-2026821</t>
  </si>
  <si>
    <t>085-8952057</t>
  </si>
  <si>
    <t>โครงการแข่งทักษะทางด้านวิชาชีพบัญชี ระดับประกาศนียบัตรวิชาชีพชั้นสูง (ปวส.)</t>
  </si>
  <si>
    <t>080-5443518</t>
  </si>
  <si>
    <t>โครงการอบรมเชิงปฏิบัติการการนำเสนออย่างมืออาชีพ</t>
  </si>
  <si>
    <t>080-2349751</t>
  </si>
  <si>
    <t>โครงการอบรมเชิงปฏิบัติการสมรรถนะวิชาชีพ ระดับประกาศนียบัตรวิชาชีพชั้นสูง ด้านบริหารธุรกิจ</t>
  </si>
  <si>
    <t>26 มี.ค. 61-27 มี.ค. 61</t>
  </si>
  <si>
    <t>087-0484629</t>
  </si>
  <si>
    <t>โครงการพัฒาและปรับปรุงเครื่องผลิตไปโอดีเซลด้วยกระบวนการหมุนวนผ่านคลื่นไมโครเวฟร่วมกับท่อผสมแบบสถิต ภายใต้โครงการพัฒนาเพื่อเตรียมความพร้อมในการพัฒนาและปรับปรุงสิ่งประดิษฐ์เพื่อสู่เกณฑ์มาตราฐานของเวทีการประกวดระดับนานาชาติ</t>
  </si>
  <si>
    <t>28 พ.ย 60-5 ธ.ค. 60</t>
  </si>
  <si>
    <t>1. มีความคุ้มค่าต่อการลงทุนที่สามารถพัฒนาสู่เชิงพาณิชย์หรือภาคอุตสาหกรรมในปัจจบัยได้</t>
  </si>
  <si>
    <t>1. ผลงานสิ่งประดิษฐ์ที่เข้าร่วมเวทีการประกวดระดับนานาชาติจำภนวน 1 ผลงาน</t>
  </si>
  <si>
    <t>080-7134583</t>
  </si>
  <si>
    <t>โครงการสัปดาห์วิชาการ มทร.ศรีวิชัย</t>
  </si>
  <si>
    <t>โครงการสัปดาห์วิชาการ ครั้งที่ 6</t>
  </si>
  <si>
    <t>1. ความพึงพอใจของผู้เข้าร่วมดครงการไม่น้อยกว่าร้อยละ 80</t>
  </si>
  <si>
    <t>โครงการพัฒนากิจกรรมศูนย์ภาษา : กิจกรรมย่อยที่ 1 โครงการเรียนรู้ภาษาและวัฒนธรรมกับเทศกาลวันสำคัญ</t>
  </si>
  <si>
    <t>085-1546291</t>
  </si>
  <si>
    <t>โครงการพัฒนากิจกรรมศูนย์ภาษา : กิจกรรมย่อยที่ 2 โครงการพัฒนาทักษะการฟังด้านภาษาผ่านสื่อการเรียนรู้</t>
  </si>
  <si>
    <t>10 ม.ค. 61-14 มี.ค. 61</t>
  </si>
  <si>
    <t>1. ผู้เข้าร่วมโครงการสามารถนำความรู้ไปใช้ประโยชน์ได้อยู่ระดับมาก</t>
  </si>
  <si>
    <t>1. อย่างน้อยร้อยละ 80 ของผู้เข้าโครงการได้รับความรู้เพิ่มขึ้น</t>
  </si>
  <si>
    <t>โครงการเข้าร่วมแข่งขันทักษะทางวิชาการและวิชาชีพ</t>
  </si>
  <si>
    <t>23 พ.ย 60-11 ก.ค. 61</t>
  </si>
  <si>
    <t>087-3802890</t>
  </si>
  <si>
    <t>โครงการเตรียมความพร้อมเพื่อประเมินคุณภาพภายในระดับหลักสูตร</t>
  </si>
  <si>
    <t>4 พ.ค 61</t>
  </si>
  <si>
    <t>089-5969586</t>
  </si>
  <si>
    <t>086-6906394</t>
  </si>
  <si>
    <t>โครงการพิธีมอบประกาศนียบัตรแก่นักศึกษา ระดับประกาศนียบัตรวิชาชีพชั้นสูง</t>
  </si>
  <si>
    <t>9 มิ.ย. 61-10 มิ.ย. 61</t>
  </si>
  <si>
    <t>086-9569645</t>
  </si>
  <si>
    <t>โครงการวิทยาลัยรัตภูมิพบปะผู้ปกครอง : ครั้งที่ 1</t>
  </si>
  <si>
    <t>18 พ.ย 60</t>
  </si>
  <si>
    <t>โครงการวิทยาลัยรัตภูมิพบปะผู้ปกครอง : ครั้งที่ 2</t>
  </si>
  <si>
    <t>โครงการเทคนิคการใช้สื่อสารสนเทศเพื่อการเรียนรู้ สำหรับนักศึกษา</t>
  </si>
  <si>
    <t>3 ก.ค. 61-5 ก.ค. 61</t>
  </si>
  <si>
    <t>080-7150901</t>
  </si>
  <si>
    <t>โครงการนำเสนอโครงงานทางวิชาชีพของนักศึกษาระดับประกาศนียบัตรวิชาชีพชั้นสูงด้านบริหารธุรกิจ</t>
  </si>
  <si>
    <t>โครงการอบรมภาษาอังกฤษในงานบัญชี แก่นักศึกษาสาขาการบัญชี ระดับ ปวส.</t>
  </si>
  <si>
    <t>25 ก.ค. 61-29 ก.ค. 61</t>
  </si>
  <si>
    <t>087-4429264</t>
  </si>
  <si>
    <t>092-3679784</t>
  </si>
  <si>
    <t>โครงการปัจฉิมนิเทศ ประจำปีการศึกษา 2560</t>
  </si>
  <si>
    <t>093-6908259</t>
  </si>
  <si>
    <t>1. ผู้เข้าร่วมโครงการมีความตระหนักในการทำนุบำรุงศิลปวัฒนธรรมไทย และร่วมอนุรักษ์สิ่งแวดล้อม</t>
  </si>
  <si>
    <t>โครงการจัดกิจกรรมวันสำคัญทางศาสนา : กิจกรรมย่อยที่ 2 โครงการรอมฎอนสัมพันธ์</t>
  </si>
  <si>
    <t>24 พ.ค 61</t>
  </si>
  <si>
    <t>083-6514876</t>
  </si>
  <si>
    <t>โครงการจัดกิจกรรมวันสำคัญทางศาสนา : กิจกรรมย่อยที่ 3 โครงการสืบสานประเพณีการหล่อเทียนพรรษา</t>
  </si>
  <si>
    <t>1. ผู้เข้าร่วมโครงการได้รับความรู้ ความเข้าใจ และมีส่วนร่วมในการทำนุบำรุงศิลปวัฒนธรรมไทย และอนุรักษ์สิ่งแวดล้อม อย่างน้อยร้อยละ 80</t>
  </si>
  <si>
    <t>โครงการปรับสภาพพื้นที่เพื่อใช้เป็นลานวัฒนธรรมสำหรับจัดกิจกรรมด้านทำนุบำรุงศิลปวัฒนธรรม ของนักศึกษาวิทยาลัยรัตภูมิ</t>
  </si>
  <si>
    <t>5 ก.ย. 61-15 ก.ย. 61</t>
  </si>
  <si>
    <t>1. นักศึกษามีพื้นที่เพียงพอและมีสภาพที่เหมาะสมสำหรับใช้ทำกิจกรรมด้านทำนุศิลปวัฒนธรรมและการแสดงทางด้านศิลปวัฒนธรรมของภาคใต้</t>
  </si>
  <si>
    <t>1. ได้ปรับสภาพพื้นที่ที่จะใช้ในการทำกิจกรรมด้านทำนุบำรุงศิลปวัฒนธรรมของนักศึกษา</t>
  </si>
  <si>
    <t>084-3976426</t>
  </si>
  <si>
    <t>โครงการอบรมเชิงปฏิบัติการสืบทอดศิลปะพื้นบ้านมโนราห์</t>
  </si>
  <si>
    <t>1 ก.ย. 61-3 ก.ย. 61</t>
  </si>
  <si>
    <t>1. ผู้เข้าร่วมโครงการมีส่วนร่วมในการทำนุบำรุงศิลปวัฒนธรรมไทย และอนุรักษ์สิ่งแวดล้อมอย่างน้อยร้อยละ 80</t>
  </si>
  <si>
    <t>082-2860587</t>
  </si>
  <si>
    <t>โครงการสืบทอดประเพณีและวัฒนธรรมไทย</t>
  </si>
  <si>
    <t>1. ความพึงพอใจของผู้เข้าร่วมโครงการ ไม่น้อยกว่าร้อยละ80</t>
  </si>
  <si>
    <t>087-0487629</t>
  </si>
  <si>
    <t>2. ผู้เข้าร่วมโครงการได้รับความรู้ ความเข้าใจ และมีส่วนร่วมในการทำนุบำรุงศิลปวัฒนธรรมไทย และอนุรักษ์สิ่งแวดล้อม อย่างน้อยร้อยละ 80</t>
  </si>
  <si>
    <t>โครงการจัดกิจกรรมวันสำคัญทางศาสนา : กิจกรรมย่อยที่ 1 โครงการอบรมคุณธรรม จริยธรรมในการดำเนินชีวิตตามหลักศาสนาอิสลาม</t>
  </si>
  <si>
    <t>โครงการอบรมปฏิบัติธรรมสำหรับนักศึกษาวิทยาลัยรัตภูมิ</t>
  </si>
  <si>
    <t>27 พ.ค 61-29 พ.ค 61</t>
  </si>
  <si>
    <t>1. ผู้เข้าร่วมโครงการได้รับความรู้ความเข้าใจและมีส่วนร่วมในการทำนุบำรุงศิลปวัฒนธรรมไทย และอนุรักษ์สิ่งแวดล้อม อย่างน้อยร้อยละ 80</t>
  </si>
  <si>
    <t>089-1710764</t>
  </si>
  <si>
    <t>โครงการเรียนรู้ร่วมกันสรรค์สร้างชุมชน (กล้วยกรอบแก้ว) : กิจกรรมย่อยที่ 1 การอบรมเชิงปฏิบัติการผลิตสื่อเพื่อการประชาสัมพันธ์และเผยแพร่ กลุ่มแปรรูปผลิตภัณฑ์การเกษตร</t>
  </si>
  <si>
    <t>5 พ.ค 61</t>
  </si>
  <si>
    <t>1. ผู้เข้าร่วมโครงการนำความรู้ไปผลิตสื่อและประชาสัมพันธ์กลุ่มของตนเอง</t>
  </si>
  <si>
    <t>2. สื่อเพื่อการประชาสัมพันธ์และเผยแพร่อย่างน้อย 1 สื่อ</t>
  </si>
  <si>
    <t>โครงการเรียนรู้ร่วมกันสรรค์สร้างชุมชน (กล้วยกรอบแก้ว) : กิจกรรมย่อยที่ 2 การพัฒนาระบบระบายความร้อนโรงเรือนผลิตกล้วยกรอบแก้ว</t>
  </si>
  <si>
    <t>31 มี.ค. 61-30 เม.ย. 61</t>
  </si>
  <si>
    <t>082-2607460</t>
  </si>
  <si>
    <t>2. คุณภาพของสินค้าได้มาตรฐานและกระบวนการผลิตเป็นไปอย่างราบรื่นไม่เกิดมลภาวะในโรงเรือน</t>
  </si>
  <si>
    <t>2. ระบบระบายความร้อนให้โรงเรือนผลิตกล้วยกรอบแก้ว 1 ระบบ</t>
  </si>
  <si>
    <t>โครงการสำรวจและกำหนดพื้นที่ปกปักพันธุกรรมกล้วยพื้นเมือง</t>
  </si>
  <si>
    <t>1. ทรัพยากรในพื้นที่ปกปักพันธุกรรมกล้วยพื้นเมืองวิทยาลัยรัตภูมิ ไๆด้รับการระบุรหัส และพิกัด อย่างน้อย 10 ชนิด</t>
  </si>
  <si>
    <t>1. ฐานข้อมูลทรัพยากรในพื้นที่ปกปักพันธุกรรมกล้วยพื้นเมือง วิทยาลัยรัตภูมิ 3 ฐานข้อมูล</t>
  </si>
  <si>
    <t>081-5989504</t>
  </si>
  <si>
    <t>โครงการการสำรวจเก็บรวบรวมข้อมูลวัฒนธรรมและภูมิปัญาท้องถิ่นกล้วยพื้นเมืองและทรัพยากรธรรมชาติบริเวณพื้นที่ปกปักพันธุกรรมพืช</t>
  </si>
  <si>
    <t>1. วิทยาลัยเป็นแหล่งเรียนรู้พันธุกรรมกล้วยพื้นเมือง</t>
  </si>
  <si>
    <t>1. มีสื่อวิดีทัศน์และเอกสารแผ่นพับข้อมูลด้านวัฒนธรรมและภูมิปัญยาท้องถิ่นกล้วยพื้นเมืองและทรัพยากรธรรมชาติ</t>
  </si>
  <si>
    <t>089-4666145</t>
  </si>
  <si>
    <t>โครงการปลูกรักษาิพันธุกรรมกล้วยพื้นเมืองที่ได้จากการสำรวจ</t>
  </si>
  <si>
    <t>27 มี.ค. 61-30 มี.ค. 61</t>
  </si>
  <si>
    <t>1. วิทยาลัยรัตภูมิเป็นแหล่งเรียนรู้พันธุกรรมกล้วยพื้นเมือง</t>
  </si>
  <si>
    <t>1. มีพันธุ์กล้วยพื้นเมืองจำนวน 10 สายพันธุ์</t>
  </si>
  <si>
    <t>โครงการกล้วยครบวงจรโดยใช้เทคโนโลยีสมาร์ทฟาร์ม</t>
  </si>
  <si>
    <t>18 พ.ค 61-29 มิ.ย. 61</t>
  </si>
  <si>
    <t>1. เกิดประสิทธิภาพในการดูแลพันธุกรรมพืชกล้วยพื้นเมือง</t>
  </si>
  <si>
    <t>1. ประยุกต์ใช้งานเทคโนโลยีสมาร์ทฟาร์มในการดูแลพื้นที่ปกปักพันธุกรรมกล้วยพื้นเมือง วิทยาลัยรัตภูมิ</t>
  </si>
  <si>
    <t>โครงการเส้นทางเดินศึกษาธรรมชาติในเขตปกปักพันธุกรรมพืชกล้วยพื้นเมือง</t>
  </si>
  <si>
    <t>2 ก.ค. 61-31 ส.ค. 61</t>
  </si>
  <si>
    <t>1. วิทยาลัยรัตภูมิเป้นแหล่งเรียนรู้พันธุกรรมกล้วยพื้นเมือง</t>
  </si>
  <si>
    <t>1. ได้เส้นทางและทำแผนที่ทางเดินการศึกษาธรรมชาติในเขตปกปักพันธุกรรมพืชกล้วยพื้นเมืองเป็นระยะทาง 300 เมตร</t>
  </si>
  <si>
    <t>2. ได้ฝายกั้นน้ำ 1 ฝาย</t>
  </si>
  <si>
    <t>โครงการเรียนรู้ร่วมกันสรรค์สร้างชุมชน (กล้วยกรอบแก้ว) : กิจกรรมย่อยที่ 6 การสร้างเครื่องมือและระบบควบคุมไฟฟ้าในกระบวนการผลิตกล้วยกรอบแก้ว</t>
  </si>
  <si>
    <t>1. การเพิ่มขึ้นจากกำลังการผลิตกล้วยกรอบแก้ว</t>
  </si>
  <si>
    <t>1. เครื่องมือและระบบควบคุมไฟฟ้าในกระบวนการผลิตกล้วยกรอบแก้ว 1 ระบบ</t>
  </si>
  <si>
    <t>085-150-3881</t>
  </si>
  <si>
    <t>โครงการเรียนรู้ร่วมกันสรรค์สร้างชุมชน (กล้วยกรอบแก้ว) : กิจกรรมย่อยที่ 7 จัดนิทรรศการและเผยแพร่งานบริการวิชาการสู่ชุมชน</t>
  </si>
  <si>
    <t>พ.ค 61-ก.ค. 61</t>
  </si>
  <si>
    <t>โครงการพัฒนาคุณภาพการศึกษาและพัฒนาท้องถิ่นโดยใช้ระบบพี่เลี้ยง โรงเรียนท่าหิน (ภายใต้โครงการยกระดับคุณภาพชีวิตชุมชนแบบมีส่วนร่วมสุ่แหล่งเรียนรู้ ภูมิปัญญาท้องถิ่นต้นแบบของจังหวัดสงขลา)</t>
  </si>
  <si>
    <t>28 มี.ค. 61-30 มี.ค. 61</t>
  </si>
  <si>
    <t>1. โรงเรียนที่เข้าร่วมโครงการได้รับการส่งเสริมและสนับสนุนการพัฒนารูปแบบการจัดกิจกรรมพัฒนาทักษะผู้เรียนที่สอดคล้องกับนโยบาย และคู่มือการจัดกิจกรรม</t>
  </si>
  <si>
    <t>โครงการศึกษาดูงานในสถานประกอบการสาขาวิชาวิศวกรรมเครื่องจักรกลเกษตร</t>
  </si>
  <si>
    <t>1. ผู้เข้าร่วมโครงการได้รับการพัฒนาทักษะวิชาชีพเฉพาะทางและเพิ่มความเชี่ยวชาญในวิชาชีพ</t>
  </si>
  <si>
    <t>1. มีกิจกรรมการแลกเปลี่ยนเรียนรู้ประสบการณ์/ทักษะวิชาชีพ/วิชาการภายในหน่วยงาน</t>
  </si>
  <si>
    <t>โครงการศึกษาดูงานในสถานประกอบการสาขาวิชาคอมพิวเตอร์ธุรกิจ</t>
  </si>
  <si>
    <t>โครงการศึกษาดูงานในสถานประกอบการสาขาวิชาช่างไฟฟ้า</t>
  </si>
  <si>
    <t>โครงการศึกษาดูงานในสถานประกอบการสาขาวิชาวิศวกรรมคอมพิวเตอร์</t>
  </si>
  <si>
    <t>1. ผู้่เข้าร่วมโครงการได้รับการพัฒนาทักษะวิชาชีพเฉพาะทางและเพิ่มความเชี่ยวชาญในวิชาชีพมากขึ้น</t>
  </si>
  <si>
    <t>โครงการศึกษาดูงานในสถานประกอบการสาขาวิชาการตลาด</t>
  </si>
  <si>
    <t>โครงการการพัฒนาระบบสารสนเทศและฐานข้อมูล อพ.สธ.</t>
  </si>
  <si>
    <t>2 เม.ย. 61-20 มิ.ย. 61</t>
  </si>
  <si>
    <t>1. เป็นข้อมูลเผยแพร่ความรู้ของการอนุรักษ์พันธุกรรมพืชสู่สาธารณชน</t>
  </si>
  <si>
    <t>1. ได้ระบบสารสนเทศและฐานข้อมูล อพ.สธ.</t>
  </si>
  <si>
    <t>โครงการจัดทำหนังสือเผยแพร่ผลสำเร็จจากโครงการ อพ.สธ. ของ มทร.ศรีวิชัย</t>
  </si>
  <si>
    <t>2 เม.ย. 61-31 พ.ค 61</t>
  </si>
  <si>
    <t>1. แนวทางปฏิบัติและผลสำเร็จที่ได้รับการตีพิมพ์เผยแพร่มีคุณภาพในระดับดี</t>
  </si>
  <si>
    <t>1. แนวทางปฏิบัติและผลสำเร็จที่ได้รับจาการตีพิมพ์เผยแพร่ จำนวนไม่น้อยกส่า 10 เรื่อง</t>
  </si>
  <si>
    <t>โครงการจัดตั้งศูนย์ประสานงานโครงการ อพ.สธ. ฝั่งอันดามัน</t>
  </si>
  <si>
    <t>1. เป็นศูนย์ฝึกอบรมการส่งเสริมและสร้างจิตสำนึกให้นักศึกษาและบุคลากรทั่วไปเกี่ยวกับโครงการ อพ.สธ.ภาคใต้ฝั่งอันดามัน</t>
  </si>
  <si>
    <t>1. ผู้เข้าร่วมโครงการสามารถนำความรู้ไปใช้ประโยชน์ ร้อยละ 85</t>
  </si>
  <si>
    <t>2. ได้รายงานผลการดำเนินโครงการ อพ.สธ-มทร.ศรีวิชัย ประจำปี 2562 จำนวน 1 เล่ม</t>
  </si>
  <si>
    <t>โครงการการเข้าร่วมจัดนิทรรศการในงานประชุมวิชาการและนิทรรศการ อพ.สธ.</t>
  </si>
  <si>
    <t>26 ธ.ค. 60-5 ธ.ค. 60</t>
  </si>
  <si>
    <t>1. ได้นิทรรศการอนุรักษ์พันธุกรรมพืชฯ เพื่อใช้ในการถ่ายทอดความรู้ด้านอนุรักษ์พันธุกรรมพืชสู่สาธารณชนให้เกิดประโยชน์ได้สูงสุด</t>
  </si>
  <si>
    <t>1. นิทรรศการสำหรับนำไปจัดแสดง จำนวน 1 ชุด</t>
  </si>
  <si>
    <t>2. ผู้เข้าเยี่ยมชมนิทรรศการ สามารถนำความรู้ไปใช้ประโยชน์ ร้อยละ 85</t>
  </si>
  <si>
    <t>โครงการเตรียมความพร้อมประชุมวิชาการ 9 มทร. ด้านระบบฐานข้อมูล</t>
  </si>
  <si>
    <t>20 ธ.ค. 60-21 ธ.ค. 60</t>
  </si>
  <si>
    <t>2. ระบบฐานข้อมูลการประชุมวิชาการ 1 ระบบ</t>
  </si>
  <si>
    <t>โครงการเขียนเอกสารบทความวิจัยเพื่อการตีพิมพ์เผยแพร่</t>
  </si>
  <si>
    <t>15 มี.ค. 61-16 มี.ค. 61</t>
  </si>
  <si>
    <t>2. บทความวิจัย (Menuscript) 40บทความ</t>
  </si>
  <si>
    <t>โครงการปรับปรุงต้นฉบับบทความวิชาการสู่มาตรฐานการตีพิมพ์ในระดับชาติและนานาชาติ</t>
  </si>
  <si>
    <t>26 เม.ย. 61-27 เม.ย. 61</t>
  </si>
  <si>
    <t>2. บทความวิจัย(Menuscript) 20บทความ</t>
  </si>
  <si>
    <t>โครงการเทคนิคการเขียนข้อเสนอโครงการวิจัยสำหรับนักวิจัยรุ่นใหม่ (ลูกไก่) ครั้งที่ 1</t>
  </si>
  <si>
    <t>โครงการจัดประชุมสัมมนาวิชาการระดับชาติและนานาชาติ ( 9 มทร. วิชาการ)</t>
  </si>
  <si>
    <t>25 ก.ย. 61-31 ต.ค 61</t>
  </si>
  <si>
    <t>2. มีบทความตีพิมพ์ในการประชุมวิชาการ200 บทความ</t>
  </si>
  <si>
    <t>2. บทความ 200 บทความ</t>
  </si>
  <si>
    <t>โครงการจัดทำวารสารเพื่อการวิจัย วารสารเทคโนโลยีศรีวิชัย</t>
  </si>
  <si>
    <t>2. บทความวิจัย25 บทความ</t>
  </si>
  <si>
    <t>โครงการจัดนิทรรศการ นวัตกรรม และผลงานสิ่งประดิษฐ์ วันนักประดิษฐ์ ประจำปี 2561</t>
  </si>
  <si>
    <t>31 ม.ค. 61-8 ก.พ. 61</t>
  </si>
  <si>
    <t>1. ผัเข้าร่วมโครงการมีความพึงพอใจต่อความรู้ที่ได้รับจากนิทรรศการอย่างน้อยร้อยละ 80</t>
  </si>
  <si>
    <t>โครงการจัดนิทรรศการ นวัตกรรม และผลงานสิ่งประดิษฐ์ มหกรรมงานวิจัยแห่งชาติ Thailand Research Expo 2018</t>
  </si>
  <si>
    <t>7 ส.ค. 61-15 ส.ค. 61</t>
  </si>
  <si>
    <t>2. งานวิจัยเด่น 1 เรื่อง</t>
  </si>
  <si>
    <t>โครงการประกวดผลงานวิชาการ สิ่งประดิษฐ์คิดค้นและนวัตกรรม มหาวิทยาลัยเทคโนโลยีราชมงคลศรีวิชัย : กิจกรรมที่ 1 โครงการประกวดข้อเสนอโครงงาน นวัตกรรม สิ่งประดิษฐ์คิดค้นระดับอุดมศึกษา</t>
  </si>
  <si>
    <t>1. ข้อเสนอโครงงาน นวัตกรรม สิ่งประดิษฐ์คิดค้นระดับอุดมศึกษา ไม่น้อยกว่า 30 โครงการ</t>
  </si>
  <si>
    <t>1. มีข้อเสนอโครงงาน นวัตกรรม สิ่งประดิษฐ์คิดค้นระดับอุดมศึกษา</t>
  </si>
  <si>
    <t>โครงการประกวดผลงานวิชาการ สิ่งประดิษฐ์คิดค้นและนวัตกรรม มหาวิทยาลัยเทคโนโลยีราชมงคลศรีวิชัย : กิจกรรมที่ 2 โครงการประกวดผลงานวิชาการ นวัตกรรม สิ่งประดิษฐ์คิดค้นนักเรียน นิสิตนักศึกษาเขตภาคใต้</t>
  </si>
  <si>
    <t>1. ชิ้นงานโครงงานและนวัตกรรมสิ่งประดิษฐ์คิดค้นนักเรียน นิสิตนักศึกษาเขตภาคใต้ ไม่น้อยกว่า 30 ชิ้นงาน</t>
  </si>
  <si>
    <t>1. มีผู้ส่งชิ้นงานโครงงานและนวัตกรรมสิ่งประดิษฐ์คิดค้นนักเรียน นิสิตนักศึกษาเขตภาคใต้</t>
  </si>
  <si>
    <t>โครงการประกวดผลงานวิชาการ สิ่งประดิษฐ์คิดค้นและนวัตกรรม มหาวิทยาลัยเทคโนโลยีราชมงคลศรีวิชัย : กิจกรรมที่ 3 การจัดนิทรรศการงานวิจัยมหาวิทยาลัยเทคโนดลยีราชมงคลศรีวิชัย</t>
  </si>
  <si>
    <t>1. ผลงานที่เผแพถร่ไม่น้อยกว่า 15 ผลงาน</t>
  </si>
  <si>
    <t>1. ได้เผยแพร่ผลงานวิชาการ งานวิจัยนวัตกรรม สิ่งประดิษฐ์คิดค้น</t>
  </si>
  <si>
    <t>โครงการเทคนิคการเขียนข้อเสนอโครงการวิจัยสำหรับนักวิจัยรุ่นใหม่ (ลูกไก่) ครั้งที่ 2</t>
  </si>
  <si>
    <t>โครงการจัดทำแผนบูรณาการพัฒนาศักยภาพด้านวิทยาศาสตร์ เทคโนโลยี วิจัยและนวัตกรรม มทร.ศรีวิชัย</t>
  </si>
  <si>
    <t>โครงการพิจารณาข้อเสนอการวิจัยจากงบประมาณเงินรายได้ ประจำปีงบประมาณ 2562</t>
  </si>
  <si>
    <t>23 พ.ค 61-24 พ.ค 61</t>
  </si>
  <si>
    <t>1. โครงการที่ผ่านการพิจารณาจากกรรมการผู้ทรงคุณวุฒิมีการพัฒนาให้มีคุณภาพดีขึ้น</t>
  </si>
  <si>
    <t>1. ร้อยละ 80 ของผู้ที่เสนอข้อเสนอการวิจัยได้มีการพัฒนาข้อเสนอการวิจัย</t>
  </si>
  <si>
    <t>โครงการจัดทำวารสาร บริการวิชาการ ราชมงคล</t>
  </si>
  <si>
    <t>27 มี.ค. 61-29 มี.ค. 61</t>
  </si>
  <si>
    <t>1. มีบทความวิจัยเผยแพร่20 บทความ</t>
  </si>
  <si>
    <t>1. ความพึงพอใจของผู้รับบริการไม่น้อยกว่าร้อยละ 80</t>
  </si>
  <si>
    <t>2. บทความวิจัย20 บทความ</t>
  </si>
  <si>
    <t>โครงการฝึกอบรม การพัฒนาทักษะทางด้านคอมพิวเตอร์ มาตรฐานสากล IC3 สำหรับบุคลากร</t>
  </si>
  <si>
    <t>1. ผู้เข้าอบรมนำความรู้ไปใช้ประยุกต์ในการทำงานได้จริง</t>
  </si>
  <si>
    <t>1. ผู้เข้าอบรมมีความรู้ความเข้าใจและสามารถปฏิบัติผ่านเกณฑ์ทดสอบร้อยละ 80</t>
  </si>
  <si>
    <t>โครงการพัฒนาบุคลากรด้านเครือข่ายเพื่อเข้าสู่มาตรฐานด้านเครือข่าย</t>
  </si>
  <si>
    <t>25 เม.ย. 61-27 เม.ย. 61</t>
  </si>
  <si>
    <t>โครงการประชุมสัมมนาคิดบวกอย่างสร้างสรรค์และสานสัมพันธ์บุคลากร</t>
  </si>
  <si>
    <t>โครงการสัมมนาครูแนะแนว ประจำปีการศึกษา 2562</t>
  </si>
  <si>
    <t>10 ก.ย. 61-11 ก.ย. 61</t>
  </si>
  <si>
    <t>1. ข้อมูลข่าวสารของหน่วยงานได้เผยแพร่ประชาสัมพันธ์ทำให้มหาวิทยาลัยเป็นที่รู้จักมากขึ้น</t>
  </si>
  <si>
    <t>โครงการจัดสอบความสามารถทางภาษาอังกฤษ (RMUTSV TEST)2018 ระดับปริญญาตรี</t>
  </si>
  <si>
    <t>13 ก.พ. 61-22 มี.ค. 61</t>
  </si>
  <si>
    <t>โครงการประชาสัมพันธ์มหาวิทยาลัยเทคโนโลยีราชมงคลศรีวิชัย วิทยาเขตตรัง : กิจกรรมย่อยที่ 1 ประชาสัมพันธ์ผ่านสื่อวิทยุ</t>
  </si>
  <si>
    <t>1 พ.ย 60-24 ก.ย. 61</t>
  </si>
  <si>
    <t>1. ข้อมูลข่าวสารของหน่วยงานได้รับกาเผยแพร่ประชาสัมพันธ์ทำให้มหาวิทยาลัยเป็นที่รู้จักมากขึ้น</t>
  </si>
  <si>
    <t>2. ประชาสัมพันธ์ผ่านสื่อวิทยุอย่างน้อย 45 ครั้ง</t>
  </si>
  <si>
    <t>โครงการประชาสัมพันธ์มหาวิทยาลัยเทคโนโลยีราชมงคลศรีวิชัย วิทยาเขตตรัง : กิจกรรมย่อยที่ 2 จัดทำจดหมายข่าว</t>
  </si>
  <si>
    <t>2. จัดทำจดหมายข่าวอย่างน้อย 10 ครั้ง(5000ฉบับ)</t>
  </si>
  <si>
    <t>โครงการประชาสัมพันธ์มหาวิทยาลัยเทคโนโลยีราชมงคลศรีวิชัย วิทยาเขตตรัง : กิจกรรมย่อยที่ 3 จัดทำแผ่นพับแนะนำวิทยาเขตตรัง</t>
  </si>
  <si>
    <t>1 พ.ค 61-31 พ.ค 61</t>
  </si>
  <si>
    <t>2. จัดทำแผ่นพับแนะนำวิทยาเขตตรัง อย่างน้อย 8000 ใบ</t>
  </si>
  <si>
    <t>โครงการประชาสัมพันธ์มหาวิทยาลัยเทคโนโลยีราชมงคลศรีวิชัย วิทยาเขตตรัง : กิจกรรมย่อยที่ 4 โครงการผลิตสื่อมัลติมีเดีย</t>
  </si>
  <si>
    <t>21 มี.ค. 61-31 ส.ค. 61</t>
  </si>
  <si>
    <t>2. ผลิตสื่อมัลติมิเดีย อย่างน้อย 3 ครั้ง</t>
  </si>
  <si>
    <t>โครงการพัฒนามหาวิทยาลัยเป็น Green campus</t>
  </si>
  <si>
    <t>1 มี.ค. 61-23 มี.ค. 61</t>
  </si>
  <si>
    <t>2. มีการปลูกต้นไม้แนวถนน 2 ข้างทาง</t>
  </si>
  <si>
    <t>โครงการพัฒนาศักยภาพบุคลากรเพื่อเพิ่มประสิทธิภาพในการปฏิบัติงาน</t>
  </si>
  <si>
    <t>25 ม.ค. 61-27 ม.ค. 61</t>
  </si>
  <si>
    <t>โครงการส่งเสริมพัฒนาการกีฬาและนันทนาการ : กิจกรรมย่อยที่ 1 ตะกร้อ มทร.ศรีวิชัย ต้านยาเสพติด (ครั้งที่7)</t>
  </si>
  <si>
    <t>1. ผู้เข้าร่วมโครงการรับความรู้/พัฒนาทักษะเพิ่มขึ้น</t>
  </si>
  <si>
    <t>โครงการส่งเสริมพัฒนาการกีฬาและนันทนาการ : กิจกรรมย่อยที่ 2 สัปดาห์ส่งเสริมการออกกำลังกาย</t>
  </si>
  <si>
    <t>พ.ย 60-ม.ค. 61</t>
  </si>
  <si>
    <t>1 พ.ย 60-31 ม.ค. 61</t>
  </si>
  <si>
    <t>โครงการส่งเสริมพัฒนาการกีฬาและนันทนาการ : กิจกรรมย่อยที่ 3 การแข่งขันฟุตซอล มทร.ศรีวิชัย ตรัง (ครั้งที่8)</t>
  </si>
  <si>
    <t>23 ม.ค. 61-24 ม.ค. 61</t>
  </si>
  <si>
    <t>โครงการส่งเสริมพัฒนาการกีฬาและนันทนาการ : กิจกรรมย่อยที่ 4 ฟุตบอล 7 คน ราชมงคลสัมพันธ์ชุมชน (ครั้งที่ 6)</t>
  </si>
  <si>
    <t>10 ก.พ. 61-11 ก.พ. 61</t>
  </si>
  <si>
    <t>โครงการกีฬาสถาบันอุดมศึกษา จังหวัดตรัง</t>
  </si>
  <si>
    <t>โครงการพัฒนาทักษะด้านภาษาต่างประเทศ : กิจกรรมย่อยที่ 1 English patterns used in Abstract Writing</t>
  </si>
  <si>
    <t>7 ก.พ. 61-21 ก.พ. 61</t>
  </si>
  <si>
    <t>1. ผู้เข้าร่วมโครงการมีความรู้ความเข้าใจและมีทักษะด้านภาษาและการสื่อสารเพิ่มมากขึ้น</t>
  </si>
  <si>
    <t>โครงการพัฒนาทักษะด้านภาษาต่างประเทศ : กิจกรรมย่อยที่ 2 Intensive English for Career Preparation</t>
  </si>
  <si>
    <t>30 ต.ค 60-13 ธ.ค. 60</t>
  </si>
  <si>
    <t>โครงการพัฒนาทักษะด้านภาษาต่างประเทศ : กิจกรรมย่อยที่ 3 ลับสมองประลอง TOEIC</t>
  </si>
  <si>
    <t>โครงการพัฒนาทักษะด้านภาษาต่างประเทศ : กิจกรรมย่อยที่ 4 Laugh and Learn Day Camp 2017</t>
  </si>
  <si>
    <t>14 ก.ค. 61-15 ก.ค. 61</t>
  </si>
  <si>
    <t>โครงการพิธีฝึกซ้อมย่อยบัณฑิตเพื่อเข้ารับพระราชทานปริญญาบัตร ประจำปีการศึกษา 2560</t>
  </si>
  <si>
    <t>โครงการอนุรักษ์ทรัพยากรทางทะเลและชายฝั่ง ปันโอกาส วาดฝัน อันดามัน</t>
  </si>
  <si>
    <t>20 ม.ค. 61-21 ม.ค. 61</t>
  </si>
  <si>
    <t>โครงการสืบทอดประเพณีและวัฒนธรรมไทย : กิจกรรมย่อยที่ 1 ประเพณีข้าวลาซัง</t>
  </si>
  <si>
    <t>โครงการสืบทอดประเพณีและวัฒนธรรมไทย : กิจกรรมย่อยที่ 2 วันสารทเดือนสิบ</t>
  </si>
  <si>
    <t>โครงการจัดกิจกรรมวันสำคัญทางศาสนา : กิจกรรมย่อยที่ 1 วันเมาลิด</t>
  </si>
  <si>
    <t>1. ผู้เข้าร่วมโครงการมีความตระหนักในการทำนุบำรุงศิลปวัมนธรรมไทยและอนุรักษ์สิ่งแวดล้อม</t>
  </si>
  <si>
    <t>โครงการจัดกิจกรรมวันสำคัญทางศาสนา : กิจกรรมย่อยที่ 2 ถวายเทียนพรรษา</t>
  </si>
  <si>
    <t>18 ก.ค. 61-23 ก.ค. 61</t>
  </si>
  <si>
    <t>โครงการเสริมสร้างคุณธรรม จริยธรรม สำหรับบุคลากร : กิจกรรมที่ 1 กิจกรรมชมพระเมรุมาศ</t>
  </si>
  <si>
    <t>23 พ.ย 60-25 พ.ย 60</t>
  </si>
  <si>
    <t>1. ผู้เข้าร่วมโครงการมีความตระหนักในการทำนุบำรุงศิลปวัฒนธรรมไทยและสิ่งแวดล้อม</t>
  </si>
  <si>
    <t>โครงการ RUTS Trang Zero Trash 2018 ราชมงคลตรัง ขยะเป็น 0 (Beautiful ans green University)</t>
  </si>
  <si>
    <t>1. ผู้เข้าร่วมโครงการมีความตระหนักในการทำนุบำรุงศิลปวัฒนธรรมและสิ่งแวดล้อม</t>
  </si>
  <si>
    <t>โครงการจัดกิจกรรมวันสำคัญของชาติ ศาสนา พระมหากษัตริย์ และอนุรักษ์สิ่งแวดล้อม (พื้นที่ทุ่งใหญ่) : กิจกรรมย่อยที่ 1 กิจกรรมวางพวงมาลาวันปิยมหาราช</t>
  </si>
  <si>
    <t>23 ต.ค 60</t>
  </si>
  <si>
    <t>โครงการสืบทอดประเพณีและวัฒนธรรมไทย (พื้นที่ทุ่งใหญ่) : กิจกรรมย่อยที่ 1 กิจกรรมปริวาสกรรมและให้ทานไฟ</t>
  </si>
  <si>
    <t>26 ก.พ. 61-28 ก.พ. 61</t>
  </si>
  <si>
    <t>085-4748135</t>
  </si>
  <si>
    <t>โครงการจัดกิจกรรมวันไหว้ครู</t>
  </si>
  <si>
    <t>085-8854380</t>
  </si>
  <si>
    <t>โครงการจัดกิจกรรมวันสำคัญของชาติ ศาสนา พระมหากษัตริย์ และอนุรักษ์สิ่งแวดล้อม (พื้นที่ไสใหญ่) : กิจกรรมที่ 1 กิจกรรมรวมพลังอนุรักษ์สิ่งแวดล้อมตามรอยพระราชดำริ รัชการที่ 9</t>
  </si>
  <si>
    <t>โครงการจัดกิจกรรมวันสำคัญของชาติ ศาสนา พระมหากษัตริย์ และอนุรักษ์สิ่งแวดล้อม (พื้นที่ไสใหญ่) : กิจกรรมที่ 2 กิจกรรมเมลิดสัมพันธ์</t>
  </si>
  <si>
    <t>โครงการจัดกิจกรรมวันสำคัญของชาติ ศาสนา พระมหากษัตริย์ และอนุรักษ์สิ่งแวดล้อม (พื้นที่ไสใหญ่) : กิจกรรมที่ 3 กิจกรรมพิธีน้อมเกล้าถวายพระพรคล้ายวันพระราชสมภพสมเด็จพระเทพรัตนสุดาสยามบรมราชกุมารี</t>
  </si>
  <si>
    <t>โครงการจัดกิจกรรมวันสำคัญของชาติ ศาสนา พระมหากษัตริย์ และอนุรักษ์สิ่งแวดล้อม (พื้นที่ไสใหญ่) : กิจกรรมที่ 4 กิจกรรมพิธีน้อมเกล้าถวายพระพรวันคล้ายวันพระรคาชสมภพพระบาทสมเด็จพระเจ้าอยู่หัวมหาวชิราลงกรณบดินทรเทพยวรางกูร</t>
  </si>
  <si>
    <t>โครงการจัดกิจกรรมวันสำคัญของชาติ ศาสนา พระมหากษัตริย์ และอนุรักษ์สิ่งแวดล้อม (พื้นที่ไสใหญ่) : กิจกรรมที่ 5 กิจกรรมพิธีสมโภชเทียนและถวายเทียนพรรษา</t>
  </si>
  <si>
    <t>โครงการจัดกิจกรรมวันสำคัญของชาติ ศาสนา พระมหากษัตริย์ และอนุรักษ์สิ่งแวดล้อม (พื้นที่ไสใหญ่) : กิจกรรมที่ 6 กิจกรรมวันแม่แห่งชาติ</t>
  </si>
  <si>
    <t>โครงการสืบทอดประเพณีและวัฒนธรรมไทย (พื้นที่ไสใหญ่) : กิจกรรมที่ 1 กิจกรรมย้อนรอยวัฒนธรรมและภูมิปัญญาพื้นบ้านตนคอน</t>
  </si>
  <si>
    <t>โครงการสืบทอดประเพณีและวัฒนธรรมไทย (พื้นที่ไสใหญ่) : กิจกรรมที่ 2 กิจกรรมประเพณีวันสงกรานต์</t>
  </si>
  <si>
    <t>โครงการสืบทอดประเพณีและวัฒนธรรมไทย (พื้นที่ไสใหญ่) : กิจกรรมที่ 3 กิจกรรมประเพณีมาฆบูชาแห่ผ้าขึ้นธาตุ</t>
  </si>
  <si>
    <t>โครงการสืบทอดประเพณีและวัฒนธรรมไทย (พื้นที่ไสใหญ่) : กิจกรรมที่ 4 กิจกรรมประเพณีบุญสารทเดือนสิบ</t>
  </si>
  <si>
    <t>โครงการจัดกิจกรรมวันสำคัญของชาติ ศาสนา พระมหากษัตริย์ และอนุรักษ์สิ่งแวดล้อม (พื้นที่ทุ่งใหญ่) : กิจกรรมย่อยที่ 2 กิจกรรมอนุรักษ์สิ่งแวดล้อมภายใน มทร.ศรีิชัย วิทยาเขตนครศรีธรรมราช พื้นทุ่งใหญ่</t>
  </si>
  <si>
    <t>โครงการจัดกิจกรรมวันสำคัญของชาติ ศาสนา พระมหากษัตริย์ และอนุรักษ์สิ่งแวดล้อม (พื้นที่ทุ่งใหญ่) : กิจกรรมย่อยที่ 3 กิจกรรมวันเมาลิดนบี</t>
  </si>
  <si>
    <t>โครงการจัดกิจกรรมวันสำคัญของชาติ ศาสนา พระมหากษัตริย์ และอนุรักษ์สิ่งแวดล้อม (พื้นที่ทุ่งใหญ่) : กิจกรรมย่อยที่ 4 กิจกรรมประเพณีแห่ผ้าขึ้นธาตุนานาชาติ (มาฆบูชา)</t>
  </si>
  <si>
    <t>084-0561256</t>
  </si>
  <si>
    <t>โครงการจัดกิจกรรมวันสำคัญของชาติ ศาสนา พระมหากษัตริย์ และอนุรักษ์สิ่งแวดล้อม (พื้นที่ทุ่งใหญ่) : กิจกรรมย่อยที่ 5 กิจกรรมวันเฉลิมพระชนมพรรษาของสมเด็จพระเจ้าอยู่หัวมหาวชิราลงกรณบดินทรเทพยวรางกูร</t>
  </si>
  <si>
    <t>โครงการจัดกิจกรรมวันสำคัญของชาติ ศาสนา พระมหากษัตริย์ และอนุรักษ์สิ่งแวดล้อม (พื้นที่ทุ่งใหญ่) : กิจกรรมย่อยที่ 6 กิจกรรมประเพณีถวายเทียนพรรษา</t>
  </si>
  <si>
    <t>19 ก.ค. 61-20 ก.ค. 61</t>
  </si>
  <si>
    <t>โครงการจัดกิจกรรมวันสำคัญของชาติ ศาสนา พระมหากษัตริย์ และอนุรักษ์สิ่งแวดล้อม (พื้นที่ทุ่งใหญ่) : กิจกรรมย่อยที่ 7 กิจกรรมวันแม่แห่งชาติ</t>
  </si>
  <si>
    <t>โครงการสืบทอดประเพณีและวัฒนธรรมไทย (พื้นที่ทุ่งใหญ่) : กิจกรรมย่อยที่ 2 กิจกรรมรดน้ำดำหัวผู้ใหญ่ปีใหม่ไทย (วันสงกรานต์)</t>
  </si>
  <si>
    <t>10 เม.ย. 61-30 เม.ย. 61</t>
  </si>
  <si>
    <t>โครงการสืบทอดประเพณีและวัฒนธรรมไทย (พื้นที่ทุ่งใหญ่) : กิจกรรมย่อยที่ 3 กิจกรรมลานวัฒนธรรมพัฒนา</t>
  </si>
  <si>
    <t>21 มิ.ย. 61-29 มิ.ย. 61</t>
  </si>
  <si>
    <t>โครงการพัฒนาลานวัฒนธรรมประดู่แดง (ไสใหญ่)</t>
  </si>
  <si>
    <t>1. ได้พื้นที่เพิ่มในการจัดกิจกรรมให้มีความเหมาะสมต่อการเรียนรู้และมีสภาพแวดล้อมที่สวยงาม</t>
  </si>
  <si>
    <t>1. ได้ลานวัฒนธรรมประดู่แดงเป็นพื้นที่ Co Working Space ในการเรียนรู้และจัดกิจกรรมด้านทำนุฯบำรุงศิลปวัฒนธูรรม</t>
  </si>
  <si>
    <t>โครงการพัฒนาลานวัฒนธรรมและเพิ่มพื้นที่ Co Working Space</t>
  </si>
  <si>
    <t>7 ก.ย. 61-28 ก.ย. 61</t>
  </si>
  <si>
    <t>1. ร้อยละความพึงพอใจของผู้ใช้บริการไม่น้อยกส่า 80</t>
  </si>
  <si>
    <t>1. มีลานวัฒนธรรมที่เหมาะสมกับการเรียนรู้</t>
  </si>
  <si>
    <t>085-186-6400</t>
  </si>
  <si>
    <t>โครงการพัฒนาศักยภาพบุคลากร วิทยาเขตนครศรีธรรมราช (ทุ่งใหญ่) : กิจกรรมย่อยที่ 2 กิจกรรมประชุมสัมนาเพื่อพัฒนาศักยภาพบุคลารก พื้นที่ทุ่งใหญ่</t>
  </si>
  <si>
    <t>6 ก.ย. 61-24 ก.ย. 61</t>
  </si>
  <si>
    <t>086-639-5364</t>
  </si>
  <si>
    <t>โครงการพัฒนาศักยภาพบุคลากร วิทยาเขตนครศรีธรรมราช (ไสใหญ่) : กิจกรรมย่อยที่ 1 สัมมนาเชิงปฏิบัติการเพื่อพัฒนาศักยภาพบุคลากร เรื่องระเบียบการเบิกจ่ายเงินงานวิจัย</t>
  </si>
  <si>
    <t>075-775130</t>
  </si>
  <si>
    <t>โครงการฝึกซ้อมพิธีรับพระราชทานปริญญาบัตร พื้นที่ไสใหญ่</t>
  </si>
  <si>
    <t>098-0730514</t>
  </si>
  <si>
    <t>โครงการสนับสนุนกิจกรรมปฐมนิเทศนักศึกษา พื้นที่ไสใหญ่</t>
  </si>
  <si>
    <t>โครงการพัฒนาศักยภาพบุคลากร วิทยาเขตนครศรีธรรมราช (ไสใหญ่) : กิจกรรมย่อยที่ 2 กิจกรรมสัมมนาเชิงปฏิบัติการเพื่อพัฒนาบุคลากร พื้นที่ไสใหญ่</t>
  </si>
  <si>
    <t>โครงการพัฒนาศักยภาพบุคลากร วิทยาเขตนครศรีธรรมราช (ไสใหญ่) : กิจกรรมย่อยที่ 3 กิจกรรมสัมมนาเชิงปฏิบัติการเพื่อพัฒนาศักยภาพบุคลากรด้านกิจกรรม</t>
  </si>
  <si>
    <t>โครงการพัฒนาศักยภาพบุคลากร วิทยาเขตนครศรีธรรมราช (ไสใหญ่) : กิจกรรมย่อยที่ 4 กิจกกรมแลกเปลี่ยนเรียนรู้การปฏิบัติงานสายสนับสนุนการศึกษา</t>
  </si>
  <si>
    <t>075-773131</t>
  </si>
  <si>
    <t>โครงการเสริมสร้างสุขภาพนักศึกษาและบุคลากร และต่อต้านสารเสพติด : กิจกรรมที่ 1 : กิจกรรมอบรมสารสารเสพติด</t>
  </si>
  <si>
    <t>โครงการเสริมสร้างสุขภาพนักศึกษาและบุคลากร และต่อต้านสารเสพติด : กิจกรรมที่ 2 กีฬาสานสัมพันธ์บุคลากรภายใน มทร.ศรีวิชัย</t>
  </si>
  <si>
    <t>1. ผู้เข้าร่วมโครงการมีสุขภาพร่างกายแข็งแรง</t>
  </si>
  <si>
    <t>โครงการกิจกรรมเครือข่ายอุดมศึกษา จังหวัดนครศรีธรรมราช ประจำปี 2561</t>
  </si>
  <si>
    <t>7 ส.ค. 61-12 ก.ย. 61</t>
  </si>
  <si>
    <t>โครงการพัฒนาทักษะด้านภาษาต่างประเทศ (ทุ่งใหญ่)</t>
  </si>
  <si>
    <t>2 ต.ค 60-9 ก.ย. 61</t>
  </si>
  <si>
    <t>โครงการกิจกรรมประชาสัมพันธ์เชิงรุก มทร.ศรีวิชัย ทุ่งใหญ่</t>
  </si>
  <si>
    <t>ธ.ค. 60-ส.ค. 61</t>
  </si>
  <si>
    <t>1 ธ.ค. 60-31 ส.ค. 61</t>
  </si>
  <si>
    <t>โครงการมทร.ศรีวิชัย ไสใหญ่ ใจหนึ่งเดียว ไม่ยุ่งเกี่ยวยาเสพติด</t>
  </si>
  <si>
    <t>16 ก.พ. 61-18 ก.พ. 61</t>
  </si>
  <si>
    <t>โครงการพัฒนาทักษะด้านภาษาต่างประเทศ (ไสใหญ่)</t>
  </si>
  <si>
    <t>2 ต.ค 60-13 ก.ย. 61</t>
  </si>
  <si>
    <t>โครงการสนับสนุนงานราชมงคลศรีวิชัยแฟร์ 2018</t>
  </si>
  <si>
    <t>โครงการสานสัมพันธ์บุคลากรวิทยาเขตนครศรีธรรมราช (พื้นที่ทุ่งใหญ่)</t>
  </si>
  <si>
    <t>โครงการประชุมสัมมนาสุขภาพดีและการแข่งขันกีฬาบุคลากรสัมพันธ์ (พื้นที่ไสใหญ่)</t>
  </si>
  <si>
    <t>088-3862529</t>
  </si>
  <si>
    <t>โครงการสัมมนาครูแนะแนว (Open House) ประจำปีการศึกษา 2562</t>
  </si>
  <si>
    <t>2 ก.ค. 61-31 ก.ค. 61</t>
  </si>
  <si>
    <t>โครงการฝึกซ้อมพิธีรับพระราชทานปริญญาบัตร พื้นที่ทุ่งใหญ่</t>
  </si>
  <si>
    <t>23 ก.ย. 61-24 ก.ย. 61</t>
  </si>
  <si>
    <t>โครงการสนับสนุนกิจกรรมปฐมนิเทศนักศึกษา พื้นที่ทุ่งใหญ่</t>
  </si>
  <si>
    <t>20 มิ.ย. 61-20 ก.ค. 61</t>
  </si>
  <si>
    <t>โครงการสนับสนุนกิจกรรมปัจฉิมนิเทศนักศึกษา พื้นที่ทุ่งใหญ่</t>
  </si>
  <si>
    <t>โครงการพัฒนาศักยภาพบุคลากร วิทยาเขตนครศรีธรรมราช (ทุ่งใหญ่) : กิจกรรมย่อยที่ 1 กิจกรรมแข่งขันกีฬาสานสัมพันธ์บุคลากร</t>
  </si>
  <si>
    <t>11 พ.ค 61-12 พ.ค 61</t>
  </si>
  <si>
    <t>โครงการสร้างผลิตภัณฑ์ที่มีมูลค่าเพิ่มจากสมุนไพรมะขามป้อม</t>
  </si>
  <si>
    <t>1 เม.ย. 61-30 ก.ย. 61</t>
  </si>
  <si>
    <t>1. มีการเผยแพร่ผลิตภัณฑ์มะขามป้อม ในการดูแลสุขภาพของคนในชุมชน</t>
  </si>
  <si>
    <t>ฤ</t>
  </si>
  <si>
    <t>1. ได้ผลิตภัณฑ์ ซึ่งเป็นการเพิ่มมูลค่าให้กับมะขามป้อม</t>
  </si>
  <si>
    <t>โครงการการผลิตบอลบีบสุขภาพจากน้ำยางธรรมชาติ</t>
  </si>
  <si>
    <t>1. ผู้เข้าร่วมโครงการมีความพึงพอใจใจต่อความรู้ที่ได้รับจากนิทรรศการอย่างน้อยร้อยละ80</t>
  </si>
  <si>
    <t>080-9733627</t>
  </si>
  <si>
    <t>2. ชุมชนได้ผลิตภัณฑ์ที่มีมาตรฐานสำหรับการจัดจำหน่าย</t>
  </si>
  <si>
    <t>2. ได้ผลิตภัณฑ์บอลบีบเพื่อสุขภาพ</t>
  </si>
  <si>
    <t>โครงการพัฒนาศูนย์การแพทย์แผนไทยตำบลนาโพธิ์ อาศรม สร้างสุข : กิจกรรมย่อยที่ 1 การพัฒนาสวนพฤกษาสมุนไพรตำบลนาโพธิ์</t>
  </si>
  <si>
    <t>082-8346782</t>
  </si>
  <si>
    <t>2. ชุมชนมีสวนพฤกษาสมุนไพรตำบลนาโพธิ์</t>
  </si>
  <si>
    <t>โครงการพัฒนาศูนย์การแพทย์แผนไทยตำบลนาโพธิ์ อาศรม สร้างสุข : กิจกรรมย่อยที่ 2 การอบรมเชิงปฏิบัติการการทำผลิตภัณฑ์จากสมุนไพร</t>
  </si>
  <si>
    <t>085-9845664</t>
  </si>
  <si>
    <t>2. ผู้เข้าร่วมโครงการสามารถทำผลิตภัณฑ์สมุนไพรได้</t>
  </si>
  <si>
    <t>โครงการพัฒนาศูนย์การแพทย์แผนไทยตำบลนาโพธิ์ อาศรม สร้างสุข : กิจกรรมย่อยที่ 3 การอบรมเชิงปฏิบัติการฝึกทักษะการนวดไทยเพื่อสุขภาพ</t>
  </si>
  <si>
    <t>27 ก.พ. 61-3 มี.ค. 61</t>
  </si>
  <si>
    <t>088-7842330</t>
  </si>
  <si>
    <t>2. ชุมชนมีความเข้มแข็งด้านระบบสุขภาพมากยิ่งขึ้น</t>
  </si>
  <si>
    <t>2. ผู้เข้าร่วมโครงการสามารถใช้องค์ความรู้ในการดูแลสุขภาพเบื้องต้นของคนในชุมชนได้</t>
  </si>
  <si>
    <t>โครงการพัฒนาศูนย์การแพทย์แผนไทยตำบลนาโพธิ์ อาศรม สร้างสุข : กิจกรรมย่อยที่ 4 การอบรมเชิงปฏิบัติการทำผลิตภัณฑ์เพื่อสุขภาพจากยางพารา</t>
  </si>
  <si>
    <t>082-2704367</t>
  </si>
  <si>
    <t>2. ด้านผลลัพธ์ ผู้เข้าร่วมโครงการสามารถพัฒนาอุปกรณ์เพื่อสุขภาพจากยางพาราได้อย่างหลากหลาย</t>
  </si>
  <si>
    <t>2. ผู้เข้าร่วมโครงการสามารถทำบอลบีบจากยางพาราได้</t>
  </si>
  <si>
    <t>3. ผู้เข้าร่วมโครงการและคนในชุมชนมีสุขภาพที่ดีขึ้น</t>
  </si>
  <si>
    <t>3. ผู้เข้าร่วมโครงการมีความรู้ในการนำยางพาราไปใช้ประโยชน์ได้</t>
  </si>
  <si>
    <t>โครงการพัฒนาศูนย์การแพทย์แผนไทยตำบลนาโพธิ์ อาศรม สร้างสุข : กิจกรรมย่อยที่ 5 การเสวนารายงานสรุปผลการดำเนินงานสู่การปรับปรุงและพัฒนาแผนการดำเนินงาน</t>
  </si>
  <si>
    <t>23 พ.ค 61</t>
  </si>
  <si>
    <t>1. ผู้เข้าร่วมโครงการทุกคนบอกประเด็นความรู้ที่ได้รับ อย่างน้อย 1เรื่อง</t>
  </si>
  <si>
    <t>089-4894886</t>
  </si>
  <si>
    <t>โครงการวิทยาศาสตร์และเทคโนโลยีสัญจร ครั้งที่ 2 SCITEP Mobile 2 (ภายใต้โครงการเชื่อมโยงสถาบันอุดมศึกษาไปสู่โรงเรียน (Educational pipeline) ปี2)</t>
  </si>
  <si>
    <t>1. ผู้เข้าร่วมโครงการมีความรู้และทักษะด้านวิทยาศาสตร์และเทคโนโลยี</t>
  </si>
  <si>
    <t>1. นักเรียนได้เรียนรู้และฝึกปฏิบัติในกิจกรรมฐาน จำนวน 4 กิจกรรม</t>
  </si>
  <si>
    <t>โครงการพัฒนาบรรจุภัณฑ์ผลิตภัณฑ์แป้งสาคู (ภายใตัโครงการยกระดับคุณภาพชีวิตชุมชนแบบมีส่วนร่วมสู่แหล่งเรียนรู้ภูมิปัญยาท้องถิ่นต้นแบบ จังหวัดนครศรีธรรมราช)</t>
  </si>
  <si>
    <t>1. ชุมชนสามารถนำบรรจุภัณฑ์ผลิตภัณฑ์แป้งสาคูไปใช้ในการจำหน่าย</t>
  </si>
  <si>
    <t>1. ได้บรรจุภัณฑ์ผลิตภัณฑ์แป้งสาคูชนิดเม็ดและชนิดผง</t>
  </si>
  <si>
    <t>โครงการดูแลใส่ใจนุขภาพของคนสูงอายุ (ภายใต้โครงการ มทร.ศรีวิชัย รับผิดชอบต่อสังคม)</t>
  </si>
  <si>
    <t>25 พ.ค 61-27 พ.ค 61</t>
  </si>
  <si>
    <t>1. ชุมชนมีความเข้มแข็งทางด้านร่างกายและจิตใจมากขึ้น</t>
  </si>
  <si>
    <t>1. ผู้เข้าร่วมโครงการสามารถใช้องค์ความรู้จากการเข้ารับการอบรมผู้นำคการออกกำลังกายและการดูแลสุขภาพอนามัยและสุขภาพจิตของผู้สูงอายุ ไปใช้กับชุมชนได้ จำนวน 25 คน</t>
  </si>
  <si>
    <t>โครงการงานสืบสานประเพณีไทยพุทธและมุสลิม กิจกรรม ประเพณีการกวนข้าวมธุปายาสยาคู และกวนข้าวอาซูรอ</t>
  </si>
  <si>
    <t>19 ก.พ. 61-20 ก.พ. 61</t>
  </si>
  <si>
    <t>โครงการอบรมคุณธรรม จริยธรรมนักศึกษา</t>
  </si>
  <si>
    <t>1. ความพึงพอใจของผู้เข้าร่วมโครงการ ไม่น้อยกว่า ร้อยละ 80</t>
  </si>
  <si>
    <t>089-1023921</t>
  </si>
  <si>
    <t>โครงการพัฒนาพื้นที่แหล่งเรียนรู้ด้านศิลปวัฒนธรรมการทอผ้ายกดอก บ้านเนินมวง อ.ชะอวด จ.นครศรีธรรมราช</t>
  </si>
  <si>
    <t>โครงการไหว้ครูและครอบครูแพทย์แผนไทย</t>
  </si>
  <si>
    <t>089-4750090</t>
  </si>
  <si>
    <t>2. ผู้เข้าร่วมโครงการมีส่วนร่วมในการอนุรักษ์ หวงแหน ภูมิปัญญาท้องถิ่น ซึ่งเป็นจุดเริ่มต้นของศาสตร์การเรียนการสอนด้านการแพทย์แผนไทย</t>
  </si>
  <si>
    <t>2. ผู้เข้าร่วมโครงการอยู่ในกระบวนการของการจัดกิจกรรมครบถ้วน ร้อยละ 85</t>
  </si>
  <si>
    <t>โครงการฝึกอบรมให้ความรู้ด้านการติดตั้งระบบเครื่องสูบน้ำจากพลังงานแสงอาทิตย์</t>
  </si>
  <si>
    <t>1. ผู้เข้าร่วมโครงการสามารถมีความรู้ความสามารถในการติดตั้งระบบเครื่องสูบน้ำจากพลังงานแสงอาทิตย์</t>
  </si>
  <si>
    <t>1. มีความพึงพอใจของผู้เข้าร่วมโครงการ ไม่น้อยกว่าร้อยละ 80</t>
  </si>
  <si>
    <t>2. ผู้เข้าร่วมโครงการมีความพึงพอใจในกระบวนการจัดการโครงการ ร้อยละ 80</t>
  </si>
  <si>
    <t>2. ผู้เข้าร่วมโครงการ 300 คน</t>
  </si>
  <si>
    <t>3. ผู้เข้าร่วมโครงการมีความพึงพอใจต่อประโยชน์ที่ได้รับ ร้อยละ 80</t>
  </si>
  <si>
    <t>3. ผู้เข้าร่วมโครงการอยู่ในกระบวนการของการจัดกิจกรรมครบถ้วน ร้อยละ 85</t>
  </si>
  <si>
    <t>4. ผู้เข้าร่วมโครงการมีคุณธรรมและจริยธรรมมากยิ่งขึ้น</t>
  </si>
  <si>
    <t>4. ผู้เข้าร่วมโครงการนำความรู้ไปใช้ประโยชน์ ร้อยละ 80</t>
  </si>
  <si>
    <t>5. ผู้เข้าร่วมโครงการได้รู้จักสนิทสนามกันมากยิ่งขึ้น</t>
  </si>
  <si>
    <t>โครงการการติดตามและประเมินความก้าวหน้างานวิจัย</t>
  </si>
  <si>
    <t>30 เม.ย. 61-1 พ.ค 61</t>
  </si>
  <si>
    <t>2. ผู้เข้าร่วมโครงการเกิดทักษะและความเชี่ยวชาญในการปฏิบัติและสามารถนำไปใช้ประโยชน์ได้</t>
  </si>
  <si>
    <t>2. จำนวนผลงานที่นำไปใช้ประโยชน์หรือตีพิมพ์เผยแพร่ อย่างน้อย 1 ผลงาน</t>
  </si>
  <si>
    <t>โครงการอบรมเชิงปฏิบัติการ เสวนาคิดบวกอย่างสร้างสรรค์และสานสัมพันธ์ คณะวิทยาศาสตร์และเทคโนโลยี</t>
  </si>
  <si>
    <t>10 พ.ค 61-11 พ.ค 61</t>
  </si>
  <si>
    <t>080-8878454</t>
  </si>
  <si>
    <t>1. ผู้เข้าร่วมโครงการสามารถนำความรู้ไปใช้ได้ในระดับมาก</t>
  </si>
  <si>
    <t>085-8867524</t>
  </si>
  <si>
    <t>2. ผู้เข้าร่วมโครงการรู้ทักษะการเขียนใบสมัครงานที่ดี</t>
  </si>
  <si>
    <t>1. นักศึกษามีความสัมพันธ์อันดี มีความประทับใจต่อกิจกรรมปฐมนิเทศ และเกิดทัศนคติทีดีต่อองค์กร คิดเป็นร้อยละ 85</t>
  </si>
  <si>
    <t>1. ผู้เข้าร่วมโครงการ 280 คน</t>
  </si>
  <si>
    <t>3. อย่างน้อยร้อยละ 80 ของผู้เข้าร่วมโครงการได้รับความรู้เพิ่มขึ้น</t>
  </si>
  <si>
    <t>โครงการสร้างสรรค์ขบวนพาเหรดศรีวิชัยเกมส์ ครั้งที่ 11 : กิจกรรมที่ 1 กิจกรรมขวบนพาเหรดศรีวิชัยเกมส์ ครั้งที่ 11</t>
  </si>
  <si>
    <t>1. ผู้เข้าร่วมโครงการ 110 คน</t>
  </si>
  <si>
    <t>2. ผู้เข้าร่วมโครงการมีความพึงพอใจต่อประโยชน์ที่ได้รับ ร้อยละ 85</t>
  </si>
  <si>
    <t>3. ได้รับรางวัลในการประกวดขบวนพาเหรดอย่างน้อย 1 รางวัล</t>
  </si>
  <si>
    <t>3. ความพึงพอใจของผู้เข้าร่วมโครงการ ไม่น้อยกว่าร้อยละ 80</t>
  </si>
  <si>
    <t>โครงการสร้างสรรค์ขบวนพาเหรดศรีวิชัยเกมส์ ครั้งที่ 11 : กิจกรรมที่ 2 กิจกรรมแข่งขันกองเชียร์และผู้นำเชียร์</t>
  </si>
  <si>
    <t>1. ผู้เข้าร่วมโครงการ 100 คน</t>
  </si>
  <si>
    <t>3. ได้รับรางวัลในการประกวดกองเชียร์และผู้นำเชียร์</t>
  </si>
  <si>
    <t>โครงการแลกเปลี่ยนประสบการณ์ด้านสหกิจศึกษา</t>
  </si>
  <si>
    <t>1. ผู้เข้าร่วมโครงการได้รับการพัฒนาความรู้ด้านกระบวนการสหกิจศึกษา</t>
  </si>
  <si>
    <t>2. ผู้เข้าร่วมโครงการได้รับการพัฒนาทักษะวิชาชีพเฉพาะทางและเพิ่มความเชี่ยวชาญในวิชาชีพมากขึ้น</t>
  </si>
  <si>
    <t>2. มีกิจกรรมแลกเปลี่ยนประสบการณ์ด้านสหกิจศึกษาระหว่างผู้เข้าร่วมโครงการและศูนย์สหกิจภาคใต้ตอนล่าง</t>
  </si>
  <si>
    <t>โครงการอบรมภาษาอังกฤษแก่นักศึกษาสาขาวิชาภาษาอังกฤษเพื่อการสื่อสาร</t>
  </si>
  <si>
    <t>6 ก.ค. 61-20 ก.ค. 61</t>
  </si>
  <si>
    <t>1. ผู้เข้าร่วมโครงการมีความรู้เกี่ยวกับภาษาอังกฤษเพื่อการสอบ TOEIC</t>
  </si>
  <si>
    <t>1. ผู้เข้้าร่วมโครงการได้รับประโยชน์จากกิจกรรม/โครงการ ไม่น้อยกว่าร้อยละ 80</t>
  </si>
  <si>
    <t>โครงการฝึกอบรมเพิ่มสมถรรนะด้านภาษาอังกฤษแก่นักศึกษา</t>
  </si>
  <si>
    <t>6 ส.ค. 61-20 ก.ค. 61</t>
  </si>
  <si>
    <t>1. อย่างน้อยรจ้อยละ 80 ของผู้เข้าร่วมโครงการได้รับความรุ้เพิ่มขึ้น</t>
  </si>
  <si>
    <t>โครงการนิทรรศการราชมงคลศรีวิชัยแฟร์ 2018 : ตลาดนัดวิชาการ</t>
  </si>
  <si>
    <t>โครงการแลกเปลี่ยนเรียนรู้ประสบการณ์บัณฑิตนักปฏิบัติสู่ตลาดแรงงาน</t>
  </si>
  <si>
    <t>1. ผู้เข้าร่วมโครงการได้รับการพัฒนาทักษะวิชาชีพเฉพาะทาง</t>
  </si>
  <si>
    <t>1. มีกิจกรรมแลกเปลี่นรเรียนรู้ประสบการณ์ ทักษะวิชาชีพ วิชาการภายในหน่วยงาน</t>
  </si>
  <si>
    <t>โครงการอบรมเสริมหลักสูตรด้านเทคโนโลยีสารสนเทศ</t>
  </si>
  <si>
    <t>12 พ.ค 61-18 พ.ค 61</t>
  </si>
  <si>
    <t>1. ผ่านการทำแบบทดสอบ และแบบประเมินผล จำนวน 80%</t>
  </si>
  <si>
    <t>1. จำนวนผู้เข้าร่วมโครงการ 100%</t>
  </si>
  <si>
    <t>โครงการ MOBILE SCITEP1</t>
  </si>
  <si>
    <t>30 พ.ค 61</t>
  </si>
  <si>
    <t>1. ได้เครือข่ายความร่วมมือทางด้านวิชาการ</t>
  </si>
  <si>
    <t>081-3972293</t>
  </si>
  <si>
    <t>โครงการศึกษาดูงานและฝึกทักษะวิชาชีพระยะสั้นของนักศึกษาและอาจารย์</t>
  </si>
  <si>
    <t>พ.ย 60-ส.ค. 61</t>
  </si>
  <si>
    <t>22 ม.ค. 61-31 ส.ค. 61</t>
  </si>
  <si>
    <t>โครงการส่งเสริมสมรรถนะด้านวิชาชีพ</t>
  </si>
  <si>
    <t>1 ก.พ. 61-31 มี.ค. 61</t>
  </si>
  <si>
    <t>091-8263476</t>
  </si>
  <si>
    <t>โครงการสนับสนุนการเผยแพร่ นำเสนอ ประกวด แข่งขัน ผลงานของนักศึกษา</t>
  </si>
  <si>
    <t>081-7345625</t>
  </si>
  <si>
    <t>โครงการ Science Week 2018</t>
  </si>
  <si>
    <t>16 ส.ค. 61-18 ส.ค. 61</t>
  </si>
  <si>
    <t>2. โครงการได้รับรางวัลจากการประกวด แข่งขัน อย่างน้อย 1 รางวัล</t>
  </si>
  <si>
    <t>โครงการพัฒนาผลิตภัณฑ์และนวัตกรรม เพื่อการเพิ่มมูลค่าสินค้า</t>
  </si>
  <si>
    <t>1. ผู้เข้าร่วมโครงการสามารถนำความรู้ไปใช้ประโยชน์ในระดับมาก</t>
  </si>
  <si>
    <t>089-7371680</t>
  </si>
  <si>
    <t>2. นักศึกษาได้ฝึกทักษะวิชาชีพ และทักษะเบื้องต้นในการเป็นผู้ประกอบการ</t>
  </si>
  <si>
    <t>2. ได้ผลิตภัณฑ์ที่เป็นชิ้นงานของนักศึกษาอย่างน้อย 6 ชิ้น</t>
  </si>
  <si>
    <t>3. มีผู้เข้าร่วมโครงการอย่างน้อย 54 คน</t>
  </si>
  <si>
    <t>โครงการอบรมเตรียมความพร้อมและสอบวัดสมรรถนะทางด้านคอมพิวเตอร์ และเทคโนโลยีสารสนเทศ</t>
  </si>
  <si>
    <t>081-3087694</t>
  </si>
  <si>
    <t>โครงการอบรมเชิงปฏิบัติการเพื่อพัฒนางานประกันคุณภาพการศึกษา : กิจกรรมย่อยที่ 1 กิจกรรม 5 ส Plus และ Big Cleaning Day</t>
  </si>
  <si>
    <t>089-7312276</t>
  </si>
  <si>
    <t>โครงการอบรมเชิงปฏิบัติการเพื่อพัฒนางานประกันคุณภาพการศึกษา : กิจกรรมย่อยที่ 2 กิจกรรมสร้างองค์กรแห่งการเรียนรู้ เพื่อจัดทำแนวปฏิบัติที่ดี</t>
  </si>
  <si>
    <t>โครงการอบรมเชิงปฏิบัติการเพื่อพัฒนางานประกันคุณภาพการศึกษา : กิจกรรมย่อยที่ 3 กิจกรรมสร้างความรู้ความเข้าใจ ระบบการประกันคุณภาพการศึกษาภายใน</t>
  </si>
  <si>
    <t>โครงการอบรมเชิงปฏิบัติการเพื่อพัฒนางานประกันคุณภาพการศึกษา : กิจกรรมย่อยที่ 4 กิจกรรมเตรียมความพร้อมรับการตรวจประเมินคุณภาพการศึกษาภายใน</t>
  </si>
  <si>
    <t>โครงการอบรมเชิงปฏิบัติการเพื่อพัฒนางานประกันคุณภาพการศึกษา : กิจกรรมย่อยที่ 5 กิจกรรมการประกันคุณภาพการศึกษาระดับหลักสูตรสู่ AUN QA</t>
  </si>
  <si>
    <t>โครงการฝึกอบรมนักศึกษาเพื่อทดสอบขึ้นทะเบียนและรับใบอนุญาตเป็นผู้ประกอบวิชาชีพการแพทย์แผนไทย</t>
  </si>
  <si>
    <t>21 พ.ค 61-25 พ.ค 61</t>
  </si>
  <si>
    <t>081-6318083</t>
  </si>
  <si>
    <t>2. ผู้เข้าร่วมโครงการนำความรู้ไปใช้ในการสอบเพื่อขอขึ้นทะเบียนและรับใบอนุญาตเป็นผู้ประกอบวิชาชีพการแพทย์แผนไทย</t>
  </si>
  <si>
    <t>2. ผู้เข้าร่วมโครงการมีความรู้ความเข้าใจ โดยมีคะแนนการทดสอบความรู้หลังการอบรมเพิ่มขึ้น ร้อยละ 80 ของคะแนนทดสอบความรู้ก่อนการอบรม</t>
  </si>
  <si>
    <t>25 ม.ค. 61-26 ก.พ. 61</t>
  </si>
  <si>
    <t>085-8833356</t>
  </si>
  <si>
    <t>โครงการ English Activities for Future Education</t>
  </si>
  <si>
    <t>15 ธ.ค. 60-29 ธ.ค. 60</t>
  </si>
  <si>
    <t>081-9597387</t>
  </si>
  <si>
    <t>โครงการจัดบูธด้านอุตสาหกรรมบริการและการท่องเที่ยว</t>
  </si>
  <si>
    <t>083-6954266</t>
  </si>
  <si>
    <t>โครงการเตรียมความพร้อมในการฝึกซ้อมพิธีพระราชทานปริญญาบัตร ประจำปีการศึกษา 2560</t>
  </si>
  <si>
    <t>โครงการรักษ์ดุหยงคงคู่ทะเลตรัง</t>
  </si>
  <si>
    <t>1. 1. ผู้เข้าร่วมโครงการมีความตระหนักในการทำนุบำรุงศิลปวัฒนธรรมไทยและอนุรักษ์สิ่งแวดล้อม</t>
  </si>
  <si>
    <t>1. 1. ความพึงพอใจของผู้เข้าร่วมโครงการไม่น้อยกว่าร้อยละ 80</t>
  </si>
  <si>
    <t>2. 2. ผู้ร่วมโครงการได้รับประโยชน์จากกิจกรรมที่จัดไม่น้อยกว่าร้อยละ 80</t>
  </si>
  <si>
    <t>2. 2. ผู้เข้าร่วมโครงการไม่น้อยกว่า 50 คน</t>
  </si>
  <si>
    <t>โครงการวันสิ่งแวดล้อมโลก</t>
  </si>
  <si>
    <t>2. ผู้ร่วมโครงการได้รับประโยชน์จากกิจกรรมที่จัดไม่น้อยกว่าร้อยละ 80</t>
  </si>
  <si>
    <t>โครงการทอดกฐินสามัคคีประจำปี</t>
  </si>
  <si>
    <t>7 ต.ค 60</t>
  </si>
  <si>
    <t>1. ผู้เข้าร่วมโครงการมีความตระหนักในการทำนุศิลปวัฒนธรรมไทยและอนุรักษ์สิ่งแวดล้อม</t>
  </si>
  <si>
    <t>2. ผู้เข้าร่วมโครงการได้รับประโยชน์จากกิจกรรมที่จัดไม่น้อยกว่าร้อยละ 80</t>
  </si>
  <si>
    <t>โครงการวิถีชีวิตพอเพียง</t>
  </si>
  <si>
    <t>โครงการสาธิตการแกะหนังตะลุง</t>
  </si>
  <si>
    <t>โครงการอนุรักษ์วัฒนธรรมพื้นบ้าน สืบสานอนุรักษ์ประเพณีข้าวลาซังบ้านพรุจูด ตำบลบ่อหิน อำเภอสิเกา จังหวัดตรัง</t>
  </si>
  <si>
    <t>1. ได้บูรณาการกับการเรียนวิชาวัฒนธรรมและขนบธรรมเนียมประเพณีของภาคใต้</t>
  </si>
  <si>
    <t>1. ผู้เข้าร่วมโครงการได้รับความรู้จากการเข้าร่วมกิจกรรมอย่างน้อยร้อยละ 90</t>
  </si>
  <si>
    <t>โครงการเข้าค่ายคุณธรรมแลกเปลียนเรียนรู้การใช้ชีวิตคู่คุณธรรมตามปรัชญาเศรษฐกิจพอเพียง</t>
  </si>
  <si>
    <t>1. ความพึงพอใจของผู้เข้าร่วมโครงการไม่น้อยกว่า ร้อยละ 80</t>
  </si>
  <si>
    <t>โครงการการเข้าร่วมจัดประชุม International Fisheries Symposium 2017 กับมหาวิทยาลัยในความร่วมมือกลุ่มอาเซียน (ASEAN-FEN) ด้านการประมงและการเพาะเลี้ยงสัตว์น้ำ</t>
  </si>
  <si>
    <t>6 พ.ย 60-10 พ.ย 60</t>
  </si>
  <si>
    <t>2. มีกิจกรรมความร่วมมือ อย่างน้อย 1 กิจกรรม</t>
  </si>
  <si>
    <t>โครงการสร้างความร่วมมือทางสหกิจกับหน่วยงานภายนอก</t>
  </si>
  <si>
    <t>28 พ.ค 61-29 พ.ค 61</t>
  </si>
  <si>
    <t>2. นักศึกษามีสถานที่สำหรับฝึกปฏิบัติการด้านสหกิจศึกษา</t>
  </si>
  <si>
    <t>2. มีเครือข่ายความร่วมมือด้านสหกิจศึกษา จำนวน 3 หน่วยงาน</t>
  </si>
  <si>
    <t>Fโครงการนิทรรศการวิชาการ ราชมงคลศรีวิชัย 2018</t>
  </si>
  <si>
    <t>โครงการพัฒนาทักษะวิชาชีพ สำหรับบุคลากรในสนถานประกอบการ : กิจกรรมที่ 2</t>
  </si>
  <si>
    <t>30 เม.ย. 61-18 พ.ค 61</t>
  </si>
  <si>
    <t>1. 1. ผู้เข้าร่วมโครงการได้รับการพัฒนาทักษะวิชาชีพเฉพาะทางและเพิ่มความเชี่ยวชาญในวิชาชีพมากขึ้น</t>
  </si>
  <si>
    <t>1. 1. มีกิจกรรมแลกเปลี่ยนเรียนรู้ประสบการณ์ ทักษะวิชาชีพ/วิชาการภายในหน่วยงาน</t>
  </si>
  <si>
    <t>2. 2. ผู้เข้าร่วมโครงการสามารถนำความรู้ไปใช้ประโยชน์ในการจัดการเรียนการสอนที่มีประสิทธิภาพ</t>
  </si>
  <si>
    <t>2. 2. ผู้เข้าร่วมโครงการได้รับความรู้และมีความชำนาญเพิ่มขึ้น</t>
  </si>
  <si>
    <t>โครงการสัมมนาเชิงปฏิบัติการ จัดทำคำเสนอของบประมาณ ประจำปี พ.ศ.2562</t>
  </si>
  <si>
    <t>29 ต.ค 60-31 ต.ค 60</t>
  </si>
  <si>
    <t>โครงการอบรมเตรียมความพร้อมสำหรับการสอบมาตราฐาน The Internet and Computing Core (IC3) Certificate</t>
  </si>
  <si>
    <t>19 ต.ค 60-20 ต.ค 60</t>
  </si>
  <si>
    <t>1. นักศึกษาสามารถสอบผ่านการวัดสมรรถนะทางด้านคอมพิวเตอร์</t>
  </si>
  <si>
    <t>1. นักศึกษาได้รับความรู้ความเข้าใจเกี่ยวกับ The Internet and Computing Core (IC3) Certificate</t>
  </si>
  <si>
    <t>โครงการปฏิบัติการภาคสนามเพื่อวัดสมรรถนะวิชาชีพทางด้านวิทยาศาสตร์ทางทะเล</t>
  </si>
  <si>
    <t>1 พ.ย 60-5 พ.ย 60</t>
  </si>
  <si>
    <t>1. นักศึกษาสามารถใช้ทักษะและบูรณาการองค์ความรู้ที่มีให้เข้ากับการทำงานด้านวิทยาศาสตร์ทางทะเลได้</t>
  </si>
  <si>
    <t>1. นักศึกษาผ่านการประเมินทักษะวิชาชีพด้านวิทยาศาสตร์ทางทะเล จำนวน 16 คน</t>
  </si>
  <si>
    <t>โครงการตรวจประเมินคุณภาพการศึกษาภายในระดับหลักสูตร และระดับคณะ ประจำปีการศึกษา 2560 และการตรวจติดตามกิจกรรม 5ส ประจำปีการศึกษา 2560 : กิจกรรมที่ 1 การตรวจประเมินคุณภาพการศึกษาภายใน ระดับหลักสูตร ประจำปีการศึกษา 2560</t>
  </si>
  <si>
    <t>18 มิ.ย. 61-29 มิ.ย. 61</t>
  </si>
  <si>
    <t>1. ผู้เข้าร่วมโครงการมีความพึงพอใจในกระบวนการของการจัดกิจกรรม ร้อยละ 80</t>
  </si>
  <si>
    <t>1. ผู้เข้าร่วมโครงการอยู่ในกระบวนการของการจัดกิจกรรมครบถ้วน ร้อยละ 80</t>
  </si>
  <si>
    <t>2. ผู้เข้าร่วมโครงการมีความพึงพอใจต่อประโยชน์ที่ได้รับ ร้อยละ 80</t>
  </si>
  <si>
    <t>2. ผู้เข้าร่วมโครงการนำความรู้ไปใช้ประโยชน์ ร้อยละ 80</t>
  </si>
  <si>
    <t>โครงการตรวจประเมินคุณภาพการศึกษาภายในระดับหลักสูตร และระดับคณะ ประจำปีการศึกษา 2560 และการตรวจติดตามกิจกรรม 5ส ประจำปีการศึกษา 2560 : กิจกรรมที่ 2 การตรวจประเมินคุณภาพการศึกษาภายใน ระดับคณะ ประจำปีการศึกษา 2560</t>
  </si>
  <si>
    <t>099 4067289</t>
  </si>
  <si>
    <t>โครงการตรวจประเมินคุณภาพการศึกษาภายในระดับหลักสูตร และระดับคณะ ประจำปีการศึกษา 2560 และการตรวจติดตามกิจกรรม 5ส ประจำปีการศึกษา 2560 : กิจกรรมที่ 3 การตรวจติดตามกิจกรรม 5ส ประจำปีการศึกษา 2560 (ภายนอก)</t>
  </si>
  <si>
    <t>โครงการสัมมนาการจัดทำรายงานการประเมินตนเอง (SAR) ระดับหลักสูตร ประจำปีการศึกษา 2560 (Pre-Audit)</t>
  </si>
  <si>
    <t>1. ผู้เข้าร่วมโครงการมีความพึงพอใจในกระบวนการจรัดโครงการ ร้อยละ 80</t>
  </si>
  <si>
    <t>2. ผู้เข้าร่วมดครงการนำความรู้ไปใช้ประโยชน์ ร้อยละ 80</t>
  </si>
  <si>
    <t>โครงการติดตามความก้าวหน้าและการประเมินผลการวิจัย รอบ 6 เดือน</t>
  </si>
  <si>
    <t>5 มิ.ย. 61-11 มิ.ย. 61</t>
  </si>
  <si>
    <t>1. นักวิจัยรายงานความก้าวหน้า เพื่อรับการประเมินโครงการวิจัยครบถ้วน ร้อยละ10</t>
  </si>
  <si>
    <t>โครงการเสวนาวิชาการประเพณีวิทยาศาสตร์การประมง : กิจกรรมที่ 1 กิจกรรมการอบรมการเตรียมความพร้อมในการเสวนาวิทยาศาสตร์การประมง</t>
  </si>
  <si>
    <t>1. 1. อย่างน้อยร้อยละ 80 ของผู้เข้าร่วมโครงการได้รับความรู้เพิ่มขึ้น</t>
  </si>
  <si>
    <t>2. นักศึกษาที่เป็นตัวแทนในการเสวนาวิทยาศาสตร์การประมงสามารถนำเสนอผลงานวิชาการในระดับดี</t>
  </si>
  <si>
    <t>2. 2. มีนักศึกษาเข้าเสนอผลงานวิชาการจำนวน 3 เรื่องขึ้นไป</t>
  </si>
  <si>
    <t>โครงการเสวนาวิชาการประเพณีวิทยาศาสตร์การประมง : กิจกรรมที่ 2 การเข้าร่วมเสวนาวิชาการประเพณีวิทยาศาสตร์การประมง ครั้งที่</t>
  </si>
  <si>
    <t>1. ผู้เข้าร่วมโครงการสามารถนำความรู้ไปใช้ประโยชนืได้อยู่ในระดับมาก</t>
  </si>
  <si>
    <t>2. มีนักศึกษาเข้าเสนอผลงานวิชาการจำนวน 3 เรื่องขึ้นไป</t>
  </si>
  <si>
    <t>โครงการพัฒนาทักษะวิชาชีพ สำหรับบุคลากรในสนถานประกอบการ : กิจกรรมที่1</t>
  </si>
  <si>
    <t>29 เม.ย. 61-1 มิ.ย. 61</t>
  </si>
  <si>
    <t>1. มีกิจกรรมแลกเปลี่ยนเรียนรู้ประสบการณ์ ทักษะวิชาชีพ/วิชาการภายในหน่วยงาน</t>
  </si>
  <si>
    <t>2. ผู้เข้าร่วมโครงการสามารถนำความรู้ไปใช้ประโยชน์ในการจัดการเรียนการสอนที่มีประสิทธิภาพ</t>
  </si>
  <si>
    <t>2. ผู้เข้าร่วมโครงการได้รับความรู้และมีความชำนาญเพิ่มขึ้น</t>
  </si>
  <si>
    <t>โครงการค่ายนักอนุรักษ์ทรัพยากรทางทะเลและชายฝั่ง (ต้นกล้าอันดามัน รุ่นที่ 2)</t>
  </si>
  <si>
    <t>17 ต.ค 60-20 ต.ค 60</t>
  </si>
  <si>
    <t>2. ผู้เข้าร่วมโครงการไม่น้อยกว่า 40 คน</t>
  </si>
  <si>
    <t>โครงการรักษ์ทะเล</t>
  </si>
  <si>
    <t>1. อย่างน้อร้อยละ 80 ของผู้เข้าร่วมโครงการได้รับความรู้เพิ่มขึ้น</t>
  </si>
  <si>
    <t>2. มีผู้เข้าร่วมโครงการอย่างน้อย 50 คน</t>
  </si>
  <si>
    <t>089 6596261</t>
  </si>
  <si>
    <t>2. นักศึกษามีสุขภาพร่างกายที่สมบูรณ์แข็งแรง ร้อยละ 85</t>
  </si>
  <si>
    <t>2. นักศึกษาได้รับเหรียญรางวัลอย่างน้อย 2 รางวัล</t>
  </si>
  <si>
    <t>โครงการแข่งขันทักษะทางวิชาการและวิชาชีพ</t>
  </si>
  <si>
    <t>20 ก.พ. 61-21 ก.พ. 61</t>
  </si>
  <si>
    <t>080-8651389</t>
  </si>
  <si>
    <t>2. นักศึกษาสามารถพัฒนาทักษะและเพื่อพัฒนาการเรียนการสอน</t>
  </si>
  <si>
    <t>2. นักศึกษาได้รับการพัฒนา/ฝึกทักษะทางวิชาการและวิชาชีพ</t>
  </si>
  <si>
    <t>โครงการนำเสนอผลงานวิชาการนักศึกษา</t>
  </si>
  <si>
    <t>2. นักศึกษาสามารถนำเสนอผลงานทางวิชาการได้</t>
  </si>
  <si>
    <t>2. มีเวทีให้ นักศึกษาได้นำเสนอผลงานทางวิชาการ</t>
  </si>
  <si>
    <t>โครงการพัฒนาทักษะวิชาชีพสำหรับนักศึกษา : กิจกรรมที่ 1 ทักษะวิชาชีพทางด้านเทคโนโลยีการประมง</t>
  </si>
  <si>
    <t>27 ก.ค. 61-28 ก.ค. 61</t>
  </si>
  <si>
    <t>1. ผู้เข้าร่วมโครงการสามรถนำความรู้ไปใช้ประโยชน์ได้อยู่ในระดับมาก</t>
  </si>
  <si>
    <t>2. นักศึกษาที่เข้าร่วมโครงการได้รับประโยชน์จากกิจกรรมไม่น้อยกว่าร้อยละ 80</t>
  </si>
  <si>
    <t>2. นักศึกษาที่เข้าร่วมโครงการมีความรู้และทักษะในวิชาชีพเพิ่มมากขึ้น</t>
  </si>
  <si>
    <t>โครงการพัฒนาทักษะวิชาชีพสำหรับนักศึกษา : กิจกรรมที่ 2 ทักษะวิชาชีพทางด้านสิ่งแวดล้อม</t>
  </si>
  <si>
    <t>5 ก.พ. 61-14 มี.ค. 61</t>
  </si>
  <si>
    <t>โครงการพัฒนาทักษะวิชาชีพสำหรับนักศึกษา : กิจกรรมที่ 3 ทักษะวิชาชีพทางด้านอุตสาหกรรมอาหาร</t>
  </si>
  <si>
    <t>25 ม.ค. 61-8 ก.พ. 61</t>
  </si>
  <si>
    <t>โครงการพัฒนาทักษะวิชาชีพสำหรับนักศึกษา : กิจกรรมที่ 4 ฝึกทักษะปฏิบัติการภาคสนามในการดำน้ำสู่อาชีพ</t>
  </si>
  <si>
    <t>13 มี.ค. 61-17 มี.ค. 61</t>
  </si>
  <si>
    <t>โครงการพัฒนาทักษะวิชาชีพสำหรับนักศึกษา : กิจกรรมที่ 5 ฝึกทักษะปฏิบัติการภาคสนามทางด้านสมุทรศาสตร์</t>
  </si>
  <si>
    <t>21 ธ.ค. 60-23 ธ.ค. 60</t>
  </si>
  <si>
    <t>โครงการพัฒนาทักษะวิชาชีพสำหรับนักศึกษา : กิจกรรมที่ 6 ฝึกทักษะทางด้านภาษา Tropical Aquaculture and Marine Ecosystem Workshop</t>
  </si>
  <si>
    <t>19 มิ.ย. 61-27 มิ.ย. 61</t>
  </si>
  <si>
    <t>โครงการการสำรวจพื้นที่และการรวบรวมข้อมูลทรัพยากรทางชีวภาพและกายภาพในพื้นที่ปกปักพันธุกรรมพืช พื้นที่ป่าชายหาดขอมทร.ศรีวิชัย วิทยาเขตตรัง</t>
  </si>
  <si>
    <t>1. ข้อมูลสามารถนำไปผลิตสือ่หรือนำไปใช้ในการเผยแพร่ข้อมูลทรัพยากรทางชีวภาพของพื้นที่ปกปักพันธุกรรมพืช</t>
  </si>
  <si>
    <t>1. ได้ฐานข้อมูลเสม็ดแดงที่มีอยู่ในพื้นที่ป่าชายหาด มทร.ศรีวิชัย วิทยาเขตตรัง</t>
  </si>
  <si>
    <t>089-9086454</t>
  </si>
  <si>
    <t>โครงการสำรวจพื้นที่ป่าชายหาดโดยใช้อากาศยานไร้คนขับ ระยะที่2</t>
  </si>
  <si>
    <t>12 ก.พ. 61-26 ก.พ. 61</t>
  </si>
  <si>
    <t>1. สามารถเผยแพร่ข้อมูลที่ได้โดยการประชาสัมพันธ์รูปแบบต่างๆ หรือในงานประชุมวิชาการได้</t>
  </si>
  <si>
    <t>1. ได้ข้อมูลภาพถ่ายทางอากาศพื้นที่ป่าชายหาดของ มทร.ศรนีวิชัย วิทยาเขตตรัง จำนวน 1 ชุด</t>
  </si>
  <si>
    <t>081 0934495</t>
  </si>
  <si>
    <t>2. ได้ข้อมูลภาพถ่ายทางอากาศพื้นที่ป่าชายหาดของ ในพื้นที่ใกล้เคียงมทร.ศรนีวิชัย วิทยาเขตตรัง ในรัศมี 15 กิโลเมตร จำนวน 1 ชุด</t>
  </si>
  <si>
    <t>โครงการการสำรวจ เก็บตัวอย่างทรัพยากรกายภาพและชีวภาพป่าชายหาด</t>
  </si>
  <si>
    <t>19 มี.ค. 61-18 เม.ย. 61</t>
  </si>
  <si>
    <t>1. สามารถใช้เป็นข้อมูลพื้นฐานในการนำไปศึกษาระบบนิเวศป่าชายหาด</t>
  </si>
  <si>
    <t>1. ได้ฐานข้อมูลทรัพยากรพันธุ์พืชในป่าหาดอย่างน้อย 15 ตัวอย่าง</t>
  </si>
  <si>
    <t>085-7890394</t>
  </si>
  <si>
    <t>2. ได้ฐานข้อมูลทรัพยากรกายภาพป่าชายหาดที่พันธุ์พืชสามารถเจริญเติบโต</t>
  </si>
  <si>
    <t>โครงการการผลิตผลิตภัณฑ์ทางชีวภาพจากพืชในป่าชายหาด (การผลิตชาจากพืชในป่าชายหาด : เสม็ดแดง ทู้ และโครงเครง)</t>
  </si>
  <si>
    <t>ก.พ. 61-ก.ย. 61</t>
  </si>
  <si>
    <t>2 เม.ย. 61-11 เม.ย. 61</t>
  </si>
  <si>
    <t>1. ศึกษาองค์ประกอบทางโภชนการทางผลิตภัณฑ์ที่ได้จากชา 3 ชนิด</t>
  </si>
  <si>
    <t>1. ผลิตชาจากพืชในป่าชายหาด 3 ชนิด เป็นจำนวนชนิดละ 100 ซอง</t>
  </si>
  <si>
    <t>โครงการการคัดเลือกสายพันธุ์เห็ดเสม็ดเพื่อนำไปใช้ในด้านผลิตภัณฑ์อาหารและผลิตภัณฑ์เภสัช (การพัฒนาผลิตภัณฑ์แกงเห็ดเสม็ดในถุงรีทอร์ทเพาซ์)</t>
  </si>
  <si>
    <t>1 พ.ค 61-30 มิ.ย. 61</t>
  </si>
  <si>
    <t>1. สามารถเผยแพร่ในการประชุมวิชาการระดับชาติ</t>
  </si>
  <si>
    <t>1. ได้ผลิตภัณฑ์อาหารแปรรูปแกงเห็ดเสม็ดในถุงรีทอร์ทเพาซ์</t>
  </si>
  <si>
    <t>โครงการเก็บรวบรวมและขยายพันธุ์พืชป่าชายหาด (เสม็ดแดง)</t>
  </si>
  <si>
    <t>8 พ.ค 61-30 มิ.ย. 61</t>
  </si>
  <si>
    <t>1. ได้ข้อมูลสำหรับเป็นฐานข้อมูลการขยายพันธุ์ต้นเสม็ดแดง</t>
  </si>
  <si>
    <t>1. ได้จำนวนต้นกล้าเสม็ดแดง 300 ต้น ในพื้นที่ปกปัก</t>
  </si>
  <si>
    <t>โครงการองค์ประกอบทางเคมีและฤทธิ์ทางชีวภาพของเสม็ดขาวและเสม็ดแดง (การพัฒนาสเปรย์ไล่ยุงจากเสม็ดขาวและเสม็ดแดง)</t>
  </si>
  <si>
    <t>1 มิ.ย. 61-30 มิ.ย. 61</t>
  </si>
  <si>
    <t>1. สามารถนำพืชที่มีในพื้นที่มาใช้ประโยชน์เพื่อพัฒนามูลค่าได้</t>
  </si>
  <si>
    <t>1. ได้สเปร์ไล่ยุงที่เป็นผลิตภัณฑ์จากธรรมชาติ</t>
  </si>
  <si>
    <t>โครงการบริการวิชาการการพัฒนาและการสร้างมูลค่าเพิ่มของผลิตภัณฑ์จากสาหร่ายพวงองุ่น เพื่อสร้างความเข้มแข็งและยั่งยืนให้กับชุมชนประมงชายฝั่ง ต.ไม้ฝาด อ.สิเกา จ. ตรัง : กิจกรรมย่อยที่ 1 การให้บริการวิชาการทางด้านการสร้างมูลค่าเพิ่มจากวัสดุเศษเหลือจากชุมชน ต.ไม</t>
  </si>
  <si>
    <t>1. 3. คนในชุมชนนำองค์ความรู้ที่ได้รับจาการถ่ายทอดมาสร้างมูลค่าเพิ่มมากขึ้นจากชุมชน</t>
  </si>
  <si>
    <t>1. 1. ผู้เข้าร่วมโครงการทุกคนบอกประเด็นความรู้ที่ได้รับ อย่างน้อย 1 เรื่อง</t>
  </si>
  <si>
    <t>2. 1. ผู้เข้าร่วมโครงการสามารถนำความรู้ไปใช้ประโยชน์ได้อยู่ในระดับมาก</t>
  </si>
  <si>
    <t>3. 2. ผู้ผ่านการอบรมนำความรู้ในการผลิตปุ๋ยหมักและปุ๋ยน้ำหมักชีวภาพจากของเสียของชุมชน มาลดปริมาณการใช้ปุ๋ยเคมีในภาคเกษตรกรรมได้</t>
  </si>
  <si>
    <t>โครงการบริการวิชาการการพัฒนาและการสร้างมูลค่าเพิ่มของผลิตภัณฑ์จากสาหร่ายพวงองุ่น เพื่อสร้างความเข้มแข็งและยั่งยืนให้กับชุมชนประมงชายฝั่ง ต.ไม้ฝาด อ.สิเกา จ. ตรัง : กิจกรรมย่อยที่ 2 การให้บริการวิชาการ การถ่ายทอดเทคโนโลยีการเลี้ยงหอยนางรมจากโรงเพาะฟัก สู่ช</t>
  </si>
  <si>
    <t>1. 1. ผู้เข้าร่วมโครงการสามารถนำความรู้ไปใช้ประโยชน์ได้อยู่ในระดับมาก</t>
  </si>
  <si>
    <t>2. 2. กลุ่มชาวบ้านสามารถนำไปใช้ประโยชน์ในการเพาะเลี้ยงหอยรางรมโรงเพาะฟักประสลผลสำเร็จ ร้อยละ 80</t>
  </si>
  <si>
    <t>โครงการบริการวิชาการการพัฒนาและการสร้างมูลค่าเพิ่มของผลิตภัณฑ์จากสาหร่ายพวงองุ่น เพื่อสร้างความเข้มแข็งและยั่งยืนให้กับชุมชนประมงชายฝั่ง ต.ไม้ฝาด อ.สิเกา จ. ตรัง : กิจกรรมย่อยที่ 3 การให้บริการทางด้านการเพาะเลี้ยงสาหร่ายพวงองุ่น เพื่อสร้างอาชีพทางเลือกสู่</t>
  </si>
  <si>
    <t>2. 2. เป็นแหล่งให้ความรู้ในการถ่ายทอดเทคโนโลยีด้านการเพาะเลี้ยงสัตว์น้ำท้องถิ่นและผู้ที่สนใจ</t>
  </si>
  <si>
    <t>โครงการบริการวิชาการการพัฒนาและการสร้างมูลค่าเพิ่มของผลิตภัณฑ์จากสาหร่ายพวงองุ่น เพื่อสร้างความเข้มแข็งและยั่งยืนให้กับชุมชนประมงชายฝั่ง ต.ไม้ฝาด อ.สิเกา จ. ตรัง : กิจกรรมย่อยที่ 4 การให้บริการวิชาการทางด้านการแปรรูปสาหร่ายพวงองุ่นเพื่อเพิ่มมูลค่าให้กับผลิตภัณฑ์สู่ชุมชนประมงชายฝั่ง</t>
  </si>
  <si>
    <t>20 มี.ค. 61-21 มี.ค. 61</t>
  </si>
  <si>
    <t>2. มีผลิตภัณฑ์ที่มีคุณภาพเป็นไปตามความต้องการของตลาด มีความปลอดภัยต่อผู้บริโภค</t>
  </si>
  <si>
    <t>2. ชุมชนหรือองค์กรสร้างกลไกที่มีการพัฒนาตนเองอย่างต่อเนื่อง</t>
  </si>
  <si>
    <t>โครงการบริการวิชาการการพัฒนาและการสร้างมูลค่าเพิ่มของผลิตภัณฑ์จากสาหร่ายพวงองุ่น เพื่อสร้างความเข้มแข็งและยั่งยืนให้กับชุมชนประมงชายฝั่ง ต.ไม้ฝาด อ.สิเกา จ. ตรัง : กิจกรรมย่อยที่ 5 การส่งเสริมอาชีพการเกษตรแบบผสมผสานตามหลักเศรษฐกิจพอเพียง</t>
  </si>
  <si>
    <t>1. 2. นำวัตถุดิบในชุมชนมาแปรรูปเพื่อเพิ่มมูลค่าได้</t>
  </si>
  <si>
    <t>โครงการบริการวิชาการการพัฒนาและการสร้างมูลค่าเพิ่มของผลิตภัณฑ์จากสาหร่ายพวงองุ่น เพื่อสร้างความเข้มแข็งและยั่งยืนให้กับชุมชนประมงชายฝั่ง ต.ไม้ฝาด อ.สิเกา จ. ตรัง : กิจกรรมย่อยที่ 6 การส่งเสริมการสร้างผลิตภัณฑ์จากสารสกัดจากสาหร่ายพวงองุ่น สู่ชุมชนประมงชายฝ</t>
  </si>
  <si>
    <t>2. 2. ประชาชนในชุมชนสร้างอาชีพเสริม ทำให้ชุมชนมีความเข้มแข็ง และเกิดการเรียนรู้ในชุมชน</t>
  </si>
  <si>
    <t>2. 2. ชาวบ้านในชุมชนสามารถสร้างสูตรผลิตภัณฑ์ในชีวิตประจำวันที่สามารถใช้ในครวเรือนได้ 1 ชนิด</t>
  </si>
  <si>
    <t>โครงการบริการวิชาการการพัฒนาและการสร้างมูลค่าเพิ่มของผลิตภัณฑ์จากสาหร่ายพวงองุ่น เพื่อสร้างความเข้มแข็งและยั่งยืนให้กับชุมชนประมงชายฝั่ง ต.ไม้ฝาด อ.สิเกา จ. ตรัง : กิจกรรมย่อยที่ 7 เสวนารายงานผลการดำเนินงานสู่การปรับปรุงและพัฒนาแผนการดำเนินงาน</t>
  </si>
  <si>
    <t>2. 2. ผู้รับการอบรมรับทราบปัญหาและข้อเสนอแนะและต่อยอดการอบรมโครงการอื่นๆ</t>
  </si>
  <si>
    <t>2. 2. ผู้รับการอบรมและผู้จัดได้รับทราบข้อมูลในการอบรมใน 3 ปีที่ปผ่านมา</t>
  </si>
  <si>
    <t>โครงการอบรมเชิงปฏิบัติการเรื่อง การปรับปรุงสถานที่ผลิตและกระบวนการผลิตตามหลักการสุขลักษณะที่ดีในการผลิตอาหาร (ภายใต้โครงการยกระดับคุณภาพชีวิตชุมชนแบบมีส่วนร่วมสู่แหล่งเรียนรู้ ภูมิปัญญาท้องถิ่นต้นแบบของจังหวัดตรัง)</t>
  </si>
  <si>
    <t>1. ผลิตภัณฑ์นัตเก็ตมีความปลอดภัยต่อการบริโภค</t>
  </si>
  <si>
    <t>1. ชุมชนมีผลิตภัณฑ์นัตเก็ตที่มีกระบวนการผลิตที่ถูกต้องตามหลักการสุขลักษณ์ที่ดีในการผลิตอาหาร</t>
  </si>
  <si>
    <t>โครงการฝึกอบรมการแปรรูปอาหารมุ่งสู่อาชีพในอนาคต (ภายใต้โครงการเชื่อมโยงสถาบันอุดมศึกษาไปสู่โรงเรียน (Educational pipeline) ปี2)</t>
  </si>
  <si>
    <t>1. ทำให้นักเรียนตระหนักถึงความสำคัญและประดยชน์ของการเรียนหลักสูตรอุตสาหกรรม รวมทั้งแนวทางการทำงานหรือประกอบอาชีพในอนาคต</t>
  </si>
  <si>
    <t>1. นักเรียนทราบหลักการและขั้นตอนในกระบวนการแปรรูปอาหารเนื่องจากได้ลงมือปฏิบัติด้วยตนเอง</t>
  </si>
  <si>
    <t>โครงการค่ายดรงเรียนสิ่งแวดล้อมศึกษาเพื่อการพัฒนาที่ยั่งยืน (ภายใต้โครงการเชื่อมโยงสถาบันอุดมศึกษาไปสู่โรงเรียน (Educational pipeline) ปี2)</t>
  </si>
  <si>
    <t>1. นักเรียนสามารถนำความรู้ที่ได้ไปประยุกต์ใช้ในชีวิตประจำวัน</t>
  </si>
  <si>
    <t>1. นักเรียนมีความรู้ความเข้าใจเรื่องราวเกี่ยวกับสิ่งแวดล้อม ตลอดจนพัฒนาทักษะให้รู้จักคิดและปฏิบัติเพื่อสิ่งแวดล้อมที่ดี</t>
  </si>
  <si>
    <t>โครงการอบรมเกณฑ์การประเมินคุณธรรมและความโปร่งใสในการดำเนินงาน ของหน่วยงานภาครัฐ (Integrity and Transparency Assessment : ITA)</t>
  </si>
  <si>
    <t>091-8469108</t>
  </si>
  <si>
    <t>โครงการสัมมนาเชิงปฏิบัติการการแลกเปลี่ยนเรียนรู้แนวปฏิบัติที่ดี ชุมชนนักปฏิบัติ</t>
  </si>
  <si>
    <t>โครงการความร่วมมือเครือข่ายการจัดการความรู้ มทร. 2</t>
  </si>
  <si>
    <t>20 ก.พ. 61-23 ก.พ. 61</t>
  </si>
  <si>
    <t>โครงการสัมมนาเชิงปฏิบัติการ การก้าวสู่เกณฑ์คุณภาพการศึกษาเพื่อการดำเนินการที่เป็นเลิศ (EdPEx)</t>
  </si>
  <si>
    <t>8 พ.ค 61-9 พ.ค 61</t>
  </si>
  <si>
    <t>074-317142</t>
  </si>
  <si>
    <t>โครงการอบรมเชิงปฏิบัติการ การบริหารความเสี่ยงและการควบคุมภายใน</t>
  </si>
  <si>
    <t>โครงการสัมมนาเชิงปฏิบัติการ การจัดทำรายงานการบริหารความเสี่ยงและการควบคุมภายใน</t>
  </si>
  <si>
    <t>086-8151725</t>
  </si>
  <si>
    <t>โครงการแลกเปลี่ยนบุคลากรกับมหาวิทยาลัยในต่างประเทศ : ครั้งที่ 2</t>
  </si>
  <si>
    <t>7 พ.ค 61-18 มิ.ย. 61</t>
  </si>
  <si>
    <t>โครงการแลกเปลี่ยนบุคลากรกับมหาวิทยาลัยในต่างประเทศ : ครั้งที่ 1 ณ Universiti Sains Malaysia</t>
  </si>
  <si>
    <t>1 พ.ค 61-30 พ.ค 61</t>
  </si>
  <si>
    <t>โครงการพัฒนาทักษะภาษาจีนในมหาวิทยาลัยต่างประเทศ</t>
  </si>
  <si>
    <t>7 เม.ย. 61-30 เม.ย. 61</t>
  </si>
  <si>
    <t>โครงการพัฒนาทักษะภาษาอังกฤษในมหาวิทยาลัยต่างประเทศ</t>
  </si>
  <si>
    <t>มี.ค. 61-ก.ค. 61</t>
  </si>
  <si>
    <t>โครงการแลกเปลี่ยนนักศึกษากับมหาวิทยาลัยในต่างประเทศ</t>
  </si>
  <si>
    <t>31 มี.ค. 61-2 ส.ค. 61</t>
  </si>
  <si>
    <t>โครงการเย้าเยือนมหาวิทยาลัยต่างประเทศ</t>
  </si>
  <si>
    <t>โครงการแลกเปลี่ยนนักศึกษาฝึกสอนกับมหาวิทยาลัยคู่สัญญา</t>
  </si>
  <si>
    <t>โครงการจัดกิจกรรมด้านวิชาการร่วมกับเครือข่าย (การร่วมจัด Symposium of International Languages and Knowledge SILK-2018)</t>
  </si>
  <si>
    <t>29 มี.ค. 61-31 มี.ค. 61</t>
  </si>
  <si>
    <t>โครงการสัมมนาเชิงปฏิบัติการ ยกระดับคุณภาพการประเมินคุณภาพการศึกษาภายใน ระดับหลักสูตรและขอขึ้นทะเบียน TQR</t>
  </si>
  <si>
    <t>25 พ.ย 60</t>
  </si>
  <si>
    <t>โครงการตรวจประเมินคุณภาพการศึกษาภายใน ระดับสถาบัน ประจำปีการศึกษา 2560</t>
  </si>
  <si>
    <t>6 ก.ย. 61-7 ก.ย. 61</t>
  </si>
  <si>
    <t>โครงการพัฒนาทักษะภาษาอังกฤษภาคฤดูร้อน (International Soft Skill</t>
  </si>
  <si>
    <t>15 พ.ย 60-19 พ.ย 60</t>
  </si>
  <si>
    <t>โครงการสร้างเสริมคุณธรรม จริยธรรมและปลูกฝังวินัยนักศึกษา</t>
  </si>
  <si>
    <t>084-3124488</t>
  </si>
  <si>
    <t>โครงการจัดการขยะอิเล็กทรอนิกส์</t>
  </si>
  <si>
    <t>1. ความพึงพอใจของผู้เข้าร่วมโครงการ ไม่น้อยกว่าร้อยละ 81</t>
  </si>
  <si>
    <t>081-7384008</t>
  </si>
  <si>
    <t>18 มิ.ย. 61-22 มิ.ย. 61</t>
  </si>
  <si>
    <t>โครงการพัฒนาวัด สืบสานวัฒนธรรม และบำเพ็ญประโยชน์ต่อสังคม</t>
  </si>
  <si>
    <t>087-2912560</t>
  </si>
  <si>
    <t>โครงการปฐมนิเทศนักศึกษา ระดับบัณฑิตศึกษา ปีการศึกษา 2561</t>
  </si>
  <si>
    <t>090-7137440</t>
  </si>
  <si>
    <t>โครงการปฐมนิเทศนักศึกษาฝึกงานฤดูร้อน ประจำปีการศึกษา 2560</t>
  </si>
  <si>
    <t>089-1208839</t>
  </si>
  <si>
    <t>โครงการปัจฉิมนิเทศนักศึกษาฝึกงานฤดูร้อน ประจำปีการศึกษา 2560</t>
  </si>
  <si>
    <t>โครงการอบรมความพร้อมทางวิชาการในการสอบขอรับใบอนุญาตเป็นผู้ประกอบวิชาชีพวิศวกรรมควบคุมระดับภาคีวิศวกร</t>
  </si>
  <si>
    <t>084-3124455</t>
  </si>
  <si>
    <t>โครงการค่ายฝึกภาคสนามงานสำรวจ (Field Survey Camp) : กิจกรรมย่อยที่ 1 หลักสูตรสาขาวิชาวิศวกรรมโยธา</t>
  </si>
  <si>
    <t>19 มี.ค. 61-28 มี.ค. 61</t>
  </si>
  <si>
    <t>081-9595878</t>
  </si>
  <si>
    <t>โครงการศึกษาดูงานภาคอุตสาหกรรมสิ่งทอของนักศึกษาและบุคลากร</t>
  </si>
  <si>
    <t>18 มี.ค. 61-23 มี.ค. 61</t>
  </si>
  <si>
    <t>1. ผู้เข้าร่วมโครงการได้รับการพัฒนาทักษะวิชาชีพเฉพาะทางและเพิ่มความเชี่ยวชาญในวิชาชีพเพิ่มมากขึ้น</t>
  </si>
  <si>
    <t>084-1960479</t>
  </si>
  <si>
    <t>โครงการฝึกอบรมซ่อมบำรุงอากาศยานในต่างประเทศ</t>
  </si>
  <si>
    <t>10 ต.ค 60-13 ก.พ. 61</t>
  </si>
  <si>
    <t>1. ผู้เข้าร่วมโครงการสามารถนำความรู้ไปใช้ประดยชน์ได้อยู่ในระดับมาก</t>
  </si>
  <si>
    <t>084-3124466</t>
  </si>
  <si>
    <t>โครงการพัฒนาโครงงาน/สิ่งประดิษฐ์ นักศึกษาคณะวิศวกรรมศาสตร์ : โครงการย่อยที่ 1 เครื่องกลเติมลมอากาศแบบอัตโนมัติด้วยพลังงานแสงอาทิตย์แสดงผลผ่านระบบอินเตอร์เน็ต</t>
  </si>
  <si>
    <t>เม.ย. 61-ส.ค. 61</t>
  </si>
  <si>
    <t>16 ก.ค. 61-31 ส.ค. 61</t>
  </si>
  <si>
    <t>1. ได้เครื่องกลเติมอากาศอัตโนมัติด้วยพลังงานแสงอาทิตย์ ผ่านระบบอินเตอร์เน็ตเพื่อใช้ในการบำบัดน้ำเสีย</t>
  </si>
  <si>
    <t>1. ได้ เครื่องกลเติมลมอากาศแบบอัตโนมัติด้วยพลังงานแสงอาทิตย์แสดงผลผ่านระบบอินเตอร์เน็ต</t>
  </si>
  <si>
    <t>081-5953118</t>
  </si>
  <si>
    <t>โครงการพัฒนาโครงงาน/สิ่งประดิษฐ์ นักศึกษาคณะวิศวกรรมศาสตร์ : โครงการย่อยที่ 2 เครื่องแจ้งปริมาณการใช้พลังงานไฟฟ้าผ่านไลน์แอปพลิเคชั่น</t>
  </si>
  <si>
    <t>18 มิ.ย. 61-31 ส.ค. 61</t>
  </si>
  <si>
    <t>1. สามรถช่วยลดเวลาในการทำงานและเพิ่มคุณภาพชีวิตตามยุค Thailaind 4.0</t>
  </si>
  <si>
    <t>1. ได้ต้นแบบเครื่องแจ้งปริมาณการใช้พลังงานไฟฟ้าผ่านไลน์แอปพลิเคชั่น</t>
  </si>
  <si>
    <t>089-4701442</t>
  </si>
  <si>
    <t>โครงการพัฒนาโครงงาน/สิ่งประดิษฐ์ นักศึกษาวิศวกรรมศาสตร์ : โครงการย่อยที่ 3 การออกแบบและสร้างเครื่องเจาะดินขนาดหลุมเจาะ 250 มิลลิเมตร</t>
  </si>
  <si>
    <t>12 มี.ค. 61-31 ส.ค. 61</t>
  </si>
  <si>
    <t>1. เครื่องเจาะดิน มีความสามารถในการเจาะดินขนาดหลุมเจาะ เส้นผ่าศูนย์กลาง 250 มิลลิเมตร (10 นิ้ว) ต้นกำลังที่ใช้ เครื่องยนต์ขนาด 4 แรงม้า</t>
  </si>
  <si>
    <t>1. ได้เครื่องเจาะดินขนาดหลุมเจาะ 250 มิลลิเมตร 1 เครื่อง</t>
  </si>
  <si>
    <t>080-5429023</t>
  </si>
  <si>
    <t>โครงการพัฒนาโครงงาน/สิ่งประดิษฐ์ นักศึกษาวิศวกรรมศาสตร์ : โครงการย่อยที่ 4 ระบบดูแลตู้ปลาสวยงามอัจฉริยะควบคุมระยะไกลผ่านเครือข่ายอินเตอร์เน็ต</t>
  </si>
  <si>
    <t>1. มีความสะดวก และสามารถดูข้อมูลและสั่งการได้จากระยะไกล ทุกๆพื้นที่</t>
  </si>
  <si>
    <t>1. ได้ระบบดูแลตู้ปลาสวยงามอัจฉริยะควบคุมระยะไกลผ่านเครือข่ายอินเตอร์เน็ต 1 ระบบ</t>
  </si>
  <si>
    <t>093-5827525</t>
  </si>
  <si>
    <t>โครงการพัฒนาโครงงาน/สิ่งประดิษฐ์ นักศึกษาวิศวกรรมศาสตร์ : โครงการย่อยที่ 5 ต้นแบบชุดทดสอบประสิทธิภาพการถ่ายเทความร้อน</t>
  </si>
  <si>
    <t>1. สามารถทราบถึงปัจจัยของการผลิตไฟฟ้าด้วยชุดเทอร์โมอิเล็กทริกในอุปกรณ์แลกเปลี่ยนความร้อนแบบเปลือกและท่อ ที่มีผลต่อการถ่ายเทความร้อน</t>
  </si>
  <si>
    <t>1. ได้ชุดทดสอบประสิทธิภาพการถ่ายเทความร้อน 1ชุด</t>
  </si>
  <si>
    <t>086-6856747</t>
  </si>
  <si>
    <t>โครงการพัฒนาโครงงาน/สิ่งประดิษฐ์ นักศึกษาวิศวกรรมศาสตร์ : โครงการย่อยที่ 6 การป้องกันอุบัติเหตุทางถนนจากการลื่นด้วยการฉาบผิวจากเศษวัสดุแอสฟัลต์ที่ได้จากการขูดไส</t>
  </si>
  <si>
    <t>1. แรงเสียดทานของผิวถนนเพิ่มขึ้นอย่างน้อยร้อยละ 30 และโอกาสการลื่นไถลลดลงอย่างน้อยร้อยละ 30</t>
  </si>
  <si>
    <t>1. ได้วัสดุฉาบผิวที่เพิ่มแรงเสียดทานจากเศษวัสดุแอสฟัลต์ที่ได้จากการขูดไส 1 ชิ้น</t>
  </si>
  <si>
    <t>088-3403799</t>
  </si>
  <si>
    <t>โครงการพัฒนาโครงงาน/สิ่งประดิษฐ์ นักศึกษาวิศวกรรมศาสตร์ : โครงการย่อยที่ 7 เครื่องตัดหญ้าควบคุมด้วยรีโมทคอนโทรล</t>
  </si>
  <si>
    <t>1. เครื่องตัดหญ้าควบคุมด้วยรีโมทคอนโทรลสามารถใช้ตัดหญ้าในสนามฟุตบอล</t>
  </si>
  <si>
    <t>1. ได้เครื่องตัดหญ้าควบคุมด้วยรีโมทคอนโทรล 1 เครื่อง</t>
  </si>
  <si>
    <t>087-4768844</t>
  </si>
  <si>
    <t>โครงการพัฒนาโครงงาน/สิ่งประดิษฐ์ นักศึกษาวิศวกรรมศาสตร์ : โครงการย่อยที่ 8 การพัฒนาต้นแบบเรือเก็บแหน</t>
  </si>
  <si>
    <t>1. เรือเก็บจอกแหนสามารถควบคุมด้วยรีโมทคอนโทรล และขับเคลื่อนด้วยพลังงานร่วมระหว่างแบตเตอรี่และโซล่าเซล</t>
  </si>
  <si>
    <t>1. ได้เครื่องต้นแบบเรือเก็บแหน 1 เครื่อง</t>
  </si>
  <si>
    <t>โครงการพัฒนาโครงงาน/สิ่งประดิษฐ์ นักศึกษาวิศวกรรมศาสตร์ : โครงการย่อยที่ 9 เครื่องตัดลวดความร้อนระบบ 4 แกนควบคุมด้วยระบบซีเอ็นซี</t>
  </si>
  <si>
    <t>1. ได้เครื่องตัดลวดความร้อนระบบ 4 แกนควบคุมด้วยระบบซีเอ็นซี สามารถใช้ตัดโฟมชนิดต่างๆได้อย่างแม่นยำและเที่ยงตรง</t>
  </si>
  <si>
    <t>1. ได้เครื่องตัดลวดความร้อนระบบ 4 แกนควบคุมด้วยระบบซีเอ็นซี 1 เครื่อง</t>
  </si>
  <si>
    <t>โครงการพัฒนาโครงงาน/สิ่งประดิษฐ์ นักศึกษาวิศวกรรมศาสตร์ : โครงการย่อยที่ 10 เครื่องย่อยขวดพลาสติกสำหรับครัวเรือน</t>
  </si>
  <si>
    <t>1. ได้เครื่องย่อยขวดพลาสติกสำหรับครัวเรือน ที่สามารถย่อยขวดได้ 3 ชนิด</t>
  </si>
  <si>
    <t>1. ได้เครื่องย่อยขวดพลาสติกสำหรับครัวเรือน 1 เครื่อง</t>
  </si>
  <si>
    <t>089-7337750</t>
  </si>
  <si>
    <t>โครงการพัฒนาโครงงาน/สิ่งประดิษฐ์ นักศึกษาวิศวกรรมศาสตร์ : โครงการย่อยที่ 11 เครื่องอบแห้งยางพาราแผ่นดิบพลังงานแสงอาทิตย์</t>
  </si>
  <si>
    <t>6 ส.ค. 61-31 ส.ค. 61</t>
  </si>
  <si>
    <t>1. เพื่อเพิ่มคุณภาพยางพาราแผ่นดิบจากการอบแห้งด้วยเครื่องอบแห้งพลังงานแสงอาทิตย์</t>
  </si>
  <si>
    <t>1. ได้เครื่องอบแห้งยางพาราแผ่นดิบพลังงานแสงอาทิตย์ 1 เครื่อง</t>
  </si>
  <si>
    <t>089-5977292</t>
  </si>
  <si>
    <t>โครงการพัฒนาโครงงาน/สิ่งประดิษฐ์ นักศึกษาวิศวกรรมศาสตร์ : โครงการย่อยที่ 12 เครื่องอัดขึ้นรูปพลาสติก</t>
  </si>
  <si>
    <t>17 ส.ค. 61-31 ส.ค. 61</t>
  </si>
  <si>
    <t>1. ได้เครื่องอัดขึ้นรูปพลาสติก ที่สามารถอัดเศษพลาสติกที่ได้รับการย่อย ผ่านชุด extrusion จนได้เส้นพลาสติกที่นำมาขดเป็นม้วนได้</t>
  </si>
  <si>
    <t>1. ได้เครื่องอัดขึ้นรูปพลาสติก 1 เครื่อง</t>
  </si>
  <si>
    <t>โครงการพัฒนาโครงงาน/สิ่งประดิษฐ์ นักศึกษาวิศวกรรมศาสตร์ : โครงการย่อยที่ 13 การพัฒนาเตาหลอมขนาดห้องปฏิบัติการสำหรับโลหะโดยใช้ระบบความต้านทานไฟฟ้า</t>
  </si>
  <si>
    <t>1. สามารนำเตาหลอมขนาดห้องปฏิบัติการสำหรับโลหะโดยใช้ระบบความต้านทานไฟฟ้าที่พัฒนาขึ้นมาไปใช้ในการหลอมและหล่อขึ้นรูปโลหะชนิดต่างๆได้อย่างมีประสิทธิภาพ</t>
  </si>
  <si>
    <t>1. ได้เตาหลอมขนาดห้องปฏิบัติการสำหรับโลหะโดยใช้ระบบความต้านทานไฟฟ้า 1 เครื่อง</t>
  </si>
  <si>
    <t>085-8976802</t>
  </si>
  <si>
    <t>โครงการพัฒนาโครงงาน/สิ่งประดิษฐ์ นักศึกษาวิศวกรรมศาสตร์ : โครงการย่อยที่ 14 การพัฒนาเตาอบชุบความร้อนขนาดห้องปฏิบัติการสำหรับโลหะโดยใช้ระบบความต้านทานไฟฟ้า</t>
  </si>
  <si>
    <t>1. สามารนำเตาอบชุบความร้อนขนาดห้องปฏิบัติการสำหรับโลหะโดยใช้ระบบความต้านทานไฟฟ้าที่พัฒนาขึ้นมาไปใช้ในการอบชุบโลหะชนิดต่างๆได้อย่างมีประสิทธิภาพ</t>
  </si>
  <si>
    <t>1. ได้เตาอบชุบความร้อนขนาดห้องปฏิบัติการสำหรับโลหะโดยใช้ระบบความต้านทานไฟฟ้า 1 เครื่อง</t>
  </si>
  <si>
    <t>โครงการพัฒนาโครงงาน/สิ่งประดิษฐ์ นักศึกษาวิศวกรรมศาสตร์ : โครงการย่อยที่ 15 ห้องน้ำสำเร็จรูปจากคอนกรีตผสมวัสดุรีไซเคิลเพื่อผู้ประสบภัย</t>
  </si>
  <si>
    <t>089-7574263</t>
  </si>
  <si>
    <t>โครงการพัฒนาโครงงาน/สิ่งประดิษฐ์ นักศึกษาวิศวกรรมศาสตร์ : โครงการย่อยที่ 16 ชุดทดสอบพฤติกรรมรับน้ำหนักบรรทุกแบบสถิตยศาสตร์ของชิ้นส่วนคาน-เสา</t>
  </si>
  <si>
    <t>1. สร้างความมั่นใจในการใช้งานและนำพาความปลอดภัยมาสู่สาธารณะชนที่ใช้ประโยชน์ในโครงสร้าง</t>
  </si>
  <si>
    <t>1. ได้ชุดทดสอบพฤติกรรมรับน้ำหนักบรรทุกแบบสถิตยศาสตร์ของชิ้นส่วนคาน-เสา 1 ชุด</t>
  </si>
  <si>
    <t>081-9796859</t>
  </si>
  <si>
    <t>โครงการพัฒนาโครงงาน/สิ่งประดิษฐ์ นักศึกษาวิศวกรรมศาสตร์ : โครงการย่อยที่ 17 ตู้ฟักไข่อัตโนมัติ</t>
  </si>
  <si>
    <t>1. สามารถสร้างตู้ต้นแบบที่ใช้ฟักไข่อัตโนมัติได้</t>
  </si>
  <si>
    <t>1. ได้ตู้ฟักไข่อัตโนมัติ 1 ตู้</t>
  </si>
  <si>
    <t>081-5691355</t>
  </si>
  <si>
    <t>โครงการพัฒนาโครงงาน/สิ่งประดิษฐ์ นักศึกษาวิศวกรรมศาสตร์ : โครงการย่อยที่ 18 ระบบตู้จดหมายอัจฉริยะผ่านการแจ้งเตือนทางแอปพลิเคชั่นไลน์</t>
  </si>
  <si>
    <t>1. ได้ตู้จดหมายที่สามารถรับเอกสารต่างๆ และสามารถแจ้งเตือนเจ้าของตู้จดหมายได้ ผ่านแอปพลิเคชั่นไลน์</t>
  </si>
  <si>
    <t>1. ได้ระบบตู้จดหมายอัจฉริยะผ่านการแจ้งเตือนทางแอปพลิเคชั่นไลน์ 1 ตู้</t>
  </si>
  <si>
    <t>087-3459051</t>
  </si>
  <si>
    <t>โครงการค่ายฝึกภาคสนามงานสำรวจ (Field Survey Camp) : กิจกรรมย่อยที่ 2 หลักสูตรสาขาวิชาวิศวกรรมสำรวจ</t>
  </si>
  <si>
    <t>โครงการเข้าร่วมแข่งขันทักษะทางวิชาการ : กิจกรรมย่อยที่ 1 การแข่งขันสะพานเหล็กระดับอุดมศึกษา ชิงถ้วยพระราชทาน สมเด็จพระเทพพระรัตนราชสุดาฯ สยามบรมราชกุมารี</t>
  </si>
  <si>
    <t>8 พ.ย 60-10 พ.ย 60</t>
  </si>
  <si>
    <t>โครงการนิทรรศการวิชาการศรีวิชัยแฟร์ 2018</t>
  </si>
  <si>
    <t>โครงการเข้าร่วมแข่งขันทักษะทางวิชาการ : กิจกรรมย่อยที่2 การแข่งขันราชมงคลวิชาการวิสวกรรม ครั้งที่ 10</t>
  </si>
  <si>
    <t>1. ผู้เข้าร่วมโครงการทุกคนบอกประเด็นความรู้หรือประสบการณ์ที่ได้รับเพิ่ใมขึ้น อย่างน้อย 1 เรื่อง</t>
  </si>
  <si>
    <t>โครงการเข้าร่วมแข่งขันทักษะทางวิชาการ : กิจกรรมย่อยที่ 3 การแข่งขันเพื่อสร้างสรรค์วิชาการด้านโครงสร้างด้วยไม้ไอศกรีมสายงานวิศวกรรมโยธา ครั้งที่ 12</t>
  </si>
  <si>
    <t>14 ก.พ. 61-16 ก.พ. 61</t>
  </si>
  <si>
    <t>1. ผู้เข้าร่วมทุกคนบอกประเด็นความรู้หรือประสบการณ์ที่ได้รับเพิ่มขึ้น อย่างน้อย 1 เรื่อง</t>
  </si>
  <si>
    <t>โครงการศึกษาดูงานสำหรับนักศึกษาหลักสูตรสาขาวิชาวิศวกรรมไฟฟ้าเพื่อพัฒนาวิชาชีพ</t>
  </si>
  <si>
    <t>085-0537350</t>
  </si>
  <si>
    <t>1. อย่างน้อนร้อยละ 80 ของผู้เข้าร่วมโครงการได้รับความรู้เพิ่มขึิน</t>
  </si>
  <si>
    <t>โครงการฝึกอบรมการป้องกันการบรรเทาอัคคีภัยภายในอาคารเรียนรวมศรีวิศววิทยา</t>
  </si>
  <si>
    <t>1. อย่างน้อยร้อยละ 80 ผู้เข้าร่วมโครงการได้รับความรู้เพิ่มขึ้น</t>
  </si>
  <si>
    <t>โครงการพัฒนาศักยภาพบุคลากรคณะวิศวกรรมศาสตร์ : โครงการย่อยที่ 2 โครงการสร้างยุทธศาสตร์เพื่อพัฒนาตนเอง และกำหนดเป้าหมายในการพัฒนางานสายสนับสนุน</t>
  </si>
  <si>
    <t>16 พ.ค 61-18 พ.ค 61</t>
  </si>
  <si>
    <t>โครงการพัฒนาศักยภาพบุคลากรคณะวิศวกรรมศาสตร์ : โครงการย่อยที่ 3 โครงการสัมมนาเชิงปฏิบัติการพัฒนาศักยภาพและการวางแผนการปฏิบัติงานของบุคลากรสายวิชาการ</t>
  </si>
  <si>
    <t>1. อย่างน้อยร้อยละ 80 ของผู้เข้าร่วมโครงการไ ด้รับความรู้เพิ่มขึ้น</t>
  </si>
  <si>
    <t>062-5155264</t>
  </si>
  <si>
    <t>โครงการอบรมเชิงปฏิบัติการ เรื่องโปรแกรมคอมพิวเตอร์สำหรับนักศึกษาแบบเข้มข้น (Intensive Couse) เพื่อเตรียมความพร้อมในการสอบสมถรรนะ</t>
  </si>
  <si>
    <t>23 พ.ค 61-25 พ.ค 61</t>
  </si>
  <si>
    <t>โครงการศึกษาดูงานด้านระบบการผลิตกระแสไฟฟ้าและเทคโนโลยีโทรคมนาคมศูนย์ควบคุมการบิน</t>
  </si>
  <si>
    <t>1. ผู้เข้าร่วมโครงการได้รับการพัฒนาทักษะวิชาชีพเฉพาะทางและเพิ่มความเชี่ยวชาญวิชาชีพมากขึ้น</t>
  </si>
  <si>
    <t>1. มีกิจกรรมแลกเปลี่ยนเรียนรู้ประสบการณ์</t>
  </si>
  <si>
    <t>081-9341279</t>
  </si>
  <si>
    <t>โครงการพัฒนาศักยภาพนักศึกษาคณะวิศวกรรมศาสตร์</t>
  </si>
  <si>
    <t>โครงการศึกษาดูงานระบบร่วมผลิตกำลังและความร้อนร่วม (Cogeneration) และกระบวนการผลิตในอุตสาหกรรมผลิตและส่งออกผลิตภัณฑ์วัสดุทดแทนไม้</t>
  </si>
  <si>
    <t>โครงการการศึกษาดูงานภาคอุตสาหกรรมของนักศึกษาวิศวกรรมอุตสาหการ</t>
  </si>
  <si>
    <t>089-6570721</t>
  </si>
  <si>
    <t>1. ผู้เข้าร่วมโครงการทุกคนบอกประเด็นความรู้หรือประสบการณ์ที่ได้รับเพิ่มขึ้นอย่างน้อย 1 รางวัล</t>
  </si>
  <si>
    <t>โครงการสัมมนาเชิงปฏิบัติการ การตรวจประเมินคุณภาพการศึกษาภายในระดับหลักสูตร ประจำปีการศึกษา 2560</t>
  </si>
  <si>
    <t>16 ก.ค. 61-30 ก.ค. 61</t>
  </si>
  <si>
    <t>โครงการสัมมนาเชิงปฏิบัติการ การตรวจประเมินคุณภาพการศึกษาภายในระดับคณะ ประจำปีการศึกษา 2560</t>
  </si>
  <si>
    <t>โครงการประชุมวิชาการทางวิทยาศาสตร์ วิศวกรรมศาสตร์และทรัพยากร ประจำปี 2561</t>
  </si>
  <si>
    <t>โครงการพัฒนาศักยภาพบุคลากรคณะวิศวกรรมศาสตร์ : โครงการย่อยที่ 1 โครงการแข่งขันกีฬาบุคลากรสัมพันธ์</t>
  </si>
  <si>
    <t>โครงการจัดประชุมวิชาการราชมงคลด้านเทคโนโลยีการผลิตและการจัดการ ประจำปี 2561</t>
  </si>
  <si>
    <t>โครงการศึกษาดูงานต่างประเทศ ประจำปีการศึกษา 2560:กิจกรรมย่อยที่ 1 อบรมทักษะด้านการสื่อสาร พหุศิลปะและวัฒนธรรม ในประชาคมอาเซียนระดับบัณฑิตศึกษา</t>
  </si>
  <si>
    <t>089-5024964</t>
  </si>
  <si>
    <t>โครงการศึกษาดูงานต่างประเทศ ประจำปีการศึกษา 2560:กิจกรรมย่อยที่ 2 ศึกษาดูงานและสร้างเครือข่ายความร่วมมือด้านวิชาการ กับสาขาวิชาวิศวกรรมโยธา</t>
  </si>
  <si>
    <t>29 ส.ค. 61-31 ส.ค. 61</t>
  </si>
  <si>
    <t>โครงการฝึกอบรมเชิงปฏิบัติการ เรื่อง ระเบียบในการปฏิบัติงานและการเบิกจ่ายของบุคลากร คณะวิศวกรรมศาสตร์</t>
  </si>
  <si>
    <t>โครงการพัฒนาศักยภาพนักศึกษาตามแนวนโยบายสถานศึกษา 3 ดี</t>
  </si>
  <si>
    <t>โครงการแข่งขันโครงร่างปริญญานิพนธ์นักศึกษา คณะวิศวกรรมศาสตร์</t>
  </si>
  <si>
    <t>22 มี.ค. 61-24 มี.ค. 61</t>
  </si>
  <si>
    <t>โครงการพัฒนาทักษะวิชาชีพและความเชี่ยวชาญด้านวิศวกรรม สำหรับบุคลากรในสถานประกอบการ</t>
  </si>
  <si>
    <t>โครงการส่งเสริมและพัฒนานักศึกษานำเสนอผลงานระดับชาติ</t>
  </si>
  <si>
    <t>23 ก.ค. 61-25 ก.ค. 61</t>
  </si>
  <si>
    <t>โครงการงานอนุรักษ์และใช้ประโยชน์จากกล้วยพื้นเมืองสู่การเป็นนวัตกรรมเพื่อชุมชน</t>
  </si>
  <si>
    <t>10 เม.ย. 61-30 มิ.ย. 61</t>
  </si>
  <si>
    <t>1. ชุมชนสามารถนำไปใช้งานได้จริง</t>
  </si>
  <si>
    <t>1. ได้เครื่องอัดขึ้นรูปวัสดุเหลือใช้ทางการเกษตร จำนวน 1 เครื่อง</t>
  </si>
  <si>
    <t>2. ชุมชนสามารถสร้างรายได้จากการขายบรรจุภัณฑ์จากใยกล้วย</t>
  </si>
  <si>
    <t>2. ได้ผลิตภัณฑ์จากใยกล้วย จำนวน 2 ผลิตภัณฑ์</t>
  </si>
  <si>
    <t>3. สร้างผลงานที่เป็นเอกลักษณ์ของชุมชนหรือพื้นที่ได้จากใยกล้วย</t>
  </si>
  <si>
    <t>โครงการให้บริการวิชาการสร้างความเข้มแข็งแก่ศุนย์การเรียนรู้วิถี โหนด นา เลเพื่อรองรับมาตรฐานโรงเรือน โดยใช้หลักการวิศวกรรมโยธา (ภายใต้โครงการยกระดับคุณภาพชีวิตชุมชนแบบมีส่วนร่วมสุ่แหล่งเรียนรู้ ภูมิปัญญาท้องถิ่นต้นแบบของจังหวัดสงขลา)</t>
  </si>
  <si>
    <t>1. ชุมชนสามารถนำความรูัที่ได้รับไปประกอบเป็นอาชีพได้จริง</t>
  </si>
  <si>
    <t>1. พัฒนาชุมชน และเสริมสร้างอาชีพแก่ชุมชนเพื่อให้เกิดความเข้มแข็ง และพึ่งตนเองได้</t>
  </si>
  <si>
    <t>โครงการอบรมเชิงปฏิบัติการการประยุกต์ใช้กล้องประมวลผลรวมในงานสำรวจ</t>
  </si>
  <si>
    <t>30 ก.ค. 61-1 ส.ค. 61</t>
  </si>
  <si>
    <t>1. ผู้เข้าอบรมนำความรู้ไปใช้ประโยชน์ได้</t>
  </si>
  <si>
    <t>1. ผู้เข้ารับการฝึกอบรมมีความสามารถในการใช้งานกล้องประมวลผลรวม</t>
  </si>
  <si>
    <t>081-5419428</t>
  </si>
  <si>
    <t>2. ผู้เข้าร่วมโครงการสามารถนำความรู้ไปใช้ได้อยู่ในระดับมาก</t>
  </si>
  <si>
    <t>โครงการอบรมเชิงปฏิบัติการ เรื่อง การใช้โปรแกรมคอมพิวเตอร์ช่วยในการผลิตชิ้นส่วนด้วยเครื่องกลึงซีเอ็นซี</t>
  </si>
  <si>
    <t>22 มิ.ย. 61-24 มิ.ย. 61</t>
  </si>
  <si>
    <t>1. ผู้เข้าอบรมนำความรู้ไปใช้ประโยชน์ได้ไม่น้อยกว่า 3 คน</t>
  </si>
  <si>
    <t>1. ผู้เข้าร่วมอบรมมีความรู้และทักษะเบื้องต้นในการใช้โปรแกรมคอมพิวเตอร์ช่วยในการผลิตด้วยเครื่องกลึงซีเอ็นซีได้</t>
  </si>
  <si>
    <t>โครงการเมืองท่าข้ามเมืองแห่งนวัตกรรมด้านอาหาร (Thakham of Food Innopolis):กิจกรรมย่อยที่ 1 การให้บริการทางวิชาการ การออกแบบและสร้างเครื่องสไลด์แผ่นมันสำปะหลัง</t>
  </si>
  <si>
    <t>1. ชุมชนนำเครื่องไปใช้งานจริง</t>
  </si>
  <si>
    <t>1. ชุมชนได้รับเครื่องสไลด์แผ่นมันสำปะหลัง 1 เครื่อง</t>
  </si>
  <si>
    <t>081-7664253</t>
  </si>
  <si>
    <t>โครงการเมืองท่าข้ามเมืองแห่งนวัตกรรมด้านอาหาร (Thakham of Food Innopolis):กิจกรรมย่อยที่ 2 การให้บริการทางวิชาการ การออกแบบและสร้างเครื่องล้างขัดผิวมันเทศสีม่วง</t>
  </si>
  <si>
    <t>1. ชุมชนได้รับเครื่องล้างขัดผิวมันเทศสีม่วง 1 เครื่อง</t>
  </si>
  <si>
    <t>โครงการเมืองท่าข้ามเมืองแห่งนวัตกรรมด้านอาหาร (Thakham of Food Innopolis):กิจกรรมย่อยที่ 3 การอบรมเชิงปฏิบัติการ การแปรรูปเศษมันสำปะหลังให้เป็นผลิตภัณฑ์</t>
  </si>
  <si>
    <t>1. ชุมชนสามารถนำผลิตภัณฑ์ไปขายได้</t>
  </si>
  <si>
    <t>1. ชุมชนได้รับผลิตภัณฑ์จากเศษมันสำปะหลัง 2 รายการ</t>
  </si>
  <si>
    <t>โครงการเมืองท่าข้ามเมืองแห่งนวัตกรรมด้านอาหาร (Thakham of Food Innopolis):กิจกรรมย่อยที่ 4 การให้บริการทางวิชาการ การพัฒนาระบบสารสนเทศเพื่อส่งเสริมสินค้า ชุมชนตำบลท่าข้าม</t>
  </si>
  <si>
    <t>1. ชุมชนสามารถขายผลิตภัณฑ์ผ่านระบบสารสนเทศขายได้</t>
  </si>
  <si>
    <t>1. ชุมชนได้รับระบบสารสนเทศ</t>
  </si>
  <si>
    <t>089-8694163</t>
  </si>
  <si>
    <t>โครงการเมืองท่าข้ามเมืองแห่งนวัตกรรมด้านอาหาร (Thakham of Food Innopolis):กิจกรรมย่อยที่ 5 การให้บริการทางวิชาการ การเก็บข้อมูลพื้นฐานแผนที่เส้นทางท่องเที่ยวเชิงเกษตร</t>
  </si>
  <si>
    <t>25 ก.ค. 61-27 ก.ค. 61</t>
  </si>
  <si>
    <t>1. ชุมชนพัฒนาพื้นที่เป็นการท่องเที่ยวเชิงเกษตร</t>
  </si>
  <si>
    <t>1. ชุมชนได้รับข้อมูลพื้นฐานในการสร้างแผนที่เส้นทางท่องเที่ยวเชิงเกษตร</t>
  </si>
  <si>
    <t>โครงการสัมมนาเชิงปฏิบัติการจัดทำรายละเอียดรายวิชาวิศวกรรมเครื่องกล (ภายใต้โครงการผลิตกำลังคนด้านการขนส่งทางน้ำ)</t>
  </si>
  <si>
    <t>13 มี.ค. 61-15 มี.ค. 61</t>
  </si>
  <si>
    <t>061-6253964</t>
  </si>
  <si>
    <t>โครงการอบรมเชิงปฏิบัติการจัดทำระบบมาตรฐานคุณภาพ ISO 9001 : 2015 กิจกรรมย่อยที่ 1 การอบรมเชิงปฏิบัติการเทคนิคการตรวจติดตามคุณภาพภายใน (ภายใต้โครงการผลิตกำลังคนด้านการขนส่งทางน้ำ)</t>
  </si>
  <si>
    <t>14 ก.พ. 61-15 ก.พ. 61</t>
  </si>
  <si>
    <t>1. อย่างน้อยร้อยละ 80 ของผู้เข้าร่วมโครงการได้รับความรุ้เพิ่มขึ้น</t>
  </si>
  <si>
    <t>082-4388608</t>
  </si>
  <si>
    <t>โครงการอบรมเชิงปฏิบัติการจัดทำระบบมาตรฐานคุณภาพ ISO 9001 : 2015 กิจกรรมย่อยที่ 2 ปฏิบัติการตรวจรับรองมาตราฐาน ISO 9001 : 2015 หน่วยตรวจประเมินภายใน (ภายใต้โครงการผลิตกำลังคนด้านการขนส่งทางน้ำ)</t>
  </si>
  <si>
    <t>27 ส.ค. 61-28 ส.ค. 61</t>
  </si>
  <si>
    <t>โครงการศึกษาดูงานทางด้านระบบขนส่งทางน้ำ (ภายใต้โครงการผลิตกำลังคนด้านการขนส่งทางน้ำ)</t>
  </si>
  <si>
    <t>24 เม.ย. 61-25 เม.ย. 61</t>
  </si>
  <si>
    <t>1. ได้เครือข่ายระดับหน่วยงานด้านพาณิชย์นาวี</t>
  </si>
  <si>
    <t>1. 80% ของบุคลากรผู้สอนในหลักสูตรสาขาวิชาวิศวกรรมเครื่องกลเรือด้านระบบขนส่งทางน้ำ ได้รับการพัฒนาประสบการณ์ด้านพาณิชย์นาวี</t>
  </si>
  <si>
    <t>โครงการอบรมเชิงปฏิบัติการเพื่อพัฒนาทักษะด้านภาษาต่างประเทศแก่นักศึกษาแบบเข้มข้น</t>
  </si>
  <si>
    <t>29 พ.ค 61-2 มิ.ย. 61</t>
  </si>
  <si>
    <t>โครงการส่งเสริมและพัฒนานักศึกษาประกวดสิ่งประดิษฐ์และนวัตกรรมในการประชุมวิชาการระดับชาติ มหาวิทยาลัยเทคโนโลยีราชมงคลศรีวิชัย ครั้งที่ 10 และการประชุมวิชาการระดับนานาชาติ มหาวิทยาลัยเทคโนโลยีราชมงคล ครั้งที่9</t>
  </si>
  <si>
    <t>1 ส.ค. 61-3 ส.ค. 61</t>
  </si>
  <si>
    <t>1. ผู้เข้าร่วมโครงการได้รับรางรัลจากการเข้าร่วมแข่งขัน อย่างน้อย 1 รางวัล</t>
  </si>
  <si>
    <t>1. ผู้เข้าร่วมโครงการทุกคนบอกประเด็นความรู้หรือประสบการณ์ที่ได้รับเพิ่มขึ้นอย่างน้อย 1 ประเด็น</t>
  </si>
  <si>
    <t>084-6331179</t>
  </si>
  <si>
    <t>โครงการแลกเปลี่ยนนักศึกษาฝึกงานชาวต่างประเทศ</t>
  </si>
  <si>
    <t>ก.ค. 61-ก.ย. 61</t>
  </si>
  <si>
    <t>16 ก.ค. 61-13 ก.ย. 61</t>
  </si>
  <si>
    <t>1. นักศึกษา และคณาจารย์ สามารถเพิ่มสมถรรนะทางวิชาการ วิจัย ในระดับนานาชาติ</t>
  </si>
  <si>
    <t>1. นักศึกษาชาวต่างประเทศสามารถปฏิบัติหน้าที่ผู้ช่วยสอน 1 รายวิชา</t>
  </si>
  <si>
    <t>โครงการส่งเสริมและพัฒนานักศึกษาประกวดสิ่งประดิษฐ์และนวัตกรรมในงาน มหกรรมวิจัยแห่งชาติ 2561 (Thailand Research Expo 2018) กิจกรรมการประกวดผลงานนวัตกรรมสายอุดมศึกษา ประจำปี 2561</t>
  </si>
  <si>
    <t>ส.ค. 61- 3</t>
  </si>
  <si>
    <t>9 ส.ค. 61-12 ส.ค. 61</t>
  </si>
  <si>
    <t>1. ผู้เข้าร่วมโครงการได้รับรางวัลจากการเข้าร่วมแข่งขัน อย่างน้อย 1 รางวัล</t>
  </si>
  <si>
    <t>1. ผู้เข้าร่วทโครงการทุกคนบอกประเด็นความรู้ หรือประสบการณ์ที่ได้รับเพิ่มขึ้นอย่างน้อย 1 ประเด็น</t>
  </si>
  <si>
    <t>1. นักวิจัยได้รับการสนับสนุนให้ดำเนินโครงการต่อไป ร้อยละ100</t>
  </si>
  <si>
    <t>1. นักวิจัยรายงานความก้าวหน้า เพือ่รับการประเมินโครงการวิจัย ครบถ้วน ร้อยละ 100</t>
  </si>
  <si>
    <t>089-6478858</t>
  </si>
  <si>
    <t>โครงการจัดทำแผนยุทธศาสตร์และแผนการปฏิบัติงานประจำปี</t>
  </si>
  <si>
    <t>18 พ.ย 60-20 พ.ย 60</t>
  </si>
  <si>
    <t>โครงการอบรมเตรียมความพร้อมสำหรับการสอบมาตรฐาน The Internet and Computing Core (IC3) Certificate</t>
  </si>
  <si>
    <t>18 ต.ค 60</t>
  </si>
  <si>
    <t>1. นักศึกษาได้รับความรุ้ความเข้าใจเกี่ยวกับ The Internet and Computing Core (IC3) Certificate</t>
  </si>
  <si>
    <t>โครงการนิทรรศการวิชาการราชมงคลศรีวิชัย 2018</t>
  </si>
  <si>
    <t>080-7191950</t>
  </si>
  <si>
    <t>โครงการตรวจติดตามกิจกรรม 5ส ประจำปีการศึกษา 2560 และการตรวจประเมินคุณภาพการศึกษา : กิจกรรมที่ 1 การตรวจติดตามกิจกรรม 5ส ประจำปีการศึกษา 2560 (ภายนอก)</t>
  </si>
  <si>
    <t>1 พ.ค 61</t>
  </si>
  <si>
    <t>1. ผู้เข้าร่วมโครงการมีความพึงพอใจต่อประโยชน์ที่ได้รับร้อยละ 80</t>
  </si>
  <si>
    <t>1. ผู้เข้าร่วมโครงการนำความรู้ไปใช้ประโยชน์ ร้อยละ 80</t>
  </si>
  <si>
    <t>โครงการตรวจติดตามกิจกรรม 5ส ประจำปีการศึกษา 2560 และการตรวจประเมินคุณภาพการศึกษา : กิจกรรมที่ 2 การตรวจประเมินคุณภาพภายในระดับหลักสูตร</t>
  </si>
  <si>
    <t>15 มิ.ย. 61-28 มิ.ย. 61</t>
  </si>
  <si>
    <t>โครงการตรวจติดตามกิจกรรม 5ส ประจำปีการศึกษา 2560 และการตรวจประเมินคุณภาพการศึกษา : กิจกรรมที่ 3 ตรวจประเมินคุณภาพการศึกษาภายใน ระดับคณะ</t>
  </si>
  <si>
    <t>โครงการพัฒนาศักยภาพบุคลากร</t>
  </si>
  <si>
    <t>21 พ.ค 61-26 พ.ค 61</t>
  </si>
  <si>
    <t>โครงการจัดทำและปรับปรุงหลักสูตรวิศวกรรมศาสตร์และเทคโนโลยี</t>
  </si>
  <si>
    <t>089-1193393</t>
  </si>
  <si>
    <t>โครงการพัฒนาคุณภาพงานประกันคุณภาพการศึกษา</t>
  </si>
  <si>
    <t>โครงการพัฒนาทักษะวิชาชีพสำหรับนักศึกษา</t>
  </si>
  <si>
    <t>1. ผู้เข้าร่วมโครงการนำความรู้ไปใช้ประโยชน์อยู่ในระดับมาก</t>
  </si>
  <si>
    <t>2 เม.ย. 61-30 เม.ย. 61</t>
  </si>
  <si>
    <t>1. มีกิจกรรมแลกเปลี่ยนเรียนรู้ประสบการณ์/ทักษะวิชาชีพ/วิชาการ ภายในหน่วยงาน</t>
  </si>
  <si>
    <t>โครงการเข้าค่ายคุณธรรมจริยธรรม</t>
  </si>
  <si>
    <t>โครงการทำนุบำรุงศิลปวัฒนธรรมและอนุรักษ์สิ่งแวดล้อม</t>
  </si>
  <si>
    <t>11 ก.ย. 61-12 ก.ย. 61</t>
  </si>
  <si>
    <t>089-8722069</t>
  </si>
  <si>
    <t>โครงการบริการวิชาการเพื่อสร้างความเข้มแข็งและยั่งยืนให้กับชุมชนตำบลบางหมาก จังหวัดตรัง : กิจกรรมย่อยที่ 1 การให้บริการวิชาการ ออกแบบเครื่องมือสำหรับเหลาก้านจาก</t>
  </si>
  <si>
    <t>2. จำนวนรายวิชาที่ใช้บูรณาการไม่น้อยกว่า 1 วิชา</t>
  </si>
  <si>
    <t>โครงการบริการวิชาการเพื่อสร้างความเข้มแข็งและยั่งยืนให้กับชุมชนตำบลบางหมาก จังหวัดตรัง : กิจกรรมย่อยที่ 2 การให้บริการวิชาการ การออกแบบและสร้างระบบสำหรับอบก้านจากโดยใช้พลังานความร้อนร่วมจากพลังงานแสงอาทิตย์และกำมะถัน</t>
  </si>
  <si>
    <t>เม.ย. 61-มิ.ย. 61</t>
  </si>
  <si>
    <t>087-0926024</t>
  </si>
  <si>
    <t>โครงการบริการวิชาการเพื่อสร้างความเข้มแข็งและยั่งยืนให้กับชุมชนตำบลบางหมาก จังหวัดตรัง : กิจกรรมย่อยที่ 3 การอบรมการใช้เทคโนโลยีสารสนเทศเพื่อประชาสัมพันธ์และเพิ่มช่องทางการขายผลิตภัณฑ์ชุมชน</t>
  </si>
  <si>
    <t>087-8894511</t>
  </si>
  <si>
    <t>โครงการบริการวิชาการเพื่อสร้างความเข้มแข็งและยั่งยืนให้กับชุมชนตำบลบางหมาก จังหวัดตรัง : กิจกรรมย่อยที่ 4 การเสวนาสรุปผลการดำเนินงานและพัฒนาแผนการดำเนินงาน</t>
  </si>
  <si>
    <t>087-2960196</t>
  </si>
  <si>
    <t>โครงการเพิ่มศักยภาพในกระบวนการผลิต ผลิตภัณฑ์กลุ่มแม่บ้านปากคลองตลาด ชุมชนบ่อหิน อ.สิเกา จ.ตรัง (ภายใต้โครงการยกระดับคุณภาพชีวิตชุมชนแบบมีส่วนร่วมสู่แหล่งเรียนรู้ ภูมิปัญญาท้องถิ่นต้นแบบของจังหวัดตรัง)</t>
  </si>
  <si>
    <t>30 มี.ค. 61-31 มี.ค. 61</t>
  </si>
  <si>
    <t>1. ชุมชนสามารถใช้โรงเรือนได้จริง</t>
  </si>
  <si>
    <t>1. ชุมชนได้รับโรงเรือนที่มีคุณภาพ</t>
  </si>
  <si>
    <t>089-5150125</t>
  </si>
  <si>
    <t>โครงการพัฒนาและส่งเสริมแหล่งท่องเที่ยวทางวัฒนธรรมในพื้นที่ย่านเมืองเก่าสงขลา : กิจกรรมที่ 4 กิจกรรมจัดพิมพ์เล่มแผนที่มรดกทางวัฒนธรรม</t>
  </si>
  <si>
    <t>18 ส.ค. 61-19 ส.ค. 61</t>
  </si>
  <si>
    <t>1. ผู้เข้าร่วมโครงการสามรารถนำองค์ความรู้ จัดทำข้อเสนอโครงการต่อภาครัฐ เพื่อพัฒนาและส่งเสริมแหล่งท่องเที่ยวทางวัฒนธรรมในพื้นที่ย่านเมืองเก่าสงขลา</t>
  </si>
  <si>
    <t>1. ผู้เข้าร่วมโครงการได้รับองค์ความรู้ และมีความเข้าใจในกระบวนการจัดการมรดำทางวัฒนธรรม ตลอดจนการมีส่วนร่วมในการทำงานแบบบูรณาการร่วมกับชุมชน ท้องถิ่น และภาครัฐ</t>
  </si>
  <si>
    <t>โครงการเรียนรู้มรดกวัฒนธรรมชุมชน : กิจกรรมที่ 1 เรียนรู้พิพิธภัณฑ์เรินดอนคัน คูขุด</t>
  </si>
  <si>
    <t>13 พ.ค 61</t>
  </si>
  <si>
    <t>095-4415600</t>
  </si>
  <si>
    <t>โครงการถ่ายทอดศิลปะการแสดงพื้นบ้านและดนตรีพื้นบ้าน</t>
  </si>
  <si>
    <t>14 พ.ย 60-28 ธ.ค. 60</t>
  </si>
  <si>
    <t>087-8826623</t>
  </si>
  <si>
    <t>โครงการศิลปวัฒนธรรมอุดมศึกษา ครั้งที่ 18</t>
  </si>
  <si>
    <t>โครงการประชุมสัมมนาเชิงปฏิบัติการแนวทางการดำเนินงานด้านทำนุบำรุงศิลปวัฒนธรรม</t>
  </si>
  <si>
    <t>29 มิ.ย. 61-30 มิ.ย. 61</t>
  </si>
  <si>
    <t>089-5997084</t>
  </si>
  <si>
    <t>โครงการเรียนรู้มรดกวัฒนธรรมชุมชน : กิจกรรมที่ 2 งานขันหมากปฐม ตำบลคลองแดน</t>
  </si>
  <si>
    <t>โครงการพัฒนาและส่งเสริมแหล่งท่องเที่ยวทางวัฒนธรรมในพื้นที่ย่านเมืองเก่าสงขลา : กิจกรรมที่ 1 อบรมเชิงปฏิบัติการจัดทำแผนที่มรดกทางวัฒนธรรม</t>
  </si>
  <si>
    <t>โครงการผลิตเตาถ่านประสิทธิภาพสูงเพื่อจัดการขยะมูลฝอยและวัสดุเหลือใช้จากการเกษตร</t>
  </si>
  <si>
    <t>090-9317462</t>
  </si>
  <si>
    <t>โครงการจัดทำศูนย์การเรียนรู้มรดกภูมิปัญญาท้องถิ่นกระเบื้องดินเผาเกาะยอ บริเวณลุ่มน้ำทะเลสาบสงขลาตอนล่าง : กิจกรรมย่อยที่ 1 การจัดเวทีเสวนาในชุมชน</t>
  </si>
  <si>
    <t>17 ธ.ค. 60-21 ม.ค. 61</t>
  </si>
  <si>
    <t>089-9745643</t>
  </si>
  <si>
    <t>โครงการจัดทำศูนย์การเรียนรู้มรดกภูมิปัญญาท้องถิ่นกระเบื้องดินเผาเกาะยอ บริเวณลุ่มน้ำทะเลสาบสงขลาตอนล่าง : กิจกรรมย่อยที่ 2 การจัดทำป้ายฐานการเรียนรู้ และป้ายสื่อความหมายภูมิปัญญาท้องถิ่น ด้านการทำกระเบื้องดินเผาเกาะยอ</t>
  </si>
  <si>
    <t>089-974-5643</t>
  </si>
  <si>
    <t>โครงการเปิดบ้านศิลปศาสตร์ รับขวัญ รวมใจ สานสายใยคุณธรรม</t>
  </si>
  <si>
    <t>โครงการเข้าร่วมและแข่งขันทักษะทางวิชาการเพื่อส่งเสริมความเป็นเลิศของนักศึกษาคณะศิลปศาสตร์ : กิจกรรมย่อยที่ 2 การแข่งขันทักษะวิชาการ สถาบันฝีมือแรงงานแห่งชาติ</t>
  </si>
  <si>
    <t>14 มี.ค. 61-23 มี.ค. 61</t>
  </si>
  <si>
    <t>1. ผู้เข้าร่วมโครงการได้รับรางวัลจาการประกวดแข่งขันอย่างน้อย 1 รางวัล</t>
  </si>
  <si>
    <t>089-4419540</t>
  </si>
  <si>
    <t>โครงการเข้าร่วมและแข่งขันทักษะทางวิชาการเพื่อส่งเสริมความเป็นเลิศของนักศึกษาคณะศิลปศาสตร์ : กิจกรรมย่อยที่ 3 การแข่งขันการประดิษฐ์ใบตอง ในงานเย็บร้อย ค่อยจีบ ประดิษฐ์ใบตองระดับชาติ</t>
  </si>
  <si>
    <t>16 มิ.ย. 61-18 มิ.ย. 61</t>
  </si>
  <si>
    <t>083-8536220</t>
  </si>
  <si>
    <t>โครงการศึกษาดูงานในต่างประเทศของนักศึกษา หลักสูตรสาขาวิชาการโรงแรม</t>
  </si>
  <si>
    <t>10 ก.ย. 61-16 ก.ย. 61</t>
  </si>
  <si>
    <t>099-2686554</t>
  </si>
  <si>
    <t>โครงการอบรมโปรแกรมเทคโนโลยีคอมพิวเตอร์ (Computer Technology) แบบเข้มข้น : กิจกรรมย่อยที่ 1 อบรมโปรแกรมเทคโนโลยีคอมพิวเตอร์ สาขาคหกรรมศาสตร์ (ภาคปกติ)</t>
  </si>
  <si>
    <t>15 พ.ย 60-17 พ.ย 60</t>
  </si>
  <si>
    <t>1. ผู้เข้าร่วมโครงการสารมารถนำความรู้ไปใช้ประโยชน์ได้อยู่ในระดับมาก</t>
  </si>
  <si>
    <t>โครงการอบรมโปรแกรมเทคโนโลยีคอมพิวเตอร์ (Computer Technology) แบบเข้มข้น : กิจกรรมย่อยที่ 2 อบรมโปรแกรมเทคโนโลยีคอมพิวเตอร์ สาขาภาษาต่างประเทศ (ภาคสมทบ เสาร์-อาทิตย์)</t>
  </si>
  <si>
    <t>24 ก.พ. 61-25 ก.พ. 61</t>
  </si>
  <si>
    <t>089-4752009</t>
  </si>
  <si>
    <t>โครงการ Tourist Guide Heroes : พัฒนาทักษะการดูแลความปลอดภัยสำหรับการนำเที่ยวทางทะเล</t>
  </si>
  <si>
    <t>1. ผู้เข้าร่วมโครงการได้รับความรู้ พัฒนาทักษะเพิ่มขึ้นไม่น้อยกว่าร้อยละ 80</t>
  </si>
  <si>
    <t>087-3599615</t>
  </si>
  <si>
    <t>โครงการประชุมวิชาการด้านศิลปศาสตร์ของนักศึกษาระดับชาติ ครั้งที่ 3</t>
  </si>
  <si>
    <t>083-5335174</t>
  </si>
  <si>
    <t>โครงการพัฒนาทักษะด้านภาษต่างประเทศ : กิจกรรมย่อยที่ 4 โครงการอบรมภาษาและวัฒนธรรมจีน-เกาหลี</t>
  </si>
  <si>
    <t>1. ผู้เข้าร่วมทโครงการมีความรู้ความเข้าใจและมีทักษะด้านภาษาและการสื่อสารเพิ่มมากขึ้น</t>
  </si>
  <si>
    <t>083-186-2479</t>
  </si>
  <si>
    <t>โครงการพัฒนาทักษะด้านภาษต่างประเทศ : กิจกรรมย่อยที่ 5 โครงการภาษาพาเพลิน</t>
  </si>
  <si>
    <t>โครงการพัฒนาทักษะด้านภาษต่างประเทศ : กิจกรรมย่อยที่ 6 โครงการ ENG for Kids</t>
  </si>
  <si>
    <t>1. ผู้เข้าร่วมดครงการมีความรู้ความเข้าใจและมีทักษะด้านภาษาและการสื่อสารเพิ่มมากขึ้น</t>
  </si>
  <si>
    <t>โครงการพัฒนาทักษะด้านภาษต่างประเทศ : กิจกรรมย่อยที่ 1 โครงการอบรมแนวทางการสอบวัดระดับ TOEIC</t>
  </si>
  <si>
    <t>2 ก.ค. 61-1 ส.ค. 61</t>
  </si>
  <si>
    <t>1. ผู้เข้าร่วมโครงการมีความรู้ความเข้าใจและทักษะด้านภาษาและการสื่อสารเพิ่มมากขึ้น</t>
  </si>
  <si>
    <t>โครงการพัฒนาทักษะด้านภาษต่างประเทศ : กิจกรรมย่อยที่ 2 โครงการทดสอบสมรรถนะด้านภาษาต่างประเทศ</t>
  </si>
  <si>
    <t>089-6513843</t>
  </si>
  <si>
    <t>โครงการพัฒนาทักษะด้านภาษต่างประเทศ : กิจกรรมย่อยที่ 3 โครงการ Intensive Course พื้นที่สงขลา</t>
  </si>
  <si>
    <t>30 ต.ค 60-3 พ.ย 60</t>
  </si>
  <si>
    <t>โครงการฝึกทักษะการปฏิบัติด้านการท่องเที่ยว : กิจกรรมย่อยที่ 1 ทัศนศึกษามาเลเซีย-สิงคโปร์</t>
  </si>
  <si>
    <t>12 ม.ค. 61-16 ม.ค. 61</t>
  </si>
  <si>
    <t>โครงการฝึกทักษะการปฏิบัติด้านการท่องเที่ยว : กิจกรรมย่อยที่ 2 ทัศนศึกษาสงขลา-ภูเก็ต</t>
  </si>
  <si>
    <t>17 ก.ค. 61-20 ก.ค. 61</t>
  </si>
  <si>
    <t>087-2928214</t>
  </si>
  <si>
    <t>โครงการฝึกทักษะการปฏิบัติด้านการท่องเที่ยว : กิจกรรมย่อยที่ 3 ทัศนศึกษาสงขลา-เชียงใหม่</t>
  </si>
  <si>
    <t>17 มี.ค. 61-26 มี.ค. 61</t>
  </si>
  <si>
    <t>084-250-5452</t>
  </si>
  <si>
    <t>โครงการฝึกทักษะการปฏิบัติด้านการท่องเที่ยว : กิจกรรมย่อยที่ 4 ทัศนศึกษาสงขลา-อีสาน</t>
  </si>
  <si>
    <t>15 มิ.ย. 61-24 มิ.ย. 61</t>
  </si>
  <si>
    <t>โครงการแผนธุรกิจสร้างสรรค์ : จากผลิตภัณฑ์การท่องเที่ยวชุมชนสู่การตลาด 4.0</t>
  </si>
  <si>
    <t>โครงการศึกษาดูงานเพื่อพัฒนาบุคลากร และนักศึกษาด้านการโรงแรม : กิจกรรมย่อยที่ 1 ศึกษาดูงานสถานประกอบการด้านการโรงแรมและการท่องเที่ยว</t>
  </si>
  <si>
    <t>19 พ.ย 60-4 ธ.ค. 60</t>
  </si>
  <si>
    <t>โครงการศึกษาดูงานเพื่อพัฒนาบุคลากร และนักศึกษาด้านการโรงแรม : กิจกรรมย่อยที่ 2 สัมมนาทำรายงานและนำเสนอหลังศึกษาดูงาน</t>
  </si>
  <si>
    <t>084-068-4964</t>
  </si>
  <si>
    <t>โครงการฝึกทักษะปฏิบัติด้านการโรงแรม แก่นักศึกษา : กิจกรรมย่อยที่ 1 English Afternoon Tea ครั้งที่ 1</t>
  </si>
  <si>
    <t>1. ผู้เข้าร่วมโครงการ สามารถนำความรู้ไปใช้ประโยชน์ได้อยู่ในระดับมาก</t>
  </si>
  <si>
    <t>081-959-0853</t>
  </si>
  <si>
    <t>โครงการฝึกทักษะปฏิบัติด้านการโรงแรม แก่นักศึกษา : กิจกรรมย่อยที่ 2 English Afternoon Tea ครั้งที่ 2</t>
  </si>
  <si>
    <t>081-9590853</t>
  </si>
  <si>
    <t>โครงการฝึกทักษะปฏิบัติด้านการโรงแรม แก่นักศึกษา : กิจกรรมย่อยที่ 3 European Dinner ครั้งที่ 1</t>
  </si>
  <si>
    <t>โครงการฝึกทักษะปฏิบัติด้านการโรงแรม แก่นักศึกษา : กิจกรรมย่อยที่ 4 English Afternoon Tea ครั้งที่ 3</t>
  </si>
  <si>
    <t>โครงการแข่งขันวอลเลย์บอล LIBART RMUTSV VOLLEYBALL OPEN ครั้งที่ 1</t>
  </si>
  <si>
    <t>6 เม.ย. 61-8 เม.ย. 61</t>
  </si>
  <si>
    <t>088-7909140</t>
  </si>
  <si>
    <t>โครงการพัฒนาศักยภาพนักศึกษา ด้านคหกรรมศาสตร์ : กิจกรรมย่อยที่ 1 โครงการสุขภาพดีด้วยโภชนาการ</t>
  </si>
  <si>
    <t>1. ผู้เข้าร่วมโครงการสามารถนำความรู้ไปใช้ปร</t>
  </si>
  <si>
    <t>097-1405193</t>
  </si>
  <si>
    <t>โครงการพัฒนาศักยภาพนักศึกษา ด้านคหกรรมศาสตร์ : กิจกรรมย่อยที่ 2 โครงการศักยภาพนักศึกษาหลักสูตรสาขาวิชา ธุรกิจคหกรรมศาสตร์</t>
  </si>
  <si>
    <t>081-4855803</t>
  </si>
  <si>
    <t>โครงการพัฒนาศักยภาพนักศึกษา ด้านคหกรรมศาสตร์ : กิจกรรมย่อยที่ 3 โครงการให้ความรู้ปรับความคิดมุ่งสู่ความเป็นเลิศในวิชาชีพอาหารและโภชนาการ</t>
  </si>
  <si>
    <t>17 มิ.ย. 61-20 มิ.ย. 61</t>
  </si>
  <si>
    <t>089-7359490</t>
  </si>
  <si>
    <t>โครงการพัฒนาศักยภาพนักศึกษา ด้านคหกรรมศาสตร์ : กิจกรรมย่อยที่ 4 โครงการฝึกอบรมเพื่อเพิ่มสมรรถนะวิชาชีด้านคหกรรมศาสตร์แก่นักศึกษา</t>
  </si>
  <si>
    <t>โครงการพัฒนาศักยภาพนักศึกษา ด้านคหกรรมศาสตร์ : กิจกรรมย่อยที่ 5 โครงการโภชนาการสัญจร</t>
  </si>
  <si>
    <t>088-22362</t>
  </si>
  <si>
    <t>โครงการพัฒนาศักยภาพนักศึกษา ด้านคหกรรมศาสตร์ : กิจกรรมย่อยที่ 6 โครงการแต้มสี เติมฝัน ธุรกิจคหกรรมศาสตร์</t>
  </si>
  <si>
    <t>13 ก.ค. 61-14 ก.ค. 61</t>
  </si>
  <si>
    <t>โครงการอบรมพัฒนาศักยภาพและสมรรถนะวิชาชีพนักศึกษาด้านการประกอบอาหารไทย ประจำปีงบประมาณ 2561</t>
  </si>
  <si>
    <t>โครงการปรับภูมิทัศน์บริเวณโดยรอบคณะศิลปศาสตร์</t>
  </si>
  <si>
    <t>1. ผู้เข้าร่วมโครงการมีความพึงพอใจต่อกิจกรรมโครงการ อย่างน้อยร้อยละ 80</t>
  </si>
  <si>
    <t>1. มีพื้นที่ปรับปรุงภูมิทัศน์เพิ่มขึ้น อย่างน้อย 1 จุด</t>
  </si>
  <si>
    <t>091-049-8885</t>
  </si>
  <si>
    <t>โครงการปฐมนิเทศนักศึกษาฝึกงาน</t>
  </si>
  <si>
    <t>โครงการพัฒนาทักษะด้านภาษาแก่นักศึกษาและบุคลากร : กิจกรรมที่ 1 English Conversation and English for Specific Purposes</t>
  </si>
  <si>
    <t>26 ก.พ. 61-2 มี.ค. 61</t>
  </si>
  <si>
    <t>1. อย่างน้อยร้อยละ 80 ของผุ้เข้าร่วมโครงการได้รับความรู้เพิ่มขึ้น</t>
  </si>
  <si>
    <t>โครงการพัฒนาทักษะด้านภาษาแก่นักศึกษาและบุคลากร : กิจกรรมที่ 2 พัฒนาทักษะด้านภาษาแก่นักศึกษา</t>
  </si>
  <si>
    <t>26 มี.ค. 61-7 เม.ย. 61</t>
  </si>
  <si>
    <t>โครงการพัฒนาทักษะด้านภาษาแก่นักศึกษาและบุคลากร : กิจกรรมที่ 3 พัฒนาทักษะด้านภาษาแก่บุคลากร</t>
  </si>
  <si>
    <t>1 พ.ค 61-13 พ.ค 61</t>
  </si>
  <si>
    <t>โครงการ Real English Experience</t>
  </si>
  <si>
    <t>13 ส.ค. 61-17 ส.ค. 61</t>
  </si>
  <si>
    <t>1. ผุ้เข้าร่วมโครงการสามารถนำความรู้ไปใช้ประโยชน์ได้อยู่ในระดับมาก</t>
  </si>
  <si>
    <t>1. มีกิจกรรความร่วมมืออย่างน้อย 1 กิจกรรม</t>
  </si>
  <si>
    <t>086-4791349</t>
  </si>
  <si>
    <t>โครงการ Speaking Contest ครั้งที่ 13</t>
  </si>
  <si>
    <t>085-9266150</t>
  </si>
  <si>
    <t>โครงการจัดทำจุลสารและสื่อประชาสัมพันธ์ คณะศิลปศาสตร์</t>
  </si>
  <si>
    <t>1. ข้อมูลข่าวสารของหน่ายงานได้รับการเผยแพร่ ประชาสัมพันธ์ ทำให้มหาวิทยาลัยเป็นที่รู้จักมากขึ้น</t>
  </si>
  <si>
    <t>โครงการ Tourism Quiz</t>
  </si>
  <si>
    <t>โครงการ Creative Smart Tour Guide</t>
  </si>
  <si>
    <t>โครงการแข่งขันทักษะการใช้ภาษาไทยระดับปริญญาตรี</t>
  </si>
  <si>
    <t>22 พ.ย 60</t>
  </si>
  <si>
    <t>086-297-9138</t>
  </si>
  <si>
    <t>โครงการพัฒนาทักษะวิชาการศิลปศาสตร์ 9 มทร.</t>
  </si>
  <si>
    <t>1. ผุ้เข้าร่วมโครงการได้รับรางวัลจาการประกวด แข่งขัน อย่างน้อย 1 รางวัล</t>
  </si>
  <si>
    <t>โครงการหมู่บ้านท่องเที่ยวเชิงเกษตรชุมชนทุ่งลาน อ.คลองหอยโข่ง จ.สงขลา : กิจกรรมย่อยที่ 1 การอบรมเชิงปฏิบัติการทิศทางการจัดการการท่องเที่ยวเชิงเกษตรชุมชนทุ่งลาน</t>
  </si>
  <si>
    <t>1. ผู้เข้าร่วมโครงการมีความรู้ความเข้าใจไม่น้อยกว่าร้อยละ 80</t>
  </si>
  <si>
    <t>2. ผู้มีส่วนเกี่ยวข้องในการจัดการการท่องเที่ยวเชิงเกษตรชุมชนทุ่งลานมีความรู้และมีความพร้อมในการจัดการการท่องเที่ยวและการต้อนรับนักท่องเที่ยวที่จะเข้ามาเยี่ยมเยือน</t>
  </si>
  <si>
    <t>โครงการหมู่บ้านท่องเที่ยวเชิงเกษตรชุมชนทุ่งลาน อ.คลองหอยโข่ง จ.สงขลา : กิจกรรมย่อยที่ 2 การอบรมเชิงปฏิบัติการการจัดทำเว็บไซต์ประชาสัมพันธ์ชุมชนทุ่งลาน</t>
  </si>
  <si>
    <t>081-5995796</t>
  </si>
  <si>
    <t>โครงการหมู่บ้านท่องเที่ยวเชิงเกษตรชุมชนทุ่งลาน อ.คลองหอยโข่ง จ.สงขลา : กิจกรรมย่อยที่ 3 การพัฒนาการนวดแผนไทย ชมรมนวดแผนไทยเทศบาลทุ่งลาน อำเภอคลองหอยโข่ง จังหวัดสงขลา</t>
  </si>
  <si>
    <t>086-2910593</t>
  </si>
  <si>
    <t>โครงการหมู่บ้านท่องเที่ยวเชิงเกษตรชุมชนทุ่งลาน อ.คลองหอยโข่ง จ.สงขลา : กิจกรรมย่อยที่ 4 การพัฒนาผลิตภัณฑ์สร้างสรรค์จากกระดาษรีไซเคิล</t>
  </si>
  <si>
    <t>2. พัฒนากระดาษรีไซเคิลที่เหมาะสมกับการทำผลิตภัณฑ์สร้างสรรค์</t>
  </si>
  <si>
    <t>2. เกิดความร่วมมือกันระหว่างมหาวิทยาลัยและชุมชนในการสร้างสรรค์ชุมชนแบบพึ่งพาตนเอง</t>
  </si>
  <si>
    <t>3. เกิดการแลกเปลี่ยนเรียนรู้ ระหว่างชุมชนและมหาวิทยาลัย</t>
  </si>
  <si>
    <t>โครงการหมู่บ้านท่องเที่ยวเชิงเกษตรชุมชนทุ่งลาน อ.คลองหอยโข่ง จ.สงขลา : กิจกรรมย่อยที่ 5 การพัฒนาผลิตภัณฑ์จากฟาร์มเห็ดท่าหรั่ง</t>
  </si>
  <si>
    <t>16 มิ.ย. 61-17 มิ.ย. 61</t>
  </si>
  <si>
    <t>095-0757007</t>
  </si>
  <si>
    <t>2. ผู้เข้าร่วมโครงการฝึกอบรม วิทยากรและกรรมการดำเนินงาน 33 คน</t>
  </si>
  <si>
    <t>3. ผู้เข้าอบรมมีความรู้ด้านการผลิตและการควบคุมคุณภาพด้านการผลิตอาหารเพิ่มขึ้น</t>
  </si>
  <si>
    <t>โครงการหมู่บ้านท่องเที่ยวเชิงเกษตรชุมชนทุ่งลาน อ.คลองหอยโข่ง จ.สงขลา : กิจกรรมย่อยที่ 6 ภาษาอังกฤษเพื่อการนวดแผนไทย ชุมชนบ้านทุ่งลาน</t>
  </si>
  <si>
    <t>086-5982409</t>
  </si>
  <si>
    <t>2. ชุมชนสามารถนำความรู้ที่ได้ไปสื่อสารกับนักท่องเที่ยวได้</t>
  </si>
  <si>
    <t>2. ร้อยละ 80 ของผู้เข้าอบรมสามารถใช้ภาษาอังกฤษในการสื่อสารเพื่อประกอบอาชีพการนวดแผนไทยได้</t>
  </si>
  <si>
    <t>โครงการหมู่บ้านท่องเที่ยวเชิงเกษตรชุมชนทุ่งลาน อ.คลองหอยโข่ง จ.สงขลา : กิจกรรมย่อยที่ 7 เสวนารายงานสรุปผลการดำเนินงานและพัฒนาแผนการดำเนินงาน</t>
  </si>
  <si>
    <t>2. ชุมชนมีองค์ความรู้ในด้านต่างๆ ที่ได้รับการถ่ายทอดจากการบริการวิชาการ</t>
  </si>
  <si>
    <t>2. ร้อยละ 80 ของผู้เข้าร่วมโครงการตระหนักถึงการมีส่วนร่วมในการพัฒนาชุมชนอย่างยั่งยืน</t>
  </si>
  <si>
    <t>โครงการการยืดอายุขนมตาล</t>
  </si>
  <si>
    <t>เม.ย. 61-ก.ค. 61</t>
  </si>
  <si>
    <t>23 เม.ย. 61-28 ก.ค. 61</t>
  </si>
  <si>
    <t>1. อายุของขนมตาลยาวนานขึ้น</t>
  </si>
  <si>
    <t>1. ได้วิธีการยืดอายุขนมตาล</t>
  </si>
  <si>
    <t>2. รักษาระดับของคุณภาพในผลิตภัณฑ์ให้คงที่</t>
  </si>
  <si>
    <t>2. ลดการเสื่อมเสียของขนมตาล</t>
  </si>
  <si>
    <t>โครงการสร้างความเข้มแข็งทางด้านพลังงานให้กับโรงเรียนบ้านคลองหอยโข่ง (ภายใต้โครงการเชื่อมโยงสถาบันอุดมศึกษาไปสู่โรงเรียน (Educational pipeline) ปี2)</t>
  </si>
  <si>
    <t>1. เป็นแหล่งพลังงานทางเลือกของโรงเรียน</t>
  </si>
  <si>
    <t>1. นักเรียนและบุคลากรของโรงเรียนมีความรุ้เกี่ยวกับเตาชีวมวล</t>
  </si>
  <si>
    <t>081-5390193</t>
  </si>
  <si>
    <t>2. ลดค่าใช้จ่ายในการใช้แก๊สหุงต้ม</t>
  </si>
  <si>
    <t>2. นักเรียนสามารถผลิตเตาชีวมวลไว้ใช้เองได้</t>
  </si>
  <si>
    <t>3. นักเรียนมีความตระหนักถึงการใช้พลังงานใกล้ตัวซึ่งมีอยู่ในชุมชนให้เกิดประโยชน์</t>
  </si>
  <si>
    <t>3. โรงเรียนมีฐานการเรียนรู้เรื่องเตาชีวมวล</t>
  </si>
  <si>
    <t>โครงการอบรมเชิงปฏิบัติการการถ่ายทอดเทคโนโลยีการผลิตแก๊สชีวภาพเพื่อการจัดการของเสียของฟาร์มสุกร (ภายใต้โครงการ มทร.ศรีวิชัย รับผิดชอบต่อสังคม ประจำปี 2561)</t>
  </si>
  <si>
    <t>1. ลดมลพิษจากกลิ่นเหม็น รวมทั้งแมลงที่บินไปสร้างความรำคาญ รบกวนเพื่อนบ้านที่อยู่ในชุมชน</t>
  </si>
  <si>
    <t>1. บ่อแก๊สชีวภาพ จากถุงพลาสติก LDPE จำนวน 1 บ่อ ความยาว 16 เมตร</t>
  </si>
  <si>
    <t>21 พ.ค 61-21 มิ.ย. 61</t>
  </si>
  <si>
    <t>081-4403525</t>
  </si>
  <si>
    <t>โครงการการพัฒนาตำรับมาตรฐานสูตรอาหารที่ใช้ประโยชน์จากแป้งกล้วยพื้นเมืองในภาคใต้</t>
  </si>
  <si>
    <t>1 ก.ย. 61-21 ก.ย. 61</t>
  </si>
  <si>
    <t>1. เพิ่มแนวทางการใช้ประโยชน์ด้านการแปรรูปอาหารจากกล้วยพื้นเมืองภาคใต้</t>
  </si>
  <si>
    <t>1. ได้ตำรับมาตรฐานสูตรขนมพื้นบ้านจากแป้งกล้วยพื้นเมืองภาคใต้</t>
  </si>
  <si>
    <t>084-6656296</t>
  </si>
  <si>
    <t>2. ได้ตำรับมาตราฐานสูตรผลิตภัณฑ์ขนมอบจากแป้งกล้วยพื้นเมืองภาคใต้</t>
  </si>
  <si>
    <t>โครงการปรับปรุงหลักสูตรสาขาวิชาการโรงแรม หลักสูตรปริญญาตรี (ป.ตรี) ควบหลักสูตรประกาศนียบัตรวิชาชีพชั้นสูง (ปวส.) คณะศิลปะศาสตร์</t>
  </si>
  <si>
    <t>1. ผู้เข้าร่วมโครงการนำความรู้ไปใช้ประโยชน์ในการปรับปรุงหลักสูตรได้อย่างน้อยร้อยละ 80</t>
  </si>
  <si>
    <t>1. ผู้เข้าร่วมโครงการมีความรู้ความเข้าใจเพิ่มขึ้นร้อยละ 80</t>
  </si>
  <si>
    <t>091-1614455</t>
  </si>
  <si>
    <t>โครงการวิพากษ์หลักสูตรสาขาวิชาการโรงแรม หลักสูตรปริญญาตรี (ป.ตรี) ควบหลักสูตรประกาศนียบัตรวิชาชีพชั้นสูง (ปวส.) คณะศิลปศาสตร์</t>
  </si>
  <si>
    <t>โครงการคลีนิกวิชาการ : กิจกรรมที่ 2 อบรมเชิงปฏิบัตการ หัวข้อเรื่อง การทำงานเป็นทีมอย่างมีความสุข</t>
  </si>
  <si>
    <t>084-8565769</t>
  </si>
  <si>
    <t>โครงการคลีนิกวิชาการ : กิจกรรมที่ 4 อบรมเชิงปฏิบัตการด้านการใช้โปรแกรมคอมพิวเตอร์</t>
  </si>
  <si>
    <t>4 ก.ค. 61-8 ส.ค. 61</t>
  </si>
  <si>
    <t>โครงการศึกษาดูงานภาษาต่างประเทศในสถานประกอบการจริง</t>
  </si>
  <si>
    <t>1. ผู้เข้าร่วมโครงการได้รับการพัฒนาทักษะวิชาชีพเฉพาะทางมากขึ้น</t>
  </si>
  <si>
    <t>1. มีกิจกรรมแลกเปลี่ยนเรียนรู้ประสบการณ์ ทักษะวิชาชีพ วิชาการภายในหน่วยงาน</t>
  </si>
  <si>
    <t>โครงการอบรมเชิงปฏิบัติการด้านเทคนิคการสอนตามระบอบการประกันคุณภาพการศึกษา</t>
  </si>
  <si>
    <t>081-0974971</t>
  </si>
  <si>
    <t>โครงการแข่งขันกีฬาฟุตซอลคณะศิลปศาสตร์ ครั้งที่ 2</t>
  </si>
  <si>
    <t>1. ผู้เข้าร่วมโครงการได้รับความรู้ พัฒนาทักษะเพิ่มขึ้น</t>
  </si>
  <si>
    <t>083-5984338</t>
  </si>
  <si>
    <t>โครงการอบรมนักศึกษาวิชาทหารและวินัยจราจร (กองพัฒนานักศึกษา)</t>
  </si>
  <si>
    <t>โครงการนัดพบสถานประกอบการและแนะแนวอาชีพ (กองพัฒนานักศึกษา)</t>
  </si>
  <si>
    <t>โครงการทำบุญเนื่องในวันคล้ายวันสถาปนาวิทยาลัยเทคนิคภาคใต้ ประจำปี 2561 (กองกลาง)</t>
  </si>
  <si>
    <t>โครงการแข่งขันทักษะทางสถาปัตยกรรม</t>
  </si>
  <si>
    <t>โครงการ RMUTSV Open House 2018</t>
  </si>
  <si>
    <t>9 ก.พ. 61-11 ก.พ. 61</t>
  </si>
  <si>
    <t>1. ผู้เข้าร่วมโครงการมีความพึงพอใจต่อความรู้ที่ได้รับได้นิทรรศการอย่างน้อยร้อยละ 80</t>
  </si>
  <si>
    <t>1. มีผลงานนิทรรศการ สิ่งประดิษฐ์ นวัตกรรม กิจกรรมและการแสดง ไม่น้อยกว่า 50 ผลงาน</t>
  </si>
  <si>
    <t>โครงการ Open-House คณะสถาปัตยกรรมศาสตร์ : กิจกรรมที่ 1 นิทรรศการคณะสถาปัตยกรรมศาสตร์</t>
  </si>
  <si>
    <t>1 ก.พ. 61-11 ก.พ. 61</t>
  </si>
  <si>
    <t>โครงการ Open-House คณะสถาปัตยกรรมศาสตร์ : กิจกรรมที่ 2 สัมมนาการอนุรักษ์พลังงานในอาคาร</t>
  </si>
  <si>
    <t>7 ก.พ. 61-28 ก.พ. 61</t>
  </si>
  <si>
    <t>โครงการ โอเพ่น เฮ้าส์ คณะบริหารธุรกิจ : กิจกรรมที่ 1 การจัดบูทนิทรรศการวิชาการคณะบริหารธุรกิจ</t>
  </si>
  <si>
    <t>1. ผู้เข้าร่วมโครงการเกิดทักษะทางวิชาการ วิชาชีพและสามารถนำไปใช้ประโยชน์ได้</t>
  </si>
  <si>
    <t>1. ความพึงพอใจของผู้เข้าร่วมโครงการต่อประโยชน์ของการดำเนินโครงการ ร้อยละ 80</t>
  </si>
  <si>
    <t>-(งบรายจ่ายอื่น งบเงินรายได้)</t>
  </si>
  <si>
    <t>โครงการ โอเพ่น เฮ้าส์ คณะบริหารธุรกิจ : กิจกรรมที่ 2 กิจกรรมสืบสานศิลปวัฒนธรรม</t>
  </si>
  <si>
    <t>โครงการ IED@Songkhla Fair 2018</t>
  </si>
  <si>
    <t>โครงการนิทรรศการศิลปศาสตร์วิชาการ 2018 : กิจกรรมที่ 1 โครงการนิทรรศการแสดงผลงานทางวิชาการ และแข่งขันด้านการโรงแรม</t>
  </si>
  <si>
    <t>โครงการนิทรรศการศิลปศาสตร์วิชาการ 2018 : กิจกรรมที่ 2 โครงการนิทรรศการสร้างสรรค์ งานหัตถศิลป์</t>
  </si>
  <si>
    <t>โครงการนิทรรศการศิลปศาสตร์วิชาการ 2018 : กิจกรรมที่ 3 โครงการวันศิลปศาสตร์วิชาการ</t>
  </si>
  <si>
    <t>โครงการ OPEN-HOUSE Engineering Innovation</t>
  </si>
  <si>
    <t>1. ผู้เข้าร่วมโครงการมีความพึงพอใจต่อความรู้ที่ได้รับอย่างน้อยร้อยละ 80</t>
  </si>
  <si>
    <t>โครงการนิทรรศการวิชาการราชมงคลศรีวิชัยแฟร์ 2018 : ตลาดนัดวิชาการ</t>
  </si>
  <si>
    <t>1. จำนวนผู้เข้าใช้ระบบ ไม่น้อยกว่าร้อยละ 80</t>
  </si>
  <si>
    <t>โครงการแนะแนวการศึกษา กิจกรรมแนะแนวสัญจร ครั้งที่ 1</t>
  </si>
  <si>
    <t>22 ม.ค. 61-31 ม.ค. 61</t>
  </si>
  <si>
    <t>1. ข้อมูลข่าวสารของหน่วยงานได้เผยแพร่ประชาสัมพันธ์ทำให้รู้จักมหาวิทยาลัยเพิ่มขึ้น</t>
  </si>
  <si>
    <t>โครงการแนะแนวการศึกษา กิจกรรมแนะแนวสัญจร ครั้งที่ 2</t>
  </si>
  <si>
    <t>โครงการแนะแนวการศึกษา กิจกรรมแนะแนวสัญจร ครั้งที่ 3</t>
  </si>
  <si>
    <t>14 ส.ค. 61-31 ส.ค. 61</t>
  </si>
  <si>
    <t>โครงการแนะแนวการศึกษา กิจกรรมสัมมนาครูแนะแนว</t>
  </si>
  <si>
    <t>โครงการสัมมนาอาจารย์ผู้รับผิดชอบหลักสูตรและอาจารย์ที่ปรึกษาระดับบัณฑิตศึกษา</t>
  </si>
  <si>
    <t>โครงการศึกษาแหล่งศิลปวัฒนธรรม</t>
  </si>
  <si>
    <t>31 มี.ค. 61-5 เม.ย. 61</t>
  </si>
  <si>
    <t>1. 1. ความพึงพอใจของผู้เข้าร่วมโครงการ ไม่น้อยกว่าร้อยละ 80</t>
  </si>
  <si>
    <t>2. 2. ภาพวาดผลงานจำนวน 38 ชิ้น</t>
  </si>
  <si>
    <t>โครงการศึกษาและฝึกปฏิบัติจากแหล่งเรียนรู้ภูมิปัญญาพื้นถิ่นด้านสิ่งทอ</t>
  </si>
  <si>
    <t>17 มิ.ย. 61-23 มิ.ย. 61</t>
  </si>
  <si>
    <t>2. 2. โครงการบรรลุตามวัตถุประสงค์ อย่างน้อยร้อยละ 80</t>
  </si>
  <si>
    <t>โครงการค่ายเยาวชนอนุรักษ์ศิลปวัฒนธรรม</t>
  </si>
  <si>
    <t>1. ผู้เข้าร่วมโครงการมีความตระหนักในการทำนุบำรุงศิลปวัฒนธรรมและอนุรักษ์สิ่งแวดล้อม</t>
  </si>
  <si>
    <t>1. ความพึงพอใจของผู้เข้าร่วมโครงการ ไม่น้อยกว่าร้ยละ 80</t>
  </si>
  <si>
    <t>29 มิ.ย. 61-1 ก.ค. 61</t>
  </si>
  <si>
    <t>1. อย่างน้อย ร้อยละ 80 ของผู้เข้าร่วมโครงการได้รับความรู้เพิ่มขึ้น</t>
  </si>
  <si>
    <t>1. 1. ผู้เข้าร่วมโครงการทุกคนบอกประเด็นความรู้หรือประสบการณ์ที่ได้รับเพิ่มขึ้น อย่างน้อย 1 เรื่อง</t>
  </si>
  <si>
    <t>2. 2. บุคคลทั่วไปได้รับชมและชื่นชอบผลงานนักศึกษาจากขบวนพาเหรดที่แสดงร้อยละ 80</t>
  </si>
  <si>
    <t>3. ผู้เข้าร่วมโครงการได้รับรางวัลจากการประกวด แข่งขัน อย่างน้อย 1 รางวัล</t>
  </si>
  <si>
    <t>โครงการพัฒนาบุคลิกภาพเพื่อออกสู่ตลาดแรงงาน</t>
  </si>
  <si>
    <t>โครงการอบรมสัมมนาเพิ่มประสิทธิภาพและมาตรฐานการปฏิบัติงานบุคลากร คณะสถาปัตยกรรมศาสตร์</t>
  </si>
  <si>
    <t>3 ก.ย. 61-4 ก.ย. 61</t>
  </si>
  <si>
    <t>โครงการนิทรรศการและสัปดาห์วิชาการ คณะสถาปัตยกรรมศาสตร์</t>
  </si>
  <si>
    <t>9 ม.ค. 61-20 ม.ค. 61</t>
  </si>
  <si>
    <t>โครงการจัดแสดงผลงานวิทยานิพนธ์สถาปัตยกรรม</t>
  </si>
  <si>
    <t>8 มี.ค. 61-18 มี.ค. 61</t>
  </si>
  <si>
    <t>โครงการร่วมจัดแสดงผลงานนักศึกษาในงานสถาปนิก 61 และศึกษาดูงานสถาปัตยกรรม</t>
  </si>
  <si>
    <t>29 เม.ย. 61-5 พ.ค 61</t>
  </si>
  <si>
    <t>1. 1. ผู้เข้าร่วมโครงการมีความพึงพอใจต่อความรู้ที่ได้รับจากนิทรรศการอย่างน้อยร้อยละ 80</t>
  </si>
  <si>
    <t>2. 2. มีผลงานร่วมแสดงในงานระดับชาติ อย่างน้อย 1 ชิ้นงาน</t>
  </si>
  <si>
    <t>โครงการสัมมนาเชิงปฏิบัติการวิทยานิพนธ์สถาปัตยกรรม : กิจกรรมย่อยที่ 1 การสัมมนาและเสนอหัวข้อวิทยานิพนธ์</t>
  </si>
  <si>
    <t>21 ธ.ค. 60-24 ธ.ค. 60</t>
  </si>
  <si>
    <t>086-2878436</t>
  </si>
  <si>
    <t>2. 2. ผลงานวิทยานิพนธ์อย่างน้อย 65 ผลงาน</t>
  </si>
  <si>
    <t>โครงการสัมมนาเชิงปฏิบัติการวิทยานิพนธ์สถาปัตยกรรม : กิจกรรมย่อยที่ 2 การสัมมนาและนำเสนอความก้าวหน้าวิทยานิพนธ์</t>
  </si>
  <si>
    <t>2 มี.ค. 61-4 มี.ค. 61</t>
  </si>
  <si>
    <t>2. 2. ผลงานวิทยานิพนธ์ อย่างน้อย 50 ผลงาน</t>
  </si>
  <si>
    <t>โครงการสัมมนาเชิงปฏิบัติการวิทยานิพนธ์สถาปัตยกรรม : กิจกรรมย่อยที่ 3 การสัมมนาและนำเสนอผลงานวิทยานิพนธ์ 2560</t>
  </si>
  <si>
    <t>24 ส.ค. 61-26 ส.ค. 61</t>
  </si>
  <si>
    <t>2. ผลงานวิทยานิพนธ์ อย่างน้อย 50 ผลงาน</t>
  </si>
  <si>
    <t>โครงการสัมมนาเชิงปฏิบัติการตรวจงานโครงงานการผังเมือง</t>
  </si>
  <si>
    <t>16 มี.ค. 61-17 มี.ค. 61</t>
  </si>
  <si>
    <t>โครงการการผังเมืองสัญจรพื้นที่ชุมชนเมืองตัวอย่าง หัวข้อ เรียนบ้าน รู้เมือง : กิจกรรมย่อยที่ 1 ลงพื้นที่จังหวัดสุราษฎร์ธานี</t>
  </si>
  <si>
    <t>12 ธ.ค. 60-15 ธ.ค. 60</t>
  </si>
  <si>
    <t>1. 1. ผู้เข้าร่วมโครงการสามารถนำความรู้ไปใช้ประโยชน์อยู่ในระดับมาก</t>
  </si>
  <si>
    <t>2. 2. ผู้เข้าร่วมโครงการเกิดทักษะและความเชี่ยวชาญในทางปฏิบัติและสามารถนไปใช้ประโยชน์ได้</t>
  </si>
  <si>
    <t>2. 2. ความพึงพอใจของผู้เข้าร่วมโครงการต่อประโยชน์ของการดำเนินโครงการร้อยละ 80</t>
  </si>
  <si>
    <t>โครงการการผังเมืองสัญจรพื้นที่ชุมชนเมืองตัวอย่าง หัวข้อ เรียนบ้าน รู้เมือง : กิจกรรมย่อยที่ 2 นำผลงานนักศึกษาจัดแสดงในงานสัปดาห์วิชาการ</t>
  </si>
  <si>
    <t>8 ก.พ. 61-11 ก.พ. 61</t>
  </si>
  <si>
    <t>2. 2. ความพึงพอใจของผู้เข้าร่วมโครงการต่อประโยชน์ของการดำเนินโครงการ ร้อยละ 80</t>
  </si>
  <si>
    <t>โครงการสัมมนาเชิงปฏิบัติการคัดสรรผลงานและการจัดแสดงผลงานแฟชั่นนิพนธ์สำหรับนักศึกษาสาขาการออกแบบแฟชั่นและสิ่งทอ : กิจกรรมย่อยที่ 1 ถ่ายแบบและจัดทำสูจิบัตร</t>
  </si>
  <si>
    <t>2. 2. ผู้เข้าร่วมโครงการสามารถนำองค์ความรู้และแนวทางไปพัฒนาแนวคิดเพื่อการออกแบบเครื่องแต่งกายและสิ่งทอ</t>
  </si>
  <si>
    <t>โครงการสัมมนาเชิงปฏิบัติการคัดสรรผลงานและการจัดแสดงผลงานแฟชั่นนิพนธ์สำหรับนักศึกษาสาขาการออกแบบแฟชั่นและสิ่งทอ : กิจกรรมย่อยที่ 2 จัดแสดงผลงานแฟชั่นโชว์และนิทรรศการ</t>
  </si>
  <si>
    <t>1. 1. ผู้เข้าร่วมโครงการมีความพึงพอใจต่อความรู้ที่ได้รับจากนิทรรศการ อย่างน้อยร้อยละ 80</t>
  </si>
  <si>
    <t>2. 2. นักศึกษามีผลงานร่วมแสดงอย่างน้อย 136 ชุด</t>
  </si>
  <si>
    <t>โครงการฝึกอบรมเชิงปฏิบัติการให้ความรู้และพัฒนาบุคลิกภาพเพื่องานแฟชั่น</t>
  </si>
  <si>
    <t>6 ก.พ. 61-9 ก.พ. 61</t>
  </si>
  <si>
    <t>2. 2. ผู้เข้าร่วมมีบุคลิกภาพที่เหมาะสมกับตนเองและการทำงาน</t>
  </si>
  <si>
    <t>2. 2.ความพึงพอใจของผู้เข้าร่วมโครงการ ไม่น้อยกว่าร้อยละ 80</t>
  </si>
  <si>
    <t>3. 3. ผู้เข้าร่วมได้ร่วมพิจารณา คัดสรร วิธีการจัดหาผู้แสดงแบบสำหรับแสดงแฟชั่น อย่างน้อย 3 คน จากการประกวด Southern Top Model</t>
  </si>
  <si>
    <t>4. 4. ผู้เข้าร่วมโครงการได้รับความรู้ /พัฒนาทักษะเพิ่มขึ้น</t>
  </si>
  <si>
    <t>โครงการฝันตามคิดสู่ชีวิตดีไซน์ : กิจกรรมย่อยที่ 1 ประกวดออกแบบเครื่องแบบพนักงาน (Unifrom) BTS Uniform Young Designer Contest</t>
  </si>
  <si>
    <t>2. 2. ผู้เข้าร่วมโครงการได้รับรางวัลจากการประกวดแข่งขันอย่างน้อย 1 รางวัล</t>
  </si>
  <si>
    <t>โครงการฝันตามคิดสู่ชีวิตดีไซน์ : กิจกรรมย่อยที่ 2 แม็คสมาร์ท (Mc Smart)</t>
  </si>
  <si>
    <t>1. ผู้เข้าร่วมโครงการได้รับรางวัลจากการประกสด แข่งขัน อย่างน้อย 1 รางวัล</t>
  </si>
  <si>
    <t>โครงการฝันตามคิดสู่ชีวิตดีไซน์ : กิจกรรมย่อยที่ 3 Sha Group Bangkok Young Desiner Awords</t>
  </si>
  <si>
    <t>ก.ค. 61-มี.ค. 61</t>
  </si>
  <si>
    <t>โครงการสถาปัตยกรรมเพื่อชุมชนกับการอนุรักษ์สถาปัตยกรรมพื้นถิ่น</t>
  </si>
  <si>
    <t>22 ส.ค. 61-24 ส.ค. 61</t>
  </si>
  <si>
    <t>โครงการนิทรรศการศิลปนิพนธ์</t>
  </si>
  <si>
    <t>9 พ.ค 61-15 พ.ค 61</t>
  </si>
  <si>
    <t>โครงการสร้างงานศิลป์กับศิลปิน</t>
  </si>
  <si>
    <t>12 ก.ค. 61-13 ก.ค. 61</t>
  </si>
  <si>
    <t>1. 1. ผู้เข้าร่วมโครงการได้รับรางวัลจากการประกวดแข่งขันอย่างน้อย 1 รางวัล</t>
  </si>
  <si>
    <t>2. 2. ผู้เข้าร่วมโครงการสามารถนำความรู้ไปใช้ประโยชน์ได้อยู่ในระดับมาก</t>
  </si>
  <si>
    <t>โครงการการสร้างจิตสำนึกในการอนุรักษ์พันธุกรรม (กล้วย)</t>
  </si>
  <si>
    <t>1 ส.ค. 61-15 ก.ย. 61</t>
  </si>
  <si>
    <t>1. ชุมชนได้ได้รับความรู้ ความเข้าใจ และตระหนักถึงคุณค่าของการอนุรักษ์พันธุกรรมพช</t>
  </si>
  <si>
    <t>1. ได้พัฒนาแหล่งเรียนรู้ทางศิลปวัฒนธรรม และนำไปสู่ความยั่งยืน</t>
  </si>
  <si>
    <t>โครงการอบรมสัมนาเชิงปฏิบัติการการพัฒนาแบบตัดและการตัดเย็บเครื่องแต่งกายมุสลิม</t>
  </si>
  <si>
    <t>26 เม.ย. 61-28 เม.ย. 61</t>
  </si>
  <si>
    <t>1. 1. ได้เผยแพร่ความรู้ของนักศึกษาจากในห้องเรียนสู่นอกห้องเรียนลงชุมชน</t>
  </si>
  <si>
    <t>1. 1.ได้แบบตัดเสื้อผ้ามุสลิมจำนวน 20 แบบ</t>
  </si>
  <si>
    <t>2. 2.ได้ชุดเสื้อผ้ามุสลิมจำนวน 20 ชุด</t>
  </si>
  <si>
    <t>3. 3. อย่างน้อยร้อยละ 80 ของผู้เข้าร่วมโครงการได้รับความรู้เพิ่มขึ้น</t>
  </si>
  <si>
    <t>โครงการพัฒนาเสินทางการท่องเที่ยวเชิงวัฒนธรรมหมู่บ้านทะเลน้อย : กิจกรรมย่อยที่ 1 สัมมนาเชิงปฏิบัติการเรียนรู้บริบทชุมชนทะเลน้อย</t>
  </si>
  <si>
    <t>28 พ.ย 60</t>
  </si>
  <si>
    <t>1. 1. คณะสถาปัตยกรรมศาสตร์นำความรู้ และประโยชน์ที่ได้รับไปใช้ได้จริงในการดำเนินงานพัฒนาชุมชน</t>
  </si>
  <si>
    <t>1. 1.ยกระดับและพัฒนาชุมชนให้มีความเข้มแข็งและสร้างผลิตภัณฑ์ที่มีคุณภาพมากขึ้น</t>
  </si>
  <si>
    <t>089-4634204</t>
  </si>
  <si>
    <t>2. 2.ผู้เข้าร่วมโครงการ ได้แลกเปลี่ยนเรียนรู้ข้อมูลชุมชนทะเลน้อยเพื่อนำมาใช้ในการพัฒนาไปสู่ทิศทางที่ถูกต้อง</t>
  </si>
  <si>
    <t>3. 3.อย่างน้อยร้อยละ 80 ของผู้เข้าร่วมโครงการได้รับความรู้เพิ่มขึ้น</t>
  </si>
  <si>
    <t>โครงการพัฒนาเสินทางการท่องเที่ยวเชิงวัฒนธรรมหมู่บ้านทะเลน้อย : กิจกรรมย่อยที่ 2 รักษ์ผัง รักษ์ชุมชนทะเลน้อย</t>
  </si>
  <si>
    <t>1 ธ.ค. 60-2 ธ.ค. 60</t>
  </si>
  <si>
    <t>1. 2. แผนผังจุดเรียนรู้ชุมชน</t>
  </si>
  <si>
    <t>2. 3. เผยแพร่ผลงานให้กับชุมชนเพื่อเป็นโยชน์ต่อไป</t>
  </si>
  <si>
    <t>3. 1.ได้ข้อมูลทางด้านกายภาพของพื้นที่ให้ชุมชน</t>
  </si>
  <si>
    <t>4. 2.ได้แผนผังให้กับชุมชนทะเลน้อย</t>
  </si>
  <si>
    <t>โครงการพัฒนาเสินทางการท่องเที่ยวเชิงวัฒนธรรมหมู่บ้านทะเลน้อย : กิจกรรมย่อยที่ 3 โครงการสร้างแหล่งเรียนรู้เชิงวัฒนธรรมชุมชนทะเลน้อย</t>
  </si>
  <si>
    <t>1. 1. ชาวบ้านมีรายได้เสริมจากการท่องเที่ยว</t>
  </si>
  <si>
    <t>1. 1.ป้ายเรียนรู้ อย่างน้อยจำนวน 5 ป้าย</t>
  </si>
  <si>
    <t>2. 2. ชุมชนเกิดความภาคภูมิใจ และรักในชุมชนท้องถิ่นของตน</t>
  </si>
  <si>
    <t>2. 2.ป้ายบอกทาง อย่างน้อยจำนวน 10 ป้าย</t>
  </si>
  <si>
    <t>3. 3. ผู้เข้าร่วมโครงการสามารถนำความรู้ไปใช้ประโยชน์ได้อยู่ในระดับมาก</t>
  </si>
  <si>
    <t>โครงการพัฒนาเสินทางการท่องเที่ยวเชิงวัฒนธรรมหมู่บ้านทะเลน้อย : กิจกรรมย่อยที่ 4 จิตรกรรมเพื่อชุมชน</t>
  </si>
  <si>
    <t>12 มิ.ย. 61-14 มิ.ย. 61</t>
  </si>
  <si>
    <t>1. 1.ได้ผลงานสร้างสรรค์ของนักศึกษา 1 ผลงาน</t>
  </si>
  <si>
    <t>2. 2.อย่างน้อยร้อยละ 80 ของผู้เข้าร่วมโครงการได้รับความรู้เพิ่มขึ้น</t>
  </si>
  <si>
    <t>โครงการพัฒนาเสินทางการท่องเที่ยวเชิงวัฒนธรรมหมู่บ้านทะเลน้อย : กิจกรรมย่อยที่ 5 การเพิ่มมูลค่าด้วยการพัฒนาผลิตภัณฑ์ OTOP การสร้างต้นแบบผลิตภัณฑ์หัตถกรรมจากหางกระจูด</t>
  </si>
  <si>
    <t>12 มิ.ย. 61-13 มิ.ย. 61</t>
  </si>
  <si>
    <t>1. 1.กลุ่มหัตถกรรมชุมชนได้รับองค์ความรู้ในการพัฒนาผลิตภัณฑ์หัตถกรรมเพิ่มขึ้น</t>
  </si>
  <si>
    <t>1. 1.ได้ต้นแบบผลิตภัณฑ์หัตถกรรมจากหางกระจูดอย่างน้อย 3 แบบ</t>
  </si>
  <si>
    <t>2. 2.กลุ่มหัตถกรรมชุมชนสามารถต่อยอดผลิตเป็นผลิตภัณฑ์หัตถกรรมจากต้นแบบได้</t>
  </si>
  <si>
    <t>โครงการพัฒนาเสินทางการท่องเที่ยวเชิงวัฒนธรรมหมู่บ้านทะเลน้อย : กิจกรรมย่อยที่ 6 เสวนารายงานผลการดำเนินงานสู่การปรับปรุงและพิจารณาแผนการดำเนินงาน</t>
  </si>
  <si>
    <t>1. 2.ผู้เข้าร่วมโครงการ ได้รับทราบถึงผลการดำเนินงานของโครงการบริการวิชาการแก่ชุมชนทะเลน้อยของคณะสถาปัตยกรรมศาสตร์</t>
  </si>
  <si>
    <t>2. 1 ชุมชนนำความรู้ และประโยชน์ที่ได้รับไปใช้ได้จริง</t>
  </si>
  <si>
    <t>3. 2 คณะฯ หาแนวทางในการวางแผนการดำเนินงานการบริการวิชาการในปีถัดไป ให้มีแนวทางการพัฒนาไปในทิศทางเดียวกันระหว่างชุมชนและสถาบันการศึกษา</t>
  </si>
  <si>
    <t>4. 2.กลุ่มหัตถกรรม ชุมชนสามารถต่อยอดผลิตเป็นผลิตภัณฑ์หัตถกรรมจากต้นแบบได้</t>
  </si>
  <si>
    <t>5. 3. ผู้เข้าร่วมโครงการสามารถนำความรู้ไปใช้ประโยชน์ได้อยู่ในระดับมาก</t>
  </si>
  <si>
    <t>โครงการออกแบบตราสินค้า และออกแบบผลิตภัณฑ์สบู่เพื่อรองรับการขอ License (ภายใต้โครงการยกระดับคุณภาพชีวิตชุมชนแบบมีส่วนร่วมสุ่แหล่งเรียนรู้ ภูมิปัญญาท้องถิ่นต้นแบบของจังหวัดสงขลา)</t>
  </si>
  <si>
    <t>7 พ.ค 61-28 พ.ค 61</t>
  </si>
  <si>
    <t>1. สร้างคุณค่าและเรื่องราวของผลิตภัณฑ์</t>
  </si>
  <si>
    <t>1. ได้แบบและภาพฉายก้อนสบู่ตาลโตนดเพื่อใช้ในการขอ License</t>
  </si>
  <si>
    <t>ดครงการสัมมนาเชิงปฏิบัติการสร้างสรรค์ผลงานการออกแบบแฟชั่นนิพนธ์</t>
  </si>
  <si>
    <t>โครงการสัมมนาทบทวนงานนโยบายของสภามหาวิทยาลัยเทคโนโลยีราชมงคลศรีวิชัย</t>
  </si>
  <si>
    <t>086-9698343</t>
  </si>
  <si>
    <t>โครงการจัดทำรายงานประจำปีสภามหาวิทยาลัยเทคโนโลยีราชมงคลศรีวิชัย</t>
  </si>
  <si>
    <t>ก.พ. 61-มิ.ย. 61</t>
  </si>
  <si>
    <t>5 ก.พ. 61-29 มิ.ย. 61</t>
  </si>
  <si>
    <t>2. ข้อมูลข่าวสารของสภามหาวิทยาลัย ได้รับการเผยแพร่ประชาสัมพันธ์ ทำให้สภามหาวิทยาลัยเป็นที่รู้จักมากขึ้น</t>
  </si>
  <si>
    <t>2. มีการเผยแพร่ข้อมูลข่าวสารของสภามหาวิทยาลัย อย่างน้อย 1 ครั้ง/ปี</t>
  </si>
  <si>
    <t>1 ครั้ง/ปี</t>
  </si>
  <si>
    <t>โครงการสร้างจิตสำนึกและจิตสาธารณะสำหรับนักศึกษา</t>
  </si>
  <si>
    <t>075-489614</t>
  </si>
  <si>
    <t>31 ก.ค. 61-5 ส.ค. 61</t>
  </si>
  <si>
    <t>075-489611</t>
  </si>
  <si>
    <t>โครงการศรีวิชัยแฟร์</t>
  </si>
  <si>
    <t>โครงการความร่วมมือด้านวิชาการและการวิจัยกับคณะสัตวแพทยศาสตร์ James Cook University</t>
  </si>
  <si>
    <t>1. มีกิจกรรมความร่วมมือทางวิชาการอย่างน้อย 1 กิจกรรม</t>
  </si>
  <si>
    <t>โครงการตรวจเยี่ยมสถาบันผลิตสัตวแพทยศาสตรบัณฑิตโดยสัตวแพทยสภา : ครั้งที่ 1</t>
  </si>
  <si>
    <t>065-5122335</t>
  </si>
  <si>
    <t>โครงการตรวจเยี่ยมสถาบันผลิตสัตวแพทยศาสตรบัณฑิตโดยสัตวแพทยสภา : ครั้งที่ 2</t>
  </si>
  <si>
    <t>1 มี.ค. 61-3 มี.ค. 61</t>
  </si>
  <si>
    <t>โครงการพัฒนาศักยภาพการปฏิบัติงานของบุคลากร คณะสัตวแพทยศาสตร์</t>
  </si>
  <si>
    <t>3 พ.ย 60-3 ธ.ค. 60</t>
  </si>
  <si>
    <t>1. ผู้เข้าร่วมโครงกานำความรู้ไปใช้ประโยชน์อย่างน้อยร้อยละ 80</t>
  </si>
  <si>
    <t>081-2718331</t>
  </si>
  <si>
    <t>14 ก.ค. 61-11 ส.ค. 61</t>
  </si>
  <si>
    <t>โครงการศึกษาดูงานในประเทศสำหรับนักศึกษาสัตวแพทย์</t>
  </si>
  <si>
    <t>27 พ.ค 61-2 มิ.ย. 61</t>
  </si>
  <si>
    <t>โครงการเสริมสร้างประสบการณ์การวิจัยสำหรับนักศึกษา</t>
  </si>
  <si>
    <t>1 ธ.ค. 60-28 ก.พ. 61</t>
  </si>
  <si>
    <t>1. ผู้เข้าร่วมโครงการเกิดทักษะและความเชี่ยวชาญในทางปฏิบัติและสามารถนำไปใช้ประโยชน์ได้</t>
  </si>
  <si>
    <t>1. จำนวนผลงานที่นำไปใช้ประโยชน์หรือตีพิมพ์เผยแพร่อย่างน้อย 1 ผลงาน</t>
  </si>
  <si>
    <t>โครงการพัฒนางานประกันคุณภาพการศึกษา</t>
  </si>
  <si>
    <t>4 พ.ย 60</t>
  </si>
  <si>
    <t>โครงการทดสอบสมรรถนะสำหรับนักศึกษา</t>
  </si>
  <si>
    <t>8 พ.ย 60-9 พ.ย 60</t>
  </si>
  <si>
    <t>โครงการสร้างเสริมประสบการณ์วิชาชีพการสัตวแพทย์ในชนบทสำหรับนักศึกษา</t>
  </si>
  <si>
    <t>24 มี.ค. 61-30 มี.ค. 61</t>
  </si>
  <si>
    <t>โครงการพัฒนาทักษะวิชาชีพบุคลากรด้านสัตวแพทยศาสตร์ : โครงการย่อยที่ 1 โครงการพัฒนาบุคลากรด้านการปรับปรุงพันธุ์สัตว์</t>
  </si>
  <si>
    <t>19 ม.ค. 61-20 ม.ค. 61</t>
  </si>
  <si>
    <t>1. มีกิจกรรมแลกเปลี่ยนเรียนรู้ประสบการณ์/ทักษะวิชาชีพ/วิชาการ อย่างน้อย 1 กิจกรรม</t>
  </si>
  <si>
    <t>โครงการพัฒนาทักษะวิชาชีพบุคลากรด้านสัตวแพทยศาสตร์ : โครงการย่อยที่ 2 โครงการพัฒนาบุคลากรด้านชีวสถิติทางสัตวแพทย์</t>
  </si>
  <si>
    <t>15 ธ.ค. 60-16 ธ.ค. 60</t>
  </si>
  <si>
    <t>โครงการพัฒนาทักษะวิชาชีพบุคลากรด้านสัตวแพทยศาสตร์ : โครงการย่อยที่ 3 โครงการพัฒนาบุคลากรด้านชีวเคมี</t>
  </si>
  <si>
    <t>โครงการพัฒนาทักษะวิชาชีพบุคลากรด้านสัตวแพทยศาสตร์ : โครงการย่อยที่ 4 โครงการพัฒนาบุคลากรด้านเภสัชวิทยาทางสัตวแพทย์</t>
  </si>
  <si>
    <t>15 ม.ค. 61-17 ม.ค. 61</t>
  </si>
  <si>
    <t>โครงการพัฒนาทักษะวิชาชีพบุคลากรด้านสัตวแพทยศาสตร์ : โครงการย่อยที่ 5 โครงการพัฒนาบุคลากรด้านหนอนพยาธิวิทยาทางสัตวแพทย์</t>
  </si>
  <si>
    <t>โครงการพัฒนาทักษะวิชาชีพบุคลากรด้านสัตวแพทยศาสตร์ : โครงการย่อยที่ 6 โครงการพัฒนาบุคลากรด้านกีฎวิทยาและวิทยาโปรโตซัวทางสัตวแพทย์</t>
  </si>
  <si>
    <t>086-4939561</t>
  </si>
  <si>
    <t>โครงการพัฒนาทักษะวิชาชีพบุคลากรด้านสัตวแพทยศาสตร์ : โครงการย่อยที่ 7 โครงการพัฒนาบุคลากรด้านพยาธิวิทยาทางสัตวแพทย์</t>
  </si>
  <si>
    <t>โครงการพัฒนาทักษะวิชาชีพบุคลากรด้านสัตวแพทยศาสตร์ : โครงการย่อยที่ 8 โครงการพัฒนาเพิ่มศักยภาพบุคลากรด้านวิทยาการสืบพันธุ์</t>
  </si>
  <si>
    <t>17 ม.ค. 61-20 ม.ค. 61</t>
  </si>
  <si>
    <t>084-174-7589</t>
  </si>
  <si>
    <t>โครงการพัฒนาทักษะวิชาชีพบุคลากรด้านสัตวแพทยศาสตร์ : โครงการย่อยที่ 9 โครงการพัฒนาบุลากรด้านรังสีและภาพวินิจฉัย</t>
  </si>
  <si>
    <t>โครงการพัฒนาทักษะวิชาชีพบุคลากรด้านสัตวแพทยศาสตร์ : โครงการย่อยที่ 10 โครงการพัฒนาบุคลากรทางด้านสัตว์น้ำแก่นักศึกษา</t>
  </si>
  <si>
    <t>4 ส.ค. 61-5 ส.ค. 61</t>
  </si>
  <si>
    <t>โครงการเสริมสร้างประสบการณ์ของนักศึกษาสัตวแพทยศาสตร์ : โครงการย่อยที่ 1 โครงการเสริมสร้างประสบการณ์ทางด้านอายุรศาสตร์สัตว์ป่าและสัตว์ในสวนสัตว์แก่นักศึกษา</t>
  </si>
  <si>
    <t>โครงการเสริมสร้างประสบการณ์ของนักศึกษาสัตวแพทยศาสตร์ : โครงการย่อยที่ 2 โครงการเสริมสร้างประสบการณ์ทางด้านศัลยศาสตร์แก่นักศึกษา</t>
  </si>
  <si>
    <t>โครงการเสริมสร้างประสบการณ์ของนักศึกษาสัตวแพทยศาสตร์ : โครงการย่อยที่ 3 โครงการเสริมสร้างประสบการณ์ทางด้านการจัดการฟาร์มและวิทยาการสืบพันธุ์สุกรแก่นักศึกษา</t>
  </si>
  <si>
    <t>083-3931387</t>
  </si>
  <si>
    <t>โครงการเสริมสร้างประสบการณ์ของนักศึกษาสัตวแพทยศาสตร์ : โครงการย่อยที่ 4 โครงการเสริมสร้างประสบการณ์ทางด้านพยาธิวิทยาแก่นักศึกษา</t>
  </si>
  <si>
    <t>26 ก.ค. 61-27 ก.ค. 61</t>
  </si>
  <si>
    <t>โครงการเสริมสร้างประสบการณ์ของนักศึกษาสัตวแพทยศาสตร์ : โครงการย่อยที่ 5 โครงการเสริมสร้างประสบการณ์ทางด้านเภสัชวิทยาแก่นักศึกษา</t>
  </si>
  <si>
    <t>25 มิ.ย. 61-27 มิ.ย. 61</t>
  </si>
  <si>
    <t>โครงการเสริมสร้างประสบการณ์ของนักศึกษาสัตวแพทยศาสตร์ : โครงการย่อยที่ 6 โครงการเสริมสร้างประสบการณ์ทางด้านระบาดวิทยาแก่นักศึกษา</t>
  </si>
  <si>
    <t>16 ส.ค. 61-17 ส.ค. 61</t>
  </si>
  <si>
    <t>โครงการการพัฒนาผลิตภัณฑ์จากทุเรียนเทศ (ด้านสัตวแพทย์ศาสตร์)</t>
  </si>
  <si>
    <t>ม.ค. 61-เม.ย. 61</t>
  </si>
  <si>
    <t>1. อย่างน้อยร้อยละ 80 มีความพึงพอใจผลิตภัณฑ์สมุนไพรทางเลือกสำหรับใช้ในสัตว์</t>
  </si>
  <si>
    <t>1. มีผลิตภัณฑ์สมุนไพรทางเลือกสำหรับใช้ในสัตว์</t>
  </si>
  <si>
    <t>0758-489614</t>
  </si>
  <si>
    <t>โครงการการให้ความรู้ และการบริการฉีดวัคซีน ทำหมันและตรวจสุขภาพสัตว์เลี้ยงในพื้นที่จังหวัดนครศรีธรรมราช</t>
  </si>
  <si>
    <t>1. ลดปัญาหาการเพิ่มของจำนวนประชากรสัตว์เลี้ยงที่ไม่มีเจ้าของในชุมชน</t>
  </si>
  <si>
    <t>1. .สามารถให้บริการได้ไม่น้อยกว่า 150 ราย/และสามารถฉีดวัคซีนและทำหมันสุนัขและแมวไม่ต่ำกว่า 500 ตัว</t>
  </si>
  <si>
    <t>โครงการเสริมสร้างความเข้มแข็งด้านอาชีพการปศุสัตว์แก่ชุมชนในพื้นที่เทศบาลตำบลทุ่งสัง อ.ทุ่งใหญ่ จ.นครศรีธรรมราช : กิจกรรมย่อยที่ 1 การพัฒนาอาชีพการเลี้ยงโคเนื้อชุมชนบ้านวังหิน</t>
  </si>
  <si>
    <t>1. จัดตั้งกลุ่มผู้เลี้ยงโคเนื้อบ้านวังหินในการพัฒนาอาชีพในชุมชน</t>
  </si>
  <si>
    <t>1. ตัวแทนและแกนนำกลุ่มวิสาหกิจชุมชนผู้เลี้ยงโคนเนื้อลูกผสมบ้านควนยูง เข้ารับฝึกอบรม จำนวน 20 คน</t>
  </si>
  <si>
    <t>2. สร้างอาชีพเสริมและเพิ่มรายได้</t>
  </si>
  <si>
    <t>โครงการเสริมสร้างความเข้มแข็งด้านอาชีพการปศุสัตว์แก่ชุมชนในพื้นที่เทศบาลตำบลทุ่งสัง อ.ทุ่งใหญ่ จ.นครศรีธรรมราช : กิจกรรมย่อยที่ 2 การฝึกอบรมเชิงปฏิบัติการสัตวแพทย์อาสาชุมชนบริการสุขภาพสัตว์</t>
  </si>
  <si>
    <t>1. สร้างสัตวแพทย์อาสาเฝ้าระวังโรคสัตว์ประจำตำบล</t>
  </si>
  <si>
    <t>1. ตัวแทนจากชุมชนในเทศบาลตำบลทุ่งสังเข้ารับฝึกอบรม จำนวน 25 คน</t>
  </si>
  <si>
    <t>2. สร้างสุขภาวะที่ปลอดภัยจากโรคติดต่อสู่คนที่เกิดขึ้นในชุมชน</t>
  </si>
  <si>
    <t>โครงการเสริมสร้างความเข้มแข็งด้านอาชีพการปศุสัตว์แก่ชุมชนในพื้นที่เทศบาลตำบลทุ่งสัง อ.ทุ่งใหญ่ จ.นครศรีธรรมราช : กิจกรรมย่อยที่ 3 อบรมเชิงปฏิบัติการการทำแก๊สชีวภาพจากมูลปศุสัตว์เพื่อการพัฒนาชุมชน</t>
  </si>
  <si>
    <t>1. ศูนย์สาธิตทำแก๊สชีวภาพจากมูลโค 1 ชุด</t>
  </si>
  <si>
    <t>1. ตัวแทนจากชุมชนในเทศบาลตำบลทุ่งสังเข้ารับฝึกอบรม จำนวน 40 คน</t>
  </si>
  <si>
    <t>โครงการเสริมสร้างความเข้มแข็งด้านอาชีพการปศุสัตว์แก่ชุมชนในพื้นที่เทศบาลตำบลทุ่งสัง อ.ทุ่งใหญ่ จ.นครศรีธรรมราช : กิจกรรมย่อยที่ 4 การยกระดับคุณภาพชีวิตประชากรในชุมชนแบบองค์รวมด้านการผลิตอาหาร โคเนื้อสูตรผสมเสร็จ (TMR) แบบหมักถุงจากวัตถุดิบพืชในท้องถิ่น</t>
  </si>
  <si>
    <t>1. สร้างความยั่งยืนด้านอาหารโคเนื้อจากวัตถุดิบในท้องถิ่น</t>
  </si>
  <si>
    <t>1. กลุ่มวิสาหกิจชุมชนผู้เลี้ยงโคเข้ารับฝึกอบรม จำนวน 25 คน</t>
  </si>
  <si>
    <t>โครงการอบรมเชิงปฏิบัติการการดูแลสุขภาพและการผลิตอาหารแพะเนื้อแก่กลุ่มผู้เลี้ยงแพะเนื้อ ต.บ้านลำนาว อ.บางขัน จ.นครศรีธรรมราช (ภายใต้โครงการ มทร.ศรีวิชัย รับผิดชอบต่อสังคม ประจำปี 2561)</t>
  </si>
  <si>
    <t>1. กลุ่มเกษตรกรได้นำความรู้ที่ได้รับไปต่อยอดการเลี้ยงแพะเนื้อในชุมชนได้</t>
  </si>
  <si>
    <t>1. บุคลากรและอาจารยจ์ในคณะมีความชำนาญด้ัานการจัดการสุขภาพสัตว์และผลิตอาหาร</t>
  </si>
  <si>
    <t>โครงการส่งเสริมเกษตรกรผู้เลี้ยงโคกระบือ : การดูแลสุขภาพกระบือปลัก (ควายน้ำ) หลังประสบอุทกภัย (ภายใต้โครงการ มทร.ศรีวิชัย รับผิดชอบต่อสังคม ประจำปี 2561)</t>
  </si>
  <si>
    <t>1. ลดปัญหาเกี่ยวกับทางด้านสุขภาพกระบือให้กับเกษตรกร</t>
  </si>
  <si>
    <t>1. อาจารย์ในนคณะสามารถใช้ปัญหาในสภาพจริงเพื่อพัฒนางานวิจัยสู่ชุมชน</t>
  </si>
  <si>
    <t>2. กลุ่มเกษตรกรนำความรู้ที่ได้รับมาจัดการสุขภาพกระบือได้</t>
  </si>
  <si>
    <t>โครงการอบรมการผลิตอาหารสัตว์น้ำต้นทุนต่ำเพื่อพัฒนาสู่การเลี้ยงสัตว์น้ำแบบอินทรีย์แก่กลุ่มอนุรักษ์และแปรรูปสาคูบ้านกะโสม ต.กะปาง อ.ทุ่งสง จ.นครศรีธรรมราช (ภายใตัโครงการยกระดับคุณภาพชีวิตชุมชนแบบมีส่วนร่วมสู่แหล่งเรียนรู้ภูมิปัญยาท้องถิ่นต้นแบบ จังหวัดนครศรีธรรมราช)</t>
  </si>
  <si>
    <t>1. กลุ่มเกษตรได้นำความรู้ที่ได้รับสามารถผลิตอาหารสัตว์น้ำต้นทุนต่ำได้</t>
  </si>
  <si>
    <t>1. สูตรอาหารสัตว์น้ำต้นทุนต่ำ</t>
  </si>
  <si>
    <t>โครงการอบรมเชิงปฏิบัติการการจัดการสุขภาพและการปฐมพยาบาลม้าเบื้องต้น (ภายใต้โครงการ มทร.ศรีวิชัย รับผิดชอบต่อสังคม)</t>
  </si>
  <si>
    <t>1. เกษตรกรเข้ารับบริการจำนวน 20 คน</t>
  </si>
  <si>
    <t>2. เกษตรกรสามารถทำการปฐมพยาบาลม้าเบื้องต้นได้เอง</t>
  </si>
  <si>
    <t>โครงการอบรมความรู้ด้านสุขภาพและบริการทำหมัน ฉีดวัคซีนแก่สัตว์เลี้ยงในพื้นที่เกาะลิบงแ จังหวัดตรัง</t>
  </si>
  <si>
    <t>11 มิ.ย. 61-13 มิ.ย. 61</t>
  </si>
  <si>
    <t>1. ชาวบ้านมีความรู้เกี่ยวกับการเลี้ยงสัตว์ที่ดีขึ้นและสามารถนำไปปฏิบัติได้จริง</t>
  </si>
  <si>
    <t>1. การให้บริการตรวจสุขภาพสัตว์ ฉีดวัคซีนป้องกันโรคพิษสุนัขบ้า จำนวน 200 ตัว</t>
  </si>
  <si>
    <t>2. ทำหมันสุนัข และแมว จำนวน 20 ตัว</t>
  </si>
  <si>
    <t>งานหอพัก (วิทยาลัยเทคโนโลยีอุตสาหกรรมและการจัดการ)</t>
  </si>
  <si>
    <t>โครงการทำบุญหอพักนักศึกษา</t>
  </si>
  <si>
    <t>19 ก.ค. 61-21 ก.ค. 61</t>
  </si>
  <si>
    <t>093-5787769</t>
  </si>
  <si>
    <t>งานหอพัก (สำนักงานวิทยาเขตตรัง)</t>
  </si>
  <si>
    <t>โครงการสานสัมพันธ์ชาวหอ</t>
  </si>
  <si>
    <t>2. ผู้เข้าร่วมโครงการมีการสานสัมพันธ์ที่ดียิ่งขึ้น</t>
  </si>
  <si>
    <t>โครงการรณรงค์ประหยัดพลังงาน</t>
  </si>
  <si>
    <t>โครงการซ้อมอัคคีภัย</t>
  </si>
  <si>
    <t>โครงการหอพักสีขาว</t>
  </si>
  <si>
    <t>โครงการสัมมนาเชิงปฏิบัติการการจัดทำแบบรูปรายการและการทำราคากลาง</t>
  </si>
  <si>
    <t>074-317150</t>
  </si>
  <si>
    <t>โครงการค่ายอาสา อก.ร่วมใจพัฒนาชุมชน</t>
  </si>
  <si>
    <t>19 มี.ค. 61-21 มี.ค. 61</t>
  </si>
  <si>
    <t>081-7666361</t>
  </si>
  <si>
    <t>โครงการอบรมและจัดประกวดแข่งขันศิลปะการจัดตกแต่งอาหาพื้นบ้านเพื่อการอนุรักษ์วัฒนธรรมไทย</t>
  </si>
  <si>
    <t>29 ม.ค. 61-30 ม.ค. 61</t>
  </si>
  <si>
    <t>087-2044941</t>
  </si>
  <si>
    <t>โครงการอบรมและจัดประกวดแข่งขันการทำหมรับน้อย</t>
  </si>
  <si>
    <t>โครงการค่ายพัฒนาศักยภาพนักศึกษาด้านคุณธรรม จริยธรรม</t>
  </si>
  <si>
    <t>โครงการเปิดบ้านวันวิชาการ Agro industry open house</t>
  </si>
  <si>
    <t>090-1606599</t>
  </si>
  <si>
    <t>13 พ.ค 61-18 มิ.ย. 61</t>
  </si>
  <si>
    <t>โครงการพัฒนาศักยภาพทางวิชาการและทักษะวิชาชีพด้านอุตสาหกรรมเกษตร</t>
  </si>
  <si>
    <t>ธ.ค. 60-ม.ค. 61</t>
  </si>
  <si>
    <t>14 ม.ค. 61-28 ม.ค. 61</t>
  </si>
  <si>
    <t>084-0600599</t>
  </si>
  <si>
    <t>โครงการนิทรรศการด้านอุตสาหกรรมเกษตร (ราชมงคลศรีวิชัยแฟร์ 2018)</t>
  </si>
  <si>
    <t>โครงการฝึกอบรมเชิงปฏิบัติการด้าน ICT แก่นักศึกษา</t>
  </si>
  <si>
    <t>โครงการประชุมสัมมนาเชิงปฏิบัติการจัดทำแผนพัฒนากลยุทธ์ แผนปฏิบัติงานราชการประจำปี และการบริหารจัดการความเสี่ยงในองค์กร</t>
  </si>
  <si>
    <t>1. ผู้เข้าร่วมโครงการสามารถนำความรุ้ไปใช้ประโยชน์ได้ในระดับมาก</t>
  </si>
  <si>
    <t>086-9655608</t>
  </si>
  <si>
    <t>1. อย่างน้อยร้อยละ 80 ของผู้ที่เข้าร่วมโครงการได้รับความรู้เพิ่มขึ้น</t>
  </si>
  <si>
    <t>โครงการการพัฒนาผลิตภัณฑ์จากทุเรียนเทศ (ทุเรียนเทศแช่เยือกแข็งและการพัฒนาผลิตภัณฑ์ซอสผสมสมุนไพรจากทุเรียนเทศแช่เยือกแข็ง)</t>
  </si>
  <si>
    <t>ก.พ. 61-มี.ค. 61</t>
  </si>
  <si>
    <t>1 ก.พ. 61-30 มี.ค. 61</t>
  </si>
  <si>
    <t>1. ผู้บริโภคให้การยอมรับผลิตภัณฑ์จากทุเรียนเทศไม่น้อยกง่าร้อยละ 70</t>
  </si>
  <si>
    <t>1. ได้ผลิตภัณฑ์ทุเรียนเทศแช่เยือกแข็งในบรรจุภัณฑ์ที่เหมาะสม 1 ผลิตภัณฑ์</t>
  </si>
  <si>
    <t>090-0408054</t>
  </si>
  <si>
    <t>2. ได้ผลิตภัณฑ์ซอสทุเรียนเทศแช่เยือกแข็งในบรรจุภัณฑ์ที่เหมาะสม 1 ผลิตภัณฑ์</t>
  </si>
  <si>
    <t>โครงการอบรมแนวทางการพัฒนาและหลักเกณฑ์วิธีการที่ดีในการขอ Primary GMP ของชุมชนกะปาง(ภายใตัโครงการยกระดับคุณภาพชีวิตชุมชนแบบมีส่วนร่วมสู่แหล่งเรียนรู้ภูมิปัญยาท้องถิ่นต้นแบบ จังหวัดนครศรีธรรมราช)</t>
  </si>
  <si>
    <t>1. ได้มีการให้คำแนะนำและช่วยปรับปรุงสถานประกอบการผลิตภายในวงเงินงบประมาณที่ได้รับจัดสรร</t>
  </si>
  <si>
    <t>1. ชุมชนกะปางมีความรู้ความเข้าใจเกี่ยวกับหลักเกณฑ์วิธีการที่ดีในการผลิตอาหารมากขึ้น</t>
  </si>
  <si>
    <t>095-4659792</t>
  </si>
  <si>
    <t>โครงการการถ่ายทอดเทคโนโลยีผลิตภัณฑ์หมี่กรอบเพื่อการจำหน่าย</t>
  </si>
  <si>
    <t>2. ได้ผลิตภัณฑ์หมี่กรอบที่สามารถผลิตเพื่อจำหน่ายได้ อย่างน้อย 1 ชนิด</t>
  </si>
  <si>
    <t>โครงการการพัฒนาผลิตภัณฑ์ปลาส้ม</t>
  </si>
  <si>
    <t>082-4308651</t>
  </si>
  <si>
    <t>2. ได้ผลิตภัณฑ์ปลาส้มที่สามารถผลิตเพื่อจำหน่ายได้ อย่างน้อย 1 ชนิด</t>
  </si>
  <si>
    <t>โครงการการพัฒนาบรรจุภัณฑ์และการยืดอายุการเก็บขนมดอกจอก</t>
  </si>
  <si>
    <t>2. ผู้เข้าอบรมมีความรู้ในการประกอบอาชีพ</t>
  </si>
  <si>
    <t>2. มีจำนวนผู้รับบริการอย่างน้อยจำนวน 15 คน</t>
  </si>
  <si>
    <t>3. ผู้ผ่านการอบรมมีความรู้และความเข้าใจอย่างน้อยร้อยละ 80</t>
  </si>
  <si>
    <t>4. ได้บรรจุภัณฑ์และฉลากขนมดอกจอกอย่างน้อย 1 ชิ้น</t>
  </si>
  <si>
    <t>โครงการพัฒนาอาชีพทางด้านอุตสาหกรรมเกษตรในชุมชนแปรรูปจากขนาบนากแบบยั่งยืน:กิจกรรมย่อยที่ 1 การฝึกอบรมเชิงปฏิบัติการการพัฒนารูปแบบผลิตภัณฑ์น้ำตาลโซม</t>
  </si>
  <si>
    <t>081-0957532</t>
  </si>
  <si>
    <t>2. ได้ผลิตภัณฑ์น้ำตาลโซมรูปแบบใหม่ที่สามารถกระจายสินค้าสู่ผู้บริโภคในวงกว้างขึ้น ส่งผลให้เกิดการเพิ่มรายได้แก่เกษตรกร ร้อยละ 10</t>
  </si>
  <si>
    <t>โครงการพัฒนาอาชีพทางด้านอุตสาหกรรมเกษตรในชุมชนแปรรูปจากขนาบนากแบบยั่งยืน:กิจกรรมย่อยที่ 2 การฝึกอบรมเชิงปฏิบัติการผลิตภัณฑ์ประเภทเครื่องจิ้มจากน้ำตาลจาก</t>
  </si>
  <si>
    <t>081-9682596</t>
  </si>
  <si>
    <t>2. ได้ผลิตภัณฑ์น้ำปลาหวาน และน้ำจิ้มยอดสะเดาช้าง (ยอดเทียม) ที่สามารถกระจายสินค้าสู่ผู้บริโภคในวงกว้างขึ้น ส่งผลให้เกิดการเพิ่มรายได้แก่เกษตรกร ร้อยละ 10</t>
  </si>
  <si>
    <t>โครงการพัฒนาอาชีพทางด้านอุตสาหกรรมเกษตรในชุมชนแปรรูปจากขนาบนากแบบยั่งยืน:กิจกรรมย่อยที่ 3 การฝึกอบรมและการถ่ายทอดเทคโนโลยีการสร้างตู้อบแสงอาทิตย์ ในการตากแห้งน้ำตาลผง</t>
  </si>
  <si>
    <t>โครงการพัฒนาอาชีพทางด้านอุตสาหกรรมเกษตรในชุมชนแปรรูปจากขนาบนากแบบยั่งยืน:กิจกรรมย่อยที่ 4 การฝึกอบรมเชิงปฏิบัติการการผลิตผลิตภัณฑ์น้ำหวานต้นจากพร้อมดื่ม</t>
  </si>
  <si>
    <t>098-8935520</t>
  </si>
  <si>
    <t>2. ได้ผลิตภัณฑ์น้ำหวานต้นจากพร้อมดื่มพร้อมบรรจุภัณฑ์ที่สามารถจำหน่ายได้</t>
  </si>
  <si>
    <t>โครงการพัฒนาอาชีพทางด้านอุตสาหกรรมเกษตรในชุมชนแปรรูปจากขนาบนากแบบยั่งยืน:กิจกรรมย่อยที่ 5 การฝึกอบรมและถ่ายทอดเทคโนโลยีเครื่องเติมอากาศในการผลิตน้ำตาลโซม</t>
  </si>
  <si>
    <t>089-2220558</t>
  </si>
  <si>
    <t>2. ได้เครื่องเติมอากาศในการผลิตน้ำตาลโซม</t>
  </si>
  <si>
    <t>โครงการพัฒนาอาชีพทางด้านอุตสาหกรรมเกษตรในชุมชนแปรรูปจากขนาบนากแบบยั่งยืน:กิจกรรมย่อยที่ 6 การฝึกอบรมเชิงปฏิบัติการพัฒนาบรรจุภัณฑ์และการยืดอายุการเก็บรักษาผลิตภัณฑ์น้ำหวานต้นจากพร้อมดื่มและน้ำหวานต้นจากเข้มข้น</t>
  </si>
  <si>
    <t>2. สามารถนำความรู้ที่ได้ไปปรับปรุงและพัฒนาบรรจุภัณฑ์สำหรับผลิตภัณฑ์น้ำหวานต้นจากพร้อมดื่มและน้ำหวานต้นจากเข้มข้นได้อย่างเหมาะสม</t>
  </si>
  <si>
    <t>โครงการเปิดบ้านโชว์ผลงานและเทคโนโลยีด้านการเกษตร (OPEN HOUSE)</t>
  </si>
  <si>
    <t>มิ.ย. 61-ส.ค. 61</t>
  </si>
  <si>
    <t>ส่งเอกสารขออนุญาตดำเนินโครงการ 10/8/2561</t>
  </si>
  <si>
    <t>โครงการอบรมคุณธรรม-จริยธรรม</t>
  </si>
  <si>
    <t>โครงการการพัฒนาคุณภาพมาตรฐานการศึกษาของนักเรียนโรงเรียนตำรวจตะเวนชายแดน</t>
  </si>
  <si>
    <t>2. ผู้รับบริการมีคุณภาพการศึกษาที่ดีขึ้น และเอื้อต่อการเรียน ตั้งแต่ระดับประถมถึงปริญญาตรี</t>
  </si>
  <si>
    <t>โครงการนำเสนอและเผยแพร่ผลงานวิจัยระดับบัณฑิตศึกษา</t>
  </si>
  <si>
    <t>โครงการศึกษาดูงานในสถานประกอบการ</t>
  </si>
  <si>
    <t>โครงการพี่ชวนน้องก้าวสู่รั้ว มทร.ศรีวิชัย วิทยาลัยรัตภูมิ</t>
  </si>
  <si>
    <t>โครงการเรียนรู้ร่วมกันสรรค์สร้างชุมชน (กล้วยกรอบแก้ว) : กิจกรรมย่อยที่ 3 การอบรมเชิงปฏิบัติการ การจัดหาต้นทุนและการขายในการผลิตกล้วยกรอบแก้ว</t>
  </si>
  <si>
    <t>เสนอผู้บริหารอนุมัติ 14/2/2561</t>
  </si>
  <si>
    <t>2. ระบบบัญชีในการจัดการต้นและการขายก่อให้เกิดกำไรในการผลิตกล้วยกรอบแก้ว</t>
  </si>
  <si>
    <t>2. กลุ่มแปรรูปผลิตผลทางการเกษตร กล้วยกรอบแก้วมีความรู้ด้านการทำบัญชีและการบริหารต้นทุนเพื่อคิดราคาสิ้นค้าที่ก่อให้เกิดกำไร</t>
  </si>
  <si>
    <t>โครงการเรียนรู้ร่วมกันสรรค์สร้างชุมชน (กล้วยกรอบแก้ว) : กิจกรรมย่อยที่ 4 การอบรมเชิงปฏิบัติการการจัดการด้านการตลาดผลิตกล้วยกรอบแก้ว</t>
  </si>
  <si>
    <t>1. สินค้ากล้วยกรอบแก้วได้มาตรฐานหนึ่งตำบลหนึ่งผลิตภัณฑ์(OTOPชวนชิม)</t>
  </si>
  <si>
    <t>รอรับเช็คและดำเนินโครงการ 21/2/2561</t>
  </si>
  <si>
    <t>2. ผู้เข้าร่วมโครงการสามารถนำความรู้ไปใช้ประโยชน์อยู่ในระดับมาก</t>
  </si>
  <si>
    <t>โครงการเรียนรู้ร่วมกันสรรค์สร้างชุมชน (กล้วยกรอบแก้ว) : กิจกรรมย่อยที่ 5 การส่งเสริมการปลูกกล้วยเพื่อการผลิตกล้วยกรอบแก้ว</t>
  </si>
  <si>
    <t>ธ.ค. 60-พ.ค 61</t>
  </si>
  <si>
    <t>1. อย่างน้อยร้อยละ 80 ของผู้เข้าร่วมโครงการได้รับความรู้เพิ่มขึ้น)</t>
  </si>
  <si>
    <t>อนุมัติโครงการ 28/2/2561</t>
  </si>
  <si>
    <t>2. ปริมาณกล้วยเพิ่มขึ้นจากการส่งเสริมการปลูกเพื่อเป็นวัตถุดิบหลักในการผลิตกล้วยกรอบแก้ว</t>
  </si>
  <si>
    <t>2. ปริมาณการปลูกกล้วยเพิ่มขึ้น</t>
  </si>
  <si>
    <t>โครงการสื่อสารสร้างสรรค์ จรรโลงภาษา พัฒนาทักษะ</t>
  </si>
  <si>
    <t>โครงการส่งเสริมและพัฒนานักศึกษาประกวดสิ่งประดิษฐ์และนวัตกรรม</t>
  </si>
  <si>
    <t>โครงการวารสารวิศวกรรมศาสตร์ศรีวิชัย (Srivijaya Engineering Journal)</t>
  </si>
  <si>
    <t>1. ผู้เข้าร่วมโครงการทุกคนบอกประเด็นความรู้ที่ได้อย่างน้อย 1 เรื่อง</t>
  </si>
  <si>
    <t>2. นศ./อาตารย์/นักวิจัย/นักวิชาการทั่วไป ได้เผยแพร่และตีพิมพ์บทความทางวิชาการและบทความวิจัย อย่างน้อยปีละ 6 เรื่อง</t>
  </si>
  <si>
    <t>โครงการการทำผลิตภัณฑ์ใยกล้วยสู่ชุมชน</t>
  </si>
  <si>
    <t>1. ผลิตภัณฑ์ได้รับการยอมรับจากชุมชนในระดับดี</t>
  </si>
  <si>
    <t>1. ผลิตภัณฑ์จากเส้นใยกล้วย 1 ผลิตภัณฑ์</t>
  </si>
  <si>
    <t>ส่งเอกสารขออนุญาตดำเนินโครงการ 25/6/2561</t>
  </si>
  <si>
    <t>2. ตัวแทนชุมชนสามารถทำผลิตภัณฑ์ได้</t>
  </si>
  <si>
    <t>2. เผยแพร่สู่ชุมชน 1 ครั้ง</t>
  </si>
  <si>
    <t>โครงการจัดทำผังเมืองสู่ชุมชน</t>
  </si>
  <si>
    <t>โครงการอบรมและศึกษางานสถาปัตยกรรมพระเมรุมาศ</t>
  </si>
  <si>
    <t>1. โครงการบรรลุวัตถุประสงค์อย่างน้อยร้อยละ 80</t>
  </si>
  <si>
    <t>1. ผู้เข้าร่วมโครงการมีความตระหนักในการทำนุบำรุงศิลปวัฒนธรรมและสถาปัตยกรรมไทย</t>
  </si>
  <si>
    <t>2. ผู้เข้าร่วมโครงการได้รับองค์ความรู้เพิ่มขึ้น และสามารถนำไปบูรณากาารกับการเรียนการสอน</t>
  </si>
  <si>
    <t>โครงการพัฒนาบุคลากรสายสนับสนุน</t>
  </si>
  <si>
    <t>ส่งเอกสารขออนุญาตดำเนินโครงการ 15/6/2561</t>
  </si>
  <si>
    <t>081-3746797</t>
  </si>
  <si>
    <t>โครงการเสวยาสถานศึกษาเครือข่ายการฝึกประสบการณ์วิชาชีพครูสหกิจ</t>
  </si>
  <si>
    <t>โครงการนิทรรศการและการประกวดผลงานวิจัยของนักศึกษา คณะครุศาสตร์อุตสาหกรรมและเทคโนโลยี</t>
  </si>
  <si>
    <t>1. ผู้เข้าร่วมโครงการได้รับรางวัลจากการประกวดแข่งขัน อย่างน้อย 5 รางวัล</t>
  </si>
  <si>
    <t>โครงการสัมมนาเชิงปฏิบัติการ การกำหนดการเรียนรู้ การวัดและวิธีการประเมินผล</t>
  </si>
  <si>
    <t>1. ผู้เข้าร่วมโครงการได้รับความพึงพอใจในโครงการ อย่างน้อยร้อยละ 80</t>
  </si>
  <si>
    <t>1. ผู้เข้าร่วมโครงการนำความรู้ที่ได้รับพัฒนาและปรับปรุงกระบวนการจัดการเียนการสอน อย่างน้อยร้อยละ 80</t>
  </si>
  <si>
    <t>โครงการ มทร.ศรีวิชัย สืบสานประเพณีสงกรานต์</t>
  </si>
  <si>
    <t>โครงการสืบทอดประเพณีและวัฒนธรรมไทย : กิจกรรมที่ 2 วันสารทเดือนสิบ</t>
  </si>
  <si>
    <t>โครงการส่งเสริมคุณธรรมจริยธรรมและปลูกฝังจิตสำนึกรักองค์กร</t>
  </si>
  <si>
    <t>1. ผู้เข้าร่วมโครงการมีความตระหนักในการบำรุงรักษาศิลปวัฒนธรรมไทยและอนุรักษ์สิ่งแวดล้อม</t>
  </si>
  <si>
    <t>โครงการกีฬาสานสัมพันธ์กับหน่วยงานภายนอก : กิจกรรมที่ 3 ร่วมการแข่งขันกีฬา เทศบาลอ่าวขนอม</t>
  </si>
  <si>
    <t>โครงการกีฬาสานสัมพันธ์กับหน่วยงานภายนอก : กิจกรรมที่ 4 ร่วมการแข่งขันกีฬา เทศบาลตำบลท้องเนียน</t>
  </si>
  <si>
    <t>โครงการตรวจประเมินคุณภาพการศึกษาภายใน ระดับคณะ ประจำปีการศึกษา 2560</t>
  </si>
  <si>
    <t>1. ผลการตรวจประเมินคุณภาพการศึกษาได้คะแนนไม่ต่ำกว่าร้อยละ 50 (จากคะเเนเต็ม 5)</t>
  </si>
  <si>
    <t>1. ความพึงพอใจของผู้เข้าร่วมโครงการ ไม่ต่ำกว่าร้อยละ 80</t>
  </si>
  <si>
    <t>โครงการตรวจประเมินคุณภาพการศึกษาภายใน ระดับหลักสูตร ประจำปีการศึกษา 2560</t>
  </si>
  <si>
    <t>1. ผลการตรวจคุณภาพการศึกษาได้คะแนนไม่ต่ำกว่าร้อยละ 50 (จากคะแนนเต็ม 5)</t>
  </si>
  <si>
    <t>โครงการผลงานสิ่งประดิษฐ์ของคณาจารย์และนักศึกษาสู่การผลิตสื่อประชาสัมพันธ์_บัณฑิตนักปฏิบัติ</t>
  </si>
  <si>
    <t>1. ข้อมูลข่าวสาร และของหน่วยงานได้รับการเผยแพร่ ประชาสัมพันธ์ทำให้มหาวิทยาลัยเป็นที่รู้จักมากขึ้น</t>
  </si>
  <si>
    <t>โครงการจัดแสดงผลงานสิ่งประดิษฐ์และนวัตกรรม ในงานวันนักประดิษฐ์ ประจำปี 2561</t>
  </si>
  <si>
    <t>1. ผลงานสิ่งประดิษฐ์เข้าร่วมจัดนิทรรศการอย่างน้อย 2 ผลงาน</t>
  </si>
  <si>
    <t>โครงการวิทยาลัยรัตภูมิพบปะผู้ปกครอง : ครั้งที่ 3</t>
  </si>
  <si>
    <t>เสนอผู้บริหารอนุมัติ 6/6/2561</t>
  </si>
  <si>
    <t>โครงการเสริมสร้างคุณธรรม จริยธรรม สำหรับบุคลากร : กิจกรรมที่ 2 กิจกรรมเข้าค่ายปฏิบัติธรรม</t>
  </si>
  <si>
    <t>รอรับเช็คและดำเนินโครงการ 14/12/2560</t>
  </si>
  <si>
    <t>โครงการนัดพบสถานประกอบการและแนะแนวอาชีพ</t>
  </si>
  <si>
    <t>โครงการทัศนศึกษาปฏิบัติการนอกสถานที่ อุตุนิยมวิทยาทางทะเล 2561</t>
  </si>
  <si>
    <t>2. นักศึกษามีความรู้ความเข้าใจและมีทักษะการตรวจวัดสภาวะอากาศทางด้านอุตุนิยมวิทยา</t>
  </si>
  <si>
    <t>2. นักศึกษาจำนวน 8 คนได้เข้าศึกษาดูงานและปฏิบัติการนอกสถานที่ ในหน่วยงานของกรมอุตุนิยมวิทยา</t>
  </si>
  <si>
    <t>โครงการอบรมเชิงปฏิบัติการ เรื่อง การสร้างความพร้อมเพื่อการประกันคุณภาพ ระดับหลักสูตร</t>
  </si>
  <si>
    <t>โครงการพัฒนาและส่งเสริมแหล่งท่องเที่ยวทางวัฒนธรรมในพื้นที่ย่านเมืองเก่าสงขลา : กิจกรรมที่ 2 จัดทำแผนที่มรดกทางวัฒนธรรม</t>
  </si>
  <si>
    <t>20 ส.ค. 61-24 ส.ค. 61</t>
  </si>
  <si>
    <t>รอรับเช็คและดำเนินโครงการ 15/8/2561</t>
  </si>
  <si>
    <t>โครงการพัฒนาและส่งเสริมแหล่งท่องเที่ยวทางวัฒนธรรมในพื้นที่ย่านเมืองเก่าสงขลา : กิจกรรมที่ 3 กำกับติดตามและรายงานผลความก้าวหน้าการดำเนินโครงการ</t>
  </si>
  <si>
    <t>อนุมัติโครงการ 15/8/2561</t>
  </si>
  <si>
    <t>โครงการเข้าร่วมและแข่งขันทักษะทางวิชาการเพื่อส่งเสริมความเป็นเลิศของนักศึกษาคณะศิลปศาสตร์ : กิจกรรมย่อยที่ 4 นิทรรศการ Food</t>
  </si>
  <si>
    <t>ส่งเอกสารขออนุญาตดำเนินโครงการ 6/2/2561</t>
  </si>
  <si>
    <t>โครงการเข้าร่วมและแข่งขันทักษะทางวิชาการเพื่อส่งเสริมความเป็นเลิศของนักศึกษาคณะศิลปศาสตร์ : กิจกรรมย่อยที่ 1 การแข่งขัน ตอบคำถามระดับชาติทางด้านการท่องเที่ยวการโรงแรมและธุรกิจการบิน</t>
  </si>
  <si>
    <t>เสนอผู้บริหารอนุมัติ 20/2/2561</t>
  </si>
  <si>
    <t>086-9694931</t>
  </si>
  <si>
    <t>โครงการฝึกทักษะปฏิบัติด้านการโรงแรม แก่นักศึกษา : กิจกรรมย่อยที่ 5 English Afternoon Tea ครั้งที่ 4</t>
  </si>
  <si>
    <t>โครงการฝึกทักษะปฏิบัติด้านการโรงแรม แก่นักศึกษา : กิจกรรมย่อยที่ 6 European Dinner ครั้งที่ 2</t>
  </si>
  <si>
    <t>โครงการฝึกทักษะปฏิบัติด้านการโรงแรม แก่นักศึกษา : กิจกรรมย่อยที่ 7 English Afternoon Tea ครั้งที่ 5</t>
  </si>
  <si>
    <t>โครงการฝึกทักษะปฏิบัติด้านการโรงแรม แก่นักศึกษา : กิจกรรมย่อยที่ 8 English Afternoon Tea ครั้งที่ 6</t>
  </si>
  <si>
    <t>ครงการฝึกทักษะปฏิบัติด้านการโรงแรม แก่นักศึกษา : กิจกรรมย่อยที่ 9 European Dinner ครั้งที่ 3</t>
  </si>
  <si>
    <t>โครงการทัศนศึกษาเพิ่มทักษะวิชาชีพแก่นักศึกษาด้านการท่องเที่ยวต่างประเทศ</t>
  </si>
  <si>
    <t>โครงการพัฒนาและเพิ่มประสิทธิภาพปุ๋ยชีวภาพจากวัสดุเหลือใช้สู่มหาวิทยาลัยสีเขียว</t>
  </si>
  <si>
    <t>2. ความพึงพอใจของผู้เข้าร่วมโครงการ ไม่น้อยกว่่าร้อยละ 80</t>
  </si>
  <si>
    <t>2. ผู้เข้าร่วมโครงการสามารถได้รับความรู้ พัฒนาทักษะเพิ่มขึ้น</t>
  </si>
  <si>
    <t>1. ผู้เข้าร่วมโครงการได้รับการพัฒนาทักษะวิชาชีพเฉพาะทางและเพิ่มความเชี่ยวชาญทางวิชาชีพมากขึ้น</t>
  </si>
  <si>
    <t> ยังไม่ดำเนินโครงการ</t>
  </si>
  <si>
    <t> อยู่ระหว่างขออนุญาตดำเนินโครงการ</t>
  </si>
  <si>
    <t> ดำเนินการเสร็จเรียบร้อยแล้ว</t>
  </si>
  <si>
    <t> ไม่สามารถรายงานโครงการได้</t>
  </si>
  <si>
    <t>ไม่ดำเนินการตามแผน</t>
  </si>
  <si>
    <t>ยกเลิกโครงการ</t>
  </si>
  <si>
    <t>17.การวิจัยและนวัตกรรมในอุตสาหกรรมยุทธศาสตร์และเป้าหมายประเทศ</t>
  </si>
  <si>
    <t>8. โครงการวิจัยและนวัตกรรม
เพื่อแก้ปัญหาหรือสร้างความเข้มแข็ง
ด้านสังคมชุมชนความมั่นคง และคุณภาพชีวิต</t>
  </si>
  <si>
    <t>9. โครงการวิจัยและพัฒนาเพื่อสร้าง
/สะสมองค์ความรู้ที่มีศักยภาพ</t>
  </si>
  <si>
    <t>เงินงบประมาณ</t>
  </si>
  <si>
    <t>7. โครงการวิจัยและนวัตกรรม
ในอุตสาหกรรมยุทธศาสตร์และ
เป้าหมายของประเทศ</t>
  </si>
  <si>
    <t>เงินนอกงบประมาณ*ไม่ได้แยกผลผลิตโครงการวิจัยจึงรวมอยู่ในผลผลิต8</t>
  </si>
  <si>
    <t>18. เงินนอกงบประมาณทุกโครงการวิจัยรวมอยู่ในกิจกรรมการวิจัยและนวัติกรรมเพื่อแก้ปัญหาหรือสร้างความเข้มแข็งด้านสังคม  ชุมชน และคุณภาพชีวิตประชาชน เนื่องจากไม่สามารถแยกผลผลิตได้ จำนวน 201 โครงการ</t>
  </si>
  <si>
    <t xml:space="preserve">                                        </t>
  </si>
  <si>
    <t>1. มหาวิทยาลัยมีค่าใช้จ่ายด้านการฝึกอบรมลดลง 45.29% และค่าใช้จ่ายในการเดินทางเพิ่มขึ้น 80.88% เนื่องจากหน่วยเบิกจ่ายสามารถเก็บข้อมูลค่าใช้จ่ายได้ชัดเจนขึ้น และเมื่อรวมค่าใช่จ่ายทั้งสองประเภทเข้าด้วยกันปรากฎว่าปีงปม.2560 
มีค่าใช้จ่ายฝึกอบรมและค่าใช้จ่ายในการเดินทางรวม 23,725,296.81 บาท ปีงปม.2561 มีค่าใช้จ่ายฝึกอบรมและค่าใช้จ่ายในการเดินทางรวม 24,387,825.67 บาท คิดเป็นเพิ่มขึ้น 2.79%</t>
  </si>
  <si>
    <t>2. ค่าใช้จ่ายเงินอุดหนุนลดลง 34.62% เนื่องจากมีการบูรณาการโครงการวิจัยร่วมกันเพิ่มขึ้น</t>
  </si>
  <si>
    <t>1.  คณะที่มีกิจกรรมการเรียนการสอนทั้งทางด้านวิทยาศาสตร์และเทคโนโลยี และด้านสังคมศาสตร์  กำหนดให้มีกิจกรรมการเรียนการสอนเพียงด้านใดด้านหนึ่ง และแบ่งกลุ่มสาขาวิชาตามสมศ.</t>
  </si>
  <si>
    <t>2.  ต้นทุนกิจกรรมสำหรับปีงบประมาณ 2561 กิจกรรมที่ 1-19 คือกิจกรรมของหน่วยงานหลัก และกิจกรรมที่ 20-30 เป็นกิจกรรมของหน่วยงานสนับสนุน</t>
  </si>
  <si>
    <t>3.  กิจกรรมการจัดการเรียนการสอนกลุ่มสาขาวิชาวิทยาศาสตร์กายภาพ ทั้งระดับปริญญาตรีและปริญญาโท  / กลุ่มสาขาวิชาสถาปัตยกรรมศาสตร์และศิลปกรรม ระดับปริญญาตรี มีต้นทุนรวมสูงขึ้น หน่วยนับลดลง จึงทำให้ต้นทุนต่อหน่วยเพิ่มขึ้น สาเหตุหลักมาจากจำนวนนักศึกษาที่ลดลง</t>
  </si>
  <si>
    <t>วิเคราะห์การเปลี่ยนแปลงของค่าใช้จ่ายส่วนที่ลดลงหรือเพิ่มขึ้นเกิน 20%</t>
  </si>
  <si>
    <t>วิเคราะห์การเปลี่ยนแปลงของรายได้ที่ลดลงหรือเพิ่มขึ้นเกิน 20%</t>
  </si>
  <si>
    <t>วิเคราะห์การเปลี่ยนแปลงของต้นทุนกิจกรรมที่ลดลงหรือเพิ่มขึ้นเกิน 20%</t>
  </si>
  <si>
    <t>วิเคราะห์การเปลี่ยนแปลงของต้นทุนผลผลิตที่ลดลงหรือเพิ่มขึ้นเกิน 20%</t>
  </si>
  <si>
    <t>3. ต้นทุนต่อหน่วยผลผลิตผลงานการให้บริการวิชาการ  มีต้นทุนรวมลดลง  จำนวนหน่วยนับเพิ่มขึ้น จึงทำให้มีต้นทุนต่อหน่วยผลผลิตลดลง เนื่องจากมหาวิทยาลัยมีการบูรณาการและตอบโจทก์ชุมชนเพิ่มขึ้นในเรื่องการบริการวิชาการ สามารถต่อยอดความรู้ได้ตรงความต้องการของชุมชน</t>
  </si>
  <si>
    <t xml:space="preserve"> 1. สำนักงานอธิการบดีและหน่วยงานในหน่วยเบิก00</t>
  </si>
  <si>
    <t>2. ต้นทุนต่อหน่วยผลผลิตผู้สำเร็จการศึกษาด้านวิทยาศาสตร์และเทคโนโลยี ที่มีต้นทุนต่อหน่วยลดลงและเพิ่มขึ้นเกิน 20% ได้แก่ 
    -  ระดับปริญญาตรี กลุ่มสาขาวิชาวิทยาศาสตร์กายภาพ กลุ่มสาขววิชาวิศวกรรมศาสตร์ กลุ่มสาขาวิชาสถาปัตยกรรมศาสตร์ 
    -  ระดับปริญญาโท กลุ่มสาขาวิชาเกษตรศาสตร์ กล่มสาขาวิชาวิทยาศาสตร์กายภาพ 
   ซึ่งสาเหตุหลักเกิดจากต้นทุนรวมที่เพิ่มขึ้นเพราะเป็นกลุ่มสาขาวิชาที่ใช้วัสดุการเรียนการสอนรวมถึงค่าเสื่อมราคาครุภัณฑ์ในการฝึกปฏิบัติเพื่อให้เกิดความชำนาญ  และจำนวนหน่วยนับที่ลดลง จึงทำให้กลุ่มสาขาวิชาดังกล่าวมีต้นทุนต่อหน่วยผลผลิตลดลงโดยส่วนใหญ่ ปัจจัยที่ทำให้หน่วยนับลดลงมาจากจำนวนนักศึกษาที่ลดลงทำให้มีค่า FTES ลดลงตามไปด้วย</t>
  </si>
  <si>
    <t>4.  กิจกรรมการจัดอบรมและสัมมนาเชิงวิชาการหรือปฏิบัติการ มีต้นทุนรวมลดลง 45.80% หน่วยนับลดลง 7.56% จึงทำให้ต้นทุนต่อหน่วยลดลง 49.61% จำนวนโครงการมีจำนวนลดลงเนื่องจากมีการบูรณาการโครงการบริการวิชาการร่วมกัน</t>
  </si>
  <si>
    <t>5.  กิจกรรมนโยบายและแผน ในปีงบประมาณ 2561 มีต้นทุนรวมเพิ่มขึ้น2.52% หน่วยนับเพิ่มขึ้น 33.33% จึงทำให้ต้นทุนต่อหน่วยลดลง 23.11% เนื่องจากจำนวนหน่วยนับในปีงบประมาณ 2561 เพิ่มขึ้นจากปีก่อน</t>
  </si>
  <si>
    <t xml:space="preserve">6.  กิจกรรมด้านการประชาสัมพันธ์ /กิจกรรมด้านยานพาหนะและอาคารสถานที่ /กิจกรรมด้านเทคโนโลยีสารสนเทศ มีต้นทุนต่อหน่วยลดลงทั้ง 3 กิจกรรม เนืองจากมีนำเทคโนโลยี ระบบฐานข้อมูล รวมถึงระบบดิจิตอลมาใช้เพิ่มขึ้นและมีการบริหารจัดการบูรณาการร่วมกันเพิ่มขึ้น พร้อมเข้าสู่ไทยแลนด์ 4.0 </t>
  </si>
  <si>
    <t>เอกสาร 4</t>
  </si>
  <si>
    <t>T/Eเบิกเกินส่งคืน</t>
  </si>
  <si>
    <t>T/E-โอนเงินให้สรก.</t>
  </si>
  <si>
    <t>T/E-โอนร/ดผ/ดให้บก.</t>
  </si>
  <si>
    <t>T/E-ปรับเงินฝากคลัง</t>
  </si>
  <si>
    <t>TE-ภายในกรม</t>
  </si>
  <si>
    <t>รายละเอียดแสดงค่าใช้จ่ายของหน่วยงาน แยกตามประเภทค่าใช้จ่ายและแหล่งของเงิน ปีงปม.2561</t>
  </si>
  <si>
    <t>รหัสหน่วยเบิกจ่าย   2017100000 - 2017100005</t>
  </si>
</sst>
</file>

<file path=xl/styles.xml><?xml version="1.0" encoding="utf-8"?>
<styleSheet xmlns="http://schemas.openxmlformats.org/spreadsheetml/2006/main">
  <numFmts count="4">
    <numFmt numFmtId="43" formatCode="_-* #,##0.00_-;\-* #,##0.00_-;_-* &quot;-&quot;??_-;_-@_-"/>
    <numFmt numFmtId="187" formatCode="_-* #,##0_-;\-* #,##0_-;_-* &quot;-&quot;??_-;_-@_-"/>
    <numFmt numFmtId="188" formatCode="_-* #,##0.0000_-;\-* #,##0.0000_-;_-* &quot;-&quot;??_-;_-@_-"/>
    <numFmt numFmtId="189" formatCode="_-* #,##0.00%_-;\(#,##0.00%\);_-* &quot;-&quot;??_-;_-@_-"/>
  </numFmts>
  <fonts count="48">
    <font>
      <sz val="16"/>
      <name val="Angsana New"/>
      <charset val="222"/>
    </font>
    <font>
      <sz val="16"/>
      <name val="Angsana New"/>
      <family val="1"/>
    </font>
    <font>
      <b/>
      <sz val="16"/>
      <name val="Angsana New"/>
      <family val="1"/>
    </font>
    <font>
      <sz val="8"/>
      <name val="Angsana New"/>
      <family val="1"/>
    </font>
    <font>
      <b/>
      <sz val="14"/>
      <name val="Angsana New"/>
      <family val="1"/>
    </font>
    <font>
      <sz val="14"/>
      <name val="Angsana New"/>
      <family val="1"/>
    </font>
    <font>
      <sz val="16"/>
      <name val="TH SarabunPSK"/>
      <family val="2"/>
    </font>
    <font>
      <sz val="14"/>
      <name val="TH SarabunPSK"/>
      <family val="2"/>
    </font>
    <font>
      <sz val="20"/>
      <name val="TH SarabunPSK"/>
      <family val="2"/>
    </font>
    <font>
      <b/>
      <sz val="18"/>
      <name val="TH SarabunPSK"/>
      <family val="2"/>
    </font>
    <font>
      <b/>
      <sz val="16"/>
      <name val="TH SarabunPSK"/>
      <family val="2"/>
    </font>
    <font>
      <sz val="20"/>
      <color rgb="FFFF0000"/>
      <name val="TH SarabunPSK"/>
      <family val="2"/>
    </font>
    <font>
      <sz val="18"/>
      <name val="TH SarabunPSK"/>
      <family val="2"/>
    </font>
    <font>
      <b/>
      <sz val="14"/>
      <color rgb="FFFF0000"/>
      <name val="TH SarabunPSK"/>
      <family val="2"/>
    </font>
    <font>
      <b/>
      <sz val="14"/>
      <name val="TH SarabunPSK"/>
      <family val="2"/>
    </font>
    <font>
      <sz val="16"/>
      <color rgb="FFFF0000"/>
      <name val="TH SarabunPSK"/>
      <family val="2"/>
    </font>
    <font>
      <sz val="14"/>
      <color theme="1"/>
      <name val="TH SarabunPSK"/>
      <family val="2"/>
    </font>
    <font>
      <b/>
      <sz val="20"/>
      <color rgb="FFFF0000"/>
      <name val="TH SarabunPSK"/>
      <family val="2"/>
    </font>
    <font>
      <b/>
      <u/>
      <sz val="16"/>
      <name val="TH SarabunPSK"/>
      <family val="2"/>
    </font>
    <font>
      <u/>
      <sz val="16"/>
      <name val="TH SarabunPSK"/>
      <family val="2"/>
    </font>
    <font>
      <b/>
      <u/>
      <sz val="14"/>
      <name val="TH SarabunPSK"/>
      <family val="2"/>
    </font>
    <font>
      <b/>
      <sz val="20"/>
      <name val="TH SarabunPSK"/>
      <family val="2"/>
    </font>
    <font>
      <b/>
      <u/>
      <sz val="20"/>
      <name val="TH SarabunPSK"/>
      <family val="2"/>
    </font>
    <font>
      <u/>
      <sz val="18"/>
      <name val="TH SarabunPSK"/>
      <family val="2"/>
    </font>
    <font>
      <u/>
      <sz val="14"/>
      <name val="TH SarabunPSK"/>
      <family val="2"/>
    </font>
    <font>
      <u/>
      <sz val="20"/>
      <name val="TH SarabunPSK"/>
      <family val="2"/>
    </font>
    <font>
      <i/>
      <sz val="14"/>
      <name val="TH SarabunPSK"/>
      <family val="2"/>
    </font>
    <font>
      <sz val="14"/>
      <color rgb="FFFF0000"/>
      <name val="TH SarabunPSK"/>
      <family val="2"/>
    </font>
    <font>
      <b/>
      <u/>
      <sz val="20"/>
      <color rgb="FFFF0000"/>
      <name val="TH SarabunPSK"/>
      <family val="2"/>
    </font>
    <font>
      <sz val="12"/>
      <name val="TH SarabunPSK"/>
      <family val="2"/>
    </font>
    <font>
      <sz val="18"/>
      <color rgb="FFFF0000"/>
      <name val="TH SarabunPSK"/>
      <family val="2"/>
    </font>
    <font>
      <sz val="12"/>
      <name val="Angsana New"/>
      <family val="1"/>
    </font>
    <font>
      <sz val="16"/>
      <color theme="1"/>
      <name val="TH SarabunPSK"/>
      <family val="2"/>
    </font>
    <font>
      <sz val="16"/>
      <color rgb="FF000000"/>
      <name val="TH SarabunPSK"/>
      <family val="2"/>
    </font>
    <font>
      <b/>
      <sz val="16"/>
      <color rgb="FF000000"/>
      <name val="TH SarabunPSK"/>
      <family val="2"/>
    </font>
    <font>
      <b/>
      <sz val="9"/>
      <color indexed="81"/>
      <name val="Tahoma"/>
      <family val="2"/>
    </font>
    <font>
      <i/>
      <sz val="18"/>
      <name val="TH SarabunPSK"/>
      <family val="2"/>
    </font>
    <font>
      <sz val="18"/>
      <color theme="1"/>
      <name val="TH SarabunPSK"/>
      <family val="2"/>
    </font>
    <font>
      <i/>
      <sz val="18"/>
      <color theme="1"/>
      <name val="TH SarabunPSK"/>
      <family val="2"/>
    </font>
    <font>
      <b/>
      <sz val="16"/>
      <color rgb="FF333333"/>
      <name val="TH SarabunPSK"/>
      <family val="2"/>
    </font>
    <font>
      <b/>
      <sz val="16"/>
      <color theme="1"/>
      <name val="TH SarabunPSK"/>
      <family val="2"/>
    </font>
    <font>
      <b/>
      <sz val="14"/>
      <color theme="1"/>
      <name val="TH SarabunPSK"/>
      <family val="2"/>
    </font>
    <font>
      <sz val="9"/>
      <color indexed="81"/>
      <name val="Tahoma"/>
      <family val="2"/>
    </font>
    <font>
      <sz val="24"/>
      <color theme="1"/>
      <name val="TH SarabunPSK"/>
      <family val="2"/>
    </font>
    <font>
      <b/>
      <sz val="12"/>
      <color theme="1"/>
      <name val="TH SarabunPSK"/>
      <family val="2"/>
    </font>
    <font>
      <sz val="12"/>
      <color theme="1"/>
      <name val="TH SarabunPSK"/>
      <family val="2"/>
    </font>
    <font>
      <sz val="16"/>
      <color rgb="FFFF0000"/>
      <name val="Angsana New"/>
      <family val="1"/>
    </font>
    <font>
      <sz val="11"/>
      <color theme="1"/>
      <name val="TH SarabunPSK"/>
      <family val="2"/>
    </font>
  </fonts>
  <fills count="1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3FBEEB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9BC5EE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339933"/>
        <bgColor indexed="64"/>
      </patternFill>
    </fill>
    <fill>
      <patternFill patternType="solid">
        <fgColor rgb="FF0000FF"/>
        <bgColor indexed="64"/>
      </patternFill>
    </fill>
    <fill>
      <patternFill patternType="solid">
        <fgColor rgb="FF000000"/>
        <bgColor indexed="64"/>
      </patternFill>
    </fill>
    <fill>
      <patternFill patternType="solid">
        <fgColor rgb="FFFF6600"/>
        <bgColor indexed="64"/>
      </patternFill>
    </fill>
    <fill>
      <patternFill patternType="solid">
        <fgColor rgb="FF7030A0"/>
        <bgColor indexed="64"/>
      </patternFill>
    </fill>
  </fills>
  <borders count="6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12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/>
      <top style="thin">
        <color indexed="64"/>
      </top>
      <bottom/>
      <diagonal/>
    </border>
    <border>
      <left/>
      <right style="thick">
        <color rgb="FF00B050"/>
      </right>
      <top style="thin">
        <color indexed="64"/>
      </top>
      <bottom style="thin">
        <color indexed="64"/>
      </bottom>
      <diagonal/>
    </border>
    <border>
      <left/>
      <right/>
      <top style="double">
        <color indexed="64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rgb="FF00B050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ck">
        <color rgb="FFFF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ck">
        <color rgb="FFFF0000"/>
      </left>
      <right/>
      <top/>
      <bottom/>
      <diagonal/>
    </border>
    <border>
      <left/>
      <right style="thick">
        <color rgb="FFC00000"/>
      </right>
      <top style="thin">
        <color rgb="FF000000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ck">
        <color rgb="FF092FD1"/>
      </left>
      <right/>
      <top/>
      <bottom/>
      <diagonal/>
    </border>
    <border>
      <left style="thick">
        <color rgb="FF092FD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ck">
        <color rgb="FF1E07C9"/>
      </right>
      <top/>
      <bottom/>
      <diagonal/>
    </border>
    <border>
      <left style="thin">
        <color indexed="64"/>
      </left>
      <right style="thick">
        <color rgb="FF1E07C9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ck">
        <color rgb="FF1E07C9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ck">
        <color rgb="FFC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ck">
        <color rgb="FFFF0000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759">
    <xf numFmtId="0" fontId="0" fillId="0" borderId="0" xfId="0"/>
    <xf numFmtId="0" fontId="6" fillId="0" borderId="0" xfId="0" applyFont="1" applyFill="1" applyAlignment="1">
      <alignment vertical="center"/>
    </xf>
    <xf numFmtId="0" fontId="5" fillId="0" borderId="0" xfId="0" applyFont="1"/>
    <xf numFmtId="0" fontId="4" fillId="0" borderId="1" xfId="0" applyFont="1" applyBorder="1" applyAlignment="1"/>
    <xf numFmtId="0" fontId="5" fillId="0" borderId="1" xfId="0" applyFont="1" applyBorder="1" applyAlignment="1"/>
    <xf numFmtId="43" fontId="7" fillId="0" borderId="1" xfId="1" applyFont="1" applyFill="1" applyBorder="1" applyAlignment="1">
      <alignment vertical="center" wrapText="1"/>
    </xf>
    <xf numFmtId="0" fontId="5" fillId="0" borderId="0" xfId="0" applyFont="1" applyAlignment="1">
      <alignment vertical="center"/>
    </xf>
    <xf numFmtId="0" fontId="4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43" fontId="5" fillId="0" borderId="0" xfId="1" applyFont="1" applyAlignment="1">
      <alignment horizontal="center" vertical="center"/>
    </xf>
    <xf numFmtId="43" fontId="5" fillId="0" borderId="0" xfId="1" applyFont="1"/>
    <xf numFmtId="43" fontId="5" fillId="0" borderId="0" xfId="0" applyNumberFormat="1" applyFont="1"/>
    <xf numFmtId="0" fontId="5" fillId="0" borderId="6" xfId="0" applyFont="1" applyBorder="1" applyAlignment="1">
      <alignment vertical="center"/>
    </xf>
    <xf numFmtId="0" fontId="5" fillId="0" borderId="20" xfId="0" applyFont="1" applyBorder="1" applyAlignment="1">
      <alignment vertical="center"/>
    </xf>
    <xf numFmtId="43" fontId="5" fillId="0" borderId="1" xfId="1" applyFont="1" applyBorder="1"/>
    <xf numFmtId="43" fontId="4" fillId="0" borderId="1" xfId="1" applyFont="1" applyBorder="1"/>
    <xf numFmtId="43" fontId="5" fillId="0" borderId="1" xfId="0" applyNumberFormat="1" applyFont="1" applyBorder="1"/>
    <xf numFmtId="0" fontId="2" fillId="0" borderId="0" xfId="0" applyFont="1"/>
    <xf numFmtId="0" fontId="4" fillId="0" borderId="1" xfId="0" applyFont="1" applyBorder="1" applyAlignment="1">
      <alignment horizontal="center" vertical="center" wrapText="1"/>
    </xf>
    <xf numFmtId="0" fontId="4" fillId="0" borderId="0" xfId="0" applyFont="1" applyAlignment="1">
      <alignment horizontal="center" vertical="center"/>
    </xf>
    <xf numFmtId="0" fontId="4" fillId="0" borderId="0" xfId="0" applyFont="1"/>
    <xf numFmtId="43" fontId="6" fillId="2" borderId="0" xfId="0" applyNumberFormat="1" applyFont="1" applyFill="1" applyAlignment="1">
      <alignment vertical="center"/>
    </xf>
    <xf numFmtId="43" fontId="6" fillId="2" borderId="1" xfId="0" applyNumberFormat="1" applyFont="1" applyFill="1" applyBorder="1" applyAlignment="1">
      <alignment vertical="center"/>
    </xf>
    <xf numFmtId="43" fontId="10" fillId="2" borderId="0" xfId="1" applyFont="1" applyFill="1" applyAlignment="1">
      <alignment vertical="center"/>
    </xf>
    <xf numFmtId="0" fontId="10" fillId="2" borderId="0" xfId="0" applyFont="1" applyFill="1" applyAlignment="1">
      <alignment vertical="center"/>
    </xf>
    <xf numFmtId="43" fontId="7" fillId="2" borderId="1" xfId="1" applyNumberFormat="1" applyFont="1" applyFill="1" applyBorder="1" applyAlignment="1">
      <alignment horizontal="left" vertical="center"/>
    </xf>
    <xf numFmtId="0" fontId="6" fillId="2" borderId="1" xfId="0" applyFont="1" applyFill="1" applyBorder="1" applyAlignment="1">
      <alignment vertical="center"/>
    </xf>
    <xf numFmtId="43" fontId="6" fillId="2" borderId="8" xfId="0" applyNumberFormat="1" applyFont="1" applyFill="1" applyBorder="1" applyAlignment="1">
      <alignment vertical="center"/>
    </xf>
    <xf numFmtId="43" fontId="6" fillId="2" borderId="8" xfId="0" applyNumberFormat="1" applyFont="1" applyFill="1" applyBorder="1" applyAlignment="1">
      <alignment horizontal="center" vertical="center"/>
    </xf>
    <xf numFmtId="43" fontId="6" fillId="2" borderId="0" xfId="1" applyFont="1" applyFill="1" applyAlignment="1">
      <alignment vertical="center"/>
    </xf>
    <xf numFmtId="43" fontId="6" fillId="2" borderId="0" xfId="1" applyFont="1" applyFill="1" applyBorder="1" applyAlignment="1">
      <alignment vertical="center"/>
    </xf>
    <xf numFmtId="43" fontId="7" fillId="2" borderId="1" xfId="1" applyNumberFormat="1" applyFont="1" applyFill="1" applyBorder="1" applyAlignment="1">
      <alignment vertical="center"/>
    </xf>
    <xf numFmtId="43" fontId="7" fillId="2" borderId="1" xfId="0" applyNumberFormat="1" applyFont="1" applyFill="1" applyBorder="1" applyAlignment="1">
      <alignment vertical="center"/>
    </xf>
    <xf numFmtId="0" fontId="7" fillId="2" borderId="1" xfId="0" applyFont="1" applyFill="1" applyBorder="1" applyAlignment="1">
      <alignment vertical="center"/>
    </xf>
    <xf numFmtId="0" fontId="7" fillId="2" borderId="0" xfId="0" applyFont="1" applyFill="1" applyAlignment="1">
      <alignment vertical="center"/>
    </xf>
    <xf numFmtId="43" fontId="7" fillId="2" borderId="0" xfId="1" applyFont="1" applyFill="1" applyBorder="1" applyAlignment="1">
      <alignment vertical="center"/>
    </xf>
    <xf numFmtId="0" fontId="7" fillId="2" borderId="0" xfId="0" applyFont="1" applyFill="1" applyBorder="1" applyAlignment="1">
      <alignment vertical="center"/>
    </xf>
    <xf numFmtId="43" fontId="7" fillId="2" borderId="0" xfId="1" applyFont="1" applyFill="1" applyAlignment="1">
      <alignment vertical="center"/>
    </xf>
    <xf numFmtId="43" fontId="7" fillId="2" borderId="0" xfId="0" applyNumberFormat="1" applyFont="1" applyFill="1" applyAlignment="1">
      <alignment vertical="center"/>
    </xf>
    <xf numFmtId="43" fontId="7" fillId="2" borderId="1" xfId="0" applyNumberFormat="1" applyFont="1" applyFill="1" applyBorder="1" applyAlignment="1">
      <alignment horizontal="center" vertical="center"/>
    </xf>
    <xf numFmtId="0" fontId="6" fillId="0" borderId="0" xfId="0" applyFont="1" applyAlignment="1">
      <alignment horizontal="right" vertical="center"/>
    </xf>
    <xf numFmtId="0" fontId="10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6" fillId="2" borderId="1" xfId="0" applyFont="1" applyFill="1" applyBorder="1" applyAlignment="1">
      <alignment vertical="center" wrapText="1"/>
    </xf>
    <xf numFmtId="43" fontId="6" fillId="2" borderId="1" xfId="1" applyFont="1" applyFill="1" applyBorder="1" applyAlignment="1">
      <alignment horizontal="right" vertical="center"/>
    </xf>
    <xf numFmtId="0" fontId="6" fillId="0" borderId="1" xfId="0" applyFont="1" applyBorder="1" applyAlignment="1">
      <alignment vertical="center"/>
    </xf>
    <xf numFmtId="43" fontId="6" fillId="0" borderId="0" xfId="0" applyNumberFormat="1" applyFont="1" applyAlignment="1">
      <alignment vertical="center"/>
    </xf>
    <xf numFmtId="43" fontId="6" fillId="0" borderId="0" xfId="0" applyNumberFormat="1" applyFont="1" applyFill="1" applyAlignment="1">
      <alignment vertical="center"/>
    </xf>
    <xf numFmtId="0" fontId="7" fillId="0" borderId="1" xfId="0" applyFont="1" applyBorder="1" applyAlignment="1">
      <alignment horizontal="center" vertical="center"/>
    </xf>
    <xf numFmtId="0" fontId="7" fillId="2" borderId="1" xfId="0" applyFont="1" applyFill="1" applyBorder="1" applyAlignment="1">
      <alignment horizontal="left" vertical="center"/>
    </xf>
    <xf numFmtId="0" fontId="18" fillId="0" borderId="0" xfId="0" applyFont="1" applyFill="1" applyBorder="1" applyAlignment="1">
      <alignment vertical="center"/>
    </xf>
    <xf numFmtId="0" fontId="6" fillId="0" borderId="0" xfId="0" applyFont="1" applyBorder="1" applyAlignment="1">
      <alignment vertical="center"/>
    </xf>
    <xf numFmtId="0" fontId="10" fillId="2" borderId="2" xfId="0" applyFont="1" applyFill="1" applyBorder="1" applyAlignment="1">
      <alignment horizontal="center" vertical="center"/>
    </xf>
    <xf numFmtId="43" fontId="6" fillId="0" borderId="0" xfId="1" applyFont="1" applyFill="1" applyAlignment="1">
      <alignment vertical="center"/>
    </xf>
    <xf numFmtId="0" fontId="10" fillId="0" borderId="0" xfId="0" applyFont="1" applyFill="1" applyAlignment="1">
      <alignment horizontal="center" vertical="center"/>
    </xf>
    <xf numFmtId="43" fontId="7" fillId="2" borderId="1" xfId="1" applyFont="1" applyFill="1" applyBorder="1" applyAlignment="1">
      <alignment vertical="center"/>
    </xf>
    <xf numFmtId="43" fontId="7" fillId="2" borderId="1" xfId="1" applyFont="1" applyFill="1" applyBorder="1" applyAlignment="1">
      <alignment horizontal="center" vertical="center" wrapText="1"/>
    </xf>
    <xf numFmtId="43" fontId="7" fillId="2" borderId="1" xfId="1" applyFont="1" applyFill="1" applyBorder="1" applyAlignment="1">
      <alignment horizontal="right" vertical="center"/>
    </xf>
    <xf numFmtId="43" fontId="7" fillId="2" borderId="6" xfId="1" applyFont="1" applyFill="1" applyBorder="1" applyAlignment="1">
      <alignment vertical="center"/>
    </xf>
    <xf numFmtId="0" fontId="12" fillId="0" borderId="0" xfId="0" applyFont="1" applyFill="1" applyAlignment="1">
      <alignment vertical="center"/>
    </xf>
    <xf numFmtId="0" fontId="10" fillId="0" borderId="0" xfId="0" applyFont="1" applyAlignment="1">
      <alignment vertical="center"/>
    </xf>
    <xf numFmtId="43" fontId="6" fillId="0" borderId="0" xfId="0" applyNumberFormat="1" applyFont="1" applyAlignment="1">
      <alignment horizontal="right" vertical="center"/>
    </xf>
    <xf numFmtId="43" fontId="6" fillId="0" borderId="0" xfId="1" applyFont="1" applyFill="1" applyBorder="1" applyAlignment="1">
      <alignment vertical="center"/>
    </xf>
    <xf numFmtId="0" fontId="6" fillId="0" borderId="0" xfId="0" applyFont="1" applyBorder="1" applyAlignment="1">
      <alignment horizontal="center" vertical="center"/>
    </xf>
    <xf numFmtId="189" fontId="6" fillId="0" borderId="0" xfId="0" applyNumberFormat="1" applyFont="1" applyFill="1" applyBorder="1" applyAlignment="1">
      <alignment vertical="center"/>
    </xf>
    <xf numFmtId="43" fontId="6" fillId="0" borderId="0" xfId="0" applyNumberFormat="1" applyFont="1" applyAlignment="1">
      <alignment vertical="center" wrapText="1"/>
    </xf>
    <xf numFmtId="0" fontId="9" fillId="0" borderId="0" xfId="0" applyFont="1" applyFill="1" applyAlignment="1">
      <alignment horizontal="left" vertical="center"/>
    </xf>
    <xf numFmtId="0" fontId="9" fillId="0" borderId="0" xfId="0" applyFont="1" applyFill="1" applyAlignment="1">
      <alignment horizontal="center" vertical="center"/>
    </xf>
    <xf numFmtId="0" fontId="10" fillId="0" borderId="0" xfId="0" applyFont="1" applyFill="1" applyAlignment="1">
      <alignment vertical="center"/>
    </xf>
    <xf numFmtId="0" fontId="6" fillId="0" borderId="0" xfId="0" applyFont="1" applyFill="1" applyBorder="1" applyAlignment="1">
      <alignment vertical="center"/>
    </xf>
    <xf numFmtId="0" fontId="8" fillId="2" borderId="0" xfId="0" applyFont="1" applyFill="1" applyBorder="1" applyAlignment="1">
      <alignment vertical="center"/>
    </xf>
    <xf numFmtId="0" fontId="21" fillId="2" borderId="0" xfId="0" applyFont="1" applyFill="1" applyAlignment="1">
      <alignment horizontal="left" vertical="center"/>
    </xf>
    <xf numFmtId="43" fontId="21" fillId="2" borderId="0" xfId="1" applyFont="1" applyFill="1" applyAlignment="1">
      <alignment horizontal="left" vertical="center"/>
    </xf>
    <xf numFmtId="0" fontId="21" fillId="2" borderId="0" xfId="0" applyFont="1" applyFill="1" applyAlignment="1">
      <alignment vertical="center"/>
    </xf>
    <xf numFmtId="43" fontId="8" fillId="2" borderId="0" xfId="1" applyFont="1" applyFill="1" applyAlignment="1">
      <alignment horizontal="left" vertical="center"/>
    </xf>
    <xf numFmtId="0" fontId="22" fillId="2" borderId="0" xfId="0" applyFont="1" applyFill="1" applyBorder="1" applyAlignment="1">
      <alignment horizontal="left" vertical="center"/>
    </xf>
    <xf numFmtId="43" fontId="22" fillId="2" borderId="0" xfId="1" applyFont="1" applyFill="1" applyAlignment="1">
      <alignment vertical="center"/>
    </xf>
    <xf numFmtId="0" fontId="22" fillId="2" borderId="0" xfId="0" applyFont="1" applyFill="1" applyAlignment="1">
      <alignment vertical="center"/>
    </xf>
    <xf numFmtId="0" fontId="6" fillId="2" borderId="0" xfId="0" applyFont="1" applyFill="1" applyBorder="1" applyAlignment="1">
      <alignment vertical="center"/>
    </xf>
    <xf numFmtId="0" fontId="6" fillId="2" borderId="0" xfId="0" applyFont="1" applyFill="1" applyBorder="1" applyAlignment="1">
      <alignment horizontal="center" vertical="center"/>
    </xf>
    <xf numFmtId="43" fontId="7" fillId="2" borderId="7" xfId="1" applyNumberFormat="1" applyFont="1" applyFill="1" applyBorder="1" applyAlignment="1">
      <alignment vertical="center"/>
    </xf>
    <xf numFmtId="43" fontId="7" fillId="0" borderId="1" xfId="1" applyFont="1" applyFill="1" applyBorder="1" applyAlignment="1">
      <alignment horizontal="left" vertical="center"/>
    </xf>
    <xf numFmtId="43" fontId="14" fillId="2" borderId="0" xfId="1" applyFont="1" applyFill="1" applyAlignment="1">
      <alignment vertical="center"/>
    </xf>
    <xf numFmtId="43" fontId="14" fillId="2" borderId="0" xfId="1" applyFont="1" applyFill="1" applyBorder="1" applyAlignment="1">
      <alignment vertical="center"/>
    </xf>
    <xf numFmtId="43" fontId="7" fillId="2" borderId="6" xfId="1" applyFont="1" applyFill="1" applyBorder="1" applyAlignment="1">
      <alignment horizontal="center" vertical="center"/>
    </xf>
    <xf numFmtId="43" fontId="7" fillId="2" borderId="0" xfId="1" applyFont="1" applyFill="1" applyBorder="1" applyAlignment="1">
      <alignment horizontal="center" vertical="center"/>
    </xf>
    <xf numFmtId="187" fontId="7" fillId="2" borderId="0" xfId="1" applyNumberFormat="1" applyFont="1" applyFill="1" applyBorder="1" applyAlignment="1">
      <alignment horizontal="center" vertical="center"/>
    </xf>
    <xf numFmtId="187" fontId="7" fillId="2" borderId="11" xfId="1" applyNumberFormat="1" applyFont="1" applyFill="1" applyBorder="1" applyAlignment="1">
      <alignment horizontal="center" vertical="center"/>
    </xf>
    <xf numFmtId="0" fontId="7" fillId="0" borderId="1" xfId="0" applyFont="1" applyBorder="1"/>
    <xf numFmtId="0" fontId="7" fillId="0" borderId="0" xfId="0" applyFont="1"/>
    <xf numFmtId="43" fontId="7" fillId="0" borderId="1" xfId="1" applyFont="1" applyBorder="1"/>
    <xf numFmtId="43" fontId="7" fillId="0" borderId="1" xfId="0" applyNumberFormat="1" applyFont="1" applyBorder="1"/>
    <xf numFmtId="43" fontId="7" fillId="0" borderId="0" xfId="0" applyNumberFormat="1" applyFont="1"/>
    <xf numFmtId="43" fontId="7" fillId="2" borderId="1" xfId="1" applyFont="1" applyFill="1" applyBorder="1"/>
    <xf numFmtId="0" fontId="14" fillId="2" borderId="1" xfId="0" applyFont="1" applyFill="1" applyBorder="1" applyAlignment="1">
      <alignment horizontal="center" vertical="center"/>
    </xf>
    <xf numFmtId="43" fontId="17" fillId="2" borderId="0" xfId="1" applyFont="1" applyFill="1" applyAlignment="1">
      <alignment horizontal="right" vertical="center"/>
    </xf>
    <xf numFmtId="43" fontId="11" fillId="2" borderId="0" xfId="1" applyFont="1" applyFill="1" applyAlignment="1">
      <alignment horizontal="right" vertical="center"/>
    </xf>
    <xf numFmtId="43" fontId="28" fillId="2" borderId="0" xfId="1" applyFont="1" applyFill="1" applyAlignment="1">
      <alignment horizontal="right" vertical="center"/>
    </xf>
    <xf numFmtId="43" fontId="15" fillId="2" borderId="0" xfId="1" applyFont="1" applyFill="1" applyAlignment="1">
      <alignment horizontal="right" vertical="center"/>
    </xf>
    <xf numFmtId="43" fontId="18" fillId="2" borderId="0" xfId="1" applyFont="1" applyFill="1" applyAlignment="1">
      <alignment vertical="center"/>
    </xf>
    <xf numFmtId="43" fontId="10" fillId="2" borderId="0" xfId="1" applyFont="1" applyFill="1" applyBorder="1" applyAlignment="1">
      <alignment vertical="center"/>
    </xf>
    <xf numFmtId="43" fontId="6" fillId="2" borderId="1" xfId="1" applyFont="1" applyFill="1" applyBorder="1" applyAlignment="1">
      <alignment vertical="center"/>
    </xf>
    <xf numFmtId="43" fontId="6" fillId="2" borderId="1" xfId="1" applyFont="1" applyFill="1" applyBorder="1" applyAlignment="1">
      <alignment horizontal="left" vertical="center"/>
    </xf>
    <xf numFmtId="43" fontId="10" fillId="2" borderId="0" xfId="1" applyFont="1" applyFill="1" applyBorder="1" applyAlignment="1">
      <alignment horizontal="center" vertical="center"/>
    </xf>
    <xf numFmtId="43" fontId="6" fillId="2" borderId="0" xfId="1" applyFont="1" applyFill="1" applyBorder="1" applyAlignment="1">
      <alignment horizontal="left" vertical="center"/>
    </xf>
    <xf numFmtId="43" fontId="9" fillId="2" borderId="0" xfId="1" applyFont="1" applyFill="1" applyBorder="1" applyAlignment="1">
      <alignment vertical="center"/>
    </xf>
    <xf numFmtId="43" fontId="22" fillId="2" borderId="0" xfId="1" applyFont="1" applyFill="1" applyBorder="1" applyAlignment="1">
      <alignment vertical="center"/>
    </xf>
    <xf numFmtId="43" fontId="19" fillId="2" borderId="0" xfId="1" applyFont="1" applyFill="1" applyBorder="1" applyAlignment="1">
      <alignment vertical="center"/>
    </xf>
    <xf numFmtId="43" fontId="25" fillId="2" borderId="0" xfId="1" applyFont="1" applyFill="1" applyBorder="1" applyAlignment="1">
      <alignment vertical="center"/>
    </xf>
    <xf numFmtId="43" fontId="7" fillId="0" borderId="1" xfId="1" applyFont="1" applyFill="1" applyBorder="1" applyAlignment="1">
      <alignment horizontal="left" vertical="center"/>
    </xf>
    <xf numFmtId="0" fontId="7" fillId="0" borderId="0" xfId="0" applyFont="1" applyAlignment="1">
      <alignment horizontal="center"/>
    </xf>
    <xf numFmtId="43" fontId="20" fillId="2" borderId="1" xfId="1" applyFont="1" applyFill="1" applyBorder="1" applyAlignment="1">
      <alignment horizontal="left" vertical="center"/>
    </xf>
    <xf numFmtId="43" fontId="14" fillId="2" borderId="0" xfId="1" applyFont="1" applyFill="1" applyBorder="1" applyAlignment="1">
      <alignment horizontal="center" vertical="center"/>
    </xf>
    <xf numFmtId="43" fontId="14" fillId="2" borderId="0" xfId="1" applyFont="1" applyFill="1" applyAlignment="1">
      <alignment horizontal="center" vertical="center"/>
    </xf>
    <xf numFmtId="43" fontId="24" fillId="2" borderId="0" xfId="1" applyFont="1" applyFill="1" applyAlignment="1">
      <alignment horizontal="center" vertical="center"/>
    </xf>
    <xf numFmtId="43" fontId="24" fillId="2" borderId="0" xfId="1" applyFont="1" applyFill="1" applyAlignment="1">
      <alignment vertical="center"/>
    </xf>
    <xf numFmtId="43" fontId="7" fillId="2" borderId="1" xfId="1" applyNumberFormat="1" applyFont="1" applyFill="1" applyBorder="1" applyAlignment="1">
      <alignment horizontal="center" vertical="center"/>
    </xf>
    <xf numFmtId="43" fontId="6" fillId="2" borderId="0" xfId="1" applyFont="1" applyFill="1" applyAlignment="1">
      <alignment horizontal="center" vertical="center"/>
    </xf>
    <xf numFmtId="0" fontId="7" fillId="2" borderId="7" xfId="0" applyFont="1" applyFill="1" applyBorder="1" applyAlignment="1">
      <alignment vertical="center"/>
    </xf>
    <xf numFmtId="43" fontId="7" fillId="2" borderId="0" xfId="1" applyNumberFormat="1" applyFont="1" applyFill="1" applyBorder="1" applyAlignment="1">
      <alignment vertical="center"/>
    </xf>
    <xf numFmtId="43" fontId="7" fillId="2" borderId="1" xfId="1" applyFont="1" applyFill="1" applyBorder="1" applyAlignment="1">
      <alignment horizontal="center" vertical="center"/>
    </xf>
    <xf numFmtId="0" fontId="6" fillId="2" borderId="0" xfId="0" applyFont="1" applyFill="1" applyAlignment="1">
      <alignment horizontal="right" vertical="center"/>
    </xf>
    <xf numFmtId="0" fontId="19" fillId="2" borderId="0" xfId="0" applyFont="1" applyFill="1" applyAlignment="1">
      <alignment vertical="center"/>
    </xf>
    <xf numFmtId="0" fontId="8" fillId="2" borderId="0" xfId="0" applyFont="1" applyFill="1" applyAlignment="1">
      <alignment vertical="center"/>
    </xf>
    <xf numFmtId="0" fontId="8" fillId="2" borderId="0" xfId="0" applyFont="1" applyFill="1" applyAlignment="1">
      <alignment horizontal="left" vertical="center"/>
    </xf>
    <xf numFmtId="43" fontId="21" fillId="2" borderId="0" xfId="1" applyFont="1" applyFill="1" applyAlignment="1">
      <alignment horizontal="right" vertical="center"/>
    </xf>
    <xf numFmtId="43" fontId="8" fillId="2" borderId="0" xfId="1" applyFont="1" applyFill="1" applyAlignment="1">
      <alignment horizontal="right" vertical="center"/>
    </xf>
    <xf numFmtId="43" fontId="22" fillId="2" borderId="0" xfId="1" applyFont="1" applyFill="1" applyAlignment="1">
      <alignment horizontal="right" vertical="center"/>
    </xf>
    <xf numFmtId="0" fontId="22" fillId="2" borderId="0" xfId="0" applyFont="1" applyFill="1" applyAlignment="1">
      <alignment horizontal="left" vertical="center"/>
    </xf>
    <xf numFmtId="189" fontId="6" fillId="2" borderId="1" xfId="0" applyNumberFormat="1" applyFont="1" applyFill="1" applyBorder="1" applyAlignment="1">
      <alignment horizontal="right" vertical="center" wrapText="1"/>
    </xf>
    <xf numFmtId="43" fontId="6" fillId="2" borderId="0" xfId="1" applyFont="1" applyFill="1" applyAlignment="1">
      <alignment horizontal="right" vertical="center"/>
    </xf>
    <xf numFmtId="189" fontId="6" fillId="2" borderId="1" xfId="0" applyNumberFormat="1" applyFont="1" applyFill="1" applyBorder="1" applyAlignment="1">
      <alignment vertical="center"/>
    </xf>
    <xf numFmtId="43" fontId="6" fillId="2" borderId="6" xfId="0" applyNumberFormat="1" applyFont="1" applyFill="1" applyBorder="1" applyAlignment="1">
      <alignment vertical="center"/>
    </xf>
    <xf numFmtId="0" fontId="7" fillId="2" borderId="1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 wrapText="1"/>
    </xf>
    <xf numFmtId="43" fontId="5" fillId="2" borderId="6" xfId="1" applyFont="1" applyFill="1" applyBorder="1" applyAlignment="1">
      <alignment vertical="center"/>
    </xf>
    <xf numFmtId="43" fontId="5" fillId="2" borderId="20" xfId="1" applyFont="1" applyFill="1" applyBorder="1" applyAlignment="1">
      <alignment vertical="center"/>
    </xf>
    <xf numFmtId="43" fontId="5" fillId="2" borderId="5" xfId="1" applyFont="1" applyFill="1" applyBorder="1" applyAlignment="1">
      <alignment vertical="center"/>
    </xf>
    <xf numFmtId="43" fontId="4" fillId="2" borderId="1" xfId="1" applyFont="1" applyFill="1" applyBorder="1"/>
    <xf numFmtId="43" fontId="5" fillId="2" borderId="1" xfId="1" applyFont="1" applyFill="1" applyBorder="1"/>
    <xf numFmtId="43" fontId="4" fillId="0" borderId="6" xfId="1" applyFont="1" applyBorder="1"/>
    <xf numFmtId="43" fontId="5" fillId="0" borderId="2" xfId="1" applyFont="1" applyBorder="1"/>
    <xf numFmtId="43" fontId="5" fillId="0" borderId="2" xfId="0" applyNumberFormat="1" applyFont="1" applyBorder="1"/>
    <xf numFmtId="0" fontId="29" fillId="2" borderId="1" xfId="0" applyFont="1" applyFill="1" applyBorder="1" applyAlignment="1">
      <alignment horizontal="left" vertical="center"/>
    </xf>
    <xf numFmtId="0" fontId="18" fillId="0" borderId="13" xfId="0" applyFont="1" applyFill="1" applyBorder="1" applyAlignment="1">
      <alignment horizontal="left" vertical="center"/>
    </xf>
    <xf numFmtId="189" fontId="6" fillId="2" borderId="6" xfId="0" applyNumberFormat="1" applyFont="1" applyFill="1" applyBorder="1" applyAlignment="1">
      <alignment horizontal="right" vertical="center" wrapText="1"/>
    </xf>
    <xf numFmtId="0" fontId="7" fillId="2" borderId="1" xfId="0" applyNumberFormat="1" applyFont="1" applyFill="1" applyBorder="1" applyAlignment="1">
      <alignment horizontal="left" vertical="top" wrapText="1"/>
    </xf>
    <xf numFmtId="0" fontId="7" fillId="2" borderId="1" xfId="0" applyNumberFormat="1" applyFont="1" applyFill="1" applyBorder="1" applyAlignment="1">
      <alignment vertical="center" wrapText="1"/>
    </xf>
    <xf numFmtId="0" fontId="7" fillId="0" borderId="1" xfId="0" applyFont="1" applyBorder="1" applyAlignment="1">
      <alignment horizontal="center"/>
    </xf>
    <xf numFmtId="0" fontId="7" fillId="4" borderId="1" xfId="0" applyFont="1" applyFill="1" applyBorder="1"/>
    <xf numFmtId="0" fontId="7" fillId="4" borderId="1" xfId="0" applyFont="1" applyFill="1" applyBorder="1" applyAlignment="1">
      <alignment horizontal="center"/>
    </xf>
    <xf numFmtId="43" fontId="7" fillId="4" borderId="1" xfId="1" applyFont="1" applyFill="1" applyBorder="1"/>
    <xf numFmtId="43" fontId="7" fillId="4" borderId="1" xfId="0" applyNumberFormat="1" applyFont="1" applyFill="1" applyBorder="1"/>
    <xf numFmtId="43" fontId="7" fillId="2" borderId="8" xfId="1" applyNumberFormat="1" applyFont="1" applyFill="1" applyBorder="1" applyAlignment="1">
      <alignment vertical="center"/>
    </xf>
    <xf numFmtId="43" fontId="14" fillId="2" borderId="0" xfId="1" applyFont="1" applyFill="1" applyAlignment="1"/>
    <xf numFmtId="43" fontId="14" fillId="2" borderId="1" xfId="1" applyFont="1" applyFill="1" applyBorder="1" applyAlignment="1">
      <alignment horizontal="center" wrapText="1"/>
    </xf>
    <xf numFmtId="43" fontId="14" fillId="2" borderId="1" xfId="1" applyFont="1" applyFill="1" applyBorder="1" applyAlignment="1"/>
    <xf numFmtId="43" fontId="7" fillId="2" borderId="1" xfId="1" applyFont="1" applyFill="1" applyBorder="1" applyAlignment="1"/>
    <xf numFmtId="187" fontId="14" fillId="2" borderId="1" xfId="1" applyNumberFormat="1" applyFont="1" applyFill="1" applyBorder="1" applyAlignment="1"/>
    <xf numFmtId="43" fontId="7" fillId="2" borderId="1" xfId="1" applyFont="1" applyFill="1" applyBorder="1" applyAlignment="1">
      <alignment horizontal="center" wrapText="1"/>
    </xf>
    <xf numFmtId="187" fontId="7" fillId="2" borderId="1" xfId="1" applyNumberFormat="1" applyFont="1" applyFill="1" applyBorder="1" applyAlignment="1">
      <alignment horizontal="center" wrapText="1"/>
    </xf>
    <xf numFmtId="43" fontId="7" fillId="2" borderId="1" xfId="1" applyFont="1" applyFill="1" applyBorder="1" applyAlignment="1">
      <alignment horizontal="center"/>
    </xf>
    <xf numFmtId="43" fontId="7" fillId="2" borderId="0" xfId="1" applyFont="1" applyFill="1" applyAlignment="1"/>
    <xf numFmtId="187" fontId="7" fillId="2" borderId="1" xfId="1" applyNumberFormat="1" applyFont="1" applyFill="1" applyBorder="1" applyAlignment="1"/>
    <xf numFmtId="43" fontId="7" fillId="2" borderId="1" xfId="1" applyFont="1" applyFill="1" applyBorder="1" applyAlignment="1">
      <alignment horizontal="right"/>
    </xf>
    <xf numFmtId="187" fontId="7" fillId="2" borderId="1" xfId="1" applyNumberFormat="1" applyFont="1" applyFill="1" applyBorder="1" applyAlignment="1">
      <alignment horizontal="center"/>
    </xf>
    <xf numFmtId="187" fontId="7" fillId="2" borderId="1" xfId="1" applyNumberFormat="1" applyFont="1" applyFill="1" applyBorder="1" applyAlignment="1">
      <alignment horizontal="left"/>
    </xf>
    <xf numFmtId="43" fontId="26" fillId="2" borderId="1" xfId="1" applyFont="1" applyFill="1" applyBorder="1" applyAlignment="1"/>
    <xf numFmtId="43" fontId="14" fillId="2" borderId="0" xfId="1" applyFont="1" applyFill="1" applyBorder="1" applyAlignment="1"/>
    <xf numFmtId="43" fontId="7" fillId="2" borderId="0" xfId="1" applyFont="1" applyFill="1" applyBorder="1" applyAlignment="1"/>
    <xf numFmtId="43" fontId="7" fillId="2" borderId="6" xfId="1" applyFont="1" applyFill="1" applyBorder="1" applyAlignment="1">
      <alignment horizontal="right"/>
    </xf>
    <xf numFmtId="43" fontId="7" fillId="2" borderId="6" xfId="1" applyFont="1" applyFill="1" applyBorder="1" applyAlignment="1">
      <alignment horizontal="center"/>
    </xf>
    <xf numFmtId="43" fontId="7" fillId="2" borderId="6" xfId="1" applyFont="1" applyFill="1" applyBorder="1" applyAlignment="1">
      <alignment horizontal="left"/>
    </xf>
    <xf numFmtId="43" fontId="7" fillId="2" borderId="6" xfId="1" applyFont="1" applyFill="1" applyBorder="1" applyAlignment="1"/>
    <xf numFmtId="187" fontId="14" fillId="2" borderId="2" xfId="1" applyNumberFormat="1" applyFont="1" applyFill="1" applyBorder="1" applyAlignment="1"/>
    <xf numFmtId="43" fontId="14" fillId="2" borderId="2" xfId="1" applyFont="1" applyFill="1" applyBorder="1" applyAlignment="1"/>
    <xf numFmtId="43" fontId="14" fillId="2" borderId="0" xfId="1" applyFont="1" applyFill="1" applyBorder="1" applyAlignment="1">
      <alignment horizontal="center"/>
    </xf>
    <xf numFmtId="187" fontId="13" fillId="2" borderId="0" xfId="1" applyNumberFormat="1" applyFont="1" applyFill="1" applyBorder="1" applyAlignment="1">
      <alignment horizontal="center"/>
    </xf>
    <xf numFmtId="43" fontId="13" fillId="2" borderId="0" xfId="1" applyFont="1" applyFill="1" applyBorder="1" applyAlignment="1">
      <alignment horizontal="center"/>
    </xf>
    <xf numFmtId="187" fontId="14" fillId="2" borderId="0" xfId="1" applyNumberFormat="1" applyFont="1" applyFill="1" applyBorder="1" applyAlignment="1"/>
    <xf numFmtId="43" fontId="7" fillId="2" borderId="0" xfId="1" applyFont="1" applyFill="1" applyBorder="1" applyAlignment="1">
      <alignment horizontal="center"/>
    </xf>
    <xf numFmtId="187" fontId="27" fillId="2" borderId="0" xfId="1" applyNumberFormat="1" applyFont="1" applyFill="1" applyBorder="1" applyAlignment="1">
      <alignment horizontal="center"/>
    </xf>
    <xf numFmtId="43" fontId="27" fillId="2" borderId="0" xfId="1" applyFont="1" applyFill="1" applyBorder="1" applyAlignment="1">
      <alignment horizontal="center"/>
    </xf>
    <xf numFmtId="187" fontId="27" fillId="2" borderId="0" xfId="1" applyNumberFormat="1" applyFont="1" applyFill="1" applyAlignment="1">
      <alignment horizontal="center"/>
    </xf>
    <xf numFmtId="43" fontId="27" fillId="2" borderId="0" xfId="1" applyFont="1" applyFill="1" applyAlignment="1">
      <alignment horizontal="center"/>
    </xf>
    <xf numFmtId="187" fontId="7" fillId="2" borderId="6" xfId="1" applyNumberFormat="1" applyFont="1" applyFill="1" applyBorder="1" applyAlignment="1">
      <alignment horizontal="left"/>
    </xf>
    <xf numFmtId="43" fontId="7" fillId="2" borderId="11" xfId="1" applyFont="1" applyFill="1" applyBorder="1" applyAlignment="1">
      <alignment horizontal="center"/>
    </xf>
    <xf numFmtId="43" fontId="7" fillId="2" borderId="2" xfId="1" applyFont="1" applyFill="1" applyBorder="1" applyAlignment="1"/>
    <xf numFmtId="2" fontId="7" fillId="2" borderId="0" xfId="0" applyNumberFormat="1" applyFont="1" applyFill="1" applyAlignment="1">
      <alignment vertical="center"/>
    </xf>
    <xf numFmtId="43" fontId="7" fillId="2" borderId="7" xfId="1" applyFont="1" applyFill="1" applyBorder="1" applyAlignment="1">
      <alignment horizontal="center" vertical="center"/>
    </xf>
    <xf numFmtId="0" fontId="7" fillId="2" borderId="8" xfId="0" applyFont="1" applyFill="1" applyBorder="1" applyAlignment="1">
      <alignment horizontal="left" vertical="center"/>
    </xf>
    <xf numFmtId="0" fontId="7" fillId="2" borderId="0" xfId="0" applyFont="1" applyFill="1" applyAlignment="1">
      <alignment horizontal="center" vertical="center"/>
    </xf>
    <xf numFmtId="0" fontId="7" fillId="2" borderId="1" xfId="0" applyNumberFormat="1" applyFont="1" applyFill="1" applyBorder="1" applyAlignment="1">
      <alignment vertical="top" wrapText="1"/>
    </xf>
    <xf numFmtId="0" fontId="7" fillId="2" borderId="1" xfId="0" applyFont="1" applyFill="1" applyBorder="1" applyAlignment="1">
      <alignment vertical="center" wrapText="1"/>
    </xf>
    <xf numFmtId="2" fontId="10" fillId="2" borderId="0" xfId="0" applyNumberFormat="1" applyFont="1" applyFill="1" applyAlignment="1">
      <alignment vertical="center"/>
    </xf>
    <xf numFmtId="2" fontId="10" fillId="2" borderId="0" xfId="0" applyNumberFormat="1" applyFont="1" applyFill="1" applyBorder="1" applyAlignment="1">
      <alignment horizontal="center" vertical="center"/>
    </xf>
    <xf numFmtId="188" fontId="6" fillId="2" borderId="0" xfId="1" applyNumberFormat="1" applyFont="1" applyFill="1" applyBorder="1" applyAlignment="1">
      <alignment vertical="center"/>
    </xf>
    <xf numFmtId="2" fontId="6" fillId="2" borderId="0" xfId="0" applyNumberFormat="1" applyFont="1" applyFill="1" applyBorder="1" applyAlignment="1">
      <alignment horizontal="left" vertical="center"/>
    </xf>
    <xf numFmtId="2" fontId="10" fillId="2" borderId="0" xfId="0" applyNumberFormat="1" applyFont="1" applyFill="1" applyBorder="1" applyAlignment="1">
      <alignment vertical="center"/>
    </xf>
    <xf numFmtId="2" fontId="6" fillId="2" borderId="0" xfId="0" applyNumberFormat="1" applyFont="1" applyFill="1" applyAlignment="1">
      <alignment vertical="center"/>
    </xf>
    <xf numFmtId="2" fontId="6" fillId="2" borderId="0" xfId="0" applyNumberFormat="1" applyFont="1" applyFill="1" applyBorder="1" applyAlignment="1">
      <alignment horizontal="center" vertical="center"/>
    </xf>
    <xf numFmtId="2" fontId="6" fillId="2" borderId="0" xfId="0" applyNumberFormat="1" applyFont="1" applyFill="1" applyBorder="1" applyAlignment="1">
      <alignment vertical="center"/>
    </xf>
    <xf numFmtId="43" fontId="12" fillId="2" borderId="0" xfId="1" applyFont="1" applyFill="1" applyBorder="1" applyAlignment="1">
      <alignment vertical="center"/>
    </xf>
    <xf numFmtId="43" fontId="12" fillId="2" borderId="0" xfId="1" applyFont="1" applyFill="1" applyAlignment="1">
      <alignment vertical="center"/>
    </xf>
    <xf numFmtId="43" fontId="30" fillId="2" borderId="0" xfId="1" applyFont="1" applyFill="1" applyBorder="1" applyAlignment="1">
      <alignment vertical="center"/>
    </xf>
    <xf numFmtId="43" fontId="7" fillId="2" borderId="2" xfId="1" applyFont="1" applyFill="1" applyBorder="1" applyAlignment="1">
      <alignment horizontal="left"/>
    </xf>
    <xf numFmtId="43" fontId="6" fillId="2" borderId="1" xfId="1" applyFont="1" applyFill="1" applyBorder="1" applyAlignment="1">
      <alignment horizontal="right" vertical="center" wrapText="1"/>
    </xf>
    <xf numFmtId="43" fontId="10" fillId="2" borderId="2" xfId="1" applyFont="1" applyFill="1" applyBorder="1" applyAlignment="1">
      <alignment vertical="center"/>
    </xf>
    <xf numFmtId="0" fontId="32" fillId="2" borderId="0" xfId="0" applyFont="1" applyFill="1" applyAlignment="1">
      <alignment horizontal="center"/>
    </xf>
    <xf numFmtId="0" fontId="32" fillId="2" borderId="0" xfId="0" applyFont="1" applyFill="1"/>
    <xf numFmtId="0" fontId="32" fillId="2" borderId="0" xfId="0" applyFont="1" applyFill="1" applyBorder="1" applyAlignment="1">
      <alignment horizontal="center"/>
    </xf>
    <xf numFmtId="0" fontId="32" fillId="2" borderId="0" xfId="0" applyFont="1" applyFill="1" applyBorder="1"/>
    <xf numFmtId="0" fontId="14" fillId="2" borderId="0" xfId="0" applyFont="1" applyFill="1" applyAlignment="1">
      <alignment horizontal="left" vertical="center"/>
    </xf>
    <xf numFmtId="0" fontId="20" fillId="2" borderId="0" xfId="0" applyFont="1" applyFill="1" applyAlignment="1">
      <alignment vertical="center"/>
    </xf>
    <xf numFmtId="0" fontId="14" fillId="2" borderId="1" xfId="0" applyFont="1" applyFill="1" applyBorder="1" applyAlignment="1">
      <alignment vertical="center"/>
    </xf>
    <xf numFmtId="0" fontId="7" fillId="2" borderId="6" xfId="0" applyFont="1" applyFill="1" applyBorder="1" applyAlignment="1">
      <alignment vertical="center"/>
    </xf>
    <xf numFmtId="43" fontId="10" fillId="2" borderId="2" xfId="0" applyNumberFormat="1" applyFont="1" applyFill="1" applyBorder="1" applyAlignment="1">
      <alignment vertical="center"/>
    </xf>
    <xf numFmtId="43" fontId="6" fillId="2" borderId="2" xfId="1" applyFont="1" applyFill="1" applyBorder="1" applyAlignment="1">
      <alignment vertical="center"/>
    </xf>
    <xf numFmtId="43" fontId="10" fillId="2" borderId="1" xfId="1" applyFont="1" applyFill="1" applyBorder="1" applyAlignment="1">
      <alignment horizontal="center" vertical="center"/>
    </xf>
    <xf numFmtId="43" fontId="14" fillId="2" borderId="2" xfId="1" applyFont="1" applyFill="1" applyBorder="1" applyAlignment="1">
      <alignment horizontal="center" vertical="center"/>
    </xf>
    <xf numFmtId="43" fontId="7" fillId="2" borderId="0" xfId="1" applyFont="1" applyFill="1" applyBorder="1" applyAlignment="1">
      <alignment horizontal="left" vertical="center"/>
    </xf>
    <xf numFmtId="43" fontId="6" fillId="2" borderId="30" xfId="0" applyNumberFormat="1" applyFont="1" applyFill="1" applyBorder="1" applyAlignment="1">
      <alignment horizontal="center" vertical="center"/>
    </xf>
    <xf numFmtId="0" fontId="10" fillId="0" borderId="17" xfId="0" applyFont="1" applyFill="1" applyBorder="1" applyAlignment="1">
      <alignment horizontal="center" vertical="center"/>
    </xf>
    <xf numFmtId="189" fontId="6" fillId="2" borderId="1" xfId="0" applyNumberFormat="1" applyFont="1" applyFill="1" applyBorder="1" applyAlignment="1">
      <alignment horizontal="right" vertical="center"/>
    </xf>
    <xf numFmtId="189" fontId="6" fillId="2" borderId="6" xfId="0" applyNumberFormat="1" applyFont="1" applyFill="1" applyBorder="1" applyAlignment="1">
      <alignment horizontal="right" vertical="center"/>
    </xf>
    <xf numFmtId="43" fontId="10" fillId="2" borderId="19" xfId="0" applyNumberFormat="1" applyFont="1" applyFill="1" applyBorder="1" applyAlignment="1">
      <alignment vertical="center"/>
    </xf>
    <xf numFmtId="43" fontId="6" fillId="2" borderId="35" xfId="0" applyNumberFormat="1" applyFont="1" applyFill="1" applyBorder="1" applyAlignment="1">
      <alignment vertical="center"/>
    </xf>
    <xf numFmtId="43" fontId="6" fillId="2" borderId="36" xfId="0" applyNumberFormat="1" applyFont="1" applyFill="1" applyBorder="1" applyAlignment="1">
      <alignment vertical="center"/>
    </xf>
    <xf numFmtId="43" fontId="10" fillId="2" borderId="38" xfId="0" applyNumberFormat="1" applyFont="1" applyFill="1" applyBorder="1" applyAlignment="1">
      <alignment vertical="center"/>
    </xf>
    <xf numFmtId="189" fontId="7" fillId="2" borderId="1" xfId="1" applyNumberFormat="1" applyFont="1" applyFill="1" applyBorder="1" applyAlignment="1">
      <alignment horizontal="right" vertical="center" wrapText="1"/>
    </xf>
    <xf numFmtId="43" fontId="7" fillId="2" borderId="6" xfId="1" applyFont="1" applyFill="1" applyBorder="1" applyAlignment="1">
      <alignment horizontal="center" vertical="center" wrapText="1"/>
    </xf>
    <xf numFmtId="2" fontId="10" fillId="2" borderId="2" xfId="0" applyNumberFormat="1" applyFont="1" applyFill="1" applyBorder="1" applyAlignment="1">
      <alignment horizontal="center" vertical="center"/>
    </xf>
    <xf numFmtId="0" fontId="6" fillId="2" borderId="0" xfId="0" applyFont="1" applyFill="1" applyAlignment="1">
      <alignment vertical="center"/>
    </xf>
    <xf numFmtId="43" fontId="30" fillId="2" borderId="0" xfId="1" applyFont="1" applyFill="1" applyBorder="1" applyAlignment="1">
      <alignment horizontal="left" vertical="center"/>
    </xf>
    <xf numFmtId="43" fontId="12" fillId="2" borderId="0" xfId="1" applyFont="1" applyFill="1" applyBorder="1" applyAlignment="1">
      <alignment horizontal="left" vertical="center"/>
    </xf>
    <xf numFmtId="0" fontId="36" fillId="2" borderId="0" xfId="0" applyFont="1" applyFill="1" applyBorder="1" applyAlignment="1">
      <alignment vertical="center"/>
    </xf>
    <xf numFmtId="0" fontId="36" fillId="2" borderId="0" xfId="0" applyFont="1" applyFill="1" applyAlignment="1">
      <alignment vertical="center"/>
    </xf>
    <xf numFmtId="0" fontId="38" fillId="2" borderId="0" xfId="0" applyFont="1" applyFill="1" applyBorder="1" applyAlignment="1">
      <alignment vertical="center"/>
    </xf>
    <xf numFmtId="0" fontId="38" fillId="2" borderId="0" xfId="0" applyFont="1" applyFill="1" applyAlignment="1">
      <alignment vertical="center"/>
    </xf>
    <xf numFmtId="187" fontId="6" fillId="2" borderId="1" xfId="1" applyNumberFormat="1" applyFont="1" applyFill="1" applyBorder="1" applyAlignment="1">
      <alignment horizontal="right" vertical="center"/>
    </xf>
    <xf numFmtId="43" fontId="7" fillId="3" borderId="1" xfId="1" applyNumberFormat="1" applyFont="1" applyFill="1" applyBorder="1" applyAlignment="1">
      <alignment vertical="center"/>
    </xf>
    <xf numFmtId="43" fontId="5" fillId="0" borderId="0" xfId="1" applyFont="1" applyAlignment="1">
      <alignment horizontal="center"/>
    </xf>
    <xf numFmtId="43" fontId="5" fillId="7" borderId="0" xfId="1" applyFont="1" applyFill="1"/>
    <xf numFmtId="0" fontId="7" fillId="2" borderId="12" xfId="0" applyFont="1" applyFill="1" applyBorder="1" applyAlignment="1">
      <alignment horizontal="center" vertical="center"/>
    </xf>
    <xf numFmtId="43" fontId="7" fillId="2" borderId="12" xfId="1" applyFont="1" applyFill="1" applyBorder="1" applyAlignment="1">
      <alignment vertical="center"/>
    </xf>
    <xf numFmtId="2" fontId="7" fillId="2" borderId="16" xfId="1" applyNumberFormat="1" applyFont="1" applyFill="1" applyBorder="1" applyAlignment="1">
      <alignment horizontal="right" vertical="center"/>
    </xf>
    <xf numFmtId="0" fontId="6" fillId="0" borderId="0" xfId="0" applyFont="1"/>
    <xf numFmtId="0" fontId="6" fillId="8" borderId="27" xfId="0" applyFont="1" applyFill="1" applyBorder="1" applyAlignment="1">
      <alignment horizontal="right" wrapText="1"/>
    </xf>
    <xf numFmtId="0" fontId="40" fillId="8" borderId="27" xfId="0" applyFont="1" applyFill="1" applyBorder="1" applyAlignment="1">
      <alignment horizontal="center" wrapText="1"/>
    </xf>
    <xf numFmtId="0" fontId="32" fillId="0" borderId="27" xfId="0" applyFont="1" applyBorder="1" applyAlignment="1">
      <alignment horizontal="left" wrapText="1"/>
    </xf>
    <xf numFmtId="0" fontId="32" fillId="0" borderId="27" xfId="0" applyFont="1" applyBorder="1" applyAlignment="1">
      <alignment horizontal="center" wrapText="1"/>
    </xf>
    <xf numFmtId="0" fontId="32" fillId="0" borderId="27" xfId="0" applyFont="1" applyBorder="1" applyAlignment="1">
      <alignment horizontal="right" wrapText="1"/>
    </xf>
    <xf numFmtId="3" fontId="40" fillId="0" borderId="27" xfId="0" applyNumberFormat="1" applyFont="1" applyBorder="1" applyAlignment="1">
      <alignment horizontal="center" wrapText="1"/>
    </xf>
    <xf numFmtId="0" fontId="32" fillId="0" borderId="0" xfId="0" applyFont="1"/>
    <xf numFmtId="0" fontId="6" fillId="0" borderId="27" xfId="0" applyFont="1" applyBorder="1" applyAlignment="1">
      <alignment horizontal="right" wrapText="1"/>
    </xf>
    <xf numFmtId="0" fontId="32" fillId="0" borderId="0" xfId="0" applyFont="1" applyBorder="1"/>
    <xf numFmtId="0" fontId="32" fillId="0" borderId="21" xfId="0" applyFont="1" applyBorder="1" applyAlignment="1">
      <alignment horizontal="right" wrapText="1"/>
    </xf>
    <xf numFmtId="43" fontId="32" fillId="0" borderId="0" xfId="1" applyFont="1"/>
    <xf numFmtId="0" fontId="32" fillId="0" borderId="43" xfId="0" applyFont="1" applyBorder="1" applyAlignment="1">
      <alignment horizontal="right" wrapText="1"/>
    </xf>
    <xf numFmtId="0" fontId="6" fillId="0" borderId="43" xfId="0" applyFont="1" applyBorder="1" applyAlignment="1">
      <alignment horizontal="right" wrapText="1"/>
    </xf>
    <xf numFmtId="0" fontId="6" fillId="0" borderId="44" xfId="0" applyFont="1" applyBorder="1"/>
    <xf numFmtId="0" fontId="32" fillId="0" borderId="44" xfId="0" applyFont="1" applyBorder="1"/>
    <xf numFmtId="43" fontId="32" fillId="0" borderId="44" xfId="1" applyFont="1" applyBorder="1"/>
    <xf numFmtId="0" fontId="6" fillId="9" borderId="0" xfId="0" applyFont="1" applyFill="1"/>
    <xf numFmtId="43" fontId="6" fillId="0" borderId="0" xfId="1" applyFont="1"/>
    <xf numFmtId="0" fontId="6" fillId="0" borderId="45" xfId="0" applyFont="1" applyBorder="1"/>
    <xf numFmtId="43" fontId="6" fillId="0" borderId="0" xfId="0" applyNumberFormat="1" applyFont="1"/>
    <xf numFmtId="43" fontId="7" fillId="6" borderId="0" xfId="1" applyFont="1" applyFill="1" applyBorder="1" applyAlignment="1">
      <alignment vertical="center"/>
    </xf>
    <xf numFmtId="43" fontId="14" fillId="6" borderId="0" xfId="1" applyFont="1" applyFill="1" applyBorder="1" applyAlignment="1">
      <alignment vertical="center"/>
    </xf>
    <xf numFmtId="43" fontId="20" fillId="2" borderId="1" xfId="1" applyFont="1" applyFill="1" applyBorder="1" applyAlignment="1">
      <alignment vertical="center"/>
    </xf>
    <xf numFmtId="43" fontId="7" fillId="2" borderId="1" xfId="1" applyFont="1" applyFill="1" applyBorder="1" applyAlignment="1">
      <alignment horizontal="left" vertical="center"/>
    </xf>
    <xf numFmtId="43" fontId="7" fillId="2" borderId="1" xfId="1" applyNumberFormat="1" applyFont="1" applyFill="1" applyBorder="1" applyAlignment="1">
      <alignment horizontal="right" vertical="center"/>
    </xf>
    <xf numFmtId="43" fontId="7" fillId="2" borderId="6" xfId="1" applyFont="1" applyFill="1" applyBorder="1" applyAlignment="1">
      <alignment horizontal="left" vertical="center"/>
    </xf>
    <xf numFmtId="43" fontId="7" fillId="2" borderId="6" xfId="1" applyNumberFormat="1" applyFont="1" applyFill="1" applyBorder="1" applyAlignment="1">
      <alignment horizontal="center" vertical="center"/>
    </xf>
    <xf numFmtId="43" fontId="7" fillId="2" borderId="6" xfId="1" applyNumberFormat="1" applyFont="1" applyFill="1" applyBorder="1" applyAlignment="1">
      <alignment horizontal="right" vertical="center"/>
    </xf>
    <xf numFmtId="43" fontId="14" fillId="6" borderId="3" xfId="1" applyFont="1" applyFill="1" applyBorder="1" applyAlignment="1">
      <alignment horizontal="center" vertical="center"/>
    </xf>
    <xf numFmtId="43" fontId="14" fillId="6" borderId="3" xfId="1" applyNumberFormat="1" applyFont="1" applyFill="1" applyBorder="1" applyAlignment="1">
      <alignment horizontal="center" vertical="center"/>
    </xf>
    <xf numFmtId="43" fontId="14" fillId="6" borderId="13" xfId="1" applyFont="1" applyFill="1" applyBorder="1" applyAlignment="1">
      <alignment vertical="center"/>
    </xf>
    <xf numFmtId="43" fontId="20" fillId="2" borderId="5" xfId="1" applyFont="1" applyFill="1" applyBorder="1" applyAlignment="1">
      <alignment vertical="center"/>
    </xf>
    <xf numFmtId="43" fontId="7" fillId="2" borderId="5" xfId="1" applyNumberFormat="1" applyFont="1" applyFill="1" applyBorder="1" applyAlignment="1">
      <alignment horizontal="center" vertical="center"/>
    </xf>
    <xf numFmtId="43" fontId="7" fillId="2" borderId="5" xfId="1" applyNumberFormat="1" applyFont="1" applyFill="1" applyBorder="1" applyAlignment="1">
      <alignment vertical="center"/>
    </xf>
    <xf numFmtId="43" fontId="14" fillId="6" borderId="4" xfId="1" applyFont="1" applyFill="1" applyBorder="1" applyAlignment="1">
      <alignment horizontal="center" vertical="center"/>
    </xf>
    <xf numFmtId="43" fontId="14" fillId="6" borderId="4" xfId="1" applyNumberFormat="1" applyFont="1" applyFill="1" applyBorder="1" applyAlignment="1">
      <alignment horizontal="center" vertical="center"/>
    </xf>
    <xf numFmtId="43" fontId="14" fillId="2" borderId="2" xfId="1" applyNumberFormat="1" applyFont="1" applyFill="1" applyBorder="1" applyAlignment="1">
      <alignment horizontal="center" vertical="center"/>
    </xf>
    <xf numFmtId="43" fontId="14" fillId="2" borderId="1" xfId="1" applyNumberFormat="1" applyFont="1" applyFill="1" applyBorder="1" applyAlignment="1">
      <alignment horizontal="center" vertical="center"/>
    </xf>
    <xf numFmtId="43" fontId="14" fillId="2" borderId="5" xfId="1" applyNumberFormat="1" applyFont="1" applyFill="1" applyBorder="1" applyAlignment="1">
      <alignment horizontal="center" vertical="center"/>
    </xf>
    <xf numFmtId="43" fontId="7" fillId="0" borderId="6" xfId="1" applyFont="1" applyFill="1" applyBorder="1" applyAlignment="1">
      <alignment horizontal="left" vertical="center"/>
    </xf>
    <xf numFmtId="43" fontId="14" fillId="6" borderId="2" xfId="1" applyFont="1" applyFill="1" applyBorder="1" applyAlignment="1">
      <alignment horizontal="center" vertical="center"/>
    </xf>
    <xf numFmtId="43" fontId="14" fillId="6" borderId="2" xfId="1" applyNumberFormat="1" applyFont="1" applyFill="1" applyBorder="1" applyAlignment="1">
      <alignment horizontal="center" vertical="center"/>
    </xf>
    <xf numFmtId="43" fontId="7" fillId="2" borderId="31" xfId="1" applyFont="1" applyFill="1" applyBorder="1" applyAlignment="1">
      <alignment horizontal="left" vertical="center"/>
    </xf>
    <xf numFmtId="43" fontId="6" fillId="2" borderId="0" xfId="1" applyFont="1" applyFill="1" applyBorder="1" applyAlignment="1">
      <alignment horizontal="center" vertical="center"/>
    </xf>
    <xf numFmtId="0" fontId="16" fillId="2" borderId="0" xfId="0" applyFont="1" applyFill="1" applyAlignment="1">
      <alignment horizontal="center" vertical="center"/>
    </xf>
    <xf numFmtId="0" fontId="16" fillId="2" borderId="0" xfId="0" applyFont="1" applyFill="1" applyAlignment="1">
      <alignment vertical="center"/>
    </xf>
    <xf numFmtId="43" fontId="16" fillId="2" borderId="0" xfId="1" applyFont="1" applyFill="1" applyAlignment="1">
      <alignment vertical="center"/>
    </xf>
    <xf numFmtId="0" fontId="16" fillId="2" borderId="44" xfId="0" applyFont="1" applyFill="1" applyBorder="1" applyAlignment="1">
      <alignment vertical="center"/>
    </xf>
    <xf numFmtId="43" fontId="41" fillId="2" borderId="27" xfId="1" applyFont="1" applyFill="1" applyBorder="1" applyAlignment="1">
      <alignment horizontal="center" vertical="center" wrapText="1"/>
    </xf>
    <xf numFmtId="0" fontId="16" fillId="2" borderId="1" xfId="0" applyFont="1" applyFill="1" applyBorder="1" applyAlignment="1">
      <alignment horizontal="center" vertical="center"/>
    </xf>
    <xf numFmtId="43" fontId="16" fillId="2" borderId="7" xfId="0" applyNumberFormat="1" applyFont="1" applyFill="1" applyBorder="1" applyAlignment="1">
      <alignment vertical="center"/>
    </xf>
    <xf numFmtId="43" fontId="16" fillId="2" borderId="1" xfId="1" applyFont="1" applyFill="1" applyBorder="1" applyAlignment="1">
      <alignment vertical="center"/>
    </xf>
    <xf numFmtId="43" fontId="16" fillId="2" borderId="7" xfId="1" applyFont="1" applyFill="1" applyBorder="1" applyAlignment="1">
      <alignment vertical="center"/>
    </xf>
    <xf numFmtId="43" fontId="16" fillId="2" borderId="1" xfId="1" applyFont="1" applyFill="1" applyBorder="1" applyAlignment="1">
      <alignment horizontal="center" vertical="center"/>
    </xf>
    <xf numFmtId="43" fontId="16" fillId="2" borderId="1" xfId="1" applyFont="1" applyFill="1" applyBorder="1" applyAlignment="1">
      <alignment horizontal="right" vertical="center"/>
    </xf>
    <xf numFmtId="0" fontId="16" fillId="2" borderId="1" xfId="0" applyFont="1" applyFill="1" applyBorder="1" applyAlignment="1">
      <alignment vertical="center"/>
    </xf>
    <xf numFmtId="43" fontId="16" fillId="2" borderId="1" xfId="0" applyNumberFormat="1" applyFont="1" applyFill="1" applyBorder="1" applyAlignment="1">
      <alignment vertical="center"/>
    </xf>
    <xf numFmtId="43" fontId="16" fillId="2" borderId="0" xfId="0" applyNumberFormat="1" applyFont="1" applyFill="1" applyAlignment="1">
      <alignment vertical="center"/>
    </xf>
    <xf numFmtId="43" fontId="7" fillId="2" borderId="0" xfId="1" applyFont="1" applyFill="1" applyAlignment="1">
      <alignment horizontal="center" vertical="center"/>
    </xf>
    <xf numFmtId="0" fontId="16" fillId="2" borderId="1" xfId="0" applyNumberFormat="1" applyFont="1" applyFill="1" applyBorder="1" applyAlignment="1">
      <alignment vertical="center"/>
    </xf>
    <xf numFmtId="0" fontId="16" fillId="2" borderId="7" xfId="0" applyFont="1" applyFill="1" applyBorder="1" applyAlignment="1">
      <alignment vertical="center"/>
    </xf>
    <xf numFmtId="43" fontId="7" fillId="0" borderId="5" xfId="1" applyFont="1" applyFill="1" applyBorder="1" applyAlignment="1">
      <alignment horizontal="left" vertical="center"/>
    </xf>
    <xf numFmtId="0" fontId="7" fillId="0" borderId="5" xfId="0" applyFont="1" applyBorder="1" applyAlignment="1">
      <alignment horizontal="center"/>
    </xf>
    <xf numFmtId="0" fontId="7" fillId="0" borderId="5" xfId="0" applyFont="1" applyBorder="1"/>
    <xf numFmtId="43" fontId="7" fillId="0" borderId="5" xfId="0" applyNumberFormat="1" applyFont="1" applyBorder="1"/>
    <xf numFmtId="0" fontId="7" fillId="0" borderId="47" xfId="0" applyFont="1" applyBorder="1" applyAlignment="1">
      <alignment horizontal="center"/>
    </xf>
    <xf numFmtId="43" fontId="6" fillId="2" borderId="7" xfId="0" applyNumberFormat="1" applyFont="1" applyFill="1" applyBorder="1" applyAlignment="1">
      <alignment horizontal="center" vertical="center"/>
    </xf>
    <xf numFmtId="43" fontId="7" fillId="0" borderId="1" xfId="0" applyNumberFormat="1" applyFont="1" applyBorder="1" applyAlignment="1">
      <alignment horizontal="center"/>
    </xf>
    <xf numFmtId="43" fontId="7" fillId="5" borderId="47" xfId="1" applyNumberFormat="1" applyFont="1" applyFill="1" applyBorder="1"/>
    <xf numFmtId="43" fontId="7" fillId="0" borderId="5" xfId="1" applyNumberFormat="1" applyFont="1" applyBorder="1"/>
    <xf numFmtId="43" fontId="7" fillId="0" borderId="1" xfId="1" applyNumberFormat="1" applyFont="1" applyBorder="1"/>
    <xf numFmtId="0" fontId="16" fillId="2" borderId="50" xfId="0" applyFont="1" applyFill="1" applyBorder="1" applyAlignment="1">
      <alignment vertical="center"/>
    </xf>
    <xf numFmtId="0" fontId="6" fillId="2" borderId="51" xfId="0" applyFont="1" applyFill="1" applyBorder="1" applyAlignment="1">
      <alignment horizontal="center" vertical="center"/>
    </xf>
    <xf numFmtId="0" fontId="16" fillId="2" borderId="51" xfId="0" applyFont="1" applyFill="1" applyBorder="1" applyAlignment="1">
      <alignment vertical="center"/>
    </xf>
    <xf numFmtId="43" fontId="16" fillId="2" borderId="51" xfId="1" applyFont="1" applyFill="1" applyBorder="1" applyAlignment="1">
      <alignment vertical="center"/>
    </xf>
    <xf numFmtId="0" fontId="6" fillId="2" borderId="7" xfId="0" applyFont="1" applyFill="1" applyBorder="1" applyAlignment="1">
      <alignment horizontal="center" vertical="center"/>
    </xf>
    <xf numFmtId="0" fontId="6" fillId="2" borderId="8" xfId="0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/>
    </xf>
    <xf numFmtId="43" fontId="14" fillId="2" borderId="1" xfId="1" applyFont="1" applyFill="1" applyBorder="1" applyAlignment="1">
      <alignment horizontal="center"/>
    </xf>
    <xf numFmtId="43" fontId="7" fillId="2" borderId="1" xfId="1" applyFont="1" applyFill="1" applyBorder="1" applyAlignment="1">
      <alignment horizontal="left"/>
    </xf>
    <xf numFmtId="43" fontId="7" fillId="2" borderId="0" xfId="1" applyFont="1" applyFill="1" applyAlignment="1">
      <alignment horizontal="center"/>
    </xf>
    <xf numFmtId="43" fontId="14" fillId="2" borderId="2" xfId="1" applyFont="1" applyFill="1" applyBorder="1" applyAlignment="1">
      <alignment horizontal="center"/>
    </xf>
    <xf numFmtId="43" fontId="7" fillId="2" borderId="0" xfId="1" applyFont="1" applyFill="1" applyAlignment="1">
      <alignment horizontal="center" vertical="center"/>
    </xf>
    <xf numFmtId="43" fontId="6" fillId="2" borderId="1" xfId="0" applyNumberFormat="1" applyFont="1" applyFill="1" applyBorder="1" applyAlignment="1">
      <alignment horizontal="center" vertical="center"/>
    </xf>
    <xf numFmtId="43" fontId="7" fillId="2" borderId="1" xfId="0" applyNumberFormat="1" applyFont="1" applyFill="1" applyBorder="1" applyAlignment="1">
      <alignment horizontal="left" vertical="center"/>
    </xf>
    <xf numFmtId="43" fontId="41" fillId="2" borderId="1" xfId="1" applyFont="1" applyFill="1" applyBorder="1" applyAlignment="1">
      <alignment horizontal="center" vertical="center" wrapText="1"/>
    </xf>
    <xf numFmtId="0" fontId="41" fillId="2" borderId="1" xfId="0" applyFont="1" applyFill="1" applyBorder="1" applyAlignment="1">
      <alignment horizontal="right" vertical="center" wrapText="1"/>
    </xf>
    <xf numFmtId="43" fontId="41" fillId="2" borderId="21" xfId="1" applyFont="1" applyFill="1" applyBorder="1" applyAlignment="1">
      <alignment horizontal="center" vertical="center" wrapText="1"/>
    </xf>
    <xf numFmtId="43" fontId="16" fillId="2" borderId="51" xfId="0" applyNumberFormat="1" applyFont="1" applyFill="1" applyBorder="1" applyAlignment="1">
      <alignment vertical="center"/>
    </xf>
    <xf numFmtId="187" fontId="14" fillId="2" borderId="1" xfId="1" applyNumberFormat="1" applyFont="1" applyFill="1" applyBorder="1" applyAlignment="1">
      <alignment horizontal="center" vertical="center" wrapText="1"/>
    </xf>
    <xf numFmtId="43" fontId="41" fillId="2" borderId="1" xfId="1" applyFont="1" applyFill="1" applyBorder="1" applyAlignment="1">
      <alignment horizontal="right" vertical="center" wrapText="1"/>
    </xf>
    <xf numFmtId="43" fontId="41" fillId="2" borderId="1" xfId="1" applyFont="1" applyFill="1" applyBorder="1" applyAlignment="1">
      <alignment vertical="center"/>
    </xf>
    <xf numFmtId="0" fontId="16" fillId="2" borderId="8" xfId="0" applyFont="1" applyFill="1" applyBorder="1" applyAlignment="1">
      <alignment vertical="center"/>
    </xf>
    <xf numFmtId="43" fontId="16" fillId="2" borderId="8" xfId="0" applyNumberFormat="1" applyFont="1" applyFill="1" applyBorder="1" applyAlignment="1">
      <alignment vertical="center"/>
    </xf>
    <xf numFmtId="43" fontId="16" fillId="2" borderId="15" xfId="0" applyNumberFormat="1" applyFont="1" applyFill="1" applyBorder="1" applyAlignment="1">
      <alignment vertical="center"/>
    </xf>
    <xf numFmtId="43" fontId="16" fillId="2" borderId="8" xfId="1" applyFont="1" applyFill="1" applyBorder="1" applyAlignment="1">
      <alignment vertical="center"/>
    </xf>
    <xf numFmtId="0" fontId="16" fillId="2" borderId="52" xfId="0" applyFont="1" applyFill="1" applyBorder="1" applyAlignment="1">
      <alignment vertical="center"/>
    </xf>
    <xf numFmtId="0" fontId="6" fillId="2" borderId="53" xfId="0" applyFont="1" applyFill="1" applyBorder="1" applyAlignment="1">
      <alignment horizontal="center" vertical="center"/>
    </xf>
    <xf numFmtId="0" fontId="16" fillId="2" borderId="53" xfId="0" applyFont="1" applyFill="1" applyBorder="1" applyAlignment="1">
      <alignment vertical="center"/>
    </xf>
    <xf numFmtId="43" fontId="16" fillId="2" borderId="53" xfId="0" applyNumberFormat="1" applyFont="1" applyFill="1" applyBorder="1" applyAlignment="1">
      <alignment vertical="center"/>
    </xf>
    <xf numFmtId="43" fontId="16" fillId="2" borderId="53" xfId="1" applyFont="1" applyFill="1" applyBorder="1" applyAlignment="1">
      <alignment vertical="center"/>
    </xf>
    <xf numFmtId="43" fontId="41" fillId="2" borderId="53" xfId="1" applyFont="1" applyFill="1" applyBorder="1" applyAlignment="1">
      <alignment horizontal="center" vertical="center" wrapText="1"/>
    </xf>
    <xf numFmtId="43" fontId="41" fillId="2" borderId="54" xfId="1" applyFont="1" applyFill="1" applyBorder="1" applyAlignment="1">
      <alignment horizontal="center" vertical="center" wrapText="1"/>
    </xf>
    <xf numFmtId="43" fontId="16" fillId="2" borderId="52" xfId="0" applyNumberFormat="1" applyFont="1" applyFill="1" applyBorder="1" applyAlignment="1">
      <alignment vertical="center"/>
    </xf>
    <xf numFmtId="0" fontId="16" fillId="2" borderId="15" xfId="0" applyFont="1" applyFill="1" applyBorder="1" applyAlignment="1">
      <alignment vertical="center"/>
    </xf>
    <xf numFmtId="43" fontId="16" fillId="2" borderId="29" xfId="0" applyNumberFormat="1" applyFont="1" applyFill="1" applyBorder="1" applyAlignment="1">
      <alignment vertical="center"/>
    </xf>
    <xf numFmtId="43" fontId="41" fillId="2" borderId="15" xfId="1" applyFont="1" applyFill="1" applyBorder="1" applyAlignment="1">
      <alignment horizontal="center" vertical="center" wrapText="1"/>
    </xf>
    <xf numFmtId="43" fontId="41" fillId="2" borderId="13" xfId="1" applyFont="1" applyFill="1" applyBorder="1" applyAlignment="1">
      <alignment horizontal="center" vertical="center" wrapText="1"/>
    </xf>
    <xf numFmtId="43" fontId="16" fillId="2" borderId="13" xfId="0" applyNumberFormat="1" applyFont="1" applyFill="1" applyBorder="1" applyAlignment="1">
      <alignment vertical="center"/>
    </xf>
    <xf numFmtId="43" fontId="41" fillId="2" borderId="22" xfId="1" applyFont="1" applyFill="1" applyBorder="1" applyAlignment="1">
      <alignment horizontal="center" vertical="center" wrapText="1"/>
    </xf>
    <xf numFmtId="0" fontId="41" fillId="2" borderId="1" xfId="0" applyFont="1" applyFill="1" applyBorder="1" applyAlignment="1">
      <alignment horizontal="center" vertical="center" wrapText="1"/>
    </xf>
    <xf numFmtId="43" fontId="16" fillId="2" borderId="1" xfId="1" applyFont="1" applyFill="1" applyBorder="1" applyAlignment="1">
      <alignment vertical="center" wrapText="1"/>
    </xf>
    <xf numFmtId="43" fontId="16" fillId="2" borderId="1" xfId="1" applyFont="1" applyFill="1" applyBorder="1" applyAlignment="1">
      <alignment horizontal="center" vertical="center" wrapText="1"/>
    </xf>
    <xf numFmtId="0" fontId="16" fillId="2" borderId="1" xfId="0" applyFont="1" applyFill="1" applyBorder="1" applyAlignment="1">
      <alignment vertical="center" wrapText="1"/>
    </xf>
    <xf numFmtId="0" fontId="16" fillId="2" borderId="1" xfId="0" applyFont="1" applyFill="1" applyBorder="1" applyAlignment="1">
      <alignment horizontal="center" vertical="center" wrapText="1"/>
    </xf>
    <xf numFmtId="4" fontId="16" fillId="2" borderId="1" xfId="0" applyNumberFormat="1" applyFont="1" applyFill="1" applyBorder="1" applyAlignment="1">
      <alignment horizontal="center" vertical="center" wrapText="1"/>
    </xf>
    <xf numFmtId="43" fontId="14" fillId="2" borderId="1" xfId="1" applyFont="1" applyFill="1" applyBorder="1" applyAlignment="1">
      <alignment horizontal="center"/>
    </xf>
    <xf numFmtId="43" fontId="7" fillId="2" borderId="1" xfId="1" applyFont="1" applyFill="1" applyBorder="1" applyAlignment="1">
      <alignment horizontal="left"/>
    </xf>
    <xf numFmtId="43" fontId="14" fillId="2" borderId="1" xfId="1" applyFont="1" applyFill="1" applyBorder="1" applyAlignment="1">
      <alignment horizontal="center" vertical="center"/>
    </xf>
    <xf numFmtId="187" fontId="14" fillId="2" borderId="1" xfId="1" applyNumberFormat="1" applyFont="1" applyFill="1" applyBorder="1" applyAlignment="1">
      <alignment horizontal="center" wrapText="1"/>
    </xf>
    <xf numFmtId="0" fontId="6" fillId="0" borderId="0" xfId="0" applyFont="1" applyAlignment="1">
      <alignment horizontal="left" vertical="center"/>
    </xf>
    <xf numFmtId="0" fontId="10" fillId="0" borderId="0" xfId="0" applyFont="1" applyAlignment="1">
      <alignment horizontal="center" vertical="center"/>
    </xf>
    <xf numFmtId="0" fontId="6" fillId="0" borderId="0" xfId="0" applyFont="1" applyAlignment="1">
      <alignment horizontal="left" vertical="center" wrapText="1"/>
    </xf>
    <xf numFmtId="0" fontId="10" fillId="2" borderId="0" xfId="0" applyFont="1" applyFill="1" applyAlignment="1">
      <alignment horizontal="center" vertical="center"/>
    </xf>
    <xf numFmtId="0" fontId="10" fillId="2" borderId="0" xfId="0" applyFont="1" applyFill="1" applyAlignment="1">
      <alignment horizontal="left" vertical="center"/>
    </xf>
    <xf numFmtId="0" fontId="14" fillId="2" borderId="7" xfId="0" applyFont="1" applyFill="1" applyBorder="1" applyAlignment="1">
      <alignment horizontal="center" vertical="center"/>
    </xf>
    <xf numFmtId="0" fontId="14" fillId="2" borderId="0" xfId="0" applyFont="1" applyFill="1" applyAlignment="1">
      <alignment horizontal="center" vertical="center"/>
    </xf>
    <xf numFmtId="0" fontId="6" fillId="0" borderId="0" xfId="0" applyFont="1" applyAlignment="1">
      <alignment vertical="center"/>
    </xf>
    <xf numFmtId="0" fontId="10" fillId="0" borderId="1" xfId="0" applyFont="1" applyFill="1" applyBorder="1" applyAlignment="1">
      <alignment horizontal="center" vertical="center"/>
    </xf>
    <xf numFmtId="0" fontId="10" fillId="0" borderId="35" xfId="0" applyFont="1" applyFill="1" applyBorder="1" applyAlignment="1">
      <alignment horizontal="center" vertical="center"/>
    </xf>
    <xf numFmtId="0" fontId="10" fillId="0" borderId="8" xfId="0" applyFont="1" applyFill="1" applyBorder="1" applyAlignment="1">
      <alignment horizontal="center" vertical="center"/>
    </xf>
    <xf numFmtId="0" fontId="12" fillId="2" borderId="0" xfId="0" applyFont="1" applyFill="1" applyAlignment="1">
      <alignment horizontal="left" vertical="center"/>
    </xf>
    <xf numFmtId="0" fontId="12" fillId="2" borderId="0" xfId="0" applyFont="1" applyFill="1" applyAlignment="1">
      <alignment vertical="center"/>
    </xf>
    <xf numFmtId="0" fontId="10" fillId="2" borderId="1" xfId="0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/>
    </xf>
    <xf numFmtId="0" fontId="6" fillId="2" borderId="0" xfId="0" applyFont="1" applyFill="1" applyAlignment="1">
      <alignment horizontal="left" vertical="center"/>
    </xf>
    <xf numFmtId="43" fontId="10" fillId="2" borderId="0" xfId="1" applyFont="1" applyFill="1" applyAlignment="1">
      <alignment horizontal="center" vertical="center"/>
    </xf>
    <xf numFmtId="43" fontId="14" fillId="2" borderId="1" xfId="1" applyFont="1" applyFill="1" applyBorder="1" applyAlignment="1">
      <alignment horizontal="center" vertical="center"/>
    </xf>
    <xf numFmtId="43" fontId="6" fillId="2" borderId="1" xfId="1" applyFont="1" applyFill="1" applyBorder="1" applyAlignment="1">
      <alignment horizontal="center" vertical="center"/>
    </xf>
    <xf numFmtId="43" fontId="7" fillId="2" borderId="1" xfId="0" applyNumberFormat="1" applyFont="1" applyFill="1" applyBorder="1" applyAlignment="1">
      <alignment horizontal="left" vertical="center"/>
    </xf>
    <xf numFmtId="187" fontId="7" fillId="2" borderId="7" xfId="1" applyNumberFormat="1" applyFont="1" applyFill="1" applyBorder="1" applyAlignment="1">
      <alignment vertical="center"/>
    </xf>
    <xf numFmtId="43" fontId="7" fillId="2" borderId="8" xfId="1" applyFont="1" applyFill="1" applyBorder="1" applyAlignment="1">
      <alignment horizontal="left" vertical="center"/>
    </xf>
    <xf numFmtId="43" fontId="7" fillId="2" borderId="8" xfId="1" applyFont="1" applyFill="1" applyBorder="1" applyAlignment="1">
      <alignment horizontal="left" vertical="center" wrapText="1"/>
    </xf>
    <xf numFmtId="187" fontId="7" fillId="2" borderId="16" xfId="1" applyNumberFormat="1" applyFont="1" applyFill="1" applyBorder="1" applyAlignment="1">
      <alignment vertical="center"/>
    </xf>
    <xf numFmtId="43" fontId="7" fillId="2" borderId="9" xfId="1" applyFont="1" applyFill="1" applyBorder="1" applyAlignment="1">
      <alignment horizontal="left" vertical="center"/>
    </xf>
    <xf numFmtId="0" fontId="14" fillId="2" borderId="1" xfId="0" applyFont="1" applyFill="1" applyBorder="1" applyAlignment="1">
      <alignment vertical="center" wrapText="1"/>
    </xf>
    <xf numFmtId="43" fontId="6" fillId="2" borderId="6" xfId="1" applyFont="1" applyFill="1" applyBorder="1" applyAlignment="1">
      <alignment vertical="center"/>
    </xf>
    <xf numFmtId="43" fontId="6" fillId="2" borderId="9" xfId="0" applyNumberFormat="1" applyFont="1" applyFill="1" applyBorder="1" applyAlignment="1">
      <alignment vertical="center"/>
    </xf>
    <xf numFmtId="43" fontId="10" fillId="0" borderId="0" xfId="0" applyNumberFormat="1" applyFont="1" applyFill="1" applyAlignment="1">
      <alignment vertical="center"/>
    </xf>
    <xf numFmtId="4" fontId="32" fillId="2" borderId="0" xfId="0" applyNumberFormat="1" applyFont="1" applyFill="1" applyBorder="1"/>
    <xf numFmtId="43" fontId="10" fillId="0" borderId="0" xfId="0" applyNumberFormat="1" applyFont="1" applyFill="1" applyAlignment="1">
      <alignment horizontal="center" vertical="center"/>
    </xf>
    <xf numFmtId="0" fontId="6" fillId="2" borderId="8" xfId="0" applyFont="1" applyFill="1" applyBorder="1" applyAlignment="1">
      <alignment horizontal="left" vertical="center"/>
    </xf>
    <xf numFmtId="43" fontId="6" fillId="2" borderId="8" xfId="1" applyFont="1" applyFill="1" applyBorder="1" applyAlignment="1">
      <alignment horizontal="left" vertical="center"/>
    </xf>
    <xf numFmtId="43" fontId="6" fillId="2" borderId="6" xfId="1" applyFont="1" applyFill="1" applyBorder="1" applyAlignment="1">
      <alignment horizontal="center" vertical="center"/>
    </xf>
    <xf numFmtId="43" fontId="6" fillId="2" borderId="9" xfId="1" applyFont="1" applyFill="1" applyBorder="1" applyAlignment="1">
      <alignment horizontal="left" vertical="center"/>
    </xf>
    <xf numFmtId="43" fontId="6" fillId="2" borderId="6" xfId="1" applyFont="1" applyFill="1" applyBorder="1" applyAlignment="1">
      <alignment horizontal="right" vertical="center"/>
    </xf>
    <xf numFmtId="43" fontId="6" fillId="2" borderId="2" xfId="1" applyFont="1" applyFill="1" applyBorder="1" applyAlignment="1">
      <alignment horizontal="left" vertical="center"/>
    </xf>
    <xf numFmtId="43" fontId="6" fillId="2" borderId="2" xfId="1" applyFont="1" applyFill="1" applyBorder="1" applyAlignment="1">
      <alignment horizontal="center" vertical="center"/>
    </xf>
    <xf numFmtId="0" fontId="7" fillId="2" borderId="0" xfId="0" applyFont="1" applyFill="1" applyAlignment="1">
      <alignment horizontal="left" vertical="center"/>
    </xf>
    <xf numFmtId="43" fontId="7" fillId="2" borderId="0" xfId="1" applyFont="1" applyFill="1" applyAlignment="1">
      <alignment horizontal="right" vertical="center"/>
    </xf>
    <xf numFmtId="0" fontId="7" fillId="2" borderId="0" xfId="0" applyFont="1" applyFill="1" applyAlignment="1">
      <alignment horizontal="right" vertical="center"/>
    </xf>
    <xf numFmtId="43" fontId="7" fillId="2" borderId="0" xfId="1" applyFont="1" applyFill="1" applyAlignment="1">
      <alignment horizontal="left" vertical="center"/>
    </xf>
    <xf numFmtId="0" fontId="23" fillId="2" borderId="0" xfId="0" applyFont="1" applyFill="1" applyAlignment="1">
      <alignment horizontal="left" vertical="center"/>
    </xf>
    <xf numFmtId="0" fontId="24" fillId="2" borderId="0" xfId="0" applyFont="1" applyFill="1" applyAlignment="1">
      <alignment vertical="center"/>
    </xf>
    <xf numFmtId="0" fontId="24" fillId="2" borderId="0" xfId="0" applyFont="1" applyFill="1" applyAlignment="1">
      <alignment horizontal="left" vertical="center"/>
    </xf>
    <xf numFmtId="43" fontId="24" fillId="2" borderId="0" xfId="0" applyNumberFormat="1" applyFont="1" applyFill="1" applyAlignment="1">
      <alignment vertical="center"/>
    </xf>
    <xf numFmtId="43" fontId="7" fillId="2" borderId="35" xfId="1" applyFont="1" applyFill="1" applyBorder="1" applyAlignment="1">
      <alignment horizontal="center" vertical="center"/>
    </xf>
    <xf numFmtId="0" fontId="7" fillId="2" borderId="10" xfId="0" applyFont="1" applyFill="1" applyBorder="1" applyAlignment="1">
      <alignment horizontal="center" vertical="center"/>
    </xf>
    <xf numFmtId="0" fontId="7" fillId="2" borderId="35" xfId="0" applyFont="1" applyFill="1" applyBorder="1" applyAlignment="1">
      <alignment horizontal="center" vertical="center"/>
    </xf>
    <xf numFmtId="43" fontId="7" fillId="2" borderId="8" xfId="1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2" fontId="7" fillId="2" borderId="7" xfId="1" applyNumberFormat="1" applyFont="1" applyFill="1" applyBorder="1" applyAlignment="1">
      <alignment horizontal="right" vertical="center"/>
    </xf>
    <xf numFmtId="43" fontId="7" fillId="2" borderId="10" xfId="0" applyNumberFormat="1" applyFont="1" applyFill="1" applyBorder="1" applyAlignment="1">
      <alignment horizontal="center" vertical="center"/>
    </xf>
    <xf numFmtId="43" fontId="7" fillId="2" borderId="35" xfId="0" applyNumberFormat="1" applyFont="1" applyFill="1" applyBorder="1" applyAlignment="1">
      <alignment horizontal="center" vertical="center"/>
    </xf>
    <xf numFmtId="189" fontId="7" fillId="2" borderId="8" xfId="1" applyNumberFormat="1" applyFont="1" applyFill="1" applyBorder="1" applyAlignment="1">
      <alignment horizontal="right" vertical="center" wrapText="1"/>
    </xf>
    <xf numFmtId="0" fontId="7" fillId="2" borderId="16" xfId="0" applyFont="1" applyFill="1" applyBorder="1" applyAlignment="1">
      <alignment vertical="center"/>
    </xf>
    <xf numFmtId="43" fontId="7" fillId="2" borderId="6" xfId="1" applyNumberFormat="1" applyFont="1" applyFill="1" applyBorder="1" applyAlignment="1">
      <alignment vertical="center"/>
    </xf>
    <xf numFmtId="2" fontId="7" fillId="2" borderId="7" xfId="0" applyNumberFormat="1" applyFont="1" applyFill="1" applyBorder="1" applyAlignment="1">
      <alignment horizontal="right" vertical="center"/>
    </xf>
    <xf numFmtId="43" fontId="7" fillId="2" borderId="8" xfId="0" applyNumberFormat="1" applyFont="1" applyFill="1" applyBorder="1" applyAlignment="1">
      <alignment horizontal="left" vertical="center"/>
    </xf>
    <xf numFmtId="43" fontId="7" fillId="2" borderId="10" xfId="0" applyNumberFormat="1" applyFont="1" applyFill="1" applyBorder="1" applyAlignment="1">
      <alignment vertical="center"/>
    </xf>
    <xf numFmtId="0" fontId="7" fillId="2" borderId="2" xfId="0" applyFont="1" applyFill="1" applyBorder="1" applyAlignment="1">
      <alignment horizontal="center" vertical="center"/>
    </xf>
    <xf numFmtId="43" fontId="7" fillId="2" borderId="2" xfId="1" applyNumberFormat="1" applyFont="1" applyFill="1" applyBorder="1" applyAlignment="1">
      <alignment vertical="center"/>
    </xf>
    <xf numFmtId="43" fontId="7" fillId="2" borderId="17" xfId="1" applyNumberFormat="1" applyFont="1" applyFill="1" applyBorder="1" applyAlignment="1">
      <alignment vertical="center"/>
    </xf>
    <xf numFmtId="43" fontId="7" fillId="2" borderId="19" xfId="1" applyNumberFormat="1" applyFont="1" applyFill="1" applyBorder="1" applyAlignment="1">
      <alignment vertical="center"/>
    </xf>
    <xf numFmtId="43" fontId="7" fillId="2" borderId="42" xfId="0" applyNumberFormat="1" applyFont="1" applyFill="1" applyBorder="1" applyAlignment="1">
      <alignment horizontal="center" vertical="center"/>
    </xf>
    <xf numFmtId="43" fontId="7" fillId="2" borderId="2" xfId="1" applyFont="1" applyFill="1" applyBorder="1" applyAlignment="1">
      <alignment vertical="center"/>
    </xf>
    <xf numFmtId="43" fontId="7" fillId="2" borderId="38" xfId="1" applyFont="1" applyFill="1" applyBorder="1" applyAlignment="1">
      <alignment vertical="center"/>
    </xf>
    <xf numFmtId="43" fontId="7" fillId="2" borderId="19" xfId="1" applyFont="1" applyFill="1" applyBorder="1" applyAlignment="1">
      <alignment vertical="center"/>
    </xf>
    <xf numFmtId="0" fontId="18" fillId="2" borderId="0" xfId="0" applyFont="1" applyFill="1" applyAlignment="1">
      <alignment vertical="center"/>
    </xf>
    <xf numFmtId="0" fontId="19" fillId="2" borderId="0" xfId="0" applyFont="1" applyFill="1" applyAlignment="1">
      <alignment horizontal="left" vertical="center"/>
    </xf>
    <xf numFmtId="43" fontId="19" fillId="2" borderId="0" xfId="1" applyFont="1" applyFill="1" applyAlignment="1">
      <alignment vertical="center"/>
    </xf>
    <xf numFmtId="43" fontId="8" fillId="2" borderId="0" xfId="1" applyFont="1" applyFill="1" applyAlignment="1">
      <alignment vertical="center"/>
    </xf>
    <xf numFmtId="0" fontId="8" fillId="2" borderId="0" xfId="0" applyFont="1" applyFill="1" applyAlignment="1">
      <alignment horizontal="right" vertical="center"/>
    </xf>
    <xf numFmtId="43" fontId="7" fillId="3" borderId="10" xfId="0" applyNumberFormat="1" applyFont="1" applyFill="1" applyBorder="1" applyAlignment="1">
      <alignment horizontal="center" vertical="center"/>
    </xf>
    <xf numFmtId="43" fontId="7" fillId="3" borderId="1" xfId="0" applyNumberFormat="1" applyFont="1" applyFill="1" applyBorder="1" applyAlignment="1">
      <alignment horizontal="center" vertical="center"/>
    </xf>
    <xf numFmtId="43" fontId="7" fillId="3" borderId="8" xfId="1" applyFont="1" applyFill="1" applyBorder="1" applyAlignment="1">
      <alignment horizontal="left" vertical="center"/>
    </xf>
    <xf numFmtId="43" fontId="7" fillId="3" borderId="35" xfId="0" applyNumberFormat="1" applyFont="1" applyFill="1" applyBorder="1" applyAlignment="1">
      <alignment horizontal="center" vertical="center"/>
    </xf>
    <xf numFmtId="43" fontId="7" fillId="3" borderId="1" xfId="1" applyNumberFormat="1" applyFont="1" applyFill="1" applyBorder="1" applyAlignment="1">
      <alignment horizontal="center" vertical="center"/>
    </xf>
    <xf numFmtId="2" fontId="7" fillId="3" borderId="7" xfId="0" applyNumberFormat="1" applyFont="1" applyFill="1" applyBorder="1" applyAlignment="1">
      <alignment horizontal="right" vertical="center"/>
    </xf>
    <xf numFmtId="43" fontId="7" fillId="3" borderId="8" xfId="0" applyNumberFormat="1" applyFont="1" applyFill="1" applyBorder="1" applyAlignment="1">
      <alignment horizontal="left" vertical="center"/>
    </xf>
    <xf numFmtId="43" fontId="7" fillId="3" borderId="7" xfId="1" applyFont="1" applyFill="1" applyBorder="1" applyAlignment="1">
      <alignment horizontal="center" vertical="center"/>
    </xf>
    <xf numFmtId="2" fontId="7" fillId="3" borderId="16" xfId="1" applyNumberFormat="1" applyFont="1" applyFill="1" applyBorder="1" applyAlignment="1">
      <alignment horizontal="right" vertical="center"/>
    </xf>
    <xf numFmtId="43" fontId="7" fillId="3" borderId="9" xfId="1" applyNumberFormat="1" applyFont="1" applyFill="1" applyBorder="1" applyAlignment="1">
      <alignment vertical="center"/>
    </xf>
    <xf numFmtId="43" fontId="7" fillId="3" borderId="16" xfId="1" applyNumberFormat="1" applyFont="1" applyFill="1" applyBorder="1" applyAlignment="1">
      <alignment vertical="center"/>
    </xf>
    <xf numFmtId="0" fontId="45" fillId="0" borderId="0" xfId="0" applyFont="1"/>
    <xf numFmtId="0" fontId="44" fillId="11" borderId="24" xfId="0" applyFont="1" applyFill="1" applyBorder="1" applyAlignment="1">
      <alignment horizontal="center" wrapText="1"/>
    </xf>
    <xf numFmtId="0" fontId="44" fillId="11" borderId="25" xfId="0" applyFont="1" applyFill="1" applyBorder="1" applyAlignment="1">
      <alignment horizontal="center" wrapText="1"/>
    </xf>
    <xf numFmtId="0" fontId="45" fillId="11" borderId="25" xfId="0" applyFont="1" applyFill="1" applyBorder="1" applyAlignment="1">
      <alignment wrapText="1"/>
    </xf>
    <xf numFmtId="0" fontId="44" fillId="11" borderId="27" xfId="0" applyFont="1" applyFill="1" applyBorder="1" applyAlignment="1">
      <alignment horizontal="center" wrapText="1"/>
    </xf>
    <xf numFmtId="0" fontId="45" fillId="11" borderId="26" xfId="0" applyFont="1" applyFill="1" applyBorder="1" applyAlignment="1">
      <alignment wrapText="1"/>
    </xf>
    <xf numFmtId="0" fontId="45" fillId="0" borderId="24" xfId="0" applyFont="1" applyBorder="1" applyAlignment="1">
      <alignment horizontal="left" wrapText="1"/>
    </xf>
    <xf numFmtId="0" fontId="45" fillId="0" borderId="24" xfId="0" applyFont="1" applyBorder="1" applyAlignment="1">
      <alignment horizontal="center" wrapText="1"/>
    </xf>
    <xf numFmtId="0" fontId="45" fillId="0" borderId="25" xfId="0" applyFont="1" applyBorder="1" applyAlignment="1">
      <alignment horizontal="left" wrapText="1"/>
    </xf>
    <xf numFmtId="0" fontId="45" fillId="0" borderId="25" xfId="0" applyFont="1" applyBorder="1" applyAlignment="1">
      <alignment horizontal="center" wrapText="1"/>
    </xf>
    <xf numFmtId="0" fontId="45" fillId="0" borderId="26" xfId="0" applyFont="1" applyBorder="1" applyAlignment="1">
      <alignment wrapText="1"/>
    </xf>
    <xf numFmtId="0" fontId="45" fillId="0" borderId="27" xfId="0" applyFont="1" applyBorder="1" applyAlignment="1">
      <alignment horizontal="center" wrapText="1"/>
    </xf>
    <xf numFmtId="0" fontId="45" fillId="0" borderId="27" xfId="0" applyFont="1" applyBorder="1" applyAlignment="1">
      <alignment wrapText="1"/>
    </xf>
    <xf numFmtId="0" fontId="45" fillId="0" borderId="27" xfId="0" applyFont="1" applyBorder="1" applyAlignment="1">
      <alignment horizontal="right" wrapText="1"/>
    </xf>
    <xf numFmtId="4" fontId="45" fillId="0" borderId="27" xfId="0" applyNumberFormat="1" applyFont="1" applyBorder="1" applyAlignment="1">
      <alignment horizontal="right" wrapText="1"/>
    </xf>
    <xf numFmtId="4" fontId="45" fillId="0" borderId="27" xfId="0" applyNumberFormat="1" applyFont="1" applyBorder="1" applyAlignment="1">
      <alignment horizontal="center" wrapText="1"/>
    </xf>
    <xf numFmtId="3" fontId="45" fillId="0" borderId="27" xfId="0" applyNumberFormat="1" applyFont="1" applyBorder="1" applyAlignment="1">
      <alignment horizontal="right" wrapText="1"/>
    </xf>
    <xf numFmtId="0" fontId="45" fillId="12" borderId="27" xfId="0" applyFont="1" applyFill="1" applyBorder="1" applyAlignment="1">
      <alignment wrapText="1"/>
    </xf>
    <xf numFmtId="17" fontId="45" fillId="0" borderId="27" xfId="0" applyNumberFormat="1" applyFont="1" applyBorder="1" applyAlignment="1">
      <alignment horizontal="center" wrapText="1"/>
    </xf>
    <xf numFmtId="15" fontId="45" fillId="0" borderId="27" xfId="0" applyNumberFormat="1" applyFont="1" applyBorder="1" applyAlignment="1">
      <alignment horizontal="center" wrapText="1"/>
    </xf>
    <xf numFmtId="0" fontId="45" fillId="0" borderId="27" xfId="0" applyFont="1" applyBorder="1" applyAlignment="1">
      <alignment horizontal="left" wrapText="1"/>
    </xf>
    <xf numFmtId="0" fontId="45" fillId="0" borderId="26" xfId="0" applyFont="1" applyBorder="1" applyAlignment="1">
      <alignment horizontal="left" wrapText="1"/>
    </xf>
    <xf numFmtId="0" fontId="45" fillId="0" borderId="26" xfId="0" applyFont="1" applyBorder="1" applyAlignment="1">
      <alignment horizontal="center" wrapText="1"/>
    </xf>
    <xf numFmtId="0" fontId="45" fillId="5" borderId="27" xfId="0" applyFont="1" applyFill="1" applyBorder="1" applyAlignment="1">
      <alignment wrapText="1"/>
    </xf>
    <xf numFmtId="0" fontId="45" fillId="13" borderId="27" xfId="0" applyFont="1" applyFill="1" applyBorder="1" applyAlignment="1">
      <alignment wrapText="1"/>
    </xf>
    <xf numFmtId="0" fontId="45" fillId="0" borderId="25" xfId="0" applyFont="1" applyBorder="1" applyAlignment="1">
      <alignment wrapText="1"/>
    </xf>
    <xf numFmtId="3" fontId="45" fillId="0" borderId="27" xfId="0" applyNumberFormat="1" applyFont="1" applyBorder="1" applyAlignment="1">
      <alignment horizontal="center" wrapText="1"/>
    </xf>
    <xf numFmtId="9" fontId="45" fillId="0" borderId="27" xfId="0" applyNumberFormat="1" applyFont="1" applyBorder="1" applyAlignment="1">
      <alignment horizontal="center" wrapText="1"/>
    </xf>
    <xf numFmtId="0" fontId="45" fillId="15" borderId="27" xfId="0" applyFont="1" applyFill="1" applyBorder="1" applyAlignment="1">
      <alignment wrapText="1"/>
    </xf>
    <xf numFmtId="0" fontId="44" fillId="0" borderId="0" xfId="0" applyFont="1" applyAlignment="1">
      <alignment horizontal="right" wrapText="1"/>
    </xf>
    <xf numFmtId="0" fontId="45" fillId="0" borderId="0" xfId="0" applyFont="1" applyAlignment="1">
      <alignment wrapText="1"/>
    </xf>
    <xf numFmtId="0" fontId="45" fillId="12" borderId="0" xfId="0" applyFont="1" applyFill="1" applyAlignment="1">
      <alignment wrapText="1"/>
    </xf>
    <xf numFmtId="0" fontId="45" fillId="5" borderId="0" xfId="0" applyFont="1" applyFill="1" applyAlignment="1">
      <alignment wrapText="1"/>
    </xf>
    <xf numFmtId="0" fontId="45" fillId="13" borderId="0" xfId="0" applyFont="1" applyFill="1" applyAlignment="1">
      <alignment wrapText="1"/>
    </xf>
    <xf numFmtId="0" fontId="45" fillId="16" borderId="0" xfId="0" applyFont="1" applyFill="1" applyAlignment="1">
      <alignment wrapText="1"/>
    </xf>
    <xf numFmtId="0" fontId="45" fillId="14" borderId="0" xfId="0" applyFont="1" applyFill="1" applyAlignment="1">
      <alignment wrapText="1"/>
    </xf>
    <xf numFmtId="0" fontId="45" fillId="15" borderId="0" xfId="0" applyFont="1" applyFill="1" applyAlignment="1">
      <alignment wrapText="1"/>
    </xf>
    <xf numFmtId="0" fontId="45" fillId="17" borderId="0" xfId="0" applyFont="1" applyFill="1"/>
    <xf numFmtId="187" fontId="6" fillId="2" borderId="1" xfId="1" applyNumberFormat="1" applyFont="1" applyFill="1" applyBorder="1" applyAlignment="1">
      <alignment vertical="center"/>
    </xf>
    <xf numFmtId="187" fontId="6" fillId="2" borderId="8" xfId="1" applyNumberFormat="1" applyFont="1" applyFill="1" applyBorder="1" applyAlignment="1">
      <alignment horizontal="center" vertical="center"/>
    </xf>
    <xf numFmtId="187" fontId="6" fillId="2" borderId="1" xfId="1" applyNumberFormat="1" applyFont="1" applyFill="1" applyBorder="1" applyAlignment="1">
      <alignment horizontal="center" vertical="center"/>
    </xf>
    <xf numFmtId="0" fontId="6" fillId="0" borderId="0" xfId="0" applyFont="1" applyAlignment="1">
      <alignment horizontal="left" vertical="center" wrapText="1"/>
    </xf>
    <xf numFmtId="0" fontId="6" fillId="0" borderId="0" xfId="0" applyFont="1" applyAlignment="1">
      <alignment vertical="center"/>
    </xf>
    <xf numFmtId="0" fontId="0" fillId="0" borderId="0" xfId="0" applyAlignment="1">
      <alignment horizontal="center"/>
    </xf>
    <xf numFmtId="0" fontId="0" fillId="0" borderId="1" xfId="0" applyBorder="1" applyAlignment="1">
      <alignment horizontal="center"/>
    </xf>
    <xf numFmtId="0" fontId="7" fillId="5" borderId="1" xfId="0" applyFont="1" applyFill="1" applyBorder="1" applyAlignment="1">
      <alignment horizontal="center" vertical="center" wrapText="1"/>
    </xf>
    <xf numFmtId="0" fontId="46" fillId="0" borderId="13" xfId="0" applyFont="1" applyBorder="1" applyAlignment="1"/>
    <xf numFmtId="0" fontId="0" fillId="0" borderId="6" xfId="0" applyBorder="1" applyAlignment="1">
      <alignment horizontal="center"/>
    </xf>
    <xf numFmtId="0" fontId="0" fillId="10" borderId="5" xfId="0" applyFill="1" applyBorder="1" applyAlignment="1">
      <alignment horizontal="center"/>
    </xf>
    <xf numFmtId="43" fontId="14" fillId="6" borderId="1" xfId="1" applyFont="1" applyFill="1" applyBorder="1" applyAlignment="1">
      <alignment horizontal="center" vertical="center"/>
    </xf>
    <xf numFmtId="0" fontId="1" fillId="0" borderId="1" xfId="0" applyFont="1" applyBorder="1" applyAlignment="1">
      <alignment horizontal="center"/>
    </xf>
    <xf numFmtId="0" fontId="0" fillId="6" borderId="1" xfId="0" applyFill="1" applyBorder="1" applyAlignment="1">
      <alignment horizontal="center"/>
    </xf>
    <xf numFmtId="0" fontId="5" fillId="0" borderId="1" xfId="0" applyFont="1" applyBorder="1" applyAlignment="1">
      <alignment vertical="center"/>
    </xf>
    <xf numFmtId="43" fontId="5" fillId="2" borderId="1" xfId="1" applyFont="1" applyFill="1" applyBorder="1" applyAlignment="1">
      <alignment vertical="center"/>
    </xf>
    <xf numFmtId="43" fontId="5" fillId="0" borderId="1" xfId="1" applyFont="1" applyBorder="1" applyAlignment="1">
      <alignment vertical="center"/>
    </xf>
    <xf numFmtId="43" fontId="5" fillId="0" borderId="1" xfId="0" applyNumberFormat="1" applyFont="1" applyBorder="1" applyAlignment="1">
      <alignment vertical="center"/>
    </xf>
    <xf numFmtId="0" fontId="31" fillId="0" borderId="1" xfId="0" applyFont="1" applyBorder="1" applyAlignment="1">
      <alignment vertical="center"/>
    </xf>
    <xf numFmtId="0" fontId="6" fillId="0" borderId="0" xfId="0" applyFont="1" applyAlignment="1">
      <alignment vertical="center"/>
    </xf>
    <xf numFmtId="0" fontId="6" fillId="2" borderId="1" xfId="0" applyFont="1" applyFill="1" applyBorder="1" applyAlignment="1">
      <alignment horizontal="center" vertical="center"/>
    </xf>
    <xf numFmtId="0" fontId="37" fillId="2" borderId="0" xfId="0" applyFont="1" applyFill="1" applyAlignment="1">
      <alignment horizontal="left" vertical="center"/>
    </xf>
    <xf numFmtId="0" fontId="6" fillId="2" borderId="0" xfId="0" applyFont="1" applyFill="1" applyAlignment="1">
      <alignment horizontal="left" vertical="center"/>
    </xf>
    <xf numFmtId="43" fontId="6" fillId="2" borderId="1" xfId="1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 wrapText="1"/>
    </xf>
    <xf numFmtId="0" fontId="6" fillId="2" borderId="7" xfId="0" applyFont="1" applyFill="1" applyBorder="1" applyAlignment="1">
      <alignment vertical="center"/>
    </xf>
    <xf numFmtId="0" fontId="18" fillId="0" borderId="0" xfId="0" applyFont="1" applyAlignment="1">
      <alignment vertical="center"/>
    </xf>
    <xf numFmtId="0" fontId="7" fillId="2" borderId="6" xfId="0" applyNumberFormat="1" applyFont="1" applyFill="1" applyBorder="1" applyAlignment="1">
      <alignment vertical="center"/>
    </xf>
    <xf numFmtId="187" fontId="6" fillId="2" borderId="6" xfId="1" applyNumberFormat="1" applyFont="1" applyFill="1" applyBorder="1" applyAlignment="1">
      <alignment horizontal="right" vertical="center"/>
    </xf>
    <xf numFmtId="187" fontId="6" fillId="2" borderId="6" xfId="1" applyNumberFormat="1" applyFont="1" applyFill="1" applyBorder="1" applyAlignment="1">
      <alignment horizontal="center" vertical="center"/>
    </xf>
    <xf numFmtId="43" fontId="10" fillId="2" borderId="2" xfId="1" applyFont="1" applyFill="1" applyBorder="1" applyAlignment="1">
      <alignment horizontal="left" vertical="center"/>
    </xf>
    <xf numFmtId="0" fontId="37" fillId="2" borderId="0" xfId="0" applyFont="1" applyFill="1" applyAlignment="1">
      <alignment horizontal="left" vertical="center"/>
    </xf>
    <xf numFmtId="43" fontId="7" fillId="2" borderId="0" xfId="1" applyFont="1" applyFill="1" applyAlignment="1">
      <alignment horizontal="center"/>
    </xf>
    <xf numFmtId="43" fontId="14" fillId="2" borderId="2" xfId="1" applyFont="1" applyFill="1" applyBorder="1" applyAlignment="1">
      <alignment horizontal="center"/>
    </xf>
    <xf numFmtId="43" fontId="26" fillId="2" borderId="1" xfId="1" applyFont="1" applyFill="1" applyBorder="1" applyAlignment="1">
      <alignment horizontal="left"/>
    </xf>
    <xf numFmtId="43" fontId="14" fillId="2" borderId="1" xfId="1" applyFont="1" applyFill="1" applyBorder="1" applyAlignment="1">
      <alignment horizontal="left"/>
    </xf>
    <xf numFmtId="43" fontId="14" fillId="2" borderId="1" xfId="1" applyFont="1" applyFill="1" applyBorder="1" applyAlignment="1">
      <alignment horizontal="center"/>
    </xf>
    <xf numFmtId="43" fontId="7" fillId="2" borderId="1" xfId="1" applyFont="1" applyFill="1" applyBorder="1" applyAlignment="1">
      <alignment horizontal="left"/>
    </xf>
    <xf numFmtId="189" fontId="6" fillId="2" borderId="60" xfId="0" applyNumberFormat="1" applyFont="1" applyFill="1" applyBorder="1" applyAlignment="1">
      <alignment horizontal="right" vertical="center"/>
    </xf>
    <xf numFmtId="187" fontId="16" fillId="2" borderId="1" xfId="1" applyNumberFormat="1" applyFont="1" applyFill="1" applyBorder="1" applyAlignment="1">
      <alignment vertical="center"/>
    </xf>
    <xf numFmtId="187" fontId="16" fillId="2" borderId="1" xfId="0" applyNumberFormat="1" applyFont="1" applyFill="1" applyBorder="1" applyAlignment="1">
      <alignment horizontal="center" vertical="center"/>
    </xf>
    <xf numFmtId="187" fontId="16" fillId="2" borderId="1" xfId="0" applyNumberFormat="1" applyFont="1" applyFill="1" applyBorder="1" applyAlignment="1">
      <alignment vertical="center"/>
    </xf>
    <xf numFmtId="187" fontId="16" fillId="2" borderId="0" xfId="0" applyNumberFormat="1" applyFont="1" applyFill="1" applyAlignment="1">
      <alignment horizontal="center" vertical="center"/>
    </xf>
    <xf numFmtId="0" fontId="32" fillId="5" borderId="1" xfId="0" applyFont="1" applyFill="1" applyBorder="1" applyAlignment="1">
      <alignment horizontal="left" vertical="center" wrapText="1"/>
    </xf>
    <xf numFmtId="0" fontId="10" fillId="0" borderId="0" xfId="0" applyFont="1" applyAlignment="1">
      <alignment horizontal="center" vertical="center"/>
    </xf>
    <xf numFmtId="0" fontId="6" fillId="0" borderId="0" xfId="0" applyFont="1" applyAlignment="1">
      <alignment vertical="center"/>
    </xf>
    <xf numFmtId="4" fontId="32" fillId="2" borderId="0" xfId="0" applyNumberFormat="1" applyFont="1" applyFill="1"/>
    <xf numFmtId="0" fontId="47" fillId="2" borderId="0" xfId="0" applyFont="1" applyFill="1"/>
    <xf numFmtId="4" fontId="47" fillId="2" borderId="0" xfId="0" applyNumberFormat="1" applyFont="1" applyFill="1"/>
    <xf numFmtId="43" fontId="32" fillId="2" borderId="0" xfId="1" applyFont="1" applyFill="1"/>
    <xf numFmtId="43" fontId="6" fillId="2" borderId="13" xfId="1" applyFont="1" applyFill="1" applyBorder="1" applyAlignment="1">
      <alignment vertical="center"/>
    </xf>
    <xf numFmtId="43" fontId="6" fillId="2" borderId="14" xfId="1" applyFont="1" applyFill="1" applyBorder="1" applyAlignment="1">
      <alignment vertical="center"/>
    </xf>
    <xf numFmtId="4" fontId="6" fillId="2" borderId="0" xfId="0" applyNumberFormat="1" applyFont="1" applyFill="1" applyAlignment="1">
      <alignment vertical="center"/>
    </xf>
    <xf numFmtId="0" fontId="10" fillId="0" borderId="0" xfId="0" applyFont="1" applyBorder="1" applyAlignment="1">
      <alignment horizontal="center" vertical="center"/>
    </xf>
    <xf numFmtId="0" fontId="10" fillId="0" borderId="0" xfId="0" applyFont="1" applyAlignment="1">
      <alignment horizontal="left" vertical="center"/>
    </xf>
    <xf numFmtId="0" fontId="6" fillId="0" borderId="0" xfId="0" applyFont="1" applyAlignment="1">
      <alignment horizontal="left" vertical="center"/>
    </xf>
    <xf numFmtId="0" fontId="10" fillId="0" borderId="0" xfId="0" applyFont="1" applyAlignment="1">
      <alignment horizontal="center" vertical="center"/>
    </xf>
    <xf numFmtId="0" fontId="6" fillId="0" borderId="0" xfId="0" applyFont="1" applyAlignment="1">
      <alignment horizontal="left" vertical="center" wrapText="1"/>
    </xf>
    <xf numFmtId="0" fontId="18" fillId="0" borderId="0" xfId="0" applyFont="1" applyAlignment="1">
      <alignment horizontal="left" vertical="center"/>
    </xf>
    <xf numFmtId="0" fontId="10" fillId="2" borderId="0" xfId="0" applyFont="1" applyFill="1" applyAlignment="1">
      <alignment horizontal="center" vertical="center"/>
    </xf>
    <xf numFmtId="0" fontId="18" fillId="2" borderId="0" xfId="0" applyFont="1" applyFill="1" applyAlignment="1">
      <alignment horizontal="left" vertical="center"/>
    </xf>
    <xf numFmtId="0" fontId="12" fillId="2" borderId="0" xfId="0" applyFont="1" applyFill="1" applyAlignment="1">
      <alignment horizontal="left" vertical="center" wrapText="1"/>
    </xf>
    <xf numFmtId="0" fontId="10" fillId="2" borderId="7" xfId="0" applyFont="1" applyFill="1" applyBorder="1" applyAlignment="1">
      <alignment horizontal="center" vertical="center"/>
    </xf>
    <xf numFmtId="0" fontId="10" fillId="2" borderId="8" xfId="0" applyFont="1" applyFill="1" applyBorder="1" applyAlignment="1">
      <alignment horizontal="center" vertical="center"/>
    </xf>
    <xf numFmtId="0" fontId="10" fillId="2" borderId="0" xfId="0" applyFont="1" applyFill="1" applyAlignment="1">
      <alignment horizontal="left" vertical="center"/>
    </xf>
    <xf numFmtId="43" fontId="10" fillId="2" borderId="17" xfId="1" applyFont="1" applyFill="1" applyBorder="1" applyAlignment="1">
      <alignment horizontal="center" vertical="center"/>
    </xf>
    <xf numFmtId="43" fontId="10" fillId="2" borderId="18" xfId="1" applyFont="1" applyFill="1" applyBorder="1" applyAlignment="1">
      <alignment horizontal="center" vertical="center"/>
    </xf>
    <xf numFmtId="43" fontId="10" fillId="2" borderId="19" xfId="1" applyFont="1" applyFill="1" applyBorder="1" applyAlignment="1">
      <alignment horizontal="center" vertical="center"/>
    </xf>
    <xf numFmtId="0" fontId="14" fillId="2" borderId="7" xfId="0" applyFont="1" applyFill="1" applyBorder="1" applyAlignment="1">
      <alignment horizontal="center" vertical="center"/>
    </xf>
    <xf numFmtId="0" fontId="14" fillId="2" borderId="8" xfId="0" applyFont="1" applyFill="1" applyBorder="1" applyAlignment="1">
      <alignment horizontal="center" vertical="center"/>
    </xf>
    <xf numFmtId="0" fontId="14" fillId="2" borderId="0" xfId="0" applyFont="1" applyFill="1" applyAlignment="1">
      <alignment horizontal="center" vertical="center"/>
    </xf>
    <xf numFmtId="43" fontId="7" fillId="2" borderId="40" xfId="1" applyFont="1" applyFill="1" applyBorder="1" applyAlignment="1">
      <alignment horizontal="center" vertical="center"/>
    </xf>
    <xf numFmtId="43" fontId="7" fillId="2" borderId="41" xfId="1" applyFont="1" applyFill="1" applyBorder="1" applyAlignment="1">
      <alignment horizontal="center" vertical="center"/>
    </xf>
    <xf numFmtId="43" fontId="7" fillId="2" borderId="39" xfId="1" applyFont="1" applyFill="1" applyBorder="1" applyAlignment="1">
      <alignment horizontal="center" vertical="center"/>
    </xf>
    <xf numFmtId="0" fontId="6" fillId="0" borderId="0" xfId="0" applyFont="1" applyAlignment="1">
      <alignment vertical="center"/>
    </xf>
    <xf numFmtId="0" fontId="6" fillId="0" borderId="0" xfId="0" applyFont="1" applyFill="1" applyBorder="1" applyAlignment="1">
      <alignment horizontal="left" vertical="center" wrapText="1"/>
    </xf>
    <xf numFmtId="0" fontId="6" fillId="0" borderId="0" xfId="0" applyFont="1" applyFill="1" applyBorder="1" applyAlignment="1">
      <alignment horizontal="left" vertical="center"/>
    </xf>
    <xf numFmtId="0" fontId="21" fillId="0" borderId="0" xfId="0" applyFont="1" applyFill="1" applyAlignment="1">
      <alignment horizontal="center" vertical="center"/>
    </xf>
    <xf numFmtId="0" fontId="10" fillId="0" borderId="1" xfId="0" applyFont="1" applyFill="1" applyBorder="1" applyAlignment="1">
      <alignment horizontal="center" vertical="center"/>
    </xf>
    <xf numFmtId="0" fontId="10" fillId="0" borderId="35" xfId="0" applyFont="1" applyFill="1" applyBorder="1" applyAlignment="1">
      <alignment horizontal="center" vertical="center"/>
    </xf>
    <xf numFmtId="0" fontId="14" fillId="0" borderId="1" xfId="0" applyFont="1" applyFill="1" applyBorder="1" applyAlignment="1">
      <alignment horizontal="center" vertical="center" wrapText="1"/>
    </xf>
    <xf numFmtId="0" fontId="10" fillId="0" borderId="7" xfId="0" applyFont="1" applyFill="1" applyBorder="1" applyAlignment="1">
      <alignment horizontal="center" vertical="center"/>
    </xf>
    <xf numFmtId="0" fontId="10" fillId="0" borderId="8" xfId="0" applyFont="1" applyFill="1" applyBorder="1" applyAlignment="1">
      <alignment horizontal="center" vertical="center"/>
    </xf>
    <xf numFmtId="0" fontId="37" fillId="2" borderId="0" xfId="0" applyFont="1" applyFill="1" applyAlignment="1">
      <alignment horizontal="left" vertical="center"/>
    </xf>
    <xf numFmtId="43" fontId="6" fillId="2" borderId="7" xfId="1" applyFont="1" applyFill="1" applyBorder="1" applyAlignment="1">
      <alignment horizontal="center" vertical="center"/>
    </xf>
    <xf numFmtId="43" fontId="6" fillId="2" borderId="15" xfId="1" applyFont="1" applyFill="1" applyBorder="1" applyAlignment="1">
      <alignment horizontal="center" vertical="center"/>
    </xf>
    <xf numFmtId="43" fontId="6" fillId="2" borderId="8" xfId="1" applyFont="1" applyFill="1" applyBorder="1" applyAlignment="1">
      <alignment horizontal="center" vertical="center"/>
    </xf>
    <xf numFmtId="0" fontId="7" fillId="2" borderId="49" xfId="0" applyFont="1" applyFill="1" applyBorder="1" applyAlignment="1">
      <alignment horizontal="left" vertical="center" wrapText="1"/>
    </xf>
    <xf numFmtId="0" fontId="7" fillId="2" borderId="0" xfId="0" applyFont="1" applyFill="1" applyBorder="1" applyAlignment="1">
      <alignment horizontal="left" vertical="center" wrapText="1"/>
    </xf>
    <xf numFmtId="0" fontId="21" fillId="2" borderId="0" xfId="0" applyFont="1" applyFill="1" applyAlignment="1">
      <alignment horizontal="center" vertical="center"/>
    </xf>
    <xf numFmtId="0" fontId="10" fillId="2" borderId="1" xfId="0" applyFont="1" applyFill="1" applyBorder="1" applyAlignment="1">
      <alignment horizontal="center" vertical="center"/>
    </xf>
    <xf numFmtId="0" fontId="6" fillId="2" borderId="7" xfId="0" applyFont="1" applyFill="1" applyBorder="1" applyAlignment="1">
      <alignment horizontal="center" vertical="center"/>
    </xf>
    <xf numFmtId="0" fontId="6" fillId="2" borderId="8" xfId="0" applyFont="1" applyFill="1" applyBorder="1" applyAlignment="1">
      <alignment horizontal="center" vertical="center"/>
    </xf>
    <xf numFmtId="0" fontId="6" fillId="2" borderId="15" xfId="0" applyFont="1" applyFill="1" applyBorder="1"/>
    <xf numFmtId="0" fontId="6" fillId="2" borderId="8" xfId="0" applyFont="1" applyFill="1" applyBorder="1"/>
    <xf numFmtId="0" fontId="6" fillId="2" borderId="1" xfId="0" applyFont="1" applyFill="1" applyBorder="1" applyAlignment="1">
      <alignment horizontal="center" vertical="center"/>
    </xf>
    <xf numFmtId="0" fontId="22" fillId="2" borderId="13" xfId="0" applyFont="1" applyFill="1" applyBorder="1" applyAlignment="1">
      <alignment horizontal="left" vertical="center"/>
    </xf>
    <xf numFmtId="0" fontId="12" fillId="2" borderId="0" xfId="1" applyNumberFormat="1" applyFont="1" applyFill="1" applyBorder="1" applyAlignment="1">
      <alignment horizontal="left" vertical="center"/>
    </xf>
    <xf numFmtId="0" fontId="12" fillId="2" borderId="0" xfId="0" applyFont="1" applyFill="1" applyAlignment="1">
      <alignment vertical="center" wrapText="1"/>
    </xf>
    <xf numFmtId="0" fontId="12" fillId="2" borderId="0" xfId="0" applyFont="1" applyFill="1" applyAlignment="1">
      <alignment vertical="center"/>
    </xf>
    <xf numFmtId="0" fontId="6" fillId="2" borderId="0" xfId="0" applyFont="1" applyFill="1" applyAlignment="1">
      <alignment horizontal="left" vertical="center"/>
    </xf>
    <xf numFmtId="0" fontId="6" fillId="2" borderId="0" xfId="0" applyFont="1" applyFill="1" applyAlignment="1">
      <alignment horizontal="left" vertical="center" wrapText="1"/>
    </xf>
    <xf numFmtId="0" fontId="12" fillId="2" borderId="0" xfId="0" applyFont="1" applyFill="1" applyAlignment="1">
      <alignment horizontal="center" vertical="center"/>
    </xf>
    <xf numFmtId="0" fontId="14" fillId="2" borderId="15" xfId="0" applyFont="1" applyFill="1" applyBorder="1" applyAlignment="1">
      <alignment horizontal="center" vertical="center"/>
    </xf>
    <xf numFmtId="0" fontId="14" fillId="2" borderId="10" xfId="0" applyFont="1" applyFill="1" applyBorder="1" applyAlignment="1">
      <alignment horizontal="center" vertical="center"/>
    </xf>
    <xf numFmtId="0" fontId="14" fillId="2" borderId="1" xfId="0" applyFont="1" applyFill="1" applyBorder="1" applyAlignment="1">
      <alignment horizontal="center" vertical="center"/>
    </xf>
    <xf numFmtId="0" fontId="14" fillId="2" borderId="35" xfId="0" applyFont="1" applyFill="1" applyBorder="1" applyAlignment="1">
      <alignment horizontal="center" vertical="center"/>
    </xf>
    <xf numFmtId="0" fontId="7" fillId="2" borderId="7" xfId="0" applyFont="1" applyFill="1" applyBorder="1" applyAlignment="1">
      <alignment horizontal="center" vertical="center"/>
    </xf>
    <xf numFmtId="0" fontId="7" fillId="2" borderId="8" xfId="0" applyFont="1" applyFill="1" applyBorder="1" applyAlignment="1">
      <alignment horizontal="center" vertical="center"/>
    </xf>
    <xf numFmtId="0" fontId="14" fillId="2" borderId="34" xfId="0" applyFont="1" applyFill="1" applyBorder="1" applyAlignment="1">
      <alignment horizontal="center" vertical="center"/>
    </xf>
    <xf numFmtId="0" fontId="23" fillId="2" borderId="0" xfId="0" applyFont="1" applyFill="1" applyAlignment="1">
      <alignment horizontal="left" vertical="center"/>
    </xf>
    <xf numFmtId="43" fontId="10" fillId="2" borderId="0" xfId="1" applyFont="1" applyFill="1" applyAlignment="1">
      <alignment horizontal="center"/>
    </xf>
    <xf numFmtId="43" fontId="10" fillId="2" borderId="13" xfId="1" applyFont="1" applyFill="1" applyBorder="1" applyAlignment="1">
      <alignment horizontal="center"/>
    </xf>
    <xf numFmtId="43" fontId="14" fillId="2" borderId="1" xfId="1" applyFont="1" applyFill="1" applyBorder="1" applyAlignment="1">
      <alignment horizontal="center"/>
    </xf>
    <xf numFmtId="43" fontId="26" fillId="2" borderId="1" xfId="1" applyFont="1" applyFill="1" applyBorder="1" applyAlignment="1">
      <alignment horizontal="left"/>
    </xf>
    <xf numFmtId="43" fontId="14" fillId="2" borderId="1" xfId="1" applyFont="1" applyFill="1" applyBorder="1" applyAlignment="1">
      <alignment horizontal="left"/>
    </xf>
    <xf numFmtId="43" fontId="7" fillId="2" borderId="1" xfId="1" applyFont="1" applyFill="1" applyBorder="1" applyAlignment="1">
      <alignment horizontal="left"/>
    </xf>
    <xf numFmtId="43" fontId="14" fillId="3" borderId="7" xfId="1" applyFont="1" applyFill="1" applyBorder="1" applyAlignment="1">
      <alignment horizontal="left"/>
    </xf>
    <xf numFmtId="43" fontId="14" fillId="3" borderId="15" xfId="1" applyFont="1" applyFill="1" applyBorder="1" applyAlignment="1">
      <alignment horizontal="left"/>
    </xf>
    <xf numFmtId="43" fontId="14" fillId="3" borderId="8" xfId="1" applyFont="1" applyFill="1" applyBorder="1" applyAlignment="1">
      <alignment horizontal="left"/>
    </xf>
    <xf numFmtId="43" fontId="26" fillId="2" borderId="7" xfId="1" applyFont="1" applyFill="1" applyBorder="1" applyAlignment="1">
      <alignment horizontal="left"/>
    </xf>
    <xf numFmtId="43" fontId="26" fillId="2" borderId="8" xfId="1" applyFont="1" applyFill="1" applyBorder="1" applyAlignment="1">
      <alignment horizontal="left"/>
    </xf>
    <xf numFmtId="43" fontId="7" fillId="2" borderId="0" xfId="1" applyFont="1" applyFill="1" applyBorder="1" applyAlignment="1">
      <alignment horizontal="left"/>
    </xf>
    <xf numFmtId="43" fontId="7" fillId="2" borderId="0" xfId="1" applyFont="1" applyFill="1" applyAlignment="1">
      <alignment horizontal="left"/>
    </xf>
    <xf numFmtId="43" fontId="7" fillId="2" borderId="0" xfId="1" applyFont="1" applyFill="1" applyAlignment="1">
      <alignment horizontal="center"/>
    </xf>
    <xf numFmtId="43" fontId="14" fillId="2" borderId="2" xfId="1" applyFont="1" applyFill="1" applyBorder="1" applyAlignment="1">
      <alignment horizontal="center"/>
    </xf>
    <xf numFmtId="43" fontId="14" fillId="2" borderId="7" xfId="1" applyFont="1" applyFill="1" applyBorder="1" applyAlignment="1">
      <alignment horizontal="left"/>
    </xf>
    <xf numFmtId="43" fontId="14" fillId="2" borderId="15" xfId="1" applyFont="1" applyFill="1" applyBorder="1" applyAlignment="1">
      <alignment horizontal="left"/>
    </xf>
    <xf numFmtId="43" fontId="14" fillId="2" borderId="8" xfId="1" applyFont="1" applyFill="1" applyBorder="1" applyAlignment="1">
      <alignment horizontal="left"/>
    </xf>
    <xf numFmtId="43" fontId="10" fillId="2" borderId="0" xfId="1" applyFont="1" applyFill="1" applyAlignment="1">
      <alignment horizontal="center" vertical="center"/>
    </xf>
    <xf numFmtId="43" fontId="6" fillId="2" borderId="13" xfId="1" applyFont="1" applyFill="1" applyBorder="1" applyAlignment="1">
      <alignment horizontal="center" vertical="center"/>
    </xf>
    <xf numFmtId="43" fontId="9" fillId="2" borderId="0" xfId="1" applyFont="1" applyFill="1" applyAlignment="1">
      <alignment horizontal="center" vertical="center"/>
    </xf>
    <xf numFmtId="43" fontId="9" fillId="0" borderId="13" xfId="1" applyFont="1" applyFill="1" applyBorder="1" applyAlignment="1">
      <alignment horizontal="center" vertical="center"/>
    </xf>
    <xf numFmtId="43" fontId="9" fillId="2" borderId="13" xfId="1" applyFont="1" applyFill="1" applyBorder="1" applyAlignment="1">
      <alignment horizontal="right" vertical="center"/>
    </xf>
    <xf numFmtId="43" fontId="14" fillId="2" borderId="1" xfId="1" applyFont="1" applyFill="1" applyBorder="1" applyAlignment="1">
      <alignment horizontal="center" vertical="center"/>
    </xf>
    <xf numFmtId="43" fontId="14" fillId="2" borderId="1" xfId="1" applyFont="1" applyFill="1" applyBorder="1" applyAlignment="1">
      <alignment horizontal="center" vertical="center" wrapText="1"/>
    </xf>
    <xf numFmtId="0" fontId="41" fillId="2" borderId="1" xfId="0" applyFont="1" applyFill="1" applyBorder="1" applyAlignment="1">
      <alignment horizontal="left" vertical="center" wrapText="1"/>
    </xf>
    <xf numFmtId="43" fontId="41" fillId="2" borderId="1" xfId="1" applyFont="1" applyFill="1" applyBorder="1" applyAlignment="1">
      <alignment horizontal="left" vertical="center" wrapText="1"/>
    </xf>
    <xf numFmtId="43" fontId="14" fillId="2" borderId="0" xfId="0" applyNumberFormat="1" applyFont="1" applyFill="1" applyBorder="1" applyAlignment="1">
      <alignment horizontal="left" vertical="center"/>
    </xf>
    <xf numFmtId="0" fontId="41" fillId="2" borderId="0" xfId="0" applyFont="1" applyFill="1" applyAlignment="1">
      <alignment horizontal="center" vertical="center" wrapText="1"/>
    </xf>
    <xf numFmtId="0" fontId="41" fillId="2" borderId="0" xfId="0" applyFont="1" applyFill="1" applyBorder="1" applyAlignment="1">
      <alignment horizontal="center" vertical="center" wrapText="1"/>
    </xf>
    <xf numFmtId="0" fontId="6" fillId="2" borderId="37" xfId="0" applyFont="1" applyFill="1" applyBorder="1" applyAlignment="1">
      <alignment horizontal="center" vertical="center" wrapText="1"/>
    </xf>
    <xf numFmtId="0" fontId="6" fillId="2" borderId="37" xfId="0" applyFont="1" applyFill="1" applyBorder="1" applyAlignment="1">
      <alignment horizontal="center" vertical="center"/>
    </xf>
    <xf numFmtId="43" fontId="6" fillId="2" borderId="1" xfId="0" applyNumberFormat="1" applyFont="1" applyFill="1" applyBorder="1" applyAlignment="1">
      <alignment horizontal="center" vertical="center"/>
    </xf>
    <xf numFmtId="0" fontId="41" fillId="2" borderId="1" xfId="0" applyFont="1" applyFill="1" applyBorder="1" applyAlignment="1">
      <alignment horizontal="center" vertical="center" wrapText="1"/>
    </xf>
    <xf numFmtId="43" fontId="43" fillId="2" borderId="16" xfId="0" applyNumberFormat="1" applyFont="1" applyFill="1" applyBorder="1" applyAlignment="1">
      <alignment horizontal="center" vertical="center"/>
    </xf>
    <xf numFmtId="0" fontId="0" fillId="0" borderId="29" xfId="0" applyBorder="1"/>
    <xf numFmtId="0" fontId="0" fillId="0" borderId="49" xfId="0" applyBorder="1"/>
    <xf numFmtId="0" fontId="0" fillId="0" borderId="0" xfId="0"/>
    <xf numFmtId="0" fontId="0" fillId="0" borderId="46" xfId="0" applyBorder="1"/>
    <xf numFmtId="0" fontId="0" fillId="0" borderId="13" xfId="0" applyBorder="1"/>
    <xf numFmtId="187" fontId="16" fillId="2" borderId="1" xfId="0" applyNumberFormat="1" applyFont="1" applyFill="1" applyBorder="1" applyAlignment="1">
      <alignment horizontal="center" vertical="center"/>
    </xf>
    <xf numFmtId="43" fontId="6" fillId="2" borderId="1" xfId="1" applyFont="1" applyFill="1" applyBorder="1" applyAlignment="1">
      <alignment horizontal="center" vertical="center" wrapText="1"/>
    </xf>
    <xf numFmtId="43" fontId="6" fillId="2" borderId="1" xfId="1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 wrapText="1"/>
    </xf>
    <xf numFmtId="0" fontId="41" fillId="2" borderId="7" xfId="0" applyFont="1" applyFill="1" applyBorder="1" applyAlignment="1">
      <alignment horizontal="center" vertical="center"/>
    </xf>
    <xf numFmtId="0" fontId="41" fillId="2" borderId="15" xfId="0" applyFont="1" applyFill="1" applyBorder="1" applyAlignment="1">
      <alignment horizontal="center" vertical="center"/>
    </xf>
    <xf numFmtId="0" fontId="41" fillId="2" borderId="8" xfId="0" applyFont="1" applyFill="1" applyBorder="1" applyAlignment="1">
      <alignment horizontal="center" vertical="center"/>
    </xf>
    <xf numFmtId="0" fontId="16" fillId="2" borderId="1" xfId="0" applyFont="1" applyFill="1" applyBorder="1" applyAlignment="1">
      <alignment horizontal="center" vertical="center"/>
    </xf>
    <xf numFmtId="0" fontId="16" fillId="2" borderId="15" xfId="0" applyFont="1" applyFill="1" applyBorder="1" applyAlignment="1">
      <alignment horizontal="center" vertical="center"/>
    </xf>
    <xf numFmtId="43" fontId="41" fillId="5" borderId="1" xfId="1" applyFont="1" applyFill="1" applyBorder="1" applyAlignment="1">
      <alignment horizontal="left" vertical="center" wrapText="1"/>
    </xf>
    <xf numFmtId="0" fontId="2" fillId="0" borderId="0" xfId="0" applyFont="1" applyAlignment="1">
      <alignment horizontal="center" vertical="center"/>
    </xf>
    <xf numFmtId="0" fontId="5" fillId="0" borderId="6" xfId="0" applyFont="1" applyBorder="1" applyAlignment="1">
      <alignment horizontal="center" vertical="center"/>
    </xf>
    <xf numFmtId="0" fontId="5" fillId="0" borderId="20" xfId="0" applyFont="1" applyBorder="1" applyAlignment="1">
      <alignment horizontal="center" vertical="center"/>
    </xf>
    <xf numFmtId="0" fontId="5" fillId="0" borderId="5" xfId="0" applyFont="1" applyBorder="1" applyAlignment="1">
      <alignment horizontal="center" vertical="center"/>
    </xf>
    <xf numFmtId="43" fontId="7" fillId="0" borderId="6" xfId="1" applyFont="1" applyFill="1" applyBorder="1" applyAlignment="1">
      <alignment horizontal="left" vertical="center" wrapText="1"/>
    </xf>
    <xf numFmtId="43" fontId="7" fillId="0" borderId="20" xfId="1" applyFont="1" applyFill="1" applyBorder="1" applyAlignment="1">
      <alignment horizontal="left" vertical="center" wrapText="1"/>
    </xf>
    <xf numFmtId="43" fontId="7" fillId="0" borderId="5" xfId="1" applyFont="1" applyFill="1" applyBorder="1" applyAlignment="1">
      <alignment horizontal="left" vertical="center" wrapText="1"/>
    </xf>
    <xf numFmtId="43" fontId="5" fillId="0" borderId="6" xfId="1" applyFont="1" applyBorder="1" applyAlignment="1">
      <alignment horizontal="center" vertical="center"/>
    </xf>
    <xf numFmtId="43" fontId="5" fillId="0" borderId="20" xfId="1" applyFont="1" applyBorder="1" applyAlignment="1">
      <alignment horizontal="center" vertical="center"/>
    </xf>
    <xf numFmtId="43" fontId="5" fillId="0" borderId="5" xfId="1" applyFont="1" applyBorder="1" applyAlignment="1">
      <alignment horizontal="center" vertical="center"/>
    </xf>
    <xf numFmtId="43" fontId="5" fillId="0" borderId="1" xfId="1" applyFont="1" applyBorder="1" applyAlignment="1">
      <alignment horizontal="center" vertical="center"/>
    </xf>
    <xf numFmtId="43" fontId="5" fillId="0" borderId="6" xfId="0" applyNumberFormat="1" applyFont="1" applyBorder="1" applyAlignment="1">
      <alignment horizontal="center" vertical="center"/>
    </xf>
    <xf numFmtId="0" fontId="32" fillId="0" borderId="21" xfId="0" applyFont="1" applyBorder="1" applyAlignment="1">
      <alignment wrapText="1"/>
    </xf>
    <xf numFmtId="0" fontId="32" fillId="0" borderId="22" xfId="0" applyFont="1" applyBorder="1" applyAlignment="1">
      <alignment wrapText="1"/>
    </xf>
    <xf numFmtId="0" fontId="32" fillId="0" borderId="23" xfId="0" applyFont="1" applyBorder="1" applyAlignment="1">
      <alignment wrapText="1"/>
    </xf>
    <xf numFmtId="0" fontId="32" fillId="0" borderId="21" xfId="0" applyFont="1" applyBorder="1" applyAlignment="1">
      <alignment horizontal="left" wrapText="1"/>
    </xf>
    <xf numFmtId="0" fontId="32" fillId="0" borderId="22" xfId="0" applyFont="1" applyBorder="1" applyAlignment="1">
      <alignment horizontal="left" wrapText="1"/>
    </xf>
    <xf numFmtId="0" fontId="32" fillId="0" borderId="23" xfId="0" applyFont="1" applyBorder="1" applyAlignment="1">
      <alignment horizontal="left" wrapText="1"/>
    </xf>
    <xf numFmtId="0" fontId="32" fillId="0" borderId="24" xfId="0" applyFont="1" applyBorder="1" applyAlignment="1">
      <alignment wrapText="1"/>
    </xf>
    <xf numFmtId="0" fontId="32" fillId="0" borderId="25" xfId="0" applyFont="1" applyBorder="1" applyAlignment="1">
      <alignment wrapText="1"/>
    </xf>
    <xf numFmtId="0" fontId="32" fillId="0" borderId="26" xfId="0" applyFont="1" applyBorder="1" applyAlignment="1">
      <alignment wrapText="1"/>
    </xf>
    <xf numFmtId="0" fontId="32" fillId="0" borderId="21" xfId="0" applyFont="1" applyBorder="1" applyAlignment="1">
      <alignment horizontal="center" wrapText="1"/>
    </xf>
    <xf numFmtId="0" fontId="32" fillId="0" borderId="22" xfId="0" applyFont="1" applyBorder="1" applyAlignment="1">
      <alignment horizontal="center" wrapText="1"/>
    </xf>
    <xf numFmtId="0" fontId="32" fillId="0" borderId="23" xfId="0" applyFont="1" applyBorder="1" applyAlignment="1">
      <alignment horizontal="center" wrapText="1"/>
    </xf>
    <xf numFmtId="0" fontId="32" fillId="0" borderId="21" xfId="0" applyFont="1" applyBorder="1" applyAlignment="1">
      <alignment horizontal="right" wrapText="1"/>
    </xf>
    <xf numFmtId="0" fontId="32" fillId="0" borderId="23" xfId="0" applyFont="1" applyBorder="1" applyAlignment="1">
      <alignment horizontal="right" wrapText="1"/>
    </xf>
    <xf numFmtId="0" fontId="40" fillId="0" borderId="21" xfId="0" applyFont="1" applyBorder="1" applyAlignment="1">
      <alignment horizontal="center" wrapText="1"/>
    </xf>
    <xf numFmtId="0" fontId="40" fillId="0" borderId="23" xfId="0" applyFont="1" applyBorder="1" applyAlignment="1">
      <alignment horizontal="center" wrapText="1"/>
    </xf>
    <xf numFmtId="0" fontId="32" fillId="8" borderId="21" xfId="0" applyFont="1" applyFill="1" applyBorder="1" applyAlignment="1">
      <alignment horizontal="left" wrapText="1"/>
    </xf>
    <xf numFmtId="0" fontId="32" fillId="8" borderId="23" xfId="0" applyFont="1" applyFill="1" applyBorder="1" applyAlignment="1">
      <alignment horizontal="left" wrapText="1"/>
    </xf>
    <xf numFmtId="0" fontId="40" fillId="0" borderId="21" xfId="0" applyFont="1" applyBorder="1" applyAlignment="1">
      <alignment horizontal="right" wrapText="1"/>
    </xf>
    <xf numFmtId="0" fontId="40" fillId="0" borderId="23" xfId="0" applyFont="1" applyBorder="1" applyAlignment="1">
      <alignment horizontal="right" wrapText="1"/>
    </xf>
    <xf numFmtId="0" fontId="39" fillId="0" borderId="0" xfId="0" applyFont="1" applyAlignment="1">
      <alignment horizontal="center" wrapText="1"/>
    </xf>
    <xf numFmtId="0" fontId="32" fillId="0" borderId="0" xfId="0" applyFont="1" applyAlignment="1">
      <alignment horizontal="center" wrapText="1"/>
    </xf>
    <xf numFmtId="0" fontId="40" fillId="8" borderId="24" xfId="0" applyFont="1" applyFill="1" applyBorder="1" applyAlignment="1">
      <alignment horizontal="left" wrapText="1"/>
    </xf>
    <xf numFmtId="0" fontId="40" fillId="8" borderId="26" xfId="0" applyFont="1" applyFill="1" applyBorder="1" applyAlignment="1">
      <alignment horizontal="left" wrapText="1"/>
    </xf>
    <xf numFmtId="0" fontId="32" fillId="8" borderId="24" xfId="0" applyFont="1" applyFill="1" applyBorder="1" applyAlignment="1">
      <alignment horizontal="center" wrapText="1"/>
    </xf>
    <xf numFmtId="0" fontId="32" fillId="8" borderId="26" xfId="0" applyFont="1" applyFill="1" applyBorder="1" applyAlignment="1">
      <alignment horizontal="center" wrapText="1"/>
    </xf>
    <xf numFmtId="0" fontId="40" fillId="8" borderId="21" xfId="0" applyFont="1" applyFill="1" applyBorder="1" applyAlignment="1">
      <alignment horizontal="center" wrapText="1"/>
    </xf>
    <xf numFmtId="0" fontId="40" fillId="8" borderId="22" xfId="0" applyFont="1" applyFill="1" applyBorder="1" applyAlignment="1">
      <alignment horizontal="center" wrapText="1"/>
    </xf>
    <xf numFmtId="0" fontId="40" fillId="8" borderId="23" xfId="0" applyFont="1" applyFill="1" applyBorder="1" applyAlignment="1">
      <alignment horizontal="center" wrapText="1"/>
    </xf>
    <xf numFmtId="0" fontId="40" fillId="0" borderId="0" xfId="0" applyFont="1" applyAlignment="1">
      <alignment horizontal="center" wrapText="1"/>
    </xf>
    <xf numFmtId="0" fontId="33" fillId="0" borderId="0" xfId="0" applyFont="1" applyAlignment="1">
      <alignment horizontal="center" wrapText="1"/>
    </xf>
    <xf numFmtId="0" fontId="7" fillId="0" borderId="1" xfId="0" applyFont="1" applyBorder="1" applyAlignment="1">
      <alignment horizontal="center"/>
    </xf>
    <xf numFmtId="0" fontId="7" fillId="0" borderId="6" xfId="0" applyFont="1" applyBorder="1" applyAlignment="1">
      <alignment horizontal="center" vertical="center"/>
    </xf>
    <xf numFmtId="0" fontId="7" fillId="0" borderId="48" xfId="0" applyFont="1" applyBorder="1" applyAlignment="1">
      <alignment horizontal="center" vertical="center"/>
    </xf>
    <xf numFmtId="0" fontId="45" fillId="0" borderId="24" xfId="0" applyFont="1" applyBorder="1" applyAlignment="1">
      <alignment horizontal="left" wrapText="1"/>
    </xf>
    <xf numFmtId="0" fontId="45" fillId="0" borderId="26" xfId="0" applyFont="1" applyBorder="1" applyAlignment="1">
      <alignment horizontal="left" wrapText="1"/>
    </xf>
    <xf numFmtId="0" fontId="45" fillId="0" borderId="24" xfId="0" applyFont="1" applyBorder="1" applyAlignment="1">
      <alignment wrapText="1"/>
    </xf>
    <xf numFmtId="0" fontId="45" fillId="0" borderId="26" xfId="0" applyFont="1" applyBorder="1" applyAlignment="1">
      <alignment wrapText="1"/>
    </xf>
    <xf numFmtId="0" fontId="45" fillId="0" borderId="24" xfId="0" applyFont="1" applyBorder="1" applyAlignment="1">
      <alignment horizontal="center" wrapText="1"/>
    </xf>
    <xf numFmtId="0" fontId="45" fillId="0" borderId="26" xfId="0" applyFont="1" applyBorder="1" applyAlignment="1">
      <alignment horizontal="center" wrapText="1"/>
    </xf>
    <xf numFmtId="0" fontId="45" fillId="15" borderId="24" xfId="0" applyFont="1" applyFill="1" applyBorder="1" applyAlignment="1">
      <alignment wrapText="1"/>
    </xf>
    <xf numFmtId="0" fontId="45" fillId="15" borderId="26" xfId="0" applyFont="1" applyFill="1" applyBorder="1" applyAlignment="1">
      <alignment wrapText="1"/>
    </xf>
    <xf numFmtId="3" fontId="45" fillId="0" borderId="24" xfId="0" applyNumberFormat="1" applyFont="1" applyBorder="1" applyAlignment="1">
      <alignment horizontal="right" wrapText="1"/>
    </xf>
    <xf numFmtId="3" fontId="45" fillId="0" borderId="26" xfId="0" applyNumberFormat="1" applyFont="1" applyBorder="1" applyAlignment="1">
      <alignment horizontal="right" wrapText="1"/>
    </xf>
    <xf numFmtId="17" fontId="45" fillId="0" borderId="24" xfId="0" applyNumberFormat="1" applyFont="1" applyBorder="1" applyAlignment="1">
      <alignment horizontal="center" wrapText="1"/>
    </xf>
    <xf numFmtId="17" fontId="45" fillId="0" borderId="26" xfId="0" applyNumberFormat="1" applyFont="1" applyBorder="1" applyAlignment="1">
      <alignment horizontal="center" wrapText="1"/>
    </xf>
    <xf numFmtId="0" fontId="45" fillId="0" borderId="24" xfId="0" applyFont="1" applyBorder="1" applyAlignment="1">
      <alignment horizontal="right" wrapText="1"/>
    </xf>
    <xf numFmtId="0" fontId="45" fillId="0" borderId="26" xfId="0" applyFont="1" applyBorder="1" applyAlignment="1">
      <alignment horizontal="right" wrapText="1"/>
    </xf>
    <xf numFmtId="0" fontId="45" fillId="0" borderId="25" xfId="0" applyFont="1" applyBorder="1" applyAlignment="1">
      <alignment horizontal="left" wrapText="1"/>
    </xf>
    <xf numFmtId="4" fontId="45" fillId="0" borderId="24" xfId="0" applyNumberFormat="1" applyFont="1" applyBorder="1" applyAlignment="1">
      <alignment horizontal="right" wrapText="1"/>
    </xf>
    <xf numFmtId="4" fontId="45" fillId="0" borderId="26" xfId="0" applyNumberFormat="1" applyFont="1" applyBorder="1" applyAlignment="1">
      <alignment horizontal="right" wrapText="1"/>
    </xf>
    <xf numFmtId="0" fontId="45" fillId="0" borderId="25" xfId="0" applyFont="1" applyBorder="1" applyAlignment="1">
      <alignment wrapText="1"/>
    </xf>
    <xf numFmtId="0" fontId="45" fillId="0" borderId="25" xfId="0" applyFont="1" applyBorder="1" applyAlignment="1">
      <alignment horizontal="center" wrapText="1"/>
    </xf>
    <xf numFmtId="0" fontId="45" fillId="15" borderId="25" xfId="0" applyFont="1" applyFill="1" applyBorder="1" applyAlignment="1">
      <alignment wrapText="1"/>
    </xf>
    <xf numFmtId="0" fontId="45" fillId="0" borderId="25" xfId="0" applyFont="1" applyBorder="1" applyAlignment="1">
      <alignment horizontal="right" wrapText="1"/>
    </xf>
    <xf numFmtId="3" fontId="45" fillId="0" borderId="25" xfId="0" applyNumberFormat="1" applyFont="1" applyBorder="1" applyAlignment="1">
      <alignment horizontal="right" wrapText="1"/>
    </xf>
    <xf numFmtId="17" fontId="45" fillId="0" borderId="25" xfId="0" applyNumberFormat="1" applyFont="1" applyBorder="1" applyAlignment="1">
      <alignment horizontal="center" wrapText="1"/>
    </xf>
    <xf numFmtId="4" fontId="45" fillId="0" borderId="25" xfId="0" applyNumberFormat="1" applyFont="1" applyBorder="1" applyAlignment="1">
      <alignment horizontal="right" wrapText="1"/>
    </xf>
    <xf numFmtId="15" fontId="45" fillId="0" borderId="24" xfId="0" applyNumberFormat="1" applyFont="1" applyBorder="1" applyAlignment="1">
      <alignment horizontal="center" wrapText="1"/>
    </xf>
    <xf numFmtId="15" fontId="45" fillId="0" borderId="26" xfId="0" applyNumberFormat="1" applyFont="1" applyBorder="1" applyAlignment="1">
      <alignment horizontal="center" wrapText="1"/>
    </xf>
    <xf numFmtId="4" fontId="45" fillId="0" borderId="24" xfId="0" applyNumberFormat="1" applyFont="1" applyBorder="1" applyAlignment="1">
      <alignment horizontal="center" wrapText="1"/>
    </xf>
    <xf numFmtId="4" fontId="45" fillId="0" borderId="26" xfId="0" applyNumberFormat="1" applyFont="1" applyBorder="1" applyAlignment="1">
      <alignment horizontal="center" wrapText="1"/>
    </xf>
    <xf numFmtId="0" fontId="45" fillId="14" borderId="24" xfId="0" applyFont="1" applyFill="1" applyBorder="1" applyAlignment="1">
      <alignment wrapText="1"/>
    </xf>
    <xf numFmtId="0" fontId="45" fillId="14" borderId="25" xfId="0" applyFont="1" applyFill="1" applyBorder="1" applyAlignment="1">
      <alignment wrapText="1"/>
    </xf>
    <xf numFmtId="0" fontId="45" fillId="14" borderId="26" xfId="0" applyFont="1" applyFill="1" applyBorder="1" applyAlignment="1">
      <alignment wrapText="1"/>
    </xf>
    <xf numFmtId="0" fontId="45" fillId="13" borderId="24" xfId="0" applyFont="1" applyFill="1" applyBorder="1" applyAlignment="1">
      <alignment wrapText="1"/>
    </xf>
    <xf numFmtId="0" fontId="45" fillId="13" borderId="26" xfId="0" applyFont="1" applyFill="1" applyBorder="1" applyAlignment="1">
      <alignment wrapText="1"/>
    </xf>
    <xf numFmtId="0" fontId="45" fillId="13" borderId="25" xfId="0" applyFont="1" applyFill="1" applyBorder="1" applyAlignment="1">
      <alignment wrapText="1"/>
    </xf>
    <xf numFmtId="15" fontId="45" fillId="0" borderId="25" xfId="0" applyNumberFormat="1" applyFont="1" applyBorder="1" applyAlignment="1">
      <alignment horizontal="center" wrapText="1"/>
    </xf>
    <xf numFmtId="3" fontId="45" fillId="0" borderId="24" xfId="0" applyNumberFormat="1" applyFont="1" applyBorder="1" applyAlignment="1">
      <alignment horizontal="center" wrapText="1"/>
    </xf>
    <xf numFmtId="3" fontId="45" fillId="0" borderId="26" xfId="0" applyNumberFormat="1" applyFont="1" applyBorder="1" applyAlignment="1">
      <alignment horizontal="center" wrapText="1"/>
    </xf>
    <xf numFmtId="0" fontId="45" fillId="5" borderId="24" xfId="0" applyFont="1" applyFill="1" applyBorder="1" applyAlignment="1">
      <alignment wrapText="1"/>
    </xf>
    <xf numFmtId="0" fontId="45" fillId="5" borderId="26" xfId="0" applyFont="1" applyFill="1" applyBorder="1" applyAlignment="1">
      <alignment wrapText="1"/>
    </xf>
    <xf numFmtId="0" fontId="45" fillId="12" borderId="24" xfId="0" applyFont="1" applyFill="1" applyBorder="1" applyAlignment="1">
      <alignment wrapText="1"/>
    </xf>
    <xf numFmtId="0" fontId="45" fillId="12" borderId="26" xfId="0" applyFont="1" applyFill="1" applyBorder="1" applyAlignment="1">
      <alignment wrapText="1"/>
    </xf>
    <xf numFmtId="0" fontId="45" fillId="12" borderId="25" xfId="0" applyFont="1" applyFill="1" applyBorder="1" applyAlignment="1">
      <alignment wrapText="1"/>
    </xf>
    <xf numFmtId="0" fontId="44" fillId="11" borderId="24" xfId="0" applyFont="1" applyFill="1" applyBorder="1" applyAlignment="1">
      <alignment horizontal="center" wrapText="1"/>
    </xf>
    <xf numFmtId="0" fontId="44" fillId="11" borderId="26" xfId="0" applyFont="1" applyFill="1" applyBorder="1" applyAlignment="1">
      <alignment horizontal="center" wrapText="1"/>
    </xf>
    <xf numFmtId="0" fontId="44" fillId="11" borderId="21" xfId="0" applyFont="1" applyFill="1" applyBorder="1" applyAlignment="1">
      <alignment horizontal="center" wrapText="1"/>
    </xf>
    <xf numFmtId="0" fontId="44" fillId="11" borderId="22" xfId="0" applyFont="1" applyFill="1" applyBorder="1" applyAlignment="1">
      <alignment horizontal="center" wrapText="1"/>
    </xf>
    <xf numFmtId="0" fontId="44" fillId="11" borderId="23" xfId="0" applyFont="1" applyFill="1" applyBorder="1" applyAlignment="1">
      <alignment horizontal="center" wrapText="1"/>
    </xf>
    <xf numFmtId="0" fontId="44" fillId="0" borderId="0" xfId="0" applyFont="1" applyAlignment="1">
      <alignment horizontal="center" wrapText="1"/>
    </xf>
    <xf numFmtId="0" fontId="45" fillId="0" borderId="0" xfId="0" applyFont="1"/>
    <xf numFmtId="0" fontId="44" fillId="11" borderId="25" xfId="0" applyFont="1" applyFill="1" applyBorder="1" applyAlignment="1">
      <alignment horizontal="center" wrapText="1"/>
    </xf>
    <xf numFmtId="0" fontId="44" fillId="11" borderId="24" xfId="0" applyFont="1" applyFill="1" applyBorder="1" applyAlignment="1">
      <alignment wrapText="1"/>
    </xf>
    <xf numFmtId="0" fontId="44" fillId="11" borderId="25" xfId="0" applyFont="1" applyFill="1" applyBorder="1" applyAlignment="1">
      <alignment wrapText="1"/>
    </xf>
    <xf numFmtId="0" fontId="44" fillId="11" borderId="26" xfId="0" applyFont="1" applyFill="1" applyBorder="1" applyAlignment="1">
      <alignment wrapText="1"/>
    </xf>
    <xf numFmtId="0" fontId="44" fillId="11" borderId="33" xfId="0" applyFont="1" applyFill="1" applyBorder="1" applyAlignment="1">
      <alignment horizontal="center" wrapText="1"/>
    </xf>
    <xf numFmtId="0" fontId="44" fillId="11" borderId="55" xfId="0" applyFont="1" applyFill="1" applyBorder="1" applyAlignment="1">
      <alignment horizontal="center" wrapText="1"/>
    </xf>
    <xf numFmtId="0" fontId="44" fillId="11" borderId="32" xfId="0" applyFont="1" applyFill="1" applyBorder="1" applyAlignment="1">
      <alignment horizontal="center" wrapText="1"/>
    </xf>
    <xf numFmtId="0" fontId="44" fillId="11" borderId="56" xfId="0" applyFont="1" applyFill="1" applyBorder="1" applyAlignment="1">
      <alignment horizontal="center" wrapText="1"/>
    </xf>
    <xf numFmtId="0" fontId="44" fillId="11" borderId="28" xfId="0" applyFont="1" applyFill="1" applyBorder="1" applyAlignment="1">
      <alignment horizontal="center" wrapText="1"/>
    </xf>
    <xf numFmtId="0" fontId="44" fillId="11" borderId="57" xfId="0" applyFont="1" applyFill="1" applyBorder="1" applyAlignment="1">
      <alignment horizontal="center" wrapText="1"/>
    </xf>
    <xf numFmtId="0" fontId="45" fillId="0" borderId="58" xfId="0" applyFont="1" applyBorder="1" applyAlignment="1">
      <alignment wrapText="1"/>
    </xf>
    <xf numFmtId="0" fontId="45" fillId="0" borderId="59" xfId="0" applyFont="1" applyBorder="1" applyAlignment="1">
      <alignment wrapText="1"/>
    </xf>
    <xf numFmtId="0" fontId="0" fillId="0" borderId="13" xfId="0" applyBorder="1" applyAlignment="1">
      <alignment horizontal="center"/>
    </xf>
  </cellXfs>
  <cellStyles count="2">
    <cellStyle name="เครื่องหมายจุลภาค" xfId="1" builtinId="3"/>
    <cellStyle name="ปกติ" xfId="0" builtinId="0"/>
  </cellStyles>
  <dxfs count="0"/>
  <tableStyles count="0" defaultTableStyle="TableStyleMedium9" defaultPivotStyle="PivotStyleLight16"/>
  <colors>
    <mruColors>
      <color rgb="FFECF856"/>
      <color rgb="FF1E07C9"/>
      <color rgb="FF092FD1"/>
      <color rgb="FFFFFF99"/>
      <color rgb="FFE9D85D"/>
    </mru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63500</xdr:colOff>
      <xdr:row>51</xdr:row>
      <xdr:rowOff>32384</xdr:rowOff>
    </xdr:from>
    <xdr:to>
      <xdr:col>11</xdr:col>
      <xdr:colOff>28575</xdr:colOff>
      <xdr:row>65</xdr:row>
      <xdr:rowOff>95249</xdr:rowOff>
    </xdr:to>
    <xdr:pic>
      <xdr:nvPicPr>
        <xdr:cNvPr id="1126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82600" y="14434184"/>
          <a:ext cx="6327775" cy="379666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name="ชุดรูปแบบของ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E20"/>
  <sheetViews>
    <sheetView topLeftCell="B8" workbookViewId="0">
      <selection activeCell="E21" sqref="E21"/>
    </sheetView>
  </sheetViews>
  <sheetFormatPr defaultRowHeight="21"/>
  <cols>
    <col min="1" max="1" width="7.140625" style="375" customWidth="1"/>
    <col min="2" max="2" width="46.140625" style="375" customWidth="1"/>
    <col min="3" max="3" width="29" style="375" customWidth="1"/>
    <col min="4" max="4" width="19.85546875" style="375" customWidth="1"/>
    <col min="5" max="16384" width="9.140625" style="375"/>
  </cols>
  <sheetData>
    <row r="1" spans="1:5" s="535" customFormat="1">
      <c r="D1" s="534" t="s">
        <v>3236</v>
      </c>
    </row>
    <row r="2" spans="1:5" s="61" customFormat="1" ht="35.25" customHeight="1">
      <c r="A2" s="543" t="s">
        <v>379</v>
      </c>
      <c r="B2" s="543"/>
      <c r="C2" s="543"/>
      <c r="D2" s="369"/>
    </row>
    <row r="4" spans="1:5">
      <c r="A4" s="546" t="s">
        <v>0</v>
      </c>
      <c r="B4" s="546"/>
      <c r="C4" s="546"/>
    </row>
    <row r="5" spans="1:5" ht="15" customHeight="1">
      <c r="A5" s="369"/>
      <c r="B5" s="369"/>
    </row>
    <row r="6" spans="1:5">
      <c r="A6" s="544" t="s">
        <v>37</v>
      </c>
      <c r="B6" s="544"/>
    </row>
    <row r="7" spans="1:5">
      <c r="A7" s="368"/>
      <c r="B7" s="368"/>
    </row>
    <row r="8" spans="1:5" ht="23.25" customHeight="1">
      <c r="A8" s="548" t="s">
        <v>380</v>
      </c>
      <c r="B8" s="548"/>
      <c r="C8" s="548"/>
    </row>
    <row r="9" spans="1:5" ht="28.5" customHeight="1">
      <c r="C9" s="41" t="s">
        <v>33</v>
      </c>
    </row>
    <row r="10" spans="1:5">
      <c r="A10" s="42" t="s">
        <v>64</v>
      </c>
      <c r="B10" s="42" t="s">
        <v>1</v>
      </c>
      <c r="C10" s="43" t="s">
        <v>381</v>
      </c>
    </row>
    <row r="11" spans="1:5" s="233" customFormat="1">
      <c r="A11" s="382">
        <v>1</v>
      </c>
      <c r="B11" s="27" t="s">
        <v>105</v>
      </c>
      <c r="C11" s="102">
        <v>1098670200</v>
      </c>
      <c r="D11" s="22"/>
      <c r="E11" s="22"/>
    </row>
    <row r="12" spans="1:5" s="233" customFormat="1" ht="42">
      <c r="A12" s="382">
        <v>2</v>
      </c>
      <c r="B12" s="44" t="s">
        <v>106</v>
      </c>
      <c r="C12" s="45">
        <v>429461700</v>
      </c>
      <c r="D12" s="22"/>
      <c r="E12" s="22"/>
    </row>
    <row r="13" spans="1:5" s="233" customFormat="1">
      <c r="A13" s="382">
        <v>3</v>
      </c>
      <c r="B13" s="27" t="s">
        <v>3</v>
      </c>
      <c r="C13" s="45">
        <v>0</v>
      </c>
      <c r="D13" s="22"/>
    </row>
    <row r="14" spans="1:5" s="233" customFormat="1">
      <c r="A14" s="382">
        <v>4</v>
      </c>
      <c r="B14" s="27" t="s">
        <v>63</v>
      </c>
      <c r="C14" s="102">
        <v>0</v>
      </c>
      <c r="D14" s="22"/>
    </row>
    <row r="15" spans="1:5" s="233" customFormat="1">
      <c r="A15" s="382">
        <v>5</v>
      </c>
      <c r="B15" s="27" t="s">
        <v>133</v>
      </c>
      <c r="C15" s="102">
        <v>0</v>
      </c>
      <c r="D15" s="22"/>
    </row>
    <row r="16" spans="1:5" s="233" customFormat="1">
      <c r="A16" s="382">
        <v>6</v>
      </c>
      <c r="B16" s="27" t="s">
        <v>4</v>
      </c>
      <c r="C16" s="102">
        <f>SUM(C11:C15)</f>
        <v>1528131900</v>
      </c>
      <c r="D16" s="22"/>
    </row>
    <row r="17" spans="1:4">
      <c r="A17" s="43">
        <v>7</v>
      </c>
      <c r="B17" s="46" t="s">
        <v>15</v>
      </c>
      <c r="C17" s="386">
        <v>3002541573.23</v>
      </c>
      <c r="D17" s="47"/>
    </row>
    <row r="18" spans="1:4">
      <c r="C18" s="48"/>
    </row>
    <row r="19" spans="1:4">
      <c r="A19" s="545" t="s">
        <v>65</v>
      </c>
      <c r="B19" s="545"/>
    </row>
    <row r="20" spans="1:4" ht="26.25" customHeight="1">
      <c r="A20" s="547"/>
      <c r="B20" s="547"/>
      <c r="C20" s="547"/>
    </row>
  </sheetData>
  <mergeCells count="6">
    <mergeCell ref="A2:C2"/>
    <mergeCell ref="A6:B6"/>
    <mergeCell ref="A19:B19"/>
    <mergeCell ref="A4:C4"/>
    <mergeCell ref="A20:C20"/>
    <mergeCell ref="A8:C8"/>
  </mergeCells>
  <phoneticPr fontId="3" type="noConversion"/>
  <printOptions horizontalCentered="1"/>
  <pageMargins left="1.75" right="2.31" top="0.74803149606299213" bottom="0.70866141732283472" header="0.51181102362204722" footer="0.51181102362204722"/>
  <pageSetup paperSize="9" orientation="landscape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>
  <dimension ref="A1:V97"/>
  <sheetViews>
    <sheetView zoomScale="90" zoomScaleNormal="90" workbookViewId="0">
      <selection activeCell="A16" sqref="A16:C16"/>
    </sheetView>
  </sheetViews>
  <sheetFormatPr defaultRowHeight="17.25" customHeight="1"/>
  <cols>
    <col min="1" max="1" width="5.42578125" style="38" customWidth="1"/>
    <col min="2" max="2" width="8.85546875" style="330" customWidth="1"/>
    <col min="3" max="3" width="48.28515625" style="330" customWidth="1"/>
    <col min="4" max="4" width="10.85546875" style="88" customWidth="1"/>
    <col min="5" max="5" width="15.42578125" style="38" customWidth="1"/>
    <col min="6" max="6" width="19.5703125" style="38" bestFit="1" customWidth="1"/>
    <col min="7" max="7" width="13.85546875" style="38" bestFit="1" customWidth="1"/>
    <col min="8" max="8" width="14.85546875" style="38" bestFit="1" customWidth="1"/>
    <col min="9" max="9" width="17" style="38" customWidth="1"/>
    <col min="10" max="10" width="17.28515625" style="38" customWidth="1"/>
    <col min="11" max="11" width="16.42578125" style="38" customWidth="1"/>
    <col min="12" max="12" width="16.7109375" style="38" customWidth="1"/>
    <col min="13" max="13" width="13.42578125" style="38" hidden="1" customWidth="1"/>
    <col min="14" max="22" width="0" style="38" hidden="1" customWidth="1"/>
    <col min="23" max="16384" width="9.140625" style="38"/>
  </cols>
  <sheetData>
    <row r="1" spans="1:22" s="83" customFormat="1" ht="21">
      <c r="A1" s="619" t="s">
        <v>390</v>
      </c>
      <c r="B1" s="619"/>
      <c r="C1" s="619"/>
      <c r="D1" s="619"/>
      <c r="E1" s="619"/>
      <c r="F1" s="619"/>
      <c r="G1" s="619"/>
      <c r="H1" s="619"/>
      <c r="I1" s="619"/>
      <c r="J1" s="619"/>
      <c r="K1" s="619"/>
    </row>
    <row r="2" spans="1:22" ht="21">
      <c r="A2" s="620" t="s">
        <v>37</v>
      </c>
      <c r="B2" s="620"/>
      <c r="C2" s="620"/>
      <c r="D2" s="620"/>
      <c r="E2" s="620"/>
      <c r="F2" s="620"/>
      <c r="G2" s="620"/>
      <c r="H2" s="620"/>
      <c r="I2" s="620"/>
      <c r="J2" s="620"/>
      <c r="K2" s="620"/>
    </row>
    <row r="3" spans="1:22" s="155" customFormat="1" ht="39.75" customHeight="1">
      <c r="A3" s="603" t="s">
        <v>38</v>
      </c>
      <c r="B3" s="603"/>
      <c r="C3" s="603"/>
      <c r="D3" s="337" t="s">
        <v>101</v>
      </c>
      <c r="E3" s="366" t="s">
        <v>493</v>
      </c>
      <c r="F3" s="364" t="s">
        <v>40</v>
      </c>
      <c r="G3" s="364" t="s">
        <v>41</v>
      </c>
      <c r="H3" s="364" t="s">
        <v>10</v>
      </c>
      <c r="I3" s="156" t="s">
        <v>11</v>
      </c>
      <c r="J3" s="364" t="s">
        <v>42</v>
      </c>
      <c r="K3" s="156" t="s">
        <v>145</v>
      </c>
      <c r="L3" s="156" t="s">
        <v>156</v>
      </c>
      <c r="M3" s="326"/>
      <c r="N3" s="156" t="s">
        <v>101</v>
      </c>
      <c r="O3" s="326" t="s">
        <v>331</v>
      </c>
      <c r="P3" s="326" t="s">
        <v>40</v>
      </c>
      <c r="Q3" s="326" t="s">
        <v>41</v>
      </c>
      <c r="R3" s="326" t="s">
        <v>10</v>
      </c>
      <c r="S3" s="156" t="s">
        <v>11</v>
      </c>
      <c r="T3" s="326" t="s">
        <v>42</v>
      </c>
      <c r="U3" s="156" t="s">
        <v>145</v>
      </c>
      <c r="V3" s="156" t="s">
        <v>156</v>
      </c>
    </row>
    <row r="4" spans="1:22" s="155" customFormat="1" ht="17.25" customHeight="1">
      <c r="A4" s="616" t="s">
        <v>128</v>
      </c>
      <c r="B4" s="617"/>
      <c r="C4" s="618"/>
      <c r="D4" s="159">
        <f t="shared" ref="D4:T6" si="0">+D5</f>
        <v>440</v>
      </c>
      <c r="E4" s="157">
        <f>+E5</f>
        <v>389.8</v>
      </c>
      <c r="F4" s="157">
        <f t="shared" ref="F4:J4" si="1">+F5</f>
        <v>6539630.3426104588</v>
      </c>
      <c r="G4" s="157">
        <f t="shared" si="1"/>
        <v>659440.86348196189</v>
      </c>
      <c r="H4" s="157">
        <f t="shared" si="1"/>
        <v>423765.05788406974</v>
      </c>
      <c r="I4" s="157">
        <f t="shared" si="1"/>
        <v>3597065.8518929877</v>
      </c>
      <c r="J4" s="157">
        <f t="shared" si="1"/>
        <v>11219902.115869479</v>
      </c>
      <c r="K4" s="157">
        <f>+J4/E4</f>
        <v>28783.740676935555</v>
      </c>
      <c r="L4" s="365">
        <f t="shared" ref="L4:L6" si="2">(F4+G4+H4)/E4</f>
        <v>19555.762606404543</v>
      </c>
      <c r="M4" s="157"/>
      <c r="N4" s="157">
        <f t="shared" si="0"/>
        <v>521</v>
      </c>
      <c r="O4" s="157">
        <f t="shared" si="0"/>
        <v>425.25</v>
      </c>
      <c r="P4" s="157">
        <f t="shared" si="0"/>
        <v>37075259.409999996</v>
      </c>
      <c r="Q4" s="157">
        <f t="shared" si="0"/>
        <v>3807135.66</v>
      </c>
      <c r="R4" s="157">
        <f t="shared" si="0"/>
        <v>317152.5</v>
      </c>
      <c r="S4" s="157">
        <f t="shared" si="0"/>
        <v>9365488.0800000001</v>
      </c>
      <c r="T4" s="157">
        <f t="shared" si="0"/>
        <v>50565035.649999991</v>
      </c>
      <c r="U4" s="326">
        <f>+T4/O4</f>
        <v>118906.60940623161</v>
      </c>
      <c r="V4" s="326">
        <f>+(P4+Q4+R4)/O4</f>
        <v>96883.12185773073</v>
      </c>
    </row>
    <row r="5" spans="1:22" s="163" customFormat="1" ht="17.25" customHeight="1">
      <c r="A5" s="605" t="s">
        <v>108</v>
      </c>
      <c r="B5" s="605"/>
      <c r="C5" s="605"/>
      <c r="D5" s="161">
        <f t="shared" si="0"/>
        <v>440</v>
      </c>
      <c r="E5" s="160">
        <f t="shared" si="0"/>
        <v>389.8</v>
      </c>
      <c r="F5" s="160">
        <f t="shared" si="0"/>
        <v>6539630.3426104588</v>
      </c>
      <c r="G5" s="160">
        <f t="shared" si="0"/>
        <v>659440.86348196189</v>
      </c>
      <c r="H5" s="160">
        <f t="shared" si="0"/>
        <v>423765.05788406974</v>
      </c>
      <c r="I5" s="160">
        <f t="shared" si="0"/>
        <v>3597065.8518929877</v>
      </c>
      <c r="J5" s="160">
        <f t="shared" si="0"/>
        <v>11219902.115869479</v>
      </c>
      <c r="K5" s="158">
        <f t="shared" ref="K5:K45" si="3">+J5/E5</f>
        <v>28783.740676935555</v>
      </c>
      <c r="L5" s="365">
        <f t="shared" si="2"/>
        <v>19555.762606404543</v>
      </c>
      <c r="M5" s="160"/>
      <c r="N5" s="160">
        <f>+N6</f>
        <v>521</v>
      </c>
      <c r="O5" s="160">
        <f t="shared" si="0"/>
        <v>425.25</v>
      </c>
      <c r="P5" s="160">
        <f t="shared" si="0"/>
        <v>37075259.409999996</v>
      </c>
      <c r="Q5" s="160">
        <f t="shared" si="0"/>
        <v>3807135.66</v>
      </c>
      <c r="R5" s="160">
        <f t="shared" si="0"/>
        <v>317152.5</v>
      </c>
      <c r="S5" s="160">
        <f t="shared" si="0"/>
        <v>9365488.0800000001</v>
      </c>
      <c r="T5" s="160">
        <f t="shared" si="0"/>
        <v>50565035.649999991</v>
      </c>
      <c r="U5" s="162">
        <f t="shared" ref="U5:U44" si="4">+T5/O5</f>
        <v>118906.60940623161</v>
      </c>
      <c r="V5" s="162">
        <f t="shared" ref="V5:V44" si="5">+(P5+Q5+R5)/O5</f>
        <v>96883.12185773073</v>
      </c>
    </row>
    <row r="6" spans="1:22" s="163" customFormat="1" ht="17.25" customHeight="1">
      <c r="A6" s="162"/>
      <c r="B6" s="606" t="s">
        <v>56</v>
      </c>
      <c r="C6" s="606"/>
      <c r="D6" s="161">
        <f t="shared" si="0"/>
        <v>440</v>
      </c>
      <c r="E6" s="160">
        <f>+E7</f>
        <v>389.8</v>
      </c>
      <c r="F6" s="160">
        <f t="shared" ref="F6:J6" si="6">+F7</f>
        <v>6539630.3426104588</v>
      </c>
      <c r="G6" s="160">
        <f t="shared" si="6"/>
        <v>659440.86348196189</v>
      </c>
      <c r="H6" s="160">
        <f t="shared" si="6"/>
        <v>423765.05788406974</v>
      </c>
      <c r="I6" s="160">
        <f t="shared" si="6"/>
        <v>3597065.8518929877</v>
      </c>
      <c r="J6" s="160">
        <f t="shared" si="6"/>
        <v>11219902.115869479</v>
      </c>
      <c r="K6" s="158">
        <f t="shared" si="3"/>
        <v>28783.740676935555</v>
      </c>
      <c r="L6" s="365">
        <f t="shared" si="2"/>
        <v>19555.762606404543</v>
      </c>
      <c r="M6" s="160"/>
      <c r="N6" s="160">
        <f>+N7</f>
        <v>521</v>
      </c>
      <c r="O6" s="160">
        <f>+O7</f>
        <v>425.25</v>
      </c>
      <c r="P6" s="160">
        <f t="shared" si="0"/>
        <v>37075259.409999996</v>
      </c>
      <c r="Q6" s="160">
        <f t="shared" si="0"/>
        <v>3807135.66</v>
      </c>
      <c r="R6" s="160">
        <f t="shared" si="0"/>
        <v>317152.5</v>
      </c>
      <c r="S6" s="160">
        <f t="shared" si="0"/>
        <v>9365488.0800000001</v>
      </c>
      <c r="T6" s="160">
        <f t="shared" si="0"/>
        <v>50565035.649999991</v>
      </c>
      <c r="U6" s="162">
        <f t="shared" si="4"/>
        <v>118906.60940623161</v>
      </c>
      <c r="V6" s="162">
        <f t="shared" si="5"/>
        <v>96883.12185773073</v>
      </c>
    </row>
    <row r="7" spans="1:22" s="163" customFormat="1" ht="17.25" customHeight="1">
      <c r="A7" s="162"/>
      <c r="B7" s="162"/>
      <c r="C7" s="327" t="s">
        <v>141</v>
      </c>
      <c r="D7" s="167">
        <v>440</v>
      </c>
      <c r="E7" s="365">
        <v>389.8</v>
      </c>
      <c r="F7" s="365">
        <v>6539630.3426104588</v>
      </c>
      <c r="G7" s="365">
        <v>659440.86348196189</v>
      </c>
      <c r="H7" s="365">
        <v>423765.05788406974</v>
      </c>
      <c r="I7" s="365">
        <v>3597065.8518929877</v>
      </c>
      <c r="J7" s="158">
        <f>SUM(F7:I7)</f>
        <v>11219902.115869479</v>
      </c>
      <c r="K7" s="158">
        <f t="shared" si="3"/>
        <v>28783.740676935555</v>
      </c>
      <c r="L7" s="365">
        <f>(F7+G7+H7)/E7</f>
        <v>19555.762606404543</v>
      </c>
      <c r="M7" s="327"/>
      <c r="N7" s="162">
        <v>521</v>
      </c>
      <c r="O7" s="158">
        <v>425.25</v>
      </c>
      <c r="P7" s="158">
        <v>37075259.409999996</v>
      </c>
      <c r="Q7" s="158">
        <v>3807135.66</v>
      </c>
      <c r="R7" s="158">
        <v>317152.5</v>
      </c>
      <c r="S7" s="158">
        <v>9365488.0800000001</v>
      </c>
      <c r="T7" s="162">
        <f>SUM(P7:S7)</f>
        <v>50565035.649999991</v>
      </c>
      <c r="U7" s="162">
        <f t="shared" si="4"/>
        <v>118906.60940623161</v>
      </c>
      <c r="V7" s="162">
        <f t="shared" si="5"/>
        <v>96883.12185773073</v>
      </c>
    </row>
    <row r="8" spans="1:22" s="155" customFormat="1" ht="17.25" customHeight="1">
      <c r="A8" s="616" t="s">
        <v>126</v>
      </c>
      <c r="B8" s="617"/>
      <c r="C8" s="618"/>
      <c r="D8" s="159">
        <f>+D9+D16</f>
        <v>17420</v>
      </c>
      <c r="E8" s="157">
        <f>+E9+E16</f>
        <v>13018.77</v>
      </c>
      <c r="F8" s="157">
        <f t="shared" ref="F8:J8" si="7">+F9+F16</f>
        <v>89851821.313482761</v>
      </c>
      <c r="G8" s="157">
        <f t="shared" si="7"/>
        <v>81656518.469826669</v>
      </c>
      <c r="H8" s="157">
        <f t="shared" si="7"/>
        <v>13814124.315306911</v>
      </c>
      <c r="I8" s="157">
        <f t="shared" si="7"/>
        <v>74984345.320227057</v>
      </c>
      <c r="J8" s="157">
        <f t="shared" si="7"/>
        <v>260306809.41884339</v>
      </c>
      <c r="K8" s="157">
        <f>+J8/E8</f>
        <v>19994.731408485084</v>
      </c>
      <c r="L8" s="365">
        <f t="shared" ref="L8:L45" si="8">(F8+G8+H8)/E8</f>
        <v>14235.020981138488</v>
      </c>
      <c r="M8" s="157"/>
      <c r="N8" s="157" t="e">
        <f>+N9+N16</f>
        <v>#REF!</v>
      </c>
      <c r="O8" s="157" t="e">
        <f t="shared" ref="O8:T8" si="9">+O9+O16</f>
        <v>#REF!</v>
      </c>
      <c r="P8" s="157" t="e">
        <f t="shared" si="9"/>
        <v>#REF!</v>
      </c>
      <c r="Q8" s="157" t="e">
        <f t="shared" si="9"/>
        <v>#REF!</v>
      </c>
      <c r="R8" s="157" t="e">
        <f t="shared" si="9"/>
        <v>#REF!</v>
      </c>
      <c r="S8" s="157" t="e">
        <f t="shared" si="9"/>
        <v>#REF!</v>
      </c>
      <c r="T8" s="157" t="e">
        <f t="shared" si="9"/>
        <v>#REF!</v>
      </c>
      <c r="U8" s="326" t="e">
        <f t="shared" si="4"/>
        <v>#REF!</v>
      </c>
      <c r="V8" s="326" t="e">
        <f t="shared" si="5"/>
        <v>#REF!</v>
      </c>
    </row>
    <row r="9" spans="1:22" s="328" customFormat="1" ht="17.25" customHeight="1">
      <c r="A9" s="605" t="s">
        <v>107</v>
      </c>
      <c r="B9" s="605"/>
      <c r="C9" s="605"/>
      <c r="D9" s="164">
        <f>+D10+D14</f>
        <v>8390</v>
      </c>
      <c r="E9" s="158">
        <f>+E10+E14</f>
        <v>6053.26</v>
      </c>
      <c r="F9" s="158">
        <f t="shared" ref="F9:J9" si="10">+F10+F14</f>
        <v>26180660.994840223</v>
      </c>
      <c r="G9" s="158">
        <f t="shared" si="10"/>
        <v>28977925.587850086</v>
      </c>
      <c r="H9" s="158">
        <f t="shared" si="10"/>
        <v>6446650.8335253503</v>
      </c>
      <c r="I9" s="158">
        <f t="shared" si="10"/>
        <v>21994289.639172792</v>
      </c>
      <c r="J9" s="158">
        <f t="shared" si="10"/>
        <v>83599527.055388451</v>
      </c>
      <c r="K9" s="158">
        <f t="shared" si="3"/>
        <v>13810.661867388555</v>
      </c>
      <c r="L9" s="365">
        <f t="shared" si="8"/>
        <v>10177.199957744366</v>
      </c>
      <c r="M9" s="158"/>
      <c r="N9" s="158">
        <f t="shared" ref="N9:T9" si="11">+N10+N14</f>
        <v>8130</v>
      </c>
      <c r="O9" s="158">
        <f t="shared" si="11"/>
        <v>6503.35</v>
      </c>
      <c r="P9" s="158">
        <f t="shared" si="11"/>
        <v>178385325.45999998</v>
      </c>
      <c r="Q9" s="158">
        <f t="shared" si="11"/>
        <v>63255394.899999999</v>
      </c>
      <c r="R9" s="158">
        <f t="shared" si="11"/>
        <v>3940645.21</v>
      </c>
      <c r="S9" s="158">
        <f t="shared" si="11"/>
        <v>33661849.109999999</v>
      </c>
      <c r="T9" s="158">
        <f t="shared" si="11"/>
        <v>279243214.68000001</v>
      </c>
      <c r="U9" s="162">
        <f t="shared" si="4"/>
        <v>42938.364793529487</v>
      </c>
      <c r="V9" s="162">
        <f t="shared" si="5"/>
        <v>37762.286447753846</v>
      </c>
    </row>
    <row r="10" spans="1:22" s="163" customFormat="1" ht="17.25" customHeight="1">
      <c r="A10" s="165"/>
      <c r="B10" s="604" t="s">
        <v>43</v>
      </c>
      <c r="C10" s="604"/>
      <c r="D10" s="166">
        <f>+D11+D12+D13</f>
        <v>6633</v>
      </c>
      <c r="E10" s="162">
        <f>+E11+E12+E13</f>
        <v>4829.2</v>
      </c>
      <c r="F10" s="162">
        <f t="shared" ref="F10:J10" si="12">+F11+F12+F13</f>
        <v>16735782.944840223</v>
      </c>
      <c r="G10" s="162">
        <f t="shared" si="12"/>
        <v>23061619.807850085</v>
      </c>
      <c r="H10" s="162">
        <f t="shared" si="12"/>
        <v>5115932.8835253501</v>
      </c>
      <c r="I10" s="162">
        <f t="shared" si="12"/>
        <v>16364609.789172795</v>
      </c>
      <c r="J10" s="162">
        <f t="shared" si="12"/>
        <v>61277945.425388455</v>
      </c>
      <c r="K10" s="158">
        <f t="shared" si="3"/>
        <v>12689.046928143058</v>
      </c>
      <c r="L10" s="365">
        <f t="shared" si="8"/>
        <v>9300.3676874462981</v>
      </c>
      <c r="M10" s="162"/>
      <c r="N10" s="162">
        <f>+N11+N12+N13</f>
        <v>6689</v>
      </c>
      <c r="O10" s="162">
        <f t="shared" ref="O10:T10" si="13">+O11+O12+O13</f>
        <v>5262.5700000000006</v>
      </c>
      <c r="P10" s="162">
        <f t="shared" si="13"/>
        <v>125440829.63</v>
      </c>
      <c r="Q10" s="162">
        <f t="shared" si="13"/>
        <v>46916302.269999996</v>
      </c>
      <c r="R10" s="162">
        <f t="shared" si="13"/>
        <v>2926723.25</v>
      </c>
      <c r="S10" s="162">
        <f t="shared" si="13"/>
        <v>21937403.579999998</v>
      </c>
      <c r="T10" s="162">
        <f t="shared" si="13"/>
        <v>197221258.73000002</v>
      </c>
      <c r="U10" s="162">
        <f t="shared" si="4"/>
        <v>37476.225253060766</v>
      </c>
      <c r="V10" s="162">
        <f t="shared" si="5"/>
        <v>33307.652943333764</v>
      </c>
    </row>
    <row r="11" spans="1:22" s="163" customFormat="1" ht="17.25" customHeight="1">
      <c r="A11" s="158"/>
      <c r="B11" s="327"/>
      <c r="C11" s="158" t="s">
        <v>44</v>
      </c>
      <c r="D11" s="164">
        <v>4034</v>
      </c>
      <c r="E11" s="158">
        <v>2915.16</v>
      </c>
      <c r="F11" s="158">
        <v>7274980.6948402217</v>
      </c>
      <c r="G11" s="158">
        <v>10274531.987850087</v>
      </c>
      <c r="H11" s="158">
        <v>3169171.2435253505</v>
      </c>
      <c r="I11" s="158">
        <v>11615254.509172795</v>
      </c>
      <c r="J11" s="158">
        <f>SUM(F11:I11)</f>
        <v>32333938.435388453</v>
      </c>
      <c r="K11" s="158">
        <f t="shared" si="3"/>
        <v>11091.651379474353</v>
      </c>
      <c r="L11" s="365">
        <f t="shared" si="8"/>
        <v>7107.2201615745471</v>
      </c>
      <c r="M11" s="158"/>
      <c r="N11" s="162">
        <v>2952</v>
      </c>
      <c r="O11" s="158">
        <v>2474.61</v>
      </c>
      <c r="P11" s="158">
        <v>31093773.309999999</v>
      </c>
      <c r="Q11" s="158">
        <v>19489070.57</v>
      </c>
      <c r="R11" s="158">
        <v>2020283</v>
      </c>
      <c r="S11" s="158">
        <v>15578586.619999999</v>
      </c>
      <c r="T11" s="162">
        <f t="shared" ref="T11:T27" si="14">SUM(P11:S11)</f>
        <v>68181713.5</v>
      </c>
      <c r="U11" s="162">
        <f t="shared" si="4"/>
        <v>27552.508678135138</v>
      </c>
      <c r="V11" s="162">
        <f t="shared" si="5"/>
        <v>21257.138248047166</v>
      </c>
    </row>
    <row r="12" spans="1:22" s="163" customFormat="1" ht="17.25" customHeight="1">
      <c r="A12" s="158"/>
      <c r="B12" s="162"/>
      <c r="C12" s="158" t="s">
        <v>45</v>
      </c>
      <c r="D12" s="164">
        <v>1709</v>
      </c>
      <c r="E12" s="158">
        <v>1211.57</v>
      </c>
      <c r="F12" s="158">
        <v>5606275.5300000003</v>
      </c>
      <c r="G12" s="158">
        <v>4064466.69</v>
      </c>
      <c r="H12" s="158">
        <v>1232282.5</v>
      </c>
      <c r="I12" s="158">
        <v>3678160.99</v>
      </c>
      <c r="J12" s="158">
        <f t="shared" ref="J12:J24" si="15">SUM(F12:I12)</f>
        <v>14581185.710000001</v>
      </c>
      <c r="K12" s="158">
        <f t="shared" si="3"/>
        <v>12034.951104764894</v>
      </c>
      <c r="L12" s="365">
        <f t="shared" si="8"/>
        <v>8999.0877291448305</v>
      </c>
      <c r="M12" s="158"/>
      <c r="N12" s="162">
        <v>2616</v>
      </c>
      <c r="O12" s="158">
        <v>1925.57</v>
      </c>
      <c r="P12" s="158">
        <v>57427664.310000002</v>
      </c>
      <c r="Q12" s="158">
        <v>20427115.98</v>
      </c>
      <c r="R12" s="158">
        <v>201725.35</v>
      </c>
      <c r="S12" s="158">
        <v>3767956.04</v>
      </c>
      <c r="T12" s="162">
        <f t="shared" si="14"/>
        <v>81824461.680000007</v>
      </c>
      <c r="U12" s="162">
        <f t="shared" si="4"/>
        <v>42493.631329943863</v>
      </c>
      <c r="V12" s="162">
        <f t="shared" si="5"/>
        <v>40536.830985110901</v>
      </c>
    </row>
    <row r="13" spans="1:22" s="163" customFormat="1" ht="17.25" customHeight="1">
      <c r="A13" s="158"/>
      <c r="B13" s="162"/>
      <c r="C13" s="158" t="s">
        <v>69</v>
      </c>
      <c r="D13" s="164">
        <v>890</v>
      </c>
      <c r="E13" s="158">
        <v>702.47</v>
      </c>
      <c r="F13" s="158">
        <v>3854526.72</v>
      </c>
      <c r="G13" s="158">
        <v>8722621.1300000008</v>
      </c>
      <c r="H13" s="158">
        <v>714479.14</v>
      </c>
      <c r="I13" s="158">
        <v>1071194.29</v>
      </c>
      <c r="J13" s="158">
        <f t="shared" si="15"/>
        <v>14362821.280000001</v>
      </c>
      <c r="K13" s="158">
        <f t="shared" si="3"/>
        <v>20446.170341793957</v>
      </c>
      <c r="L13" s="365">
        <f t="shared" si="8"/>
        <v>18921.273492106426</v>
      </c>
      <c r="M13" s="158"/>
      <c r="N13" s="162">
        <v>1121</v>
      </c>
      <c r="O13" s="158">
        <v>862.39</v>
      </c>
      <c r="P13" s="158">
        <v>36919392.009999998</v>
      </c>
      <c r="Q13" s="158">
        <v>7000115.7199999997</v>
      </c>
      <c r="R13" s="158">
        <v>704714.9</v>
      </c>
      <c r="S13" s="158">
        <v>2590860.92</v>
      </c>
      <c r="T13" s="162">
        <f t="shared" si="14"/>
        <v>47215083.549999997</v>
      </c>
      <c r="U13" s="162">
        <f t="shared" si="4"/>
        <v>54749.108350050439</v>
      </c>
      <c r="V13" s="162">
        <f t="shared" si="5"/>
        <v>51744.828476675284</v>
      </c>
    </row>
    <row r="14" spans="1:22" s="163" customFormat="1" ht="17.25" customHeight="1">
      <c r="A14" s="165"/>
      <c r="B14" s="604" t="s">
        <v>48</v>
      </c>
      <c r="C14" s="604"/>
      <c r="D14" s="166">
        <f>+D15</f>
        <v>1757</v>
      </c>
      <c r="E14" s="162">
        <f>+E15</f>
        <v>1224.06</v>
      </c>
      <c r="F14" s="162">
        <f t="shared" ref="F14:J14" si="16">+F15</f>
        <v>9444878.0500000007</v>
      </c>
      <c r="G14" s="162">
        <f t="shared" si="16"/>
        <v>5916305.7800000003</v>
      </c>
      <c r="H14" s="162">
        <f t="shared" si="16"/>
        <v>1330717.95</v>
      </c>
      <c r="I14" s="162">
        <f t="shared" si="16"/>
        <v>5629679.8499999996</v>
      </c>
      <c r="J14" s="162">
        <f t="shared" si="16"/>
        <v>22321581.630000003</v>
      </c>
      <c r="K14" s="158">
        <f t="shared" si="3"/>
        <v>18235.692392529782</v>
      </c>
      <c r="L14" s="365">
        <f t="shared" si="8"/>
        <v>13636.506200676438</v>
      </c>
      <c r="M14" s="162"/>
      <c r="N14" s="162">
        <f t="shared" ref="N14:T14" si="17">+N15</f>
        <v>1441</v>
      </c>
      <c r="O14" s="162">
        <f t="shared" si="17"/>
        <v>1240.78</v>
      </c>
      <c r="P14" s="162">
        <f t="shared" si="17"/>
        <v>52944495.829999998</v>
      </c>
      <c r="Q14" s="162">
        <f t="shared" si="17"/>
        <v>16339092.630000001</v>
      </c>
      <c r="R14" s="162">
        <f t="shared" si="17"/>
        <v>1013921.96</v>
      </c>
      <c r="S14" s="162">
        <f t="shared" si="17"/>
        <v>11724445.529999999</v>
      </c>
      <c r="T14" s="162">
        <f t="shared" si="17"/>
        <v>82021955.949999988</v>
      </c>
      <c r="U14" s="162">
        <f t="shared" si="4"/>
        <v>66105.156393558878</v>
      </c>
      <c r="V14" s="162">
        <f t="shared" si="5"/>
        <v>56655.902271152008</v>
      </c>
    </row>
    <row r="15" spans="1:22" s="163" customFormat="1" ht="17.25" customHeight="1">
      <c r="A15" s="158"/>
      <c r="B15" s="162"/>
      <c r="C15" s="327" t="s">
        <v>49</v>
      </c>
      <c r="D15" s="167">
        <v>1757</v>
      </c>
      <c r="E15" s="365">
        <v>1224.06</v>
      </c>
      <c r="F15" s="365">
        <v>9444878.0500000007</v>
      </c>
      <c r="G15" s="365">
        <v>5916305.7800000003</v>
      </c>
      <c r="H15" s="365">
        <v>1330717.95</v>
      </c>
      <c r="I15" s="365">
        <v>5629679.8499999996</v>
      </c>
      <c r="J15" s="158">
        <f t="shared" si="15"/>
        <v>22321581.630000003</v>
      </c>
      <c r="K15" s="158">
        <f t="shared" si="3"/>
        <v>18235.692392529782</v>
      </c>
      <c r="L15" s="365">
        <f t="shared" si="8"/>
        <v>13636.506200676438</v>
      </c>
      <c r="M15" s="327"/>
      <c r="N15" s="162">
        <v>1441</v>
      </c>
      <c r="O15" s="158">
        <v>1240.78</v>
      </c>
      <c r="P15" s="158">
        <v>52944495.829999998</v>
      </c>
      <c r="Q15" s="158">
        <v>16339092.630000001</v>
      </c>
      <c r="R15" s="158">
        <v>1013921.96</v>
      </c>
      <c r="S15" s="158">
        <v>11724445.529999999</v>
      </c>
      <c r="T15" s="162">
        <f t="shared" si="14"/>
        <v>82021955.949999988</v>
      </c>
      <c r="U15" s="162">
        <f t="shared" si="4"/>
        <v>66105.156393558878</v>
      </c>
      <c r="V15" s="162">
        <f t="shared" si="5"/>
        <v>56655.902271152008</v>
      </c>
    </row>
    <row r="16" spans="1:22" s="163" customFormat="1" ht="17.25" customHeight="1">
      <c r="A16" s="605" t="s">
        <v>108</v>
      </c>
      <c r="B16" s="605"/>
      <c r="C16" s="605"/>
      <c r="D16" s="164">
        <f>D17+D20+D23+D25+D30+D32</f>
        <v>9030</v>
      </c>
      <c r="E16" s="158">
        <f>E17+E20+E23+E25+E30+E32</f>
        <v>6965.5099999999993</v>
      </c>
      <c r="F16" s="158">
        <f t="shared" ref="F16:J16" si="18">F17+F20+F23+F25+F30+F32</f>
        <v>63671160.318642542</v>
      </c>
      <c r="G16" s="158">
        <f t="shared" si="18"/>
        <v>52678592.881976582</v>
      </c>
      <c r="H16" s="158">
        <f t="shared" si="18"/>
        <v>7367473.4817815609</v>
      </c>
      <c r="I16" s="158">
        <f t="shared" si="18"/>
        <v>52990055.681054264</v>
      </c>
      <c r="J16" s="158">
        <f t="shared" si="18"/>
        <v>176707282.36345494</v>
      </c>
      <c r="K16" s="158">
        <f t="shared" si="3"/>
        <v>25368.89364360326</v>
      </c>
      <c r="L16" s="365">
        <f t="shared" si="8"/>
        <v>17761.402493485861</v>
      </c>
      <c r="M16" s="158"/>
      <c r="N16" s="158" t="e">
        <f t="shared" ref="N16:T16" si="19">+N17+N20+N23+N25+N30+N32</f>
        <v>#REF!</v>
      </c>
      <c r="O16" s="158" t="e">
        <f t="shared" si="19"/>
        <v>#REF!</v>
      </c>
      <c r="P16" s="158" t="e">
        <f t="shared" si="19"/>
        <v>#REF!</v>
      </c>
      <c r="Q16" s="158" t="e">
        <f t="shared" si="19"/>
        <v>#REF!</v>
      </c>
      <c r="R16" s="158" t="e">
        <f t="shared" si="19"/>
        <v>#REF!</v>
      </c>
      <c r="S16" s="158" t="e">
        <f t="shared" si="19"/>
        <v>#REF!</v>
      </c>
      <c r="T16" s="158" t="e">
        <f t="shared" si="19"/>
        <v>#REF!</v>
      </c>
      <c r="U16" s="162" t="e">
        <f t="shared" si="4"/>
        <v>#REF!</v>
      </c>
      <c r="V16" s="162" t="e">
        <f t="shared" si="5"/>
        <v>#REF!</v>
      </c>
    </row>
    <row r="17" spans="1:22" s="163" customFormat="1" ht="17.25" customHeight="1">
      <c r="A17" s="165"/>
      <c r="B17" s="604" t="s">
        <v>50</v>
      </c>
      <c r="C17" s="604"/>
      <c r="D17" s="166">
        <f>+D18+D19</f>
        <v>1247</v>
      </c>
      <c r="E17" s="162">
        <f>+E18+E19</f>
        <v>925.05</v>
      </c>
      <c r="F17" s="162">
        <f t="shared" ref="F17:J17" si="20">+F18+F19</f>
        <v>10226520.406219697</v>
      </c>
      <c r="G17" s="162">
        <f t="shared" si="20"/>
        <v>7154661.4109313423</v>
      </c>
      <c r="H17" s="162">
        <f t="shared" si="20"/>
        <v>940864.27733935474</v>
      </c>
      <c r="I17" s="162">
        <f t="shared" si="20"/>
        <v>6833894.2221526094</v>
      </c>
      <c r="J17" s="162">
        <f t="shared" si="20"/>
        <v>25155940.316643</v>
      </c>
      <c r="K17" s="158">
        <f t="shared" si="3"/>
        <v>27194.141199549216</v>
      </c>
      <c r="L17" s="365">
        <f t="shared" si="8"/>
        <v>19806.546775299059</v>
      </c>
      <c r="M17" s="162"/>
      <c r="N17" s="162">
        <f t="shared" ref="N17:T17" si="21">+N18+N19</f>
        <v>1343</v>
      </c>
      <c r="O17" s="162">
        <f t="shared" si="21"/>
        <v>911.07</v>
      </c>
      <c r="P17" s="162">
        <f t="shared" si="21"/>
        <v>75051815.730000004</v>
      </c>
      <c r="Q17" s="162">
        <f t="shared" si="21"/>
        <v>11489824.619999999</v>
      </c>
      <c r="R17" s="162">
        <f t="shared" si="21"/>
        <v>743106.49</v>
      </c>
      <c r="S17" s="162">
        <f t="shared" si="21"/>
        <v>23134423.18</v>
      </c>
      <c r="T17" s="162">
        <f t="shared" si="21"/>
        <v>110419170.02</v>
      </c>
      <c r="U17" s="162">
        <f t="shared" si="4"/>
        <v>121197.24062915033</v>
      </c>
      <c r="V17" s="162">
        <f t="shared" si="5"/>
        <v>95804.654790521032</v>
      </c>
    </row>
    <row r="18" spans="1:22" s="163" customFormat="1" ht="17.25" customHeight="1">
      <c r="A18" s="165"/>
      <c r="B18" s="162"/>
      <c r="C18" s="327" t="s">
        <v>51</v>
      </c>
      <c r="D18" s="167">
        <v>109</v>
      </c>
      <c r="E18" s="365">
        <v>73.42</v>
      </c>
      <c r="F18" s="365">
        <v>3074184.28</v>
      </c>
      <c r="G18" s="365">
        <v>813178.96</v>
      </c>
      <c r="H18" s="365">
        <v>74675.16</v>
      </c>
      <c r="I18" s="365">
        <v>1840818.19</v>
      </c>
      <c r="J18" s="158">
        <f t="shared" si="15"/>
        <v>5802856.5899999999</v>
      </c>
      <c r="K18" s="158">
        <f t="shared" si="3"/>
        <v>79036.455870335049</v>
      </c>
      <c r="L18" s="365">
        <f t="shared" si="8"/>
        <v>53964.02070280577</v>
      </c>
      <c r="M18" s="327"/>
      <c r="N18" s="162">
        <v>168</v>
      </c>
      <c r="O18" s="158">
        <v>115.88</v>
      </c>
      <c r="P18" s="158">
        <v>23367531.120000001</v>
      </c>
      <c r="Q18" s="158">
        <v>1042977.61</v>
      </c>
      <c r="R18" s="158">
        <v>94438.43</v>
      </c>
      <c r="S18" s="158">
        <v>5658029.2599999998</v>
      </c>
      <c r="T18" s="162">
        <f t="shared" si="14"/>
        <v>30162976.420000002</v>
      </c>
      <c r="U18" s="162">
        <f t="shared" si="4"/>
        <v>260294.92940973424</v>
      </c>
      <c r="V18" s="162">
        <f t="shared" si="5"/>
        <v>211468.30479806697</v>
      </c>
    </row>
    <row r="19" spans="1:22" s="163" customFormat="1" ht="17.25" customHeight="1">
      <c r="A19" s="165"/>
      <c r="B19" s="162"/>
      <c r="C19" s="327" t="s">
        <v>52</v>
      </c>
      <c r="D19" s="167">
        <f>240+898</f>
        <v>1138</v>
      </c>
      <c r="E19" s="365">
        <f>190.22+661.41</f>
        <v>851.63</v>
      </c>
      <c r="F19" s="365">
        <v>7152336.1262196964</v>
      </c>
      <c r="G19" s="365">
        <v>6341482.4509313423</v>
      </c>
      <c r="H19" s="365">
        <v>866189.11733935471</v>
      </c>
      <c r="I19" s="365">
        <v>4993076.032152609</v>
      </c>
      <c r="J19" s="158">
        <f t="shared" si="15"/>
        <v>19353083.726643</v>
      </c>
      <c r="K19" s="158">
        <f t="shared" si="3"/>
        <v>22724.755735052782</v>
      </c>
      <c r="L19" s="365">
        <f t="shared" si="8"/>
        <v>16861.791734075116</v>
      </c>
      <c r="M19" s="327"/>
      <c r="N19" s="162">
        <v>1175</v>
      </c>
      <c r="O19" s="158">
        <v>795.19</v>
      </c>
      <c r="P19" s="158">
        <v>51684284.609999999</v>
      </c>
      <c r="Q19" s="158">
        <v>10446847.01</v>
      </c>
      <c r="R19" s="158">
        <v>648668.06000000006</v>
      </c>
      <c r="S19" s="158">
        <v>17476393.920000002</v>
      </c>
      <c r="T19" s="162">
        <f t="shared" si="14"/>
        <v>80256193.599999994</v>
      </c>
      <c r="U19" s="162">
        <f t="shared" si="4"/>
        <v>100927.06598423017</v>
      </c>
      <c r="V19" s="162">
        <f t="shared" si="5"/>
        <v>78949.43306631119</v>
      </c>
    </row>
    <row r="20" spans="1:22" s="163" customFormat="1" ht="17.25" customHeight="1">
      <c r="A20" s="165"/>
      <c r="B20" s="604" t="s">
        <v>53</v>
      </c>
      <c r="C20" s="604"/>
      <c r="D20" s="166">
        <f>+D21+D22</f>
        <v>1428</v>
      </c>
      <c r="E20" s="162">
        <f>+E21+E22</f>
        <v>1043.6299999999999</v>
      </c>
      <c r="F20" s="162">
        <f t="shared" ref="F20:J20" si="22">+F21+F22</f>
        <v>13320795.374299392</v>
      </c>
      <c r="G20" s="162">
        <f t="shared" si="22"/>
        <v>12872575.984818568</v>
      </c>
      <c r="H20" s="162">
        <f t="shared" si="22"/>
        <v>1061471.4616810472</v>
      </c>
      <c r="I20" s="162">
        <f t="shared" si="22"/>
        <v>9482028.0189583953</v>
      </c>
      <c r="J20" s="162">
        <f t="shared" si="22"/>
        <v>36736870.839757398</v>
      </c>
      <c r="K20" s="158">
        <f t="shared" si="3"/>
        <v>35201.049068882079</v>
      </c>
      <c r="L20" s="365">
        <f t="shared" si="8"/>
        <v>26115.426751625586</v>
      </c>
      <c r="M20" s="162"/>
      <c r="N20" s="162">
        <f t="shared" ref="N20:T20" si="23">+N21+N22</f>
        <v>2095</v>
      </c>
      <c r="O20" s="162">
        <f t="shared" si="23"/>
        <v>1538.31</v>
      </c>
      <c r="P20" s="162">
        <f t="shared" si="23"/>
        <v>169764142.05000001</v>
      </c>
      <c r="Q20" s="162">
        <f t="shared" si="23"/>
        <v>15280172.189999999</v>
      </c>
      <c r="R20" s="162">
        <f t="shared" si="23"/>
        <v>1249978.7399999998</v>
      </c>
      <c r="S20" s="162">
        <f t="shared" si="23"/>
        <v>31275104.859999999</v>
      </c>
      <c r="T20" s="162">
        <f t="shared" si="23"/>
        <v>217569397.83999997</v>
      </c>
      <c r="U20" s="162">
        <f t="shared" si="4"/>
        <v>141434.03984892511</v>
      </c>
      <c r="V20" s="162">
        <f t="shared" si="5"/>
        <v>121103.21910408177</v>
      </c>
    </row>
    <row r="21" spans="1:22" s="163" customFormat="1" ht="17.25" customHeight="1">
      <c r="A21" s="165"/>
      <c r="B21" s="162"/>
      <c r="C21" s="327" t="s">
        <v>54</v>
      </c>
      <c r="D21" s="167">
        <f>30+882</f>
        <v>912</v>
      </c>
      <c r="E21" s="365">
        <f>21.17+687.37</f>
        <v>708.54</v>
      </c>
      <c r="F21" s="365">
        <f>633830.41+7466332.63</f>
        <v>8100163.04</v>
      </c>
      <c r="G21" s="365">
        <f>14288.21+8329271.19</f>
        <v>8343559.4000000004</v>
      </c>
      <c r="H21" s="365">
        <f>21531.91+699120.99</f>
        <v>720652.9</v>
      </c>
      <c r="I21" s="365">
        <f>789167.11+6479241.17</f>
        <v>7268408.2800000003</v>
      </c>
      <c r="J21" s="158">
        <f>SUM(F21:I21)</f>
        <v>24432783.620000001</v>
      </c>
      <c r="K21" s="158">
        <f t="shared" si="3"/>
        <v>34483.280576961079</v>
      </c>
      <c r="L21" s="365">
        <f t="shared" si="8"/>
        <v>24224.991306065996</v>
      </c>
      <c r="M21" s="327"/>
      <c r="N21" s="162">
        <v>1055</v>
      </c>
      <c r="O21" s="158">
        <v>756.74</v>
      </c>
      <c r="P21" s="158">
        <f>2419054.45+97655294.77</f>
        <v>100074349.22</v>
      </c>
      <c r="Q21" s="158">
        <f>0+8400965.54</f>
        <v>8400965.5399999991</v>
      </c>
      <c r="R21" s="158">
        <f>22112.48+596268.94</f>
        <v>618381.41999999993</v>
      </c>
      <c r="S21" s="158">
        <f>2841530.5+19441420.47</f>
        <v>22282950.969999999</v>
      </c>
      <c r="T21" s="162">
        <f t="shared" si="14"/>
        <v>131376647.14999999</v>
      </c>
      <c r="U21" s="162">
        <f t="shared" si="4"/>
        <v>173608.69935512857</v>
      </c>
      <c r="V21" s="162">
        <f t="shared" si="5"/>
        <v>144162.71926949811</v>
      </c>
    </row>
    <row r="22" spans="1:22" s="163" customFormat="1" ht="17.25" customHeight="1">
      <c r="A22" s="165"/>
      <c r="B22" s="162"/>
      <c r="C22" s="327" t="s">
        <v>55</v>
      </c>
      <c r="D22" s="167">
        <v>516</v>
      </c>
      <c r="E22" s="365">
        <v>335.09</v>
      </c>
      <c r="F22" s="365">
        <v>5220632.3342993911</v>
      </c>
      <c r="G22" s="365">
        <v>4529016.5848185681</v>
      </c>
      <c r="H22" s="365">
        <v>340818.56168104726</v>
      </c>
      <c r="I22" s="365">
        <v>2213619.7389583951</v>
      </c>
      <c r="J22" s="158">
        <f t="shared" si="15"/>
        <v>12304087.2197574</v>
      </c>
      <c r="K22" s="158">
        <f t="shared" si="3"/>
        <v>36718.753826605993</v>
      </c>
      <c r="L22" s="365">
        <f t="shared" si="8"/>
        <v>30112.708468766621</v>
      </c>
      <c r="M22" s="327"/>
      <c r="N22" s="162">
        <v>1040</v>
      </c>
      <c r="O22" s="158">
        <v>781.57</v>
      </c>
      <c r="P22" s="158">
        <v>69689792.829999998</v>
      </c>
      <c r="Q22" s="158">
        <v>6879206.6500000004</v>
      </c>
      <c r="R22" s="158">
        <v>631597.31999999995</v>
      </c>
      <c r="S22" s="158">
        <v>8992153.8900000006</v>
      </c>
      <c r="T22" s="162">
        <f t="shared" si="14"/>
        <v>86192750.689999998</v>
      </c>
      <c r="U22" s="162">
        <f t="shared" si="4"/>
        <v>110281.5495605</v>
      </c>
      <c r="V22" s="162">
        <f t="shared" si="5"/>
        <v>98776.305129418979</v>
      </c>
    </row>
    <row r="23" spans="1:22" s="163" customFormat="1" ht="17.25" customHeight="1">
      <c r="A23" s="162"/>
      <c r="B23" s="604" t="s">
        <v>142</v>
      </c>
      <c r="C23" s="604"/>
      <c r="D23" s="166">
        <f>+D24</f>
        <v>234</v>
      </c>
      <c r="E23" s="162">
        <f>+E24</f>
        <v>226.58</v>
      </c>
      <c r="F23" s="162">
        <f t="shared" ref="F23:J23" si="24">+F24</f>
        <v>5572200.46</v>
      </c>
      <c r="G23" s="162">
        <f t="shared" si="24"/>
        <v>4362631.47</v>
      </c>
      <c r="H23" s="162">
        <f t="shared" si="24"/>
        <v>230453.52</v>
      </c>
      <c r="I23" s="162">
        <f t="shared" si="24"/>
        <v>7484482.2199999997</v>
      </c>
      <c r="J23" s="162">
        <f t="shared" si="24"/>
        <v>17649767.669999998</v>
      </c>
      <c r="K23" s="158">
        <f t="shared" si="3"/>
        <v>77896.405993468084</v>
      </c>
      <c r="L23" s="365">
        <f t="shared" si="8"/>
        <v>44864.001456439219</v>
      </c>
      <c r="M23" s="162"/>
      <c r="N23" s="162">
        <f t="shared" ref="N23:T23" si="25">+N24</f>
        <v>226</v>
      </c>
      <c r="O23" s="162">
        <f t="shared" si="25"/>
        <v>227.53</v>
      </c>
      <c r="P23" s="162">
        <f t="shared" si="25"/>
        <v>79909701.299999997</v>
      </c>
      <c r="Q23" s="162">
        <f t="shared" si="25"/>
        <v>7553385.9699999997</v>
      </c>
      <c r="R23" s="162">
        <f t="shared" si="25"/>
        <v>185929.55</v>
      </c>
      <c r="S23" s="162">
        <f t="shared" si="25"/>
        <v>30886645.52</v>
      </c>
      <c r="T23" s="162">
        <f t="shared" si="25"/>
        <v>118535662.33999999</v>
      </c>
      <c r="U23" s="162">
        <f t="shared" si="4"/>
        <v>520967.17944886384</v>
      </c>
      <c r="V23" s="162">
        <f t="shared" si="5"/>
        <v>385219.60541467054</v>
      </c>
    </row>
    <row r="24" spans="1:22" s="163" customFormat="1" ht="17.25" customHeight="1">
      <c r="A24" s="165"/>
      <c r="B24" s="162"/>
      <c r="C24" s="327" t="s">
        <v>68</v>
      </c>
      <c r="D24" s="167">
        <v>234</v>
      </c>
      <c r="E24" s="365">
        <v>226.58</v>
      </c>
      <c r="F24" s="365">
        <v>5572200.46</v>
      </c>
      <c r="G24" s="365">
        <v>4362631.47</v>
      </c>
      <c r="H24" s="365">
        <v>230453.52</v>
      </c>
      <c r="I24" s="365">
        <v>7484482.2199999997</v>
      </c>
      <c r="J24" s="158">
        <f t="shared" si="15"/>
        <v>17649767.669999998</v>
      </c>
      <c r="K24" s="158">
        <f t="shared" si="3"/>
        <v>77896.405993468084</v>
      </c>
      <c r="L24" s="365">
        <f t="shared" si="8"/>
        <v>44864.001456439219</v>
      </c>
      <c r="M24" s="327"/>
      <c r="N24" s="162">
        <v>226</v>
      </c>
      <c r="O24" s="158">
        <v>227.53</v>
      </c>
      <c r="P24" s="158">
        <v>79909701.299999997</v>
      </c>
      <c r="Q24" s="158">
        <v>7553385.9699999997</v>
      </c>
      <c r="R24" s="158">
        <v>185929.55</v>
      </c>
      <c r="S24" s="158">
        <v>30886645.52</v>
      </c>
      <c r="T24" s="162">
        <f t="shared" si="14"/>
        <v>118535662.33999999</v>
      </c>
      <c r="U24" s="162">
        <f t="shared" si="4"/>
        <v>520967.17944886384</v>
      </c>
      <c r="V24" s="162">
        <f t="shared" si="5"/>
        <v>385219.60541467054</v>
      </c>
    </row>
    <row r="25" spans="1:22" s="163" customFormat="1" ht="17.25" customHeight="1">
      <c r="A25" s="165"/>
      <c r="B25" s="604" t="s">
        <v>56</v>
      </c>
      <c r="C25" s="604"/>
      <c r="D25" s="166">
        <f>+D26+D27+D28+D29</f>
        <v>4111</v>
      </c>
      <c r="E25" s="162">
        <f>+E26+E27+E28+E29</f>
        <v>3187.6</v>
      </c>
      <c r="F25" s="162">
        <f t="shared" ref="F25:J25" si="26">+F26+F27+F28+F29</f>
        <v>22081262.888123449</v>
      </c>
      <c r="G25" s="162">
        <f t="shared" si="26"/>
        <v>21678345.306226674</v>
      </c>
      <c r="H25" s="162">
        <f t="shared" si="26"/>
        <v>3414130.6827611597</v>
      </c>
      <c r="I25" s="162">
        <f t="shared" si="26"/>
        <v>21311019.039943259</v>
      </c>
      <c r="J25" s="162">
        <f t="shared" si="26"/>
        <v>68484757.917054534</v>
      </c>
      <c r="K25" s="158">
        <f t="shared" si="3"/>
        <v>21484.740217422052</v>
      </c>
      <c r="L25" s="365">
        <f t="shared" si="8"/>
        <v>14799.140066856346</v>
      </c>
      <c r="M25" s="162"/>
      <c r="N25" s="162" t="e">
        <f>+N26+#REF!+N27+N28</f>
        <v>#REF!</v>
      </c>
      <c r="O25" s="162" t="e">
        <f>+O26+#REF!+O27+O28</f>
        <v>#REF!</v>
      </c>
      <c r="P25" s="162" t="e">
        <f>+P26+#REF!+P27+P28</f>
        <v>#REF!</v>
      </c>
      <c r="Q25" s="162" t="e">
        <f>+Q26+#REF!+Q27+Q28</f>
        <v>#REF!</v>
      </c>
      <c r="R25" s="162" t="e">
        <f>+R26+#REF!+R27+R28</f>
        <v>#REF!</v>
      </c>
      <c r="S25" s="162" t="e">
        <f>+S26+#REF!+S27+S28</f>
        <v>#REF!</v>
      </c>
      <c r="T25" s="162" t="e">
        <f>+T26+#REF!+T27+T28</f>
        <v>#REF!</v>
      </c>
      <c r="U25" s="162" t="e">
        <f t="shared" si="4"/>
        <v>#REF!</v>
      </c>
      <c r="V25" s="162" t="e">
        <f t="shared" si="5"/>
        <v>#REF!</v>
      </c>
    </row>
    <row r="26" spans="1:22" s="163" customFormat="1" ht="17.25" customHeight="1">
      <c r="A26" s="158"/>
      <c r="B26" s="162"/>
      <c r="C26" s="327" t="s">
        <v>57</v>
      </c>
      <c r="D26" s="167">
        <v>2989</v>
      </c>
      <c r="E26" s="365">
        <v>2352.6999999999998</v>
      </c>
      <c r="F26" s="365">
        <v>11115015.060733907</v>
      </c>
      <c r="G26" s="365">
        <v>14603775.419708636</v>
      </c>
      <c r="H26" s="365">
        <v>2557701.5406452296</v>
      </c>
      <c r="I26" s="365">
        <v>12287151.351836244</v>
      </c>
      <c r="J26" s="158">
        <f>SUM(F26:I26)</f>
        <v>40563643.372924015</v>
      </c>
      <c r="K26" s="158">
        <f t="shared" si="3"/>
        <v>17241.315668348714</v>
      </c>
      <c r="L26" s="365">
        <f t="shared" si="8"/>
        <v>12018.741029917872</v>
      </c>
      <c r="M26" s="327"/>
      <c r="N26" s="162">
        <v>2493</v>
      </c>
      <c r="O26" s="158">
        <v>2054.65</v>
      </c>
      <c r="P26" s="158">
        <v>76372962.540000007</v>
      </c>
      <c r="Q26" s="158">
        <v>27835413.969999999</v>
      </c>
      <c r="R26" s="158">
        <v>1677854.88</v>
      </c>
      <c r="S26" s="158">
        <v>35704034.799999997</v>
      </c>
      <c r="T26" s="162">
        <f>SUM(P26:S26)</f>
        <v>141590266.19</v>
      </c>
      <c r="U26" s="162">
        <f t="shared" si="4"/>
        <v>68912.109697515392</v>
      </c>
      <c r="V26" s="162">
        <f t="shared" si="5"/>
        <v>51534.923899447589</v>
      </c>
    </row>
    <row r="27" spans="1:22" s="163" customFormat="1" ht="17.25" customHeight="1">
      <c r="A27" s="158"/>
      <c r="B27" s="162"/>
      <c r="C27" s="327" t="s">
        <v>59</v>
      </c>
      <c r="D27" s="167">
        <v>547</v>
      </c>
      <c r="E27" s="365">
        <v>424.42</v>
      </c>
      <c r="F27" s="365">
        <v>6331065.0499999998</v>
      </c>
      <c r="G27" s="365">
        <v>3353401.43</v>
      </c>
      <c r="H27" s="365">
        <v>431675.71</v>
      </c>
      <c r="I27" s="365">
        <v>7617415.9000000004</v>
      </c>
      <c r="J27" s="158">
        <f t="shared" ref="J27:J33" si="27">SUM(F27:I27)</f>
        <v>17733558.090000004</v>
      </c>
      <c r="K27" s="158">
        <f t="shared" si="3"/>
        <v>41783.040596578867</v>
      </c>
      <c r="L27" s="365">
        <f t="shared" si="8"/>
        <v>23835.215564770748</v>
      </c>
      <c r="M27" s="327"/>
      <c r="N27" s="162">
        <v>542</v>
      </c>
      <c r="O27" s="158">
        <v>371.34</v>
      </c>
      <c r="P27" s="158">
        <v>86485832.079999998</v>
      </c>
      <c r="Q27" s="158">
        <v>7001349.29</v>
      </c>
      <c r="R27" s="158">
        <v>303446.03999999998</v>
      </c>
      <c r="S27" s="158">
        <v>32939966.719999999</v>
      </c>
      <c r="T27" s="162">
        <f t="shared" si="14"/>
        <v>126730594.13000001</v>
      </c>
      <c r="U27" s="162">
        <f t="shared" si="4"/>
        <v>341279.13537458936</v>
      </c>
      <c r="V27" s="162">
        <f t="shared" si="5"/>
        <v>252573.45669736635</v>
      </c>
    </row>
    <row r="28" spans="1:22" s="163" customFormat="1" ht="17.25" customHeight="1">
      <c r="A28" s="158"/>
      <c r="B28" s="162"/>
      <c r="C28" s="327" t="s">
        <v>60</v>
      </c>
      <c r="D28" s="167">
        <v>155</v>
      </c>
      <c r="E28" s="365">
        <v>103.6</v>
      </c>
      <c r="F28" s="365">
        <v>1738085.4373895419</v>
      </c>
      <c r="G28" s="365">
        <v>175264.42651803812</v>
      </c>
      <c r="H28" s="365">
        <v>112627.14211593027</v>
      </c>
      <c r="I28" s="365">
        <v>956018.52810701251</v>
      </c>
      <c r="J28" s="158">
        <f t="shared" si="27"/>
        <v>2981995.534130523</v>
      </c>
      <c r="K28" s="158">
        <f t="shared" si="3"/>
        <v>28783.740676935551</v>
      </c>
      <c r="L28" s="365">
        <f t="shared" si="8"/>
        <v>19555.76260640454</v>
      </c>
      <c r="M28" s="327"/>
      <c r="N28" s="162">
        <v>216</v>
      </c>
      <c r="O28" s="158">
        <v>123.77</v>
      </c>
      <c r="P28" s="158">
        <v>15370932.880000001</v>
      </c>
      <c r="Q28" s="158">
        <v>1578390.22</v>
      </c>
      <c r="R28" s="158">
        <v>131487.41</v>
      </c>
      <c r="S28" s="158">
        <v>3882812.71</v>
      </c>
      <c r="T28" s="162">
        <f>SUM(P28:S28)</f>
        <v>20963623.220000003</v>
      </c>
      <c r="U28" s="162">
        <f t="shared" si="4"/>
        <v>169375.64207804803</v>
      </c>
      <c r="V28" s="162">
        <f t="shared" si="5"/>
        <v>138004.44784681266</v>
      </c>
    </row>
    <row r="29" spans="1:22" s="163" customFormat="1" ht="17.25" customHeight="1">
      <c r="A29" s="158"/>
      <c r="B29" s="162"/>
      <c r="C29" s="327" t="s">
        <v>334</v>
      </c>
      <c r="D29" s="167">
        <v>420</v>
      </c>
      <c r="E29" s="365">
        <v>306.88</v>
      </c>
      <c r="F29" s="365">
        <v>2897097.34</v>
      </c>
      <c r="G29" s="365">
        <v>3545904.03</v>
      </c>
      <c r="H29" s="365">
        <v>312126.28999999998</v>
      </c>
      <c r="I29" s="365">
        <v>450433.26</v>
      </c>
      <c r="J29" s="158">
        <f t="shared" si="27"/>
        <v>7205560.919999999</v>
      </c>
      <c r="K29" s="158"/>
      <c r="L29" s="365">
        <f t="shared" si="8"/>
        <v>22012.277307090717</v>
      </c>
      <c r="M29" s="327"/>
      <c r="N29" s="162"/>
      <c r="O29" s="158"/>
      <c r="P29" s="158"/>
      <c r="Q29" s="158"/>
      <c r="R29" s="158"/>
      <c r="S29" s="158"/>
      <c r="T29" s="162"/>
      <c r="U29" s="162"/>
      <c r="V29" s="162"/>
    </row>
    <row r="30" spans="1:22" s="163" customFormat="1" ht="17.25" customHeight="1">
      <c r="A30" s="158"/>
      <c r="B30" s="168" t="s">
        <v>143</v>
      </c>
      <c r="C30" s="168"/>
      <c r="D30" s="166">
        <f>+D31</f>
        <v>1154</v>
      </c>
      <c r="E30" s="162">
        <f>+E31</f>
        <v>948.16</v>
      </c>
      <c r="F30" s="162">
        <f t="shared" ref="F30:J30" si="28">+F31</f>
        <v>7390478.71</v>
      </c>
      <c r="G30" s="162">
        <f t="shared" si="28"/>
        <v>4230500.1100000003</v>
      </c>
      <c r="H30" s="162">
        <f t="shared" si="28"/>
        <v>1030777.52</v>
      </c>
      <c r="I30" s="162">
        <f t="shared" si="28"/>
        <v>5856071.3700000001</v>
      </c>
      <c r="J30" s="162">
        <f t="shared" si="28"/>
        <v>18507827.710000001</v>
      </c>
      <c r="K30" s="158">
        <f t="shared" si="3"/>
        <v>19519.730541258861</v>
      </c>
      <c r="L30" s="365">
        <f t="shared" si="8"/>
        <v>13343.482471312858</v>
      </c>
      <c r="M30" s="162"/>
      <c r="N30" s="162">
        <f t="shared" ref="N30:T30" si="29">+N31</f>
        <v>1104</v>
      </c>
      <c r="O30" s="162">
        <f t="shared" si="29"/>
        <v>926.33</v>
      </c>
      <c r="P30" s="162">
        <f t="shared" si="29"/>
        <v>47706787.560000002</v>
      </c>
      <c r="Q30" s="162">
        <f t="shared" si="29"/>
        <v>10001557.83</v>
      </c>
      <c r="R30" s="162">
        <f t="shared" si="29"/>
        <v>756964.43</v>
      </c>
      <c r="S30" s="162">
        <f t="shared" si="29"/>
        <v>16130412.73</v>
      </c>
      <c r="T30" s="162">
        <f t="shared" si="29"/>
        <v>74595722.549999997</v>
      </c>
      <c r="U30" s="162">
        <f t="shared" si="4"/>
        <v>80528.237831010541</v>
      </c>
      <c r="V30" s="162">
        <f t="shared" si="5"/>
        <v>63114.991223430094</v>
      </c>
    </row>
    <row r="31" spans="1:22" s="163" customFormat="1" ht="17.25" customHeight="1">
      <c r="A31" s="158"/>
      <c r="B31" s="162"/>
      <c r="C31" s="327" t="s">
        <v>58</v>
      </c>
      <c r="D31" s="167">
        <v>1154</v>
      </c>
      <c r="E31" s="365">
        <v>948.16</v>
      </c>
      <c r="F31" s="365">
        <v>7390478.71</v>
      </c>
      <c r="G31" s="365">
        <v>4230500.1100000003</v>
      </c>
      <c r="H31" s="365">
        <v>1030777.52</v>
      </c>
      <c r="I31" s="365">
        <v>5856071.3700000001</v>
      </c>
      <c r="J31" s="158">
        <f t="shared" si="27"/>
        <v>18507827.710000001</v>
      </c>
      <c r="K31" s="158">
        <f t="shared" si="3"/>
        <v>19519.730541258861</v>
      </c>
      <c r="L31" s="365">
        <f t="shared" si="8"/>
        <v>13343.482471312858</v>
      </c>
      <c r="M31" s="327"/>
      <c r="N31" s="162">
        <v>1104</v>
      </c>
      <c r="O31" s="158">
        <v>926.33</v>
      </c>
      <c r="P31" s="158">
        <v>47706787.560000002</v>
      </c>
      <c r="Q31" s="158">
        <v>10001557.83</v>
      </c>
      <c r="R31" s="158">
        <v>756964.43</v>
      </c>
      <c r="S31" s="158">
        <v>16130412.73</v>
      </c>
      <c r="T31" s="162">
        <f>SUM(P31:S31)</f>
        <v>74595722.549999997</v>
      </c>
      <c r="U31" s="162">
        <f t="shared" si="4"/>
        <v>80528.237831010541</v>
      </c>
      <c r="V31" s="162">
        <f t="shared" si="5"/>
        <v>63114.991223430094</v>
      </c>
    </row>
    <row r="32" spans="1:22" s="163" customFormat="1" ht="17.25" customHeight="1">
      <c r="A32" s="165"/>
      <c r="B32" s="604" t="s">
        <v>46</v>
      </c>
      <c r="C32" s="604"/>
      <c r="D32" s="166">
        <f>+D33</f>
        <v>856</v>
      </c>
      <c r="E32" s="162">
        <f>+E33</f>
        <v>634.49</v>
      </c>
      <c r="F32" s="162">
        <f t="shared" ref="F32:J32" si="30">+F33</f>
        <v>5079902.4800000004</v>
      </c>
      <c r="G32" s="162">
        <f t="shared" si="30"/>
        <v>2379878.6</v>
      </c>
      <c r="H32" s="162">
        <f t="shared" si="30"/>
        <v>689776.02</v>
      </c>
      <c r="I32" s="162">
        <f t="shared" si="30"/>
        <v>2022560.81</v>
      </c>
      <c r="J32" s="162">
        <f t="shared" si="30"/>
        <v>10172117.91</v>
      </c>
      <c r="K32" s="158">
        <f t="shared" si="3"/>
        <v>16031.959384702675</v>
      </c>
      <c r="L32" s="365">
        <f t="shared" si="8"/>
        <v>12844.264054595029</v>
      </c>
      <c r="M32" s="162"/>
      <c r="N32" s="162">
        <f t="shared" ref="N32:T32" si="31">+N33</f>
        <v>822</v>
      </c>
      <c r="O32" s="162">
        <f t="shared" si="31"/>
        <v>669.54</v>
      </c>
      <c r="P32" s="162">
        <f t="shared" si="31"/>
        <v>31683677.359999999</v>
      </c>
      <c r="Q32" s="162">
        <f t="shared" si="31"/>
        <v>8446445.7799999993</v>
      </c>
      <c r="R32" s="162">
        <f t="shared" si="31"/>
        <v>547124.64</v>
      </c>
      <c r="S32" s="162">
        <f t="shared" si="31"/>
        <v>9125654.4600000009</v>
      </c>
      <c r="T32" s="162">
        <f t="shared" si="31"/>
        <v>49802902.240000002</v>
      </c>
      <c r="U32" s="162">
        <f t="shared" si="4"/>
        <v>74383.759357170595</v>
      </c>
      <c r="V32" s="162">
        <f t="shared" si="5"/>
        <v>60754.021835887332</v>
      </c>
    </row>
    <row r="33" spans="1:22" s="163" customFormat="1" ht="17.25" customHeight="1">
      <c r="A33" s="165"/>
      <c r="B33" s="162"/>
      <c r="C33" s="158" t="s">
        <v>47</v>
      </c>
      <c r="D33" s="164">
        <v>856</v>
      </c>
      <c r="E33" s="158">
        <v>634.49</v>
      </c>
      <c r="F33" s="158">
        <v>5079902.4800000004</v>
      </c>
      <c r="G33" s="158">
        <v>2379878.6</v>
      </c>
      <c r="H33" s="158">
        <v>689776.02</v>
      </c>
      <c r="I33" s="158">
        <v>2022560.81</v>
      </c>
      <c r="J33" s="158">
        <f t="shared" si="27"/>
        <v>10172117.91</v>
      </c>
      <c r="K33" s="158">
        <f t="shared" si="3"/>
        <v>16031.959384702675</v>
      </c>
      <c r="L33" s="365">
        <f t="shared" si="8"/>
        <v>12844.264054595029</v>
      </c>
      <c r="M33" s="158"/>
      <c r="N33" s="162">
        <v>822</v>
      </c>
      <c r="O33" s="158">
        <v>669.54</v>
      </c>
      <c r="P33" s="158">
        <v>31683677.359999999</v>
      </c>
      <c r="Q33" s="158">
        <v>8446445.7799999993</v>
      </c>
      <c r="R33" s="158">
        <v>547124.64</v>
      </c>
      <c r="S33" s="158">
        <v>9125654.4600000009</v>
      </c>
      <c r="T33" s="162">
        <f>SUM(P33:S33)</f>
        <v>49802902.240000002</v>
      </c>
      <c r="U33" s="162">
        <f t="shared" si="4"/>
        <v>74383.759357170595</v>
      </c>
      <c r="V33" s="162">
        <f t="shared" si="5"/>
        <v>60754.021835887332</v>
      </c>
    </row>
    <row r="34" spans="1:22" s="169" customFormat="1" ht="17.25" customHeight="1">
      <c r="A34" s="616" t="s">
        <v>127</v>
      </c>
      <c r="B34" s="617"/>
      <c r="C34" s="618"/>
      <c r="D34" s="159">
        <f t="shared" ref="D34" si="32">+D35+D38</f>
        <v>50</v>
      </c>
      <c r="E34" s="157">
        <f>+E35+E38</f>
        <v>33.67</v>
      </c>
      <c r="F34" s="157">
        <f t="shared" ref="F34:J34" si="33">+F35+F38</f>
        <v>206656.63390678534</v>
      </c>
      <c r="G34" s="157">
        <f t="shared" si="33"/>
        <v>223038.20669136901</v>
      </c>
      <c r="H34" s="157">
        <f t="shared" si="33"/>
        <v>35841.09680901892</v>
      </c>
      <c r="I34" s="157">
        <f t="shared" si="33"/>
        <v>176216.79787995838</v>
      </c>
      <c r="J34" s="157">
        <f t="shared" si="33"/>
        <v>641752.73528713163</v>
      </c>
      <c r="K34" s="157">
        <f t="shared" si="3"/>
        <v>19060.075298103107</v>
      </c>
      <c r="L34" s="365">
        <f t="shared" si="8"/>
        <v>13826.431167424213</v>
      </c>
      <c r="M34" s="157"/>
      <c r="N34" s="157" t="e">
        <f t="shared" ref="N34:T34" si="34">+N35+N38</f>
        <v>#REF!</v>
      </c>
      <c r="O34" s="157" t="e">
        <f t="shared" si="34"/>
        <v>#REF!</v>
      </c>
      <c r="P34" s="157" t="e">
        <f t="shared" si="34"/>
        <v>#REF!</v>
      </c>
      <c r="Q34" s="157" t="e">
        <f t="shared" si="34"/>
        <v>#REF!</v>
      </c>
      <c r="R34" s="157" t="e">
        <f t="shared" si="34"/>
        <v>#REF!</v>
      </c>
      <c r="S34" s="157" t="e">
        <f t="shared" si="34"/>
        <v>#REF!</v>
      </c>
      <c r="T34" s="157" t="e">
        <f t="shared" si="34"/>
        <v>#REF!</v>
      </c>
      <c r="U34" s="326" t="e">
        <f t="shared" si="4"/>
        <v>#REF!</v>
      </c>
      <c r="V34" s="326" t="e">
        <f t="shared" si="5"/>
        <v>#REF!</v>
      </c>
    </row>
    <row r="35" spans="1:22" s="170" customFormat="1" ht="17.25" customHeight="1">
      <c r="A35" s="605" t="s">
        <v>107</v>
      </c>
      <c r="B35" s="605"/>
      <c r="C35" s="605"/>
      <c r="D35" s="164">
        <f t="shared" ref="D35:D36" si="35">+D36</f>
        <v>8</v>
      </c>
      <c r="E35" s="158">
        <f>+E36</f>
        <v>7.33</v>
      </c>
      <c r="F35" s="158">
        <f t="shared" ref="F35:J35" si="36">+F36</f>
        <v>18292.515159778137</v>
      </c>
      <c r="G35" s="158">
        <f t="shared" si="36"/>
        <v>25834.712149913259</v>
      </c>
      <c r="H35" s="158">
        <f t="shared" si="36"/>
        <v>7968.6964746500425</v>
      </c>
      <c r="I35" s="158">
        <f t="shared" si="36"/>
        <v>29205.880827205572</v>
      </c>
      <c r="J35" s="158">
        <f t="shared" si="36"/>
        <v>81301.804611547021</v>
      </c>
      <c r="K35" s="158">
        <f t="shared" si="3"/>
        <v>11091.651379474355</v>
      </c>
      <c r="L35" s="365">
        <f t="shared" si="8"/>
        <v>7107.2201615745489</v>
      </c>
      <c r="M35" s="158"/>
      <c r="N35" s="158">
        <f>+N36</f>
        <v>47</v>
      </c>
      <c r="O35" s="158">
        <f>+O36</f>
        <v>37.06</v>
      </c>
      <c r="P35" s="158">
        <f t="shared" ref="P35:T36" si="37">+P36</f>
        <v>495056.69</v>
      </c>
      <c r="Q35" s="158">
        <f t="shared" si="37"/>
        <v>310293.46999999997</v>
      </c>
      <c r="R35" s="158">
        <f t="shared" si="37"/>
        <v>32165.75</v>
      </c>
      <c r="S35" s="158">
        <f t="shared" si="37"/>
        <v>248033.05</v>
      </c>
      <c r="T35" s="158">
        <f t="shared" si="37"/>
        <v>1085548.96</v>
      </c>
      <c r="U35" s="162">
        <f t="shared" si="4"/>
        <v>29291.661090124122</v>
      </c>
      <c r="V35" s="162">
        <f t="shared" si="5"/>
        <v>22598.918240690768</v>
      </c>
    </row>
    <row r="36" spans="1:22" s="170" customFormat="1" ht="17.25" customHeight="1">
      <c r="A36" s="162"/>
      <c r="B36" s="610" t="s">
        <v>43</v>
      </c>
      <c r="C36" s="611"/>
      <c r="D36" s="166">
        <f t="shared" si="35"/>
        <v>8</v>
      </c>
      <c r="E36" s="162">
        <f>+E37</f>
        <v>7.33</v>
      </c>
      <c r="F36" s="162">
        <f t="shared" ref="F36:J36" si="38">+F37</f>
        <v>18292.515159778137</v>
      </c>
      <c r="G36" s="162">
        <f t="shared" si="38"/>
        <v>25834.712149913259</v>
      </c>
      <c r="H36" s="162">
        <f t="shared" si="38"/>
        <v>7968.6964746500425</v>
      </c>
      <c r="I36" s="162">
        <f t="shared" si="38"/>
        <v>29205.880827205572</v>
      </c>
      <c r="J36" s="162">
        <f t="shared" si="38"/>
        <v>81301.804611547021</v>
      </c>
      <c r="K36" s="158">
        <f t="shared" si="3"/>
        <v>11091.651379474355</v>
      </c>
      <c r="L36" s="365">
        <f t="shared" si="8"/>
        <v>7107.2201615745489</v>
      </c>
      <c r="M36" s="162"/>
      <c r="N36" s="162">
        <f>+N37</f>
        <v>47</v>
      </c>
      <c r="O36" s="162">
        <f>+O37</f>
        <v>37.06</v>
      </c>
      <c r="P36" s="162">
        <f t="shared" si="37"/>
        <v>495056.69</v>
      </c>
      <c r="Q36" s="162">
        <f t="shared" si="37"/>
        <v>310293.46999999997</v>
      </c>
      <c r="R36" s="162">
        <f t="shared" si="37"/>
        <v>32165.75</v>
      </c>
      <c r="S36" s="162">
        <f t="shared" si="37"/>
        <v>248033.05</v>
      </c>
      <c r="T36" s="162">
        <f t="shared" si="37"/>
        <v>1085548.96</v>
      </c>
      <c r="U36" s="162">
        <f t="shared" si="4"/>
        <v>29291.661090124122</v>
      </c>
      <c r="V36" s="162">
        <f t="shared" si="5"/>
        <v>22598.918240690768</v>
      </c>
    </row>
    <row r="37" spans="1:22" s="170" customFormat="1" ht="17.25" customHeight="1">
      <c r="A37" s="162"/>
      <c r="B37" s="327"/>
      <c r="C37" s="158" t="s">
        <v>139</v>
      </c>
      <c r="D37" s="164">
        <v>8</v>
      </c>
      <c r="E37" s="158">
        <v>7.33</v>
      </c>
      <c r="F37" s="158">
        <v>18292.515159778137</v>
      </c>
      <c r="G37" s="158">
        <v>25834.712149913259</v>
      </c>
      <c r="H37" s="158">
        <v>7968.6964746500425</v>
      </c>
      <c r="I37" s="158">
        <v>29205.880827205572</v>
      </c>
      <c r="J37" s="158">
        <f>SUM(F37:I37)</f>
        <v>81301.804611547021</v>
      </c>
      <c r="K37" s="158">
        <f t="shared" si="3"/>
        <v>11091.651379474355</v>
      </c>
      <c r="L37" s="365">
        <f t="shared" si="8"/>
        <v>7107.2201615745489</v>
      </c>
      <c r="M37" s="158"/>
      <c r="N37" s="162">
        <v>47</v>
      </c>
      <c r="O37" s="158">
        <v>37.06</v>
      </c>
      <c r="P37" s="158">
        <v>495056.69</v>
      </c>
      <c r="Q37" s="158">
        <v>310293.46999999997</v>
      </c>
      <c r="R37" s="158">
        <v>32165.75</v>
      </c>
      <c r="S37" s="158">
        <v>248033.05</v>
      </c>
      <c r="T37" s="162">
        <f>SUM(P37:S37)</f>
        <v>1085548.96</v>
      </c>
      <c r="U37" s="162">
        <f t="shared" si="4"/>
        <v>29291.661090124122</v>
      </c>
      <c r="V37" s="162">
        <f t="shared" si="5"/>
        <v>22598.918240690768</v>
      </c>
    </row>
    <row r="38" spans="1:22" s="170" customFormat="1" ht="17.25" customHeight="1">
      <c r="A38" s="605" t="s">
        <v>108</v>
      </c>
      <c r="B38" s="605"/>
      <c r="C38" s="605"/>
      <c r="D38" s="166">
        <f>+D39+D41+D43</f>
        <v>42</v>
      </c>
      <c r="E38" s="162">
        <f>+E39+E41+E43</f>
        <v>26.34</v>
      </c>
      <c r="F38" s="162">
        <f t="shared" ref="F38:J38" si="39">+F39+F41+F43</f>
        <v>188364.11874700722</v>
      </c>
      <c r="G38" s="162">
        <f t="shared" si="39"/>
        <v>197203.49454145576</v>
      </c>
      <c r="H38" s="162">
        <f t="shared" si="39"/>
        <v>27872.400334368875</v>
      </c>
      <c r="I38" s="162">
        <f t="shared" si="39"/>
        <v>147010.9170527528</v>
      </c>
      <c r="J38" s="162">
        <f t="shared" si="39"/>
        <v>560450.93067558459</v>
      </c>
      <c r="K38" s="158">
        <f t="shared" si="3"/>
        <v>21277.560010462588</v>
      </c>
      <c r="L38" s="365">
        <f t="shared" si="8"/>
        <v>15696.279940122697</v>
      </c>
      <c r="M38" s="162"/>
      <c r="N38" s="162" t="e">
        <f t="shared" ref="N38:T38" si="40">+N39+N41+N43</f>
        <v>#REF!</v>
      </c>
      <c r="O38" s="162" t="e">
        <f t="shared" si="40"/>
        <v>#REF!</v>
      </c>
      <c r="P38" s="162" t="e">
        <f t="shared" si="40"/>
        <v>#REF!</v>
      </c>
      <c r="Q38" s="162" t="e">
        <f t="shared" si="40"/>
        <v>#REF!</v>
      </c>
      <c r="R38" s="162" t="e">
        <f t="shared" si="40"/>
        <v>#REF!</v>
      </c>
      <c r="S38" s="162" t="e">
        <f t="shared" si="40"/>
        <v>#REF!</v>
      </c>
      <c r="T38" s="162" t="e">
        <f t="shared" si="40"/>
        <v>#REF!</v>
      </c>
      <c r="U38" s="162" t="e">
        <f t="shared" si="4"/>
        <v>#REF!</v>
      </c>
      <c r="V38" s="162" t="e">
        <f t="shared" si="5"/>
        <v>#REF!</v>
      </c>
    </row>
    <row r="39" spans="1:22" s="170" customFormat="1" ht="17.25" customHeight="1">
      <c r="A39" s="165"/>
      <c r="B39" s="604" t="s">
        <v>50</v>
      </c>
      <c r="C39" s="604"/>
      <c r="D39" s="166">
        <f t="shared" ref="D39:E39" si="41">+D40</f>
        <v>13</v>
      </c>
      <c r="E39" s="162">
        <f t="shared" si="41"/>
        <v>7.56</v>
      </c>
      <c r="F39" s="162">
        <f t="shared" ref="F39" si="42">+F40</f>
        <v>63491.963780304708</v>
      </c>
      <c r="G39" s="162">
        <f t="shared" ref="G39" si="43">+G40</f>
        <v>56293.939068657688</v>
      </c>
      <c r="H39" s="162">
        <f t="shared" ref="H39" si="44">+H40</f>
        <v>7689.2426606454928</v>
      </c>
      <c r="I39" s="162">
        <f t="shared" ref="I39" si="45">+I40</f>
        <v>44324.007847391149</v>
      </c>
      <c r="J39" s="162">
        <f t="shared" ref="J39" si="46">+J40</f>
        <v>171799.15335699904</v>
      </c>
      <c r="K39" s="162">
        <f t="shared" ref="K39" si="47">+K40</f>
        <v>22724.755735052786</v>
      </c>
      <c r="L39" s="365">
        <f t="shared" si="8"/>
        <v>16861.791734075119</v>
      </c>
      <c r="M39" s="162"/>
      <c r="N39" s="162" t="e">
        <f>+N40+#REF!</f>
        <v>#REF!</v>
      </c>
      <c r="O39" s="162" t="e">
        <f>+O40+#REF!</f>
        <v>#REF!</v>
      </c>
      <c r="P39" s="162" t="e">
        <f>+P40+#REF!</f>
        <v>#REF!</v>
      </c>
      <c r="Q39" s="162" t="e">
        <f>+Q40+#REF!</f>
        <v>#REF!</v>
      </c>
      <c r="R39" s="162" t="e">
        <f>+R40+#REF!</f>
        <v>#REF!</v>
      </c>
      <c r="S39" s="162" t="e">
        <f>+S40+#REF!</f>
        <v>#REF!</v>
      </c>
      <c r="T39" s="162" t="e">
        <f>+T40+#REF!</f>
        <v>#REF!</v>
      </c>
      <c r="U39" s="162" t="e">
        <f t="shared" si="4"/>
        <v>#REF!</v>
      </c>
      <c r="V39" s="162" t="e">
        <f t="shared" si="5"/>
        <v>#REF!</v>
      </c>
    </row>
    <row r="40" spans="1:22" s="170" customFormat="1" ht="17.25" customHeight="1">
      <c r="A40" s="165"/>
      <c r="B40" s="327"/>
      <c r="C40" s="327" t="s">
        <v>140</v>
      </c>
      <c r="D40" s="167">
        <f>10+3</f>
        <v>13</v>
      </c>
      <c r="E40" s="365">
        <f>1.5+6.06</f>
        <v>7.56</v>
      </c>
      <c r="F40" s="365">
        <v>63491.963780304708</v>
      </c>
      <c r="G40" s="365">
        <v>56293.939068657688</v>
      </c>
      <c r="H40" s="365">
        <v>7689.2426606454928</v>
      </c>
      <c r="I40" s="365">
        <v>44324.007847391149</v>
      </c>
      <c r="J40" s="158">
        <f t="shared" ref="J40:J44" si="48">SUM(F40:I40)</f>
        <v>171799.15335699904</v>
      </c>
      <c r="K40" s="158">
        <f t="shared" si="3"/>
        <v>22724.755735052786</v>
      </c>
      <c r="L40" s="365">
        <f t="shared" si="8"/>
        <v>16861.791734075119</v>
      </c>
      <c r="M40" s="327"/>
      <c r="N40" s="162">
        <v>12</v>
      </c>
      <c r="O40" s="158">
        <v>6.72</v>
      </c>
      <c r="P40" s="158">
        <v>527839.5</v>
      </c>
      <c r="Q40" s="158">
        <v>106691.2</v>
      </c>
      <c r="R40" s="158">
        <v>6624.7</v>
      </c>
      <c r="S40" s="158">
        <v>178482.32</v>
      </c>
      <c r="T40" s="162">
        <f>SUM(P40:S40)</f>
        <v>819637.72</v>
      </c>
      <c r="U40" s="162">
        <f t="shared" si="4"/>
        <v>121969.89880952382</v>
      </c>
      <c r="V40" s="162">
        <f t="shared" si="5"/>
        <v>95410.029761904749</v>
      </c>
    </row>
    <row r="41" spans="1:22" s="170" customFormat="1" ht="17.25" customHeight="1">
      <c r="A41" s="165"/>
      <c r="B41" s="604" t="s">
        <v>53</v>
      </c>
      <c r="C41" s="604"/>
      <c r="D41" s="166">
        <f t="shared" ref="D41:T41" si="49">+D42</f>
        <v>6</v>
      </c>
      <c r="E41" s="162">
        <f>+E42</f>
        <v>3.33</v>
      </c>
      <c r="F41" s="162">
        <f t="shared" ref="F41:J41" si="50">+F42</f>
        <v>51880.70570060872</v>
      </c>
      <c r="G41" s="162">
        <f t="shared" si="50"/>
        <v>45007.685181431356</v>
      </c>
      <c r="H41" s="162">
        <f t="shared" si="50"/>
        <v>3386.928318952781</v>
      </c>
      <c r="I41" s="162">
        <f t="shared" si="50"/>
        <v>21998.131041605113</v>
      </c>
      <c r="J41" s="162">
        <f t="shared" si="50"/>
        <v>122273.45024259797</v>
      </c>
      <c r="K41" s="158">
        <f t="shared" si="3"/>
        <v>36718.753826606</v>
      </c>
      <c r="L41" s="365">
        <f t="shared" si="8"/>
        <v>30112.708468766625</v>
      </c>
      <c r="M41" s="162"/>
      <c r="N41" s="162">
        <f t="shared" si="49"/>
        <v>14</v>
      </c>
      <c r="O41" s="162">
        <f t="shared" si="49"/>
        <v>4.5</v>
      </c>
      <c r="P41" s="162">
        <f t="shared" si="49"/>
        <v>938131.83</v>
      </c>
      <c r="Q41" s="162">
        <f t="shared" si="49"/>
        <v>92604.7</v>
      </c>
      <c r="R41" s="162">
        <f t="shared" si="49"/>
        <v>8502.27</v>
      </c>
      <c r="S41" s="162">
        <f t="shared" si="49"/>
        <v>121048.23</v>
      </c>
      <c r="T41" s="162">
        <f t="shared" si="49"/>
        <v>1160287.03</v>
      </c>
      <c r="U41" s="162">
        <f t="shared" si="4"/>
        <v>257841.56222222222</v>
      </c>
      <c r="V41" s="162">
        <f t="shared" si="5"/>
        <v>230941.95555555553</v>
      </c>
    </row>
    <row r="42" spans="1:22" s="170" customFormat="1" ht="17.25" customHeight="1">
      <c r="A42" s="165"/>
      <c r="B42" s="162"/>
      <c r="C42" s="327" t="s">
        <v>55</v>
      </c>
      <c r="D42" s="167">
        <v>6</v>
      </c>
      <c r="E42" s="365">
        <v>3.33</v>
      </c>
      <c r="F42" s="365">
        <v>51880.70570060872</v>
      </c>
      <c r="G42" s="365">
        <v>45007.685181431356</v>
      </c>
      <c r="H42" s="365">
        <v>3386.928318952781</v>
      </c>
      <c r="I42" s="365">
        <v>21998.131041605113</v>
      </c>
      <c r="J42" s="158">
        <f t="shared" si="48"/>
        <v>122273.45024259797</v>
      </c>
      <c r="K42" s="158">
        <f t="shared" si="3"/>
        <v>36718.753826606</v>
      </c>
      <c r="L42" s="365">
        <f t="shared" si="8"/>
        <v>30112.708468766625</v>
      </c>
      <c r="M42" s="327"/>
      <c r="N42" s="162">
        <v>14</v>
      </c>
      <c r="O42" s="158">
        <v>4.5</v>
      </c>
      <c r="P42" s="158">
        <v>938131.83</v>
      </c>
      <c r="Q42" s="158">
        <v>92604.7</v>
      </c>
      <c r="R42" s="158">
        <v>8502.27</v>
      </c>
      <c r="S42" s="158">
        <v>121048.23</v>
      </c>
      <c r="T42" s="162">
        <f>SUM(P42:S42)</f>
        <v>1160287.03</v>
      </c>
      <c r="U42" s="162">
        <f t="shared" si="4"/>
        <v>257841.56222222222</v>
      </c>
      <c r="V42" s="162">
        <f t="shared" si="5"/>
        <v>230941.95555555553</v>
      </c>
    </row>
    <row r="43" spans="1:22" s="170" customFormat="1" ht="17.25" customHeight="1">
      <c r="A43" s="165"/>
      <c r="B43" s="604" t="s">
        <v>56</v>
      </c>
      <c r="C43" s="604"/>
      <c r="D43" s="166">
        <f t="shared" ref="D43:T43" si="51">+D44</f>
        <v>23</v>
      </c>
      <c r="E43" s="162">
        <f>+E44</f>
        <v>15.45</v>
      </c>
      <c r="F43" s="162">
        <f t="shared" ref="F43:J43" si="52">+F44</f>
        <v>72991.449266093798</v>
      </c>
      <c r="G43" s="162">
        <f t="shared" si="52"/>
        <v>95901.870291366693</v>
      </c>
      <c r="H43" s="162">
        <f t="shared" si="52"/>
        <v>16796.229354770603</v>
      </c>
      <c r="I43" s="162">
        <f t="shared" si="52"/>
        <v>80688.778163756535</v>
      </c>
      <c r="J43" s="162">
        <f t="shared" si="52"/>
        <v>266378.32707598759</v>
      </c>
      <c r="K43" s="158">
        <f t="shared" si="3"/>
        <v>17241.31566834871</v>
      </c>
      <c r="L43" s="365">
        <f t="shared" si="8"/>
        <v>12018.74102991787</v>
      </c>
      <c r="M43" s="162"/>
      <c r="N43" s="162">
        <f t="shared" si="51"/>
        <v>24</v>
      </c>
      <c r="O43" s="162">
        <f t="shared" si="51"/>
        <v>18.38</v>
      </c>
      <c r="P43" s="162">
        <f t="shared" si="51"/>
        <v>735239.11</v>
      </c>
      <c r="Q43" s="162">
        <f t="shared" si="51"/>
        <v>267970.28999999998</v>
      </c>
      <c r="R43" s="162">
        <f t="shared" si="51"/>
        <v>16152.63</v>
      </c>
      <c r="S43" s="162">
        <f t="shared" si="51"/>
        <v>343721.15</v>
      </c>
      <c r="T43" s="162">
        <f t="shared" si="51"/>
        <v>1363083.18</v>
      </c>
      <c r="U43" s="162">
        <f t="shared" si="4"/>
        <v>74161.217627856371</v>
      </c>
      <c r="V43" s="162">
        <f t="shared" si="5"/>
        <v>55460.393362350376</v>
      </c>
    </row>
    <row r="44" spans="1:22" s="170" customFormat="1" ht="17.25" customHeight="1" thickBot="1">
      <c r="A44" s="171"/>
      <c r="B44" s="172"/>
      <c r="C44" s="173" t="s">
        <v>57</v>
      </c>
      <c r="D44" s="186">
        <v>23</v>
      </c>
      <c r="E44" s="173">
        <v>15.45</v>
      </c>
      <c r="F44" s="365">
        <v>72991.449266093798</v>
      </c>
      <c r="G44" s="365">
        <v>95901.870291366693</v>
      </c>
      <c r="H44" s="365">
        <v>16796.229354770603</v>
      </c>
      <c r="I44" s="365">
        <v>80688.778163756535</v>
      </c>
      <c r="J44" s="158">
        <f t="shared" si="48"/>
        <v>266378.32707598759</v>
      </c>
      <c r="K44" s="174">
        <f t="shared" si="3"/>
        <v>17241.31566834871</v>
      </c>
      <c r="L44" s="173">
        <f t="shared" si="8"/>
        <v>12018.74102991787</v>
      </c>
      <c r="M44" s="173"/>
      <c r="N44" s="172">
        <v>24</v>
      </c>
      <c r="O44" s="174">
        <v>18.38</v>
      </c>
      <c r="P44" s="174">
        <v>735239.11</v>
      </c>
      <c r="Q44" s="174">
        <v>267970.28999999998</v>
      </c>
      <c r="R44" s="174">
        <v>16152.63</v>
      </c>
      <c r="S44" s="174">
        <v>343721.15</v>
      </c>
      <c r="T44" s="172">
        <f>SUM(P44:S44)</f>
        <v>1363083.18</v>
      </c>
      <c r="U44" s="172">
        <f t="shared" si="4"/>
        <v>74161.217627856371</v>
      </c>
      <c r="V44" s="172">
        <f t="shared" si="5"/>
        <v>55460.393362350376</v>
      </c>
    </row>
    <row r="45" spans="1:22" s="169" customFormat="1" ht="17.25" customHeight="1" thickTop="1" thickBot="1">
      <c r="A45" s="615" t="s">
        <v>144</v>
      </c>
      <c r="B45" s="615"/>
      <c r="C45" s="615"/>
      <c r="D45" s="175">
        <f t="shared" ref="D45:J45" si="53">+D4+D8+D34</f>
        <v>17910</v>
      </c>
      <c r="E45" s="176">
        <f t="shared" si="53"/>
        <v>13442.24</v>
      </c>
      <c r="F45" s="176">
        <f t="shared" si="53"/>
        <v>96598108.290000007</v>
      </c>
      <c r="G45" s="176">
        <f t="shared" si="53"/>
        <v>82538997.540000007</v>
      </c>
      <c r="H45" s="176">
        <f t="shared" si="53"/>
        <v>14273730.469999999</v>
      </c>
      <c r="I45" s="176">
        <f t="shared" si="53"/>
        <v>78757627.970000014</v>
      </c>
      <c r="J45" s="176">
        <f t="shared" si="53"/>
        <v>272168464.26999998</v>
      </c>
      <c r="K45" s="188">
        <f t="shared" si="3"/>
        <v>20247.255239454138</v>
      </c>
      <c r="L45" s="206">
        <f t="shared" si="8"/>
        <v>14388.289176506298</v>
      </c>
      <c r="M45" s="176"/>
      <c r="N45" s="176" t="e">
        <f t="shared" ref="N45:T45" si="54">+N4+N8+N34</f>
        <v>#REF!</v>
      </c>
      <c r="O45" s="176" t="e">
        <f t="shared" si="54"/>
        <v>#REF!</v>
      </c>
      <c r="P45" s="176" t="e">
        <f t="shared" si="54"/>
        <v>#REF!</v>
      </c>
      <c r="Q45" s="176" t="e">
        <f t="shared" si="54"/>
        <v>#REF!</v>
      </c>
      <c r="R45" s="176" t="e">
        <f t="shared" si="54"/>
        <v>#REF!</v>
      </c>
      <c r="S45" s="176" t="e">
        <f t="shared" si="54"/>
        <v>#REF!</v>
      </c>
      <c r="T45" s="176" t="e">
        <f t="shared" si="54"/>
        <v>#REF!</v>
      </c>
      <c r="U45" s="329"/>
      <c r="V45" s="329"/>
    </row>
    <row r="46" spans="1:22" s="169" customFormat="1" ht="17.25" customHeight="1" thickTop="1">
      <c r="A46" s="177"/>
      <c r="B46" s="177"/>
      <c r="C46" s="177"/>
      <c r="D46" s="180"/>
      <c r="F46" s="169">
        <f>26198953.51+70399154.78</f>
        <v>96598108.290000007</v>
      </c>
      <c r="G46" s="169">
        <f>29003760.3+53535237.24</f>
        <v>82538997.540000007</v>
      </c>
      <c r="H46" s="169">
        <f>6454619.53+7819110.94</f>
        <v>14273730.470000001</v>
      </c>
      <c r="I46" s="169">
        <f>22023495.53+56734132.44</f>
        <v>78757627.969999999</v>
      </c>
      <c r="J46" s="169">
        <f>SUM(F46:I46)</f>
        <v>272168464.26999998</v>
      </c>
      <c r="K46" s="170"/>
      <c r="U46" s="177"/>
      <c r="V46" s="177"/>
    </row>
    <row r="47" spans="1:22" s="170" customFormat="1" ht="17.25" customHeight="1">
      <c r="A47" s="612" t="s">
        <v>103</v>
      </c>
      <c r="B47" s="612"/>
      <c r="C47" s="612"/>
      <c r="D47" s="612"/>
      <c r="E47" s="612"/>
      <c r="F47" s="612"/>
      <c r="G47" s="612"/>
      <c r="H47" s="612"/>
      <c r="I47" s="612"/>
      <c r="J47" s="612"/>
      <c r="K47" s="612"/>
      <c r="L47" s="612"/>
      <c r="M47" s="612"/>
      <c r="N47" s="612"/>
      <c r="O47" s="612"/>
      <c r="P47" s="612"/>
      <c r="Q47" s="612"/>
      <c r="R47" s="612"/>
      <c r="S47" s="612"/>
      <c r="T47" s="612"/>
      <c r="U47" s="612"/>
    </row>
    <row r="48" spans="1:22" s="170" customFormat="1" ht="18.75">
      <c r="A48" s="612" t="s">
        <v>104</v>
      </c>
      <c r="B48" s="612"/>
      <c r="C48" s="612"/>
      <c r="D48" s="612"/>
      <c r="E48" s="612"/>
      <c r="F48" s="612"/>
      <c r="G48" s="612"/>
      <c r="H48" s="612"/>
      <c r="I48" s="612"/>
      <c r="J48" s="612"/>
      <c r="K48" s="612"/>
      <c r="L48" s="612"/>
      <c r="M48" s="612"/>
      <c r="N48" s="612"/>
      <c r="O48" s="612"/>
      <c r="P48" s="612"/>
      <c r="Q48" s="612"/>
      <c r="R48" s="612"/>
      <c r="S48" s="612"/>
      <c r="T48" s="612"/>
      <c r="U48" s="612"/>
    </row>
    <row r="49" spans="1:21" s="163" customFormat="1" ht="18.75">
      <c r="A49" s="613" t="s">
        <v>102</v>
      </c>
      <c r="B49" s="613"/>
      <c r="C49" s="613"/>
      <c r="D49" s="613"/>
      <c r="E49" s="613"/>
      <c r="F49" s="613"/>
      <c r="G49" s="613"/>
      <c r="H49" s="613"/>
      <c r="I49" s="613"/>
      <c r="J49" s="613"/>
      <c r="K49" s="613"/>
      <c r="L49" s="613"/>
      <c r="M49" s="613"/>
      <c r="N49" s="613"/>
      <c r="O49" s="613"/>
      <c r="P49" s="613"/>
      <c r="Q49" s="613"/>
      <c r="R49" s="613"/>
      <c r="S49" s="613"/>
      <c r="T49" s="613"/>
      <c r="U49" s="613"/>
    </row>
    <row r="50" spans="1:21" s="163" customFormat="1" ht="18.75">
      <c r="A50" s="614"/>
      <c r="B50" s="614"/>
      <c r="C50" s="614"/>
      <c r="D50" s="614"/>
      <c r="E50" s="614"/>
      <c r="F50" s="614"/>
      <c r="G50" s="614"/>
      <c r="H50" s="614"/>
      <c r="I50" s="614"/>
      <c r="J50" s="614"/>
      <c r="K50" s="614"/>
      <c r="L50" s="614"/>
      <c r="M50" s="614"/>
      <c r="N50" s="614"/>
      <c r="O50" s="614"/>
      <c r="P50" s="614"/>
      <c r="Q50" s="614"/>
      <c r="R50" s="614"/>
      <c r="S50" s="614"/>
      <c r="T50" s="614"/>
      <c r="U50" s="614"/>
    </row>
    <row r="51" spans="1:21" ht="18.75">
      <c r="C51" s="86"/>
      <c r="D51" s="87"/>
      <c r="E51" s="36"/>
      <c r="F51" s="36"/>
      <c r="G51" s="36"/>
      <c r="H51" s="36"/>
      <c r="I51" s="36"/>
      <c r="J51" s="86"/>
    </row>
    <row r="52" spans="1:21" ht="18.75">
      <c r="C52" s="86"/>
      <c r="D52" s="87"/>
      <c r="E52" s="36"/>
      <c r="F52" s="36"/>
      <c r="G52" s="36"/>
      <c r="H52" s="36"/>
      <c r="I52" s="36"/>
      <c r="J52" s="36"/>
    </row>
    <row r="53" spans="1:21" ht="18.75">
      <c r="C53" s="86"/>
      <c r="D53" s="87"/>
      <c r="E53" s="36"/>
      <c r="F53" s="36"/>
      <c r="G53" s="36"/>
      <c r="H53" s="36"/>
      <c r="I53" s="36"/>
      <c r="J53" s="36"/>
    </row>
    <row r="54" spans="1:21" ht="18.75">
      <c r="C54" s="86"/>
      <c r="D54" s="87"/>
      <c r="E54" s="36"/>
      <c r="F54" s="36"/>
      <c r="G54" s="36"/>
      <c r="H54" s="36"/>
      <c r="I54" s="36"/>
      <c r="J54" s="36"/>
    </row>
    <row r="55" spans="1:21" ht="18.75">
      <c r="C55" s="86"/>
      <c r="D55" s="87"/>
      <c r="E55" s="36"/>
      <c r="F55" s="36"/>
    </row>
    <row r="56" spans="1:21" ht="18.75">
      <c r="C56" s="86"/>
      <c r="D56" s="87"/>
      <c r="E56" s="36"/>
      <c r="F56" s="36"/>
      <c r="G56" s="36"/>
      <c r="H56" s="36"/>
      <c r="I56" s="36"/>
      <c r="J56" s="36"/>
    </row>
    <row r="57" spans="1:21" ht="18.75">
      <c r="C57" s="86"/>
      <c r="D57" s="87"/>
      <c r="E57" s="36"/>
      <c r="F57" s="36"/>
    </row>
    <row r="58" spans="1:21" ht="18.75">
      <c r="C58" s="86"/>
      <c r="D58" s="87"/>
      <c r="E58" s="36"/>
      <c r="F58" s="36"/>
    </row>
    <row r="59" spans="1:21" ht="18.75">
      <c r="C59" s="86"/>
      <c r="D59" s="87"/>
      <c r="E59" s="36"/>
      <c r="F59" s="36"/>
    </row>
    <row r="60" spans="1:21" ht="18.75">
      <c r="C60" s="86"/>
      <c r="D60" s="87"/>
      <c r="E60" s="36"/>
      <c r="F60" s="36"/>
    </row>
    <row r="61" spans="1:21" ht="18.75">
      <c r="C61" s="86"/>
      <c r="D61" s="87"/>
      <c r="E61" s="36"/>
      <c r="F61" s="36"/>
    </row>
    <row r="62" spans="1:21" ht="18.75">
      <c r="C62" s="86"/>
      <c r="D62" s="87"/>
      <c r="E62" s="36"/>
      <c r="F62" s="36"/>
    </row>
    <row r="63" spans="1:21" ht="18.75">
      <c r="C63" s="86"/>
      <c r="D63" s="87"/>
      <c r="E63" s="36"/>
      <c r="F63" s="36"/>
    </row>
    <row r="64" spans="1:21" ht="18.75">
      <c r="C64" s="86"/>
      <c r="D64" s="87"/>
      <c r="E64" s="36"/>
      <c r="F64" s="36"/>
    </row>
    <row r="65" spans="3:6" ht="18.75">
      <c r="C65" s="86"/>
      <c r="D65" s="87"/>
      <c r="E65" s="36"/>
      <c r="F65" s="36"/>
    </row>
    <row r="66" spans="3:6" ht="18.75">
      <c r="C66" s="86"/>
      <c r="D66" s="87"/>
      <c r="E66" s="36"/>
      <c r="F66" s="36"/>
    </row>
    <row r="67" spans="3:6" ht="18.75">
      <c r="C67" s="86"/>
      <c r="D67" s="87"/>
      <c r="E67" s="36"/>
      <c r="F67" s="36"/>
    </row>
    <row r="68" spans="3:6" ht="18.75">
      <c r="C68" s="86"/>
      <c r="D68" s="87"/>
      <c r="E68" s="36"/>
      <c r="F68" s="36"/>
    </row>
    <row r="69" spans="3:6" ht="18.75">
      <c r="C69" s="86"/>
      <c r="D69" s="87"/>
      <c r="E69" s="36"/>
      <c r="F69" s="36"/>
    </row>
    <row r="70" spans="3:6" ht="18.75">
      <c r="C70" s="86"/>
      <c r="D70" s="87"/>
      <c r="E70" s="36"/>
      <c r="F70" s="36"/>
    </row>
    <row r="71" spans="3:6" ht="18.75">
      <c r="C71" s="86"/>
      <c r="D71" s="87"/>
      <c r="E71" s="36"/>
      <c r="F71" s="36"/>
    </row>
    <row r="72" spans="3:6" ht="18.75">
      <c r="C72" s="86"/>
      <c r="D72" s="87"/>
      <c r="E72" s="36"/>
      <c r="F72" s="36"/>
    </row>
    <row r="73" spans="3:6" ht="18.75">
      <c r="C73" s="86"/>
      <c r="D73" s="87"/>
      <c r="E73" s="36"/>
      <c r="F73" s="36"/>
    </row>
    <row r="74" spans="3:6" ht="18.75">
      <c r="C74" s="86"/>
      <c r="D74" s="87"/>
      <c r="E74" s="36"/>
      <c r="F74" s="36"/>
    </row>
    <row r="75" spans="3:6" ht="18.75">
      <c r="C75" s="86"/>
      <c r="D75" s="87"/>
      <c r="E75" s="36"/>
      <c r="F75" s="36"/>
    </row>
    <row r="76" spans="3:6" ht="18.75">
      <c r="C76" s="86"/>
      <c r="D76" s="87"/>
      <c r="E76" s="36"/>
      <c r="F76" s="36"/>
    </row>
    <row r="77" spans="3:6" ht="18.75">
      <c r="C77" s="86"/>
      <c r="D77" s="87"/>
      <c r="E77" s="36"/>
      <c r="F77" s="36"/>
    </row>
    <row r="78" spans="3:6" ht="18.75">
      <c r="C78" s="86"/>
      <c r="D78" s="87"/>
      <c r="E78" s="36"/>
      <c r="F78" s="36"/>
    </row>
    <row r="79" spans="3:6" ht="18.75">
      <c r="C79" s="86"/>
      <c r="D79" s="87"/>
      <c r="E79" s="36"/>
      <c r="F79" s="36"/>
    </row>
    <row r="80" spans="3:6" ht="18.75">
      <c r="C80" s="86"/>
      <c r="D80" s="87"/>
      <c r="E80" s="36"/>
      <c r="F80" s="36"/>
    </row>
    <row r="81" spans="3:6" ht="18.75">
      <c r="C81" s="86"/>
      <c r="D81" s="87"/>
      <c r="E81" s="36"/>
      <c r="F81" s="36"/>
    </row>
    <row r="82" spans="3:6" ht="18.75">
      <c r="C82" s="86"/>
      <c r="D82" s="87"/>
      <c r="E82" s="36"/>
      <c r="F82" s="36"/>
    </row>
    <row r="83" spans="3:6" ht="18.75">
      <c r="C83" s="86"/>
      <c r="D83" s="87"/>
      <c r="E83" s="36"/>
      <c r="F83" s="36"/>
    </row>
    <row r="84" spans="3:6" ht="18.75">
      <c r="C84" s="86"/>
      <c r="D84" s="87"/>
      <c r="E84" s="36"/>
      <c r="F84" s="36"/>
    </row>
    <row r="85" spans="3:6" ht="18.75">
      <c r="C85" s="86"/>
      <c r="D85" s="87"/>
      <c r="E85" s="36"/>
      <c r="F85" s="36"/>
    </row>
    <row r="86" spans="3:6" ht="18.75">
      <c r="C86" s="86"/>
      <c r="D86" s="87"/>
      <c r="E86" s="36"/>
      <c r="F86" s="36"/>
    </row>
    <row r="87" spans="3:6" ht="18.75">
      <c r="C87" s="86"/>
      <c r="D87" s="87"/>
      <c r="E87" s="36"/>
      <c r="F87" s="36"/>
    </row>
    <row r="88" spans="3:6" ht="18.75">
      <c r="C88" s="86"/>
      <c r="D88" s="87"/>
      <c r="E88" s="36"/>
      <c r="F88" s="36"/>
    </row>
    <row r="89" spans="3:6" ht="18.75">
      <c r="C89" s="86"/>
      <c r="D89" s="87"/>
      <c r="E89" s="36"/>
      <c r="F89" s="36"/>
    </row>
    <row r="90" spans="3:6" ht="18.75">
      <c r="C90" s="86"/>
      <c r="D90" s="87"/>
      <c r="E90" s="36"/>
      <c r="F90" s="36"/>
    </row>
    <row r="91" spans="3:6" ht="18.75">
      <c r="C91" s="86"/>
      <c r="D91" s="87"/>
      <c r="E91" s="36"/>
      <c r="F91" s="36"/>
    </row>
    <row r="92" spans="3:6" ht="18.75">
      <c r="C92" s="86"/>
      <c r="D92" s="87"/>
      <c r="E92" s="36"/>
      <c r="F92" s="36"/>
    </row>
    <row r="93" spans="3:6" ht="18.75">
      <c r="C93" s="86"/>
      <c r="D93" s="87"/>
      <c r="E93" s="36"/>
      <c r="F93" s="36"/>
    </row>
    <row r="94" spans="3:6" ht="18.75">
      <c r="C94" s="86"/>
      <c r="D94" s="87"/>
      <c r="E94" s="36"/>
      <c r="F94" s="36"/>
    </row>
    <row r="95" spans="3:6" ht="18.75">
      <c r="C95" s="86"/>
      <c r="D95" s="87"/>
      <c r="E95" s="36"/>
      <c r="F95" s="36"/>
    </row>
    <row r="96" spans="3:6" ht="18.75">
      <c r="C96" s="86"/>
      <c r="D96" s="87"/>
      <c r="E96" s="36"/>
      <c r="F96" s="36"/>
    </row>
    <row r="97" spans="3:6" ht="18.75">
      <c r="C97" s="86"/>
      <c r="D97" s="87"/>
      <c r="E97" s="36"/>
      <c r="F97" s="36"/>
    </row>
  </sheetData>
  <mergeCells count="28">
    <mergeCell ref="B23:C23"/>
    <mergeCell ref="A9:C9"/>
    <mergeCell ref="A1:K1"/>
    <mergeCell ref="A2:K2"/>
    <mergeCell ref="A3:C3"/>
    <mergeCell ref="A5:C5"/>
    <mergeCell ref="B6:C6"/>
    <mergeCell ref="B10:C10"/>
    <mergeCell ref="B14:C14"/>
    <mergeCell ref="A16:C16"/>
    <mergeCell ref="B17:C17"/>
    <mergeCell ref="B20:C20"/>
    <mergeCell ref="A49:U49"/>
    <mergeCell ref="A50:U50"/>
    <mergeCell ref="A4:C4"/>
    <mergeCell ref="A8:C8"/>
    <mergeCell ref="B32:C32"/>
    <mergeCell ref="A34:C34"/>
    <mergeCell ref="A35:C35"/>
    <mergeCell ref="B36:C36"/>
    <mergeCell ref="A38:C38"/>
    <mergeCell ref="B39:C39"/>
    <mergeCell ref="B41:C41"/>
    <mergeCell ref="B43:C43"/>
    <mergeCell ref="A45:C45"/>
    <mergeCell ref="A47:U47"/>
    <mergeCell ref="A48:U48"/>
    <mergeCell ref="B25:C25"/>
  </mergeCells>
  <printOptions horizontalCentered="1"/>
  <pageMargins left="0.15748031496062992" right="0.19685039370078741" top="0.43307086614173229" bottom="0.23" header="0.31496062992125984" footer="0.17"/>
  <pageSetup paperSize="9" scale="63" orientation="landscape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rgb="FF00B050"/>
  </sheetPr>
  <dimension ref="A1:AN68"/>
  <sheetViews>
    <sheetView zoomScale="90" zoomScaleNormal="90" workbookViewId="0">
      <selection activeCell="C16" sqref="C16"/>
    </sheetView>
  </sheetViews>
  <sheetFormatPr defaultRowHeight="21"/>
  <cols>
    <col min="1" max="1" width="50.42578125" style="30" customWidth="1"/>
    <col min="2" max="2" width="15.85546875" style="306" bestFit="1" customWidth="1"/>
    <col min="3" max="3" width="14.85546875" style="306" bestFit="1" customWidth="1"/>
    <col min="4" max="4" width="14.42578125" style="306" customWidth="1"/>
    <col min="5" max="5" width="14.140625" style="306" customWidth="1"/>
    <col min="6" max="6" width="12.5703125" style="306" bestFit="1" customWidth="1"/>
    <col min="7" max="7" width="7.85546875" style="306" bestFit="1" customWidth="1"/>
    <col min="8" max="9" width="13.5703125" style="306" bestFit="1" customWidth="1"/>
    <col min="10" max="10" width="7.85546875" style="306" bestFit="1" customWidth="1"/>
    <col min="11" max="11" width="15.85546875" style="306" bestFit="1" customWidth="1"/>
    <col min="12" max="12" width="14.85546875" style="306" bestFit="1" customWidth="1"/>
    <col min="13" max="13" width="7.85546875" style="306" bestFit="1" customWidth="1"/>
    <col min="14" max="14" width="15.85546875" style="306" bestFit="1" customWidth="1"/>
    <col min="15" max="15" width="14.85546875" style="306" bestFit="1" customWidth="1"/>
    <col min="16" max="16" width="7.85546875" style="306" bestFit="1" customWidth="1"/>
    <col min="17" max="17" width="15.85546875" style="306" bestFit="1" customWidth="1"/>
    <col min="18" max="18" width="14.85546875" style="306" bestFit="1" customWidth="1"/>
    <col min="19" max="19" width="7.85546875" style="306" bestFit="1" customWidth="1"/>
    <col min="20" max="20" width="15.85546875" style="306" bestFit="1" customWidth="1"/>
    <col min="21" max="21" width="14.85546875" style="306" bestFit="1" customWidth="1"/>
    <col min="22" max="22" width="7.85546875" style="306" bestFit="1" customWidth="1"/>
    <col min="23" max="23" width="17.42578125" style="38" bestFit="1" customWidth="1"/>
    <col min="24" max="24" width="15.85546875" style="38" bestFit="1" customWidth="1"/>
    <col min="25" max="25" width="14.85546875" style="38" customWidth="1"/>
    <col min="26" max="26" width="17.42578125" style="38" bestFit="1" customWidth="1"/>
    <col min="27" max="27" width="15.140625" style="31" bestFit="1" customWidth="1"/>
    <col min="28" max="28" width="11.140625" style="31" bestFit="1" customWidth="1"/>
    <col min="29" max="16384" width="9.140625" style="31"/>
  </cols>
  <sheetData>
    <row r="1" spans="1:27" s="106" customFormat="1" ht="23.25">
      <c r="A1" s="621" t="s">
        <v>3242</v>
      </c>
      <c r="B1" s="621"/>
      <c r="C1" s="621"/>
      <c r="D1" s="621"/>
      <c r="E1" s="621"/>
      <c r="F1" s="621"/>
      <c r="G1" s="621"/>
      <c r="H1" s="621"/>
      <c r="I1" s="621"/>
      <c r="J1" s="621"/>
      <c r="K1" s="621"/>
      <c r="L1" s="621"/>
      <c r="M1" s="621"/>
      <c r="N1" s="621"/>
      <c r="O1" s="621"/>
      <c r="P1" s="621"/>
      <c r="Q1" s="621"/>
      <c r="R1" s="621"/>
      <c r="S1" s="621"/>
      <c r="T1" s="621"/>
      <c r="U1" s="621"/>
      <c r="V1" s="621"/>
      <c r="W1" s="621"/>
      <c r="X1" s="621"/>
      <c r="Y1" s="621"/>
      <c r="Z1" s="621"/>
    </row>
    <row r="2" spans="1:27" s="106" customFormat="1" ht="24.75" customHeight="1">
      <c r="A2" s="621" t="s">
        <v>36</v>
      </c>
      <c r="B2" s="621"/>
      <c r="C2" s="621"/>
      <c r="D2" s="621"/>
      <c r="E2" s="621"/>
      <c r="F2" s="621"/>
      <c r="G2" s="621"/>
      <c r="H2" s="621"/>
      <c r="I2" s="621"/>
      <c r="J2" s="621"/>
      <c r="K2" s="621"/>
      <c r="L2" s="621"/>
      <c r="M2" s="621"/>
      <c r="N2" s="621"/>
      <c r="O2" s="621"/>
      <c r="P2" s="621"/>
      <c r="Q2" s="621"/>
      <c r="R2" s="621"/>
      <c r="S2" s="621"/>
      <c r="T2" s="621"/>
      <c r="U2" s="621"/>
      <c r="V2" s="621"/>
      <c r="W2" s="621"/>
      <c r="X2" s="621"/>
      <c r="Y2" s="621"/>
      <c r="Z2" s="621"/>
    </row>
    <row r="3" spans="1:27" ht="35.25" customHeight="1">
      <c r="A3" s="622" t="s">
        <v>3243</v>
      </c>
      <c r="B3" s="622"/>
      <c r="C3" s="622"/>
      <c r="D3" s="622"/>
      <c r="P3" s="623"/>
      <c r="Q3" s="623"/>
      <c r="R3" s="623"/>
      <c r="S3" s="623"/>
      <c r="T3" s="623"/>
      <c r="U3" s="623"/>
      <c r="V3" s="623"/>
      <c r="W3" s="623"/>
      <c r="X3" s="623"/>
      <c r="Y3" s="623"/>
      <c r="Z3" s="623"/>
    </row>
    <row r="4" spans="1:27" s="84" customFormat="1" ht="26.25" customHeight="1">
      <c r="A4" s="624" t="s">
        <v>70</v>
      </c>
      <c r="B4" s="624" t="s">
        <v>71</v>
      </c>
      <c r="C4" s="624"/>
      <c r="D4" s="624"/>
      <c r="E4" s="624" t="s">
        <v>130</v>
      </c>
      <c r="F4" s="624"/>
      <c r="G4" s="624"/>
      <c r="H4" s="624" t="s">
        <v>131</v>
      </c>
      <c r="I4" s="624"/>
      <c r="J4" s="624"/>
      <c r="K4" s="624" t="s">
        <v>132</v>
      </c>
      <c r="L4" s="624"/>
      <c r="M4" s="624"/>
      <c r="N4" s="624" t="s">
        <v>74</v>
      </c>
      <c r="O4" s="624"/>
      <c r="P4" s="624"/>
      <c r="Q4" s="624" t="s">
        <v>72</v>
      </c>
      <c r="R4" s="624"/>
      <c r="S4" s="624"/>
      <c r="T4" s="624" t="s">
        <v>73</v>
      </c>
      <c r="U4" s="624"/>
      <c r="V4" s="624"/>
      <c r="W4" s="624" t="s">
        <v>75</v>
      </c>
      <c r="X4" s="624"/>
      <c r="Y4" s="624"/>
      <c r="Z4" s="625" t="s">
        <v>61</v>
      </c>
    </row>
    <row r="5" spans="1:27" s="36" customFormat="1" ht="18.75">
      <c r="A5" s="624"/>
      <c r="B5" s="121" t="s">
        <v>40</v>
      </c>
      <c r="C5" s="121" t="s">
        <v>41</v>
      </c>
      <c r="D5" s="121" t="s">
        <v>10</v>
      </c>
      <c r="E5" s="121" t="s">
        <v>40</v>
      </c>
      <c r="F5" s="121" t="s">
        <v>41</v>
      </c>
      <c r="G5" s="121" t="s">
        <v>10</v>
      </c>
      <c r="H5" s="121" t="s">
        <v>40</v>
      </c>
      <c r="I5" s="121" t="s">
        <v>41</v>
      </c>
      <c r="J5" s="121" t="s">
        <v>10</v>
      </c>
      <c r="K5" s="121" t="s">
        <v>40</v>
      </c>
      <c r="L5" s="121" t="s">
        <v>41</v>
      </c>
      <c r="M5" s="121" t="s">
        <v>10</v>
      </c>
      <c r="N5" s="121" t="s">
        <v>40</v>
      </c>
      <c r="O5" s="121" t="s">
        <v>41</v>
      </c>
      <c r="P5" s="121" t="s">
        <v>10</v>
      </c>
      <c r="Q5" s="121" t="s">
        <v>40</v>
      </c>
      <c r="R5" s="121" t="s">
        <v>41</v>
      </c>
      <c r="S5" s="121" t="s">
        <v>10</v>
      </c>
      <c r="T5" s="121" t="s">
        <v>40</v>
      </c>
      <c r="U5" s="121" t="s">
        <v>41</v>
      </c>
      <c r="V5" s="121" t="s">
        <v>10</v>
      </c>
      <c r="W5" s="121" t="s">
        <v>40</v>
      </c>
      <c r="X5" s="121" t="s">
        <v>41</v>
      </c>
      <c r="Y5" s="121" t="s">
        <v>10</v>
      </c>
      <c r="Z5" s="624"/>
    </row>
    <row r="6" spans="1:27" s="36" customFormat="1" ht="18.75">
      <c r="A6" s="270" t="s">
        <v>76</v>
      </c>
      <c r="B6" s="121"/>
      <c r="C6" s="121"/>
      <c r="D6" s="121"/>
      <c r="E6" s="121"/>
      <c r="F6" s="121"/>
      <c r="G6" s="121"/>
      <c r="H6" s="121"/>
      <c r="I6" s="121"/>
      <c r="J6" s="121"/>
      <c r="K6" s="121"/>
      <c r="L6" s="121"/>
      <c r="M6" s="121"/>
      <c r="N6" s="121"/>
      <c r="O6" s="121"/>
      <c r="P6" s="121"/>
      <c r="Q6" s="121"/>
      <c r="R6" s="121"/>
      <c r="S6" s="121"/>
      <c r="T6" s="121"/>
      <c r="U6" s="121"/>
      <c r="V6" s="121"/>
      <c r="X6" s="56"/>
      <c r="Y6" s="56"/>
      <c r="Z6" s="56"/>
    </row>
    <row r="7" spans="1:27" s="36" customFormat="1" ht="18.75">
      <c r="A7" s="271" t="s">
        <v>77</v>
      </c>
      <c r="B7" s="117">
        <v>12870720</v>
      </c>
      <c r="C7" s="117">
        <v>4307516.83</v>
      </c>
      <c r="D7" s="117">
        <v>165862.85</v>
      </c>
      <c r="E7" s="117">
        <v>144047.5</v>
      </c>
      <c r="F7" s="117"/>
      <c r="G7" s="117"/>
      <c r="H7" s="117">
        <v>61355</v>
      </c>
      <c r="I7" s="117"/>
      <c r="J7" s="117"/>
      <c r="K7" s="117">
        <v>5898017.6200000001</v>
      </c>
      <c r="L7" s="117">
        <v>10189071.720000001</v>
      </c>
      <c r="M7" s="117"/>
      <c r="N7" s="117">
        <v>27129321.699999999</v>
      </c>
      <c r="O7" s="117">
        <v>2257167.5299999998</v>
      </c>
      <c r="P7" s="117"/>
      <c r="Q7" s="117">
        <v>8026800</v>
      </c>
      <c r="R7" s="117"/>
      <c r="S7" s="117"/>
      <c r="T7" s="117">
        <v>2455718.7799999998</v>
      </c>
      <c r="U7" s="117">
        <v>2956844</v>
      </c>
      <c r="V7" s="117"/>
      <c r="W7" s="32">
        <f>+B7+E7+H7+K7+N7+Q7+T7</f>
        <v>56585980.600000001</v>
      </c>
      <c r="X7" s="32">
        <f>+C7+F7+I7+L7+O7+R7+U7</f>
        <v>19710600.079999998</v>
      </c>
      <c r="Y7" s="32">
        <f>+D7+G7+J7+M7+P7+S7+V7</f>
        <v>165862.85</v>
      </c>
      <c r="Z7" s="32">
        <f>+W7+X7+Y7</f>
        <v>76462443.530000001</v>
      </c>
    </row>
    <row r="8" spans="1:27" s="36" customFormat="1" ht="18.75">
      <c r="A8" s="271" t="s">
        <v>78</v>
      </c>
      <c r="B8" s="117">
        <v>6739440</v>
      </c>
      <c r="C8" s="117">
        <v>5081019.5999999996</v>
      </c>
      <c r="D8" s="117">
        <v>204688.26</v>
      </c>
      <c r="E8" s="117">
        <v>691453.61</v>
      </c>
      <c r="F8" s="117"/>
      <c r="G8" s="117"/>
      <c r="H8" s="117">
        <v>29087.599999999999</v>
      </c>
      <c r="I8" s="117"/>
      <c r="J8" s="117"/>
      <c r="K8" s="117">
        <v>5389605.6100000003</v>
      </c>
      <c r="L8" s="117">
        <v>7684151.1200000001</v>
      </c>
      <c r="M8" s="117"/>
      <c r="N8" s="117">
        <v>19016865.149999999</v>
      </c>
      <c r="O8" s="117">
        <v>1914870.5</v>
      </c>
      <c r="P8" s="117"/>
      <c r="Q8" s="117">
        <v>490000</v>
      </c>
      <c r="R8" s="117"/>
      <c r="S8" s="117"/>
      <c r="T8" s="117">
        <v>664800.9</v>
      </c>
      <c r="U8" s="117">
        <v>2441039</v>
      </c>
      <c r="V8" s="117"/>
      <c r="W8" s="32">
        <f t="shared" ref="W8:Y23" si="0">+B8+E8+H8+K8+N8+Q8+T8</f>
        <v>33021252.869999997</v>
      </c>
      <c r="X8" s="32">
        <f t="shared" si="0"/>
        <v>17121080.219999999</v>
      </c>
      <c r="Y8" s="32">
        <f t="shared" si="0"/>
        <v>204688.26</v>
      </c>
      <c r="Z8" s="32">
        <f t="shared" ref="Z8:Z23" si="1">+W8+X8+Y8</f>
        <v>50347021.349999994</v>
      </c>
    </row>
    <row r="9" spans="1:27" s="36" customFormat="1" ht="18.75">
      <c r="A9" s="271" t="s">
        <v>79</v>
      </c>
      <c r="B9" s="117">
        <v>12550440</v>
      </c>
      <c r="C9" s="117">
        <v>4694140.82</v>
      </c>
      <c r="D9" s="117">
        <v>85731.93</v>
      </c>
      <c r="E9" s="117">
        <v>533756.53</v>
      </c>
      <c r="F9" s="117"/>
      <c r="G9" s="117"/>
      <c r="H9" s="117">
        <v>234398</v>
      </c>
      <c r="I9" s="117"/>
      <c r="J9" s="117"/>
      <c r="K9" s="117">
        <v>6460967.96</v>
      </c>
      <c r="L9" s="117">
        <v>3944222.11</v>
      </c>
      <c r="M9" s="117"/>
      <c r="N9" s="117">
        <v>11389587.640000001</v>
      </c>
      <c r="O9" s="117">
        <v>1710896.09</v>
      </c>
      <c r="P9" s="117"/>
      <c r="Q9" s="117">
        <v>791800</v>
      </c>
      <c r="R9" s="117"/>
      <c r="S9" s="117"/>
      <c r="T9" s="117">
        <v>1533401.55</v>
      </c>
      <c r="U9" s="117">
        <v>1809164.25</v>
      </c>
      <c r="V9" s="117"/>
      <c r="W9" s="32">
        <f t="shared" si="0"/>
        <v>33494351.68</v>
      </c>
      <c r="X9" s="32">
        <f t="shared" si="0"/>
        <v>12158423.27</v>
      </c>
      <c r="Y9" s="32">
        <f t="shared" si="0"/>
        <v>85731.93</v>
      </c>
      <c r="Z9" s="32">
        <f t="shared" si="1"/>
        <v>45738506.880000003</v>
      </c>
    </row>
    <row r="10" spans="1:27" s="36" customFormat="1" ht="18.75">
      <c r="A10" s="271" t="s">
        <v>80</v>
      </c>
      <c r="B10" s="117">
        <v>6257040</v>
      </c>
      <c r="C10" s="117">
        <v>1772676</v>
      </c>
      <c r="D10" s="117">
        <v>44439.040000000001</v>
      </c>
      <c r="E10" s="117">
        <v>255270</v>
      </c>
      <c r="F10" s="117"/>
      <c r="G10" s="117"/>
      <c r="H10" s="117">
        <v>163557</v>
      </c>
      <c r="I10" s="117"/>
      <c r="J10" s="117"/>
      <c r="K10" s="117">
        <v>2881387.67</v>
      </c>
      <c r="L10" s="117">
        <v>1516326</v>
      </c>
      <c r="M10" s="117"/>
      <c r="N10" s="117">
        <v>6007505.0999999996</v>
      </c>
      <c r="O10" s="117">
        <v>379923.01</v>
      </c>
      <c r="P10" s="117"/>
      <c r="Q10" s="117">
        <v>0</v>
      </c>
      <c r="R10" s="117"/>
      <c r="S10" s="117"/>
      <c r="T10" s="117">
        <v>4304163.32</v>
      </c>
      <c r="U10" s="117">
        <v>444000</v>
      </c>
      <c r="V10" s="117"/>
      <c r="W10" s="32">
        <f t="shared" si="0"/>
        <v>19868923.09</v>
      </c>
      <c r="X10" s="32">
        <f t="shared" si="0"/>
        <v>4112925.01</v>
      </c>
      <c r="Y10" s="32">
        <f t="shared" si="0"/>
        <v>44439.040000000001</v>
      </c>
      <c r="Z10" s="32">
        <f t="shared" si="1"/>
        <v>24026287.140000001</v>
      </c>
    </row>
    <row r="11" spans="1:27" s="36" customFormat="1" ht="18.75">
      <c r="A11" s="271" t="s">
        <v>81</v>
      </c>
      <c r="B11" s="117">
        <v>6225000</v>
      </c>
      <c r="C11" s="117">
        <v>3540693.36</v>
      </c>
      <c r="D11" s="117">
        <v>66408.17</v>
      </c>
      <c r="E11" s="117">
        <v>208907</v>
      </c>
      <c r="F11" s="117"/>
      <c r="G11" s="117"/>
      <c r="H11" s="117">
        <v>252130</v>
      </c>
      <c r="I11" s="117"/>
      <c r="J11" s="117"/>
      <c r="K11" s="117">
        <v>3531711.35</v>
      </c>
      <c r="L11" s="117">
        <v>2796769.56</v>
      </c>
      <c r="M11" s="117"/>
      <c r="N11" s="117">
        <v>12724242.17</v>
      </c>
      <c r="O11" s="117">
        <v>1079094.7</v>
      </c>
      <c r="P11" s="117"/>
      <c r="Q11" s="117">
        <v>1257300</v>
      </c>
      <c r="R11" s="117"/>
      <c r="S11" s="117"/>
      <c r="T11" s="117">
        <v>2102230.02</v>
      </c>
      <c r="U11" s="117">
        <v>620720</v>
      </c>
      <c r="V11" s="117"/>
      <c r="W11" s="32">
        <f t="shared" si="0"/>
        <v>26301520.539999999</v>
      </c>
      <c r="X11" s="32">
        <f t="shared" si="0"/>
        <v>8037277.6200000001</v>
      </c>
      <c r="Y11" s="32">
        <f>+D11+G11+J11+M11+P11+S11+V11</f>
        <v>66408.17</v>
      </c>
      <c r="Z11" s="32">
        <f t="shared" si="1"/>
        <v>34405206.329999998</v>
      </c>
    </row>
    <row r="12" spans="1:27" s="36" customFormat="1" ht="18.75">
      <c r="A12" s="271" t="s">
        <v>82</v>
      </c>
      <c r="B12" s="117">
        <v>6000000</v>
      </c>
      <c r="C12" s="117">
        <v>2123543.7000000002</v>
      </c>
      <c r="D12" s="117">
        <v>34557.24</v>
      </c>
      <c r="E12" s="117">
        <v>145885</v>
      </c>
      <c r="F12" s="117"/>
      <c r="G12" s="117"/>
      <c r="H12" s="117">
        <v>37277</v>
      </c>
      <c r="I12" s="117"/>
      <c r="J12" s="117" t="s">
        <v>378</v>
      </c>
      <c r="K12" s="117">
        <v>4530122.8</v>
      </c>
      <c r="L12" s="117">
        <v>267395.01</v>
      </c>
      <c r="M12" s="117"/>
      <c r="N12" s="117">
        <v>10724009.9</v>
      </c>
      <c r="O12" s="117">
        <v>1191147.6499999999</v>
      </c>
      <c r="P12" s="117"/>
      <c r="Q12" s="117">
        <v>1875700</v>
      </c>
      <c r="R12" s="117"/>
      <c r="S12" s="117"/>
      <c r="T12" s="117">
        <v>1975385.8</v>
      </c>
      <c r="U12" s="117">
        <v>509695</v>
      </c>
      <c r="V12" s="117"/>
      <c r="W12" s="32">
        <f t="shared" si="0"/>
        <v>25288380.500000004</v>
      </c>
      <c r="X12" s="32">
        <f t="shared" si="0"/>
        <v>4091781.36</v>
      </c>
      <c r="Y12" s="32">
        <v>34557.24</v>
      </c>
      <c r="Z12" s="32">
        <f t="shared" si="1"/>
        <v>29414719.100000001</v>
      </c>
    </row>
    <row r="13" spans="1:27" s="36" customFormat="1" ht="18.75">
      <c r="A13" s="271" t="s">
        <v>83</v>
      </c>
      <c r="B13" s="117"/>
      <c r="C13" s="117"/>
      <c r="D13" s="117"/>
      <c r="E13" s="117">
        <v>20000</v>
      </c>
      <c r="F13" s="117"/>
      <c r="G13" s="117"/>
      <c r="H13" s="117">
        <v>114117.2</v>
      </c>
      <c r="I13" s="117"/>
      <c r="J13" s="117"/>
      <c r="K13" s="117">
        <v>499713.21</v>
      </c>
      <c r="L13" s="117">
        <v>3068.21</v>
      </c>
      <c r="M13" s="32"/>
      <c r="N13" s="117">
        <f>1000335.58+505000</f>
        <v>1505335.58</v>
      </c>
      <c r="O13" s="117">
        <f>238621.23+7866.67</f>
        <v>246487.90000000002</v>
      </c>
      <c r="P13" s="117"/>
      <c r="Q13" s="272">
        <v>685600</v>
      </c>
      <c r="R13" s="272">
        <v>105000</v>
      </c>
      <c r="S13" s="117"/>
      <c r="T13" s="117"/>
      <c r="U13" s="117">
        <v>11220</v>
      </c>
      <c r="V13" s="117"/>
      <c r="W13" s="32">
        <f t="shared" si="0"/>
        <v>2824765.99</v>
      </c>
      <c r="X13" s="32">
        <f t="shared" si="0"/>
        <v>365776.11</v>
      </c>
      <c r="Y13" s="32">
        <f t="shared" si="0"/>
        <v>0</v>
      </c>
      <c r="Z13" s="32">
        <f t="shared" si="1"/>
        <v>3190542.1</v>
      </c>
    </row>
    <row r="14" spans="1:27" s="36" customFormat="1">
      <c r="A14" s="103" t="s">
        <v>84</v>
      </c>
      <c r="B14" s="121">
        <v>1134492</v>
      </c>
      <c r="C14" s="121">
        <v>2956633.36</v>
      </c>
      <c r="D14" s="121"/>
      <c r="E14" s="121">
        <v>282448</v>
      </c>
      <c r="F14" s="121">
        <v>169536</v>
      </c>
      <c r="G14" s="121"/>
      <c r="H14" s="121">
        <v>2897641.43</v>
      </c>
      <c r="I14" s="121">
        <v>288802.59999999998</v>
      </c>
      <c r="J14" s="121"/>
      <c r="K14" s="121">
        <v>2995681.6</v>
      </c>
      <c r="L14" s="121">
        <f>7164174.25-184017+255565</f>
        <v>7235722.25</v>
      </c>
      <c r="M14" s="121"/>
      <c r="N14" s="36">
        <v>13994747.130000001</v>
      </c>
      <c r="O14" s="121">
        <v>1753038.31</v>
      </c>
      <c r="P14" s="121"/>
      <c r="Q14" s="58">
        <v>17165115.34</v>
      </c>
      <c r="R14" s="58">
        <v>949758</v>
      </c>
      <c r="S14" s="121"/>
      <c r="T14" s="121">
        <v>1844677.6</v>
      </c>
      <c r="U14" s="121">
        <v>470682</v>
      </c>
      <c r="V14" s="121"/>
      <c r="W14" s="56">
        <f t="shared" si="0"/>
        <v>40314803.100000001</v>
      </c>
      <c r="X14" s="56">
        <f t="shared" si="0"/>
        <v>13824172.520000001</v>
      </c>
      <c r="Y14" s="56">
        <f t="shared" si="0"/>
        <v>0</v>
      </c>
      <c r="Z14" s="56">
        <f>+W14+X14+Y14</f>
        <v>54138975.620000005</v>
      </c>
      <c r="AA14" s="31"/>
    </row>
    <row r="15" spans="1:27" s="36" customFormat="1" ht="18.75">
      <c r="A15" s="271" t="s">
        <v>85</v>
      </c>
      <c r="B15" s="117">
        <v>8389564.7400000002</v>
      </c>
      <c r="C15" s="117">
        <v>506745.19</v>
      </c>
      <c r="D15" s="117"/>
      <c r="E15" s="117">
        <v>24600</v>
      </c>
      <c r="F15" s="117">
        <v>108780</v>
      </c>
      <c r="G15" s="117"/>
      <c r="H15" s="117">
        <v>425271.28</v>
      </c>
      <c r="I15" s="117">
        <v>32974</v>
      </c>
      <c r="J15" s="117"/>
      <c r="K15" s="117">
        <v>3613300.13</v>
      </c>
      <c r="L15" s="117">
        <f>41304.96+326200</f>
        <v>367504.96</v>
      </c>
      <c r="M15" s="117"/>
      <c r="N15" s="117">
        <f>2637208.95+10000+6126749.73</f>
        <v>8773958.6799999997</v>
      </c>
      <c r="O15" s="117">
        <f>238515.18+640588.44+1683.34</f>
        <v>880786.95999999985</v>
      </c>
      <c r="P15" s="117"/>
      <c r="Q15" s="272">
        <v>1615400</v>
      </c>
      <c r="R15" s="272">
        <f>96000+41110</f>
        <v>137110</v>
      </c>
      <c r="S15" s="117"/>
      <c r="T15" s="117"/>
      <c r="U15" s="117">
        <f>1220880+17450+82220+89744.54+20000</f>
        <v>1430294.54</v>
      </c>
      <c r="V15" s="117"/>
      <c r="W15" s="32">
        <f t="shared" si="0"/>
        <v>22842094.829999998</v>
      </c>
      <c r="X15" s="32">
        <f t="shared" si="0"/>
        <v>3464195.65</v>
      </c>
      <c r="Y15" s="32">
        <f t="shared" si="0"/>
        <v>0</v>
      </c>
      <c r="Z15" s="32">
        <f t="shared" si="1"/>
        <v>26306290.479999997</v>
      </c>
    </row>
    <row r="16" spans="1:27">
      <c r="A16" s="103" t="s">
        <v>86</v>
      </c>
      <c r="B16" s="56"/>
      <c r="C16" s="56">
        <v>2247041.88</v>
      </c>
      <c r="D16" s="121"/>
      <c r="E16" s="56">
        <v>112560</v>
      </c>
      <c r="F16" s="56">
        <v>7514</v>
      </c>
      <c r="G16" s="121"/>
      <c r="H16" s="56">
        <v>452350</v>
      </c>
      <c r="I16" s="56">
        <v>816928.6</v>
      </c>
      <c r="J16" s="121"/>
      <c r="K16" s="56">
        <v>1774954.68</v>
      </c>
      <c r="L16" s="56">
        <v>3096142.29</v>
      </c>
      <c r="M16" s="121"/>
      <c r="N16" s="121">
        <v>3298411.11</v>
      </c>
      <c r="O16" s="56">
        <v>1355642.81</v>
      </c>
      <c r="P16" s="121"/>
      <c r="Q16" s="56">
        <v>12063500</v>
      </c>
      <c r="R16" s="56">
        <v>663160</v>
      </c>
      <c r="S16" s="121"/>
      <c r="T16" s="56">
        <v>1106790</v>
      </c>
      <c r="U16" s="56">
        <v>601200</v>
      </c>
      <c r="V16" s="121"/>
      <c r="W16" s="56">
        <f t="shared" si="0"/>
        <v>18808565.789999999</v>
      </c>
      <c r="X16" s="56">
        <f t="shared" si="0"/>
        <v>8787629.5800000001</v>
      </c>
      <c r="Y16" s="56">
        <f t="shared" si="0"/>
        <v>0</v>
      </c>
      <c r="Z16" s="56">
        <f t="shared" si="1"/>
        <v>27596195.369999997</v>
      </c>
    </row>
    <row r="17" spans="1:40" s="36" customFormat="1" ht="18.75">
      <c r="A17" s="271" t="s">
        <v>87</v>
      </c>
      <c r="B17" s="117">
        <v>2490398.87</v>
      </c>
      <c r="C17" s="117">
        <v>432721.16</v>
      </c>
      <c r="D17" s="117"/>
      <c r="E17" s="117">
        <v>946874.74</v>
      </c>
      <c r="F17" s="117">
        <v>22840</v>
      </c>
      <c r="G17" s="117"/>
      <c r="H17" s="117">
        <v>340563.99</v>
      </c>
      <c r="I17" s="117"/>
      <c r="J17" s="117"/>
      <c r="K17" s="117">
        <v>2140085.29</v>
      </c>
      <c r="L17" s="117">
        <v>184025</v>
      </c>
      <c r="M17" s="117"/>
      <c r="N17" s="117">
        <f>1362647.82+2611764.2</f>
        <v>3974412.0200000005</v>
      </c>
      <c r="O17" s="117">
        <f>32190.47+66857.37</f>
        <v>99047.84</v>
      </c>
      <c r="P17" s="117"/>
      <c r="Q17" s="272">
        <v>1291300</v>
      </c>
      <c r="R17" s="272">
        <f>135000+26350</f>
        <v>161350</v>
      </c>
      <c r="S17" s="117"/>
      <c r="T17" s="117"/>
      <c r="U17" s="117">
        <f>525153.96+14150+52700</f>
        <v>592003.96</v>
      </c>
      <c r="V17" s="117"/>
      <c r="W17" s="32">
        <f t="shared" si="0"/>
        <v>11183634.91</v>
      </c>
      <c r="X17" s="32">
        <f t="shared" si="0"/>
        <v>1491987.96</v>
      </c>
      <c r="Y17" s="32">
        <f t="shared" si="0"/>
        <v>0</v>
      </c>
      <c r="Z17" s="32">
        <f t="shared" si="1"/>
        <v>12675622.870000001</v>
      </c>
    </row>
    <row r="18" spans="1:40" s="36" customFormat="1" ht="18.75">
      <c r="A18" s="271" t="s">
        <v>88</v>
      </c>
      <c r="B18" s="117">
        <v>9725636.5099999998</v>
      </c>
      <c r="C18" s="117">
        <v>3131759.66</v>
      </c>
      <c r="D18" s="117"/>
      <c r="E18" s="117">
        <v>996190</v>
      </c>
      <c r="F18" s="117">
        <v>6400</v>
      </c>
      <c r="G18" s="117"/>
      <c r="H18" s="117">
        <v>514609</v>
      </c>
      <c r="I18" s="117">
        <f>57354+48792</f>
        <v>106146</v>
      </c>
      <c r="J18" s="117"/>
      <c r="K18" s="117">
        <v>4374390.46</v>
      </c>
      <c r="L18" s="117">
        <f>228561.67+648159.54</f>
        <v>876721.21000000008</v>
      </c>
      <c r="M18" s="117"/>
      <c r="N18" s="117">
        <f>10363819.21+6219440.43</f>
        <v>16583259.640000001</v>
      </c>
      <c r="O18" s="117">
        <f>2439880.68+203766.67</f>
        <v>2643647.35</v>
      </c>
      <c r="P18" s="117"/>
      <c r="Q18" s="272">
        <v>1953000</v>
      </c>
      <c r="R18" s="272">
        <f>427000+98220</f>
        <v>525220</v>
      </c>
      <c r="S18" s="117"/>
      <c r="T18" s="117"/>
      <c r="U18" s="117">
        <f>2917460+196440+197644.26</f>
        <v>3311544.26</v>
      </c>
      <c r="V18" s="117"/>
      <c r="W18" s="32">
        <f t="shared" si="0"/>
        <v>34147085.609999999</v>
      </c>
      <c r="X18" s="32">
        <f t="shared" si="0"/>
        <v>10601438.48</v>
      </c>
      <c r="Y18" s="32">
        <f t="shared" si="0"/>
        <v>0</v>
      </c>
      <c r="Z18" s="32">
        <f t="shared" si="1"/>
        <v>44748524.090000004</v>
      </c>
    </row>
    <row r="19" spans="1:40" s="36" customFormat="1">
      <c r="A19" s="271" t="s">
        <v>89</v>
      </c>
      <c r="B19" s="121">
        <v>8532520</v>
      </c>
      <c r="C19" s="121">
        <v>6616219.5499999998</v>
      </c>
      <c r="D19" s="121"/>
      <c r="E19" s="121">
        <v>119678</v>
      </c>
      <c r="F19" s="121">
        <v>17160.060000000001</v>
      </c>
      <c r="G19" s="121"/>
      <c r="H19" s="121">
        <v>632783.72</v>
      </c>
      <c r="I19" s="121">
        <v>461375.46</v>
      </c>
      <c r="J19" s="121"/>
      <c r="K19" s="121">
        <v>3941412.81</v>
      </c>
      <c r="L19" s="121">
        <f>2657947.74+33600+317100</f>
        <v>3008647.74</v>
      </c>
      <c r="M19" s="121"/>
      <c r="N19" s="121">
        <v>8335709.0599999996</v>
      </c>
      <c r="O19" s="121">
        <v>2913514.84</v>
      </c>
      <c r="P19" s="121"/>
      <c r="Q19" s="58">
        <f>348422+1911000+845500</f>
        <v>3104922</v>
      </c>
      <c r="R19" s="58">
        <v>1149170</v>
      </c>
      <c r="S19" s="121"/>
      <c r="T19" s="121">
        <v>962401</v>
      </c>
      <c r="U19" s="121">
        <v>1030540.23</v>
      </c>
      <c r="V19" s="121"/>
      <c r="W19" s="56">
        <f t="shared" si="0"/>
        <v>25629426.59</v>
      </c>
      <c r="X19" s="56">
        <f t="shared" si="0"/>
        <v>15196627.879999999</v>
      </c>
      <c r="Y19" s="56">
        <f t="shared" si="0"/>
        <v>0</v>
      </c>
      <c r="Z19" s="56">
        <f t="shared" si="1"/>
        <v>40826054.469999999</v>
      </c>
      <c r="AA19" s="31"/>
    </row>
    <row r="20" spans="1:40" s="36" customFormat="1" ht="18.75">
      <c r="A20" s="271" t="s">
        <v>90</v>
      </c>
      <c r="B20" s="117">
        <v>10209315.32</v>
      </c>
      <c r="C20" s="117">
        <v>1792081.06</v>
      </c>
      <c r="D20" s="117">
        <v>160162</v>
      </c>
      <c r="E20" s="32">
        <v>229700</v>
      </c>
      <c r="F20" s="32"/>
      <c r="G20" s="117"/>
      <c r="H20" s="117">
        <v>651639.88</v>
      </c>
      <c r="I20" s="117">
        <v>35845</v>
      </c>
      <c r="J20" s="117"/>
      <c r="K20" s="117">
        <v>4612023.16</v>
      </c>
      <c r="L20" s="117">
        <v>965919.27</v>
      </c>
      <c r="M20" s="117"/>
      <c r="N20" s="117">
        <v>7025542.8899999997</v>
      </c>
      <c r="O20" s="117">
        <v>596958.51</v>
      </c>
      <c r="P20" s="117"/>
      <c r="Q20" s="117">
        <v>10822500</v>
      </c>
      <c r="R20" s="117">
        <v>1258860</v>
      </c>
      <c r="S20" s="117"/>
      <c r="T20" s="272"/>
      <c r="U20" s="272">
        <v>2994600</v>
      </c>
      <c r="V20" s="117"/>
      <c r="W20" s="32">
        <f t="shared" si="0"/>
        <v>33550721.25</v>
      </c>
      <c r="X20" s="32">
        <f t="shared" si="0"/>
        <v>7644263.8399999999</v>
      </c>
      <c r="Y20" s="32">
        <f t="shared" si="0"/>
        <v>160162</v>
      </c>
      <c r="Z20" s="32">
        <f t="shared" si="1"/>
        <v>41355147.090000004</v>
      </c>
    </row>
    <row r="21" spans="1:40" s="36" customFormat="1" ht="18.75">
      <c r="A21" s="271" t="s">
        <v>91</v>
      </c>
      <c r="B21" s="117">
        <v>6782744.7400000002</v>
      </c>
      <c r="C21" s="117">
        <v>2403602.73</v>
      </c>
      <c r="D21" s="117">
        <v>14032</v>
      </c>
      <c r="E21" s="117">
        <v>16670</v>
      </c>
      <c r="F21" s="117"/>
      <c r="G21" s="117"/>
      <c r="H21" s="117">
        <v>1106875.97</v>
      </c>
      <c r="I21" s="117">
        <v>241022.34</v>
      </c>
      <c r="J21" s="117"/>
      <c r="K21" s="117">
        <v>2912485.75</v>
      </c>
      <c r="L21" s="117">
        <v>2870928.79</v>
      </c>
      <c r="M21" s="117"/>
      <c r="N21" s="117">
        <v>1662378.77</v>
      </c>
      <c r="O21" s="117">
        <v>348226.84</v>
      </c>
      <c r="P21" s="117"/>
      <c r="Q21" s="272">
        <v>920000</v>
      </c>
      <c r="R21" s="272">
        <v>1530660</v>
      </c>
      <c r="S21" s="117"/>
      <c r="T21" s="117"/>
      <c r="U21" s="117">
        <v>4822010</v>
      </c>
      <c r="V21" s="117"/>
      <c r="W21" s="32">
        <f t="shared" si="0"/>
        <v>13401155.23</v>
      </c>
      <c r="X21" s="32">
        <f t="shared" si="0"/>
        <v>12216450.699999999</v>
      </c>
      <c r="Y21" s="32">
        <f t="shared" si="0"/>
        <v>14032</v>
      </c>
      <c r="Z21" s="32">
        <f t="shared" si="1"/>
        <v>25631637.93</v>
      </c>
    </row>
    <row r="22" spans="1:40" s="36" customFormat="1" ht="18.75">
      <c r="A22" s="273" t="s">
        <v>435</v>
      </c>
      <c r="B22" s="274">
        <v>3010894.26</v>
      </c>
      <c r="C22" s="274">
        <v>1684475.66</v>
      </c>
      <c r="D22" s="117">
        <v>40845</v>
      </c>
      <c r="E22" s="117"/>
      <c r="F22" s="117"/>
      <c r="G22" s="117"/>
      <c r="H22" s="117">
        <v>444086</v>
      </c>
      <c r="I22" s="117">
        <v>104148</v>
      </c>
      <c r="J22" s="117"/>
      <c r="K22" s="274">
        <v>2604213.34</v>
      </c>
      <c r="L22" s="274">
        <v>911626.03</v>
      </c>
      <c r="M22" s="117"/>
      <c r="N22" s="274">
        <v>950612.76</v>
      </c>
      <c r="O22" s="274"/>
      <c r="P22" s="117"/>
      <c r="Q22" s="275">
        <v>2072200</v>
      </c>
      <c r="R22" s="275">
        <v>673390</v>
      </c>
      <c r="S22" s="117"/>
      <c r="T22" s="274"/>
      <c r="U22" s="274">
        <v>2092540</v>
      </c>
      <c r="V22" s="117"/>
      <c r="W22" s="32">
        <f t="shared" si="0"/>
        <v>9082006.3599999994</v>
      </c>
      <c r="X22" s="32">
        <f t="shared" si="0"/>
        <v>5466179.6899999995</v>
      </c>
      <c r="Y22" s="32">
        <f t="shared" si="0"/>
        <v>40845</v>
      </c>
      <c r="Z22" s="32">
        <f t="shared" si="1"/>
        <v>14589031.049999999</v>
      </c>
    </row>
    <row r="23" spans="1:40" s="36" customFormat="1" ht="19.5" thickBot="1">
      <c r="A23" s="273" t="s">
        <v>436</v>
      </c>
      <c r="B23" s="274">
        <v>1961200</v>
      </c>
      <c r="C23" s="274">
        <v>2650709</v>
      </c>
      <c r="D23" s="117"/>
      <c r="E23" s="117"/>
      <c r="F23" s="117"/>
      <c r="G23" s="117"/>
      <c r="H23" s="117"/>
      <c r="I23" s="117"/>
      <c r="J23" s="117"/>
      <c r="K23" s="275">
        <v>4375594.55</v>
      </c>
      <c r="L23" s="275">
        <v>2382493.4300000002</v>
      </c>
      <c r="M23" s="117"/>
      <c r="N23" s="275">
        <v>19394063.699999999</v>
      </c>
      <c r="O23" s="275">
        <v>1534476.97</v>
      </c>
      <c r="P23" s="117"/>
      <c r="Q23" s="275">
        <v>11745016.66</v>
      </c>
      <c r="R23" s="275">
        <v>532110</v>
      </c>
      <c r="S23" s="117"/>
      <c r="T23" s="274">
        <v>2483316.5</v>
      </c>
      <c r="U23" s="274">
        <v>477238</v>
      </c>
      <c r="V23" s="117"/>
      <c r="W23" s="32">
        <f t="shared" si="0"/>
        <v>39959191.409999996</v>
      </c>
      <c r="X23" s="32">
        <f t="shared" si="0"/>
        <v>7577027.3999999994</v>
      </c>
      <c r="Y23" s="32">
        <f t="shared" si="0"/>
        <v>0</v>
      </c>
      <c r="Z23" s="32">
        <f t="shared" si="1"/>
        <v>47536218.809999995</v>
      </c>
    </row>
    <row r="24" spans="1:40" s="278" customFormat="1" ht="19.5" thickBot="1">
      <c r="A24" s="276" t="s">
        <v>8</v>
      </c>
      <c r="B24" s="277">
        <f>SUM(B7:B23)</f>
        <v>102879406.44</v>
      </c>
      <c r="C24" s="277">
        <f t="shared" ref="C24:Z24" si="2">SUM(C7:C23)</f>
        <v>45941579.559999995</v>
      </c>
      <c r="D24" s="277">
        <f t="shared" si="2"/>
        <v>816726.49</v>
      </c>
      <c r="E24" s="277">
        <f t="shared" si="2"/>
        <v>4728040.38</v>
      </c>
      <c r="F24" s="277">
        <f t="shared" si="2"/>
        <v>332230.06</v>
      </c>
      <c r="G24" s="277">
        <f t="shared" si="2"/>
        <v>0</v>
      </c>
      <c r="H24" s="277">
        <f t="shared" si="2"/>
        <v>8357743.0699999994</v>
      </c>
      <c r="I24" s="277">
        <f t="shared" si="2"/>
        <v>2087242</v>
      </c>
      <c r="J24" s="277">
        <f t="shared" si="2"/>
        <v>0</v>
      </c>
      <c r="K24" s="277">
        <f t="shared" si="2"/>
        <v>62535667.99000001</v>
      </c>
      <c r="L24" s="277">
        <f t="shared" si="2"/>
        <v>48300734.70000001</v>
      </c>
      <c r="M24" s="277">
        <f t="shared" si="2"/>
        <v>0</v>
      </c>
      <c r="N24" s="277">
        <f t="shared" si="2"/>
        <v>172489962.99999997</v>
      </c>
      <c r="O24" s="277">
        <f t="shared" si="2"/>
        <v>20904927.810000002</v>
      </c>
      <c r="P24" s="277">
        <f t="shared" si="2"/>
        <v>0</v>
      </c>
      <c r="Q24" s="277">
        <f t="shared" si="2"/>
        <v>75880154</v>
      </c>
      <c r="R24" s="277">
        <f t="shared" si="2"/>
        <v>7685788</v>
      </c>
      <c r="S24" s="277">
        <f t="shared" si="2"/>
        <v>0</v>
      </c>
      <c r="T24" s="277">
        <f t="shared" si="2"/>
        <v>19432885.469999999</v>
      </c>
      <c r="U24" s="277">
        <f t="shared" si="2"/>
        <v>26615335.240000002</v>
      </c>
      <c r="V24" s="277">
        <f t="shared" si="2"/>
        <v>0</v>
      </c>
      <c r="W24" s="277">
        <f t="shared" si="2"/>
        <v>446303860.35000002</v>
      </c>
      <c r="X24" s="277">
        <f t="shared" si="2"/>
        <v>151867837.36999997</v>
      </c>
      <c r="Y24" s="277">
        <f t="shared" si="2"/>
        <v>816726.49</v>
      </c>
      <c r="Z24" s="277">
        <f t="shared" si="2"/>
        <v>598988424.21000004</v>
      </c>
      <c r="AA24" s="268"/>
      <c r="AB24" s="269"/>
      <c r="AC24" s="269"/>
      <c r="AD24" s="269"/>
      <c r="AE24" s="269"/>
      <c r="AF24" s="269"/>
      <c r="AG24" s="269"/>
      <c r="AH24" s="269"/>
      <c r="AI24" s="269"/>
      <c r="AJ24" s="269"/>
      <c r="AK24" s="269"/>
      <c r="AL24" s="269"/>
      <c r="AM24" s="269"/>
      <c r="AN24" s="269"/>
    </row>
    <row r="25" spans="1:40" s="36" customFormat="1" ht="18.75">
      <c r="A25" s="279" t="s">
        <v>93</v>
      </c>
      <c r="B25" s="280"/>
      <c r="C25" s="280"/>
      <c r="D25" s="280"/>
      <c r="E25" s="280"/>
      <c r="F25" s="280"/>
      <c r="G25" s="280"/>
      <c r="H25" s="280"/>
      <c r="I25" s="280"/>
      <c r="J25" s="280"/>
      <c r="K25" s="280"/>
      <c r="L25" s="280"/>
      <c r="M25" s="280"/>
      <c r="N25" s="280"/>
      <c r="O25" s="280"/>
      <c r="P25" s="280"/>
      <c r="Q25" s="280"/>
      <c r="R25" s="280"/>
      <c r="S25" s="280"/>
      <c r="T25" s="280"/>
      <c r="U25" s="280"/>
      <c r="V25" s="280"/>
      <c r="W25" s="32"/>
      <c r="X25" s="32"/>
      <c r="Y25" s="32"/>
      <c r="Z25" s="281"/>
    </row>
    <row r="26" spans="1:40" s="36" customFormat="1" ht="18.75">
      <c r="A26" s="56" t="s">
        <v>3231</v>
      </c>
      <c r="B26" s="117">
        <v>440888361.93000001</v>
      </c>
      <c r="C26" s="117">
        <v>3365818.65</v>
      </c>
      <c r="D26" s="120">
        <f>1509653.51+12162389.48</f>
        <v>13672042.99</v>
      </c>
      <c r="E26" s="117">
        <f>20314+1859947.34</f>
        <v>1880261.34</v>
      </c>
      <c r="F26" s="117"/>
      <c r="G26" s="117"/>
      <c r="H26" s="117">
        <f>115744+1640661.43</f>
        <v>1756405.43</v>
      </c>
      <c r="I26" s="117"/>
      <c r="J26" s="117"/>
      <c r="K26" s="117">
        <f>4000516.13+45381646.62</f>
        <v>49382162.75</v>
      </c>
      <c r="L26" s="117">
        <f>1398290+1981669.1+1311570+22289409.05+1410454.51</f>
        <v>28391392.66</v>
      </c>
      <c r="M26" s="117"/>
      <c r="N26" s="117">
        <v>14346538.35</v>
      </c>
      <c r="O26" s="117">
        <v>7057330.3300000001</v>
      </c>
      <c r="P26" s="117"/>
      <c r="Q26" s="117"/>
      <c r="R26" s="117">
        <f>148882+243760+1649117.5+1802980+290000</f>
        <v>4134739.5</v>
      </c>
      <c r="S26" s="117"/>
      <c r="T26" s="117">
        <f>267790+6977035.5+14015004.9+2913969</f>
        <v>24173799.399999999</v>
      </c>
      <c r="U26" s="117">
        <v>4064954.15</v>
      </c>
      <c r="V26" s="117"/>
      <c r="W26" s="32">
        <f>+B26+E26+H26+K26+N26+Q26+T26</f>
        <v>532427529.19999999</v>
      </c>
      <c r="X26" s="32">
        <f>+C26+F26+I26+L26+O26+R26+U26</f>
        <v>47014235.289999999</v>
      </c>
      <c r="Y26" s="32">
        <f>+D26+G26+J26+M26+P26+S26+V26</f>
        <v>13672042.99</v>
      </c>
      <c r="Z26" s="32">
        <f>+W26+X26+Y26</f>
        <v>593113807.48000002</v>
      </c>
    </row>
    <row r="27" spans="1:40" s="36" customFormat="1" ht="18.75">
      <c r="A27" s="56" t="s">
        <v>98</v>
      </c>
      <c r="B27" s="117">
        <v>0</v>
      </c>
      <c r="C27" s="117">
        <v>1687900</v>
      </c>
      <c r="D27" s="117"/>
      <c r="E27" s="117"/>
      <c r="F27" s="117"/>
      <c r="G27" s="117"/>
      <c r="H27" s="117"/>
      <c r="I27" s="117"/>
      <c r="J27" s="117"/>
      <c r="K27" s="117">
        <v>10645503.93</v>
      </c>
      <c r="L27" s="117">
        <v>3487508</v>
      </c>
      <c r="M27" s="117"/>
      <c r="N27" s="117"/>
      <c r="O27" s="117"/>
      <c r="P27" s="117"/>
      <c r="Q27" s="117"/>
      <c r="R27" s="117"/>
      <c r="S27" s="117"/>
      <c r="T27" s="117"/>
      <c r="U27" s="117">
        <v>1963723</v>
      </c>
      <c r="V27" s="117"/>
      <c r="W27" s="32">
        <f>+B27+E27+H27+K27+N27+Q27+T27</f>
        <v>10645503.93</v>
      </c>
      <c r="X27" s="32">
        <f t="shared" ref="X27:Y32" si="3">+C27+F27+I27+L27+O27+R27+U27</f>
        <v>7139131</v>
      </c>
      <c r="Y27" s="32">
        <f t="shared" si="3"/>
        <v>0</v>
      </c>
      <c r="Z27" s="32">
        <f t="shared" ref="Z27:Z32" si="4">+W27+X27+Y27</f>
        <v>17784634.93</v>
      </c>
    </row>
    <row r="28" spans="1:40" s="36" customFormat="1" ht="18.75">
      <c r="A28" s="56" t="s">
        <v>94</v>
      </c>
      <c r="B28" s="121">
        <v>222780</v>
      </c>
      <c r="C28" s="121">
        <v>4260720.4400000004</v>
      </c>
      <c r="D28" s="121"/>
      <c r="E28" s="121">
        <v>25680</v>
      </c>
      <c r="F28" s="121">
        <v>28585</v>
      </c>
      <c r="G28" s="121"/>
      <c r="H28" s="121">
        <v>1406249</v>
      </c>
      <c r="I28" s="121">
        <v>818191.07</v>
      </c>
      <c r="J28" s="121"/>
      <c r="K28" s="121">
        <v>1526243</v>
      </c>
      <c r="L28" s="121">
        <v>3489891.05</v>
      </c>
      <c r="M28" s="121"/>
      <c r="N28" s="121">
        <v>8596386.2400000002</v>
      </c>
      <c r="O28" s="121">
        <v>4508079.6500000004</v>
      </c>
      <c r="P28" s="121"/>
      <c r="Q28" s="121">
        <v>1523440</v>
      </c>
      <c r="R28" s="121">
        <v>122000</v>
      </c>
      <c r="S28" s="121"/>
      <c r="T28" s="121">
        <v>1943531.61</v>
      </c>
      <c r="U28" s="121">
        <v>338000</v>
      </c>
      <c r="V28" s="121"/>
      <c r="W28" s="56">
        <f>+B28+E28+H28+K28+N28+Q28+T28</f>
        <v>15244309.85</v>
      </c>
      <c r="X28" s="56">
        <f>+C28+F28+I28+L28+O28+R28+U28</f>
        <v>13565467.210000001</v>
      </c>
      <c r="Y28" s="56">
        <f>+D28+G28+J28+M28+P28+S28+V28</f>
        <v>0</v>
      </c>
      <c r="Z28" s="56">
        <f>+W28+X28+Y28</f>
        <v>28809777.060000002</v>
      </c>
    </row>
    <row r="29" spans="1:40" s="36" customFormat="1" ht="18.75">
      <c r="A29" s="56" t="s">
        <v>95</v>
      </c>
      <c r="B29" s="117">
        <v>3372406</v>
      </c>
      <c r="C29" s="117">
        <v>2300234</v>
      </c>
      <c r="D29" s="117"/>
      <c r="E29" s="117">
        <v>675019.77</v>
      </c>
      <c r="F29" s="117">
        <v>235729</v>
      </c>
      <c r="G29" s="117"/>
      <c r="H29" s="117">
        <v>662585.81000000006</v>
      </c>
      <c r="I29" s="117"/>
      <c r="J29" s="117"/>
      <c r="K29" s="117">
        <v>6157963.8200000003</v>
      </c>
      <c r="L29" s="117">
        <f>142638.11+224500</f>
        <v>367138.11</v>
      </c>
      <c r="M29" s="117"/>
      <c r="N29" s="117">
        <f>3376741.91+10075072.3</f>
        <v>13451814.210000001</v>
      </c>
      <c r="O29" s="117">
        <f>209741.96+818458.26</f>
        <v>1028200.22</v>
      </c>
      <c r="P29" s="117"/>
      <c r="Q29" s="117">
        <v>26363</v>
      </c>
      <c r="R29" s="117"/>
      <c r="S29" s="117"/>
      <c r="T29" s="117">
        <v>5000</v>
      </c>
      <c r="U29" s="117">
        <v>9300</v>
      </c>
      <c r="V29" s="117"/>
      <c r="W29" s="32">
        <f>B29+E29+H29+K29+N29+Q29+T29</f>
        <v>24351152.609999999</v>
      </c>
      <c r="X29" s="32">
        <f>C29+F29+I29+L29+O29+R29+U29</f>
        <v>3940601.33</v>
      </c>
      <c r="Y29" s="32">
        <f>D29+G29+J29+M29+P29+S29+V29</f>
        <v>0</v>
      </c>
      <c r="Z29" s="32">
        <f>W29+X29+Y29</f>
        <v>28291753.939999998</v>
      </c>
    </row>
    <row r="30" spans="1:40" s="36" customFormat="1" ht="18.75">
      <c r="A30" s="56" t="s">
        <v>96</v>
      </c>
      <c r="B30" s="117">
        <v>5215870</v>
      </c>
      <c r="C30" s="117">
        <v>5419009.9199999999</v>
      </c>
      <c r="D30" s="117">
        <v>75110</v>
      </c>
      <c r="E30" s="117">
        <v>4122</v>
      </c>
      <c r="F30" s="117"/>
      <c r="G30" s="117"/>
      <c r="H30" s="117">
        <v>394745.7</v>
      </c>
      <c r="I30" s="117">
        <v>219915.04</v>
      </c>
      <c r="J30" s="117"/>
      <c r="K30" s="117">
        <v>9425495.5</v>
      </c>
      <c r="L30" s="117">
        <v>1228084.92</v>
      </c>
      <c r="M30" s="117"/>
      <c r="N30" s="117">
        <v>16523832.550000001</v>
      </c>
      <c r="O30" s="117">
        <v>3184833.76</v>
      </c>
      <c r="P30" s="117"/>
      <c r="Q30" s="117"/>
      <c r="R30" s="117"/>
      <c r="S30" s="117"/>
      <c r="T30" s="117"/>
      <c r="U30" s="117">
        <v>12050000</v>
      </c>
      <c r="V30" s="117"/>
      <c r="W30" s="32">
        <f>+B30+E30+H30+K30+N30+Q30+T30</f>
        <v>31564065.75</v>
      </c>
      <c r="X30" s="32">
        <f t="shared" si="3"/>
        <v>22101843.640000001</v>
      </c>
      <c r="Y30" s="32">
        <f t="shared" si="3"/>
        <v>75110</v>
      </c>
      <c r="Z30" s="32">
        <f t="shared" si="4"/>
        <v>53741019.390000001</v>
      </c>
    </row>
    <row r="31" spans="1:40" s="36" customFormat="1" ht="18.75">
      <c r="A31" s="56" t="s">
        <v>97</v>
      </c>
      <c r="B31" s="117">
        <v>1100820</v>
      </c>
      <c r="C31" s="117">
        <v>180824</v>
      </c>
      <c r="D31" s="117">
        <v>12300</v>
      </c>
      <c r="E31" s="117">
        <v>122724</v>
      </c>
      <c r="F31" s="117"/>
      <c r="G31" s="117"/>
      <c r="H31" s="117">
        <v>572862</v>
      </c>
      <c r="I31" s="117"/>
      <c r="J31" s="117"/>
      <c r="K31" s="117">
        <v>2510545.52</v>
      </c>
      <c r="L31" s="117">
        <v>158513.1</v>
      </c>
      <c r="M31" s="117"/>
      <c r="N31" s="117">
        <v>55577.95</v>
      </c>
      <c r="O31" s="117">
        <v>134121.06</v>
      </c>
      <c r="P31" s="117"/>
      <c r="Q31" s="117"/>
      <c r="R31" s="117"/>
      <c r="S31" s="117"/>
      <c r="T31" s="117"/>
      <c r="U31" s="117"/>
      <c r="V31" s="117"/>
      <c r="W31" s="32">
        <f>+B31+E31+H31+K31+N31+Q31+T31</f>
        <v>4362529.47</v>
      </c>
      <c r="X31" s="32">
        <f t="shared" si="3"/>
        <v>473458.16</v>
      </c>
      <c r="Y31" s="32">
        <f t="shared" si="3"/>
        <v>12300</v>
      </c>
      <c r="Z31" s="32">
        <f t="shared" si="4"/>
        <v>4848287.63</v>
      </c>
    </row>
    <row r="32" spans="1:40" s="36" customFormat="1" ht="19.5" thickBot="1">
      <c r="A32" s="59" t="s">
        <v>138</v>
      </c>
      <c r="B32" s="274">
        <v>2104500</v>
      </c>
      <c r="C32" s="274">
        <v>1095701.07</v>
      </c>
      <c r="D32" s="274">
        <v>5500</v>
      </c>
      <c r="E32" s="274">
        <v>1400</v>
      </c>
      <c r="F32" s="274"/>
      <c r="G32" s="274"/>
      <c r="H32" s="274"/>
      <c r="I32" s="274">
        <v>78095</v>
      </c>
      <c r="J32" s="274"/>
      <c r="K32" s="274">
        <v>3399787.66</v>
      </c>
      <c r="L32" s="274">
        <v>656589.59</v>
      </c>
      <c r="M32" s="274"/>
      <c r="N32" s="274">
        <v>1034870.78</v>
      </c>
      <c r="O32" s="274">
        <v>85301.97</v>
      </c>
      <c r="P32" s="274"/>
      <c r="Q32" s="274"/>
      <c r="R32" s="274">
        <v>68000</v>
      </c>
      <c r="S32" s="274"/>
      <c r="T32" s="274"/>
      <c r="U32" s="274">
        <v>2416000</v>
      </c>
      <c r="V32" s="274"/>
      <c r="W32" s="32">
        <f>+B32+E32+H32+K32+N32+Q32+T32</f>
        <v>6540558.4400000004</v>
      </c>
      <c r="X32" s="32">
        <f t="shared" si="3"/>
        <v>4399687.63</v>
      </c>
      <c r="Y32" s="32">
        <f t="shared" si="3"/>
        <v>5500</v>
      </c>
      <c r="Z32" s="32">
        <f t="shared" si="4"/>
        <v>10945746.07</v>
      </c>
    </row>
    <row r="33" spans="1:27" s="269" customFormat="1" ht="19.5" thickBot="1">
      <c r="A33" s="282" t="s">
        <v>8</v>
      </c>
      <c r="B33" s="283">
        <f>SUM(B26:B32)</f>
        <v>452904737.93000001</v>
      </c>
      <c r="C33" s="283">
        <f t="shared" ref="C33:Z33" si="5">SUM(C26:C32)</f>
        <v>18310208.079999998</v>
      </c>
      <c r="D33" s="283">
        <f t="shared" si="5"/>
        <v>13764952.99</v>
      </c>
      <c r="E33" s="283">
        <f t="shared" si="5"/>
        <v>2709207.1100000003</v>
      </c>
      <c r="F33" s="283">
        <f t="shared" si="5"/>
        <v>264314</v>
      </c>
      <c r="G33" s="283">
        <f t="shared" si="5"/>
        <v>0</v>
      </c>
      <c r="H33" s="283">
        <f t="shared" si="5"/>
        <v>4792847.9399999995</v>
      </c>
      <c r="I33" s="283">
        <f t="shared" si="5"/>
        <v>1116201.1099999999</v>
      </c>
      <c r="J33" s="283">
        <f t="shared" si="5"/>
        <v>0</v>
      </c>
      <c r="K33" s="283">
        <f t="shared" si="5"/>
        <v>83047702.179999992</v>
      </c>
      <c r="L33" s="283">
        <f t="shared" si="5"/>
        <v>37779117.430000007</v>
      </c>
      <c r="M33" s="283">
        <f t="shared" si="5"/>
        <v>0</v>
      </c>
      <c r="N33" s="283">
        <f t="shared" si="5"/>
        <v>54009020.079999998</v>
      </c>
      <c r="O33" s="283">
        <f t="shared" si="5"/>
        <v>15997866.990000002</v>
      </c>
      <c r="P33" s="283">
        <f t="shared" si="5"/>
        <v>0</v>
      </c>
      <c r="Q33" s="283">
        <f t="shared" si="5"/>
        <v>1549803</v>
      </c>
      <c r="R33" s="283">
        <f t="shared" si="5"/>
        <v>4324739.5</v>
      </c>
      <c r="S33" s="283">
        <f t="shared" si="5"/>
        <v>0</v>
      </c>
      <c r="T33" s="283">
        <f t="shared" si="5"/>
        <v>26122331.009999998</v>
      </c>
      <c r="U33" s="283">
        <f t="shared" si="5"/>
        <v>20841977.149999999</v>
      </c>
      <c r="V33" s="283">
        <f t="shared" si="5"/>
        <v>0</v>
      </c>
      <c r="W33" s="283">
        <f t="shared" si="5"/>
        <v>625135649.25000012</v>
      </c>
      <c r="X33" s="283">
        <f t="shared" si="5"/>
        <v>98634424.25999999</v>
      </c>
      <c r="Y33" s="283">
        <f t="shared" si="5"/>
        <v>13764952.99</v>
      </c>
      <c r="Z33" s="283">
        <f t="shared" si="5"/>
        <v>737535026.50000012</v>
      </c>
      <c r="AA33" s="268"/>
    </row>
    <row r="34" spans="1:27" s="84" customFormat="1" ht="20.25" thickTop="1" thickBot="1">
      <c r="A34" s="220" t="s">
        <v>61</v>
      </c>
      <c r="B34" s="284">
        <f>+B24+B33</f>
        <v>555784144.37</v>
      </c>
      <c r="C34" s="284">
        <f t="shared" ref="C34:Z34" si="6">+C24+C33</f>
        <v>64251787.639999993</v>
      </c>
      <c r="D34" s="284">
        <f t="shared" si="6"/>
        <v>14581679.48</v>
      </c>
      <c r="E34" s="284">
        <f t="shared" si="6"/>
        <v>7437247.4900000002</v>
      </c>
      <c r="F34" s="284">
        <f t="shared" si="6"/>
        <v>596544.06000000006</v>
      </c>
      <c r="G34" s="284">
        <f t="shared" si="6"/>
        <v>0</v>
      </c>
      <c r="H34" s="284">
        <f t="shared" si="6"/>
        <v>13150591.009999998</v>
      </c>
      <c r="I34" s="284">
        <f t="shared" si="6"/>
        <v>3203443.11</v>
      </c>
      <c r="J34" s="284">
        <f t="shared" si="6"/>
        <v>0</v>
      </c>
      <c r="K34" s="284">
        <f>+K24+K33</f>
        <v>145583370.17000002</v>
      </c>
      <c r="L34" s="284">
        <f>+L24+L33</f>
        <v>86079852.130000025</v>
      </c>
      <c r="M34" s="284">
        <f t="shared" si="6"/>
        <v>0</v>
      </c>
      <c r="N34" s="284">
        <f t="shared" si="6"/>
        <v>226498983.07999998</v>
      </c>
      <c r="O34" s="284">
        <f t="shared" si="6"/>
        <v>36902794.800000004</v>
      </c>
      <c r="P34" s="284">
        <f t="shared" si="6"/>
        <v>0</v>
      </c>
      <c r="Q34" s="284">
        <f t="shared" si="6"/>
        <v>77429957</v>
      </c>
      <c r="R34" s="284">
        <f t="shared" si="6"/>
        <v>12010527.5</v>
      </c>
      <c r="S34" s="284">
        <f t="shared" si="6"/>
        <v>0</v>
      </c>
      <c r="T34" s="284">
        <f t="shared" si="6"/>
        <v>45555216.479999997</v>
      </c>
      <c r="U34" s="284">
        <f t="shared" si="6"/>
        <v>47457312.390000001</v>
      </c>
      <c r="V34" s="284">
        <f t="shared" si="6"/>
        <v>0</v>
      </c>
      <c r="W34" s="284">
        <f t="shared" si="6"/>
        <v>1071439509.6000001</v>
      </c>
      <c r="X34" s="284">
        <f t="shared" si="6"/>
        <v>250502261.62999997</v>
      </c>
      <c r="Y34" s="284">
        <f t="shared" si="6"/>
        <v>14581679.48</v>
      </c>
      <c r="Z34" s="284">
        <f t="shared" si="6"/>
        <v>1336523450.71</v>
      </c>
      <c r="AA34" s="36"/>
    </row>
    <row r="35" spans="1:27" s="84" customFormat="1" ht="19.5" thickTop="1">
      <c r="A35" s="112" t="s">
        <v>295</v>
      </c>
      <c r="B35" s="285"/>
      <c r="C35" s="285"/>
      <c r="D35" s="285"/>
      <c r="E35" s="285"/>
      <c r="F35" s="285"/>
      <c r="G35" s="285"/>
      <c r="H35" s="285"/>
      <c r="I35" s="285"/>
      <c r="J35" s="285"/>
      <c r="K35" s="285"/>
      <c r="L35" s="285"/>
      <c r="M35" s="285"/>
      <c r="N35" s="285"/>
      <c r="O35" s="285"/>
      <c r="P35" s="285"/>
      <c r="Q35" s="285"/>
      <c r="R35" s="285"/>
      <c r="S35" s="285"/>
      <c r="T35" s="285"/>
      <c r="U35" s="285"/>
      <c r="V35" s="286"/>
      <c r="W35" s="281"/>
      <c r="X35" s="281"/>
      <c r="Y35" s="281"/>
      <c r="Z35" s="32"/>
    </row>
    <row r="36" spans="1:27" s="84" customFormat="1" ht="18.75">
      <c r="A36" s="110" t="s">
        <v>134</v>
      </c>
      <c r="B36" s="117"/>
      <c r="C36" s="117">
        <v>2195556.2599999998</v>
      </c>
      <c r="D36" s="117"/>
      <c r="E36" s="117"/>
      <c r="F36" s="117"/>
      <c r="G36" s="117"/>
      <c r="H36" s="117"/>
      <c r="I36" s="117"/>
      <c r="J36" s="117"/>
      <c r="K36" s="117"/>
      <c r="L36" s="117">
        <f>8511246.04+624291.7</f>
        <v>9135537.7399999984</v>
      </c>
      <c r="M36" s="117"/>
      <c r="N36" s="117"/>
      <c r="O36" s="117"/>
      <c r="P36" s="117"/>
      <c r="Q36" s="117"/>
      <c r="R36" s="117"/>
      <c r="S36" s="117"/>
      <c r="T36" s="117"/>
      <c r="U36" s="117">
        <v>411000</v>
      </c>
      <c r="V36" s="117"/>
      <c r="W36" s="32">
        <f>B36+E36+H36+K36+N36+Q36+T36</f>
        <v>0</v>
      </c>
      <c r="X36" s="32">
        <f>C36+F36+I36+L36+O36+R36+U36</f>
        <v>11742093.999999998</v>
      </c>
      <c r="Y36" s="32">
        <f>D36+G36+J36+M36+P36+S36+V36</f>
        <v>0</v>
      </c>
      <c r="Z36" s="32">
        <f>W36+X36+Y36</f>
        <v>11742093.999999998</v>
      </c>
    </row>
    <row r="37" spans="1:27" s="84" customFormat="1" ht="18.75">
      <c r="A37" s="110" t="s">
        <v>135</v>
      </c>
      <c r="B37" s="117"/>
      <c r="C37" s="117"/>
      <c r="D37" s="117"/>
      <c r="E37" s="117"/>
      <c r="F37" s="117"/>
      <c r="G37" s="117"/>
      <c r="H37" s="117"/>
      <c r="I37" s="117"/>
      <c r="J37" s="117"/>
      <c r="K37" s="117"/>
      <c r="L37" s="117"/>
      <c r="M37" s="117"/>
      <c r="N37" s="117"/>
      <c r="O37" s="117"/>
      <c r="P37" s="117"/>
      <c r="Q37" s="117"/>
      <c r="R37" s="117"/>
      <c r="S37" s="117"/>
      <c r="T37" s="117"/>
      <c r="U37" s="117"/>
      <c r="V37" s="117"/>
      <c r="W37" s="32">
        <f>+B37+E37+H37+K37+N37+Q37+T37</f>
        <v>0</v>
      </c>
      <c r="X37" s="32">
        <f t="shared" ref="X37:Y45" si="7">+C37+F37+I37+L37+O37+R37+U37</f>
        <v>0</v>
      </c>
      <c r="Y37" s="32">
        <f t="shared" si="7"/>
        <v>0</v>
      </c>
      <c r="Z37" s="32">
        <f t="shared" ref="Z37:Z45" si="8">+W37+X37+Y37</f>
        <v>0</v>
      </c>
    </row>
    <row r="38" spans="1:27" s="84" customFormat="1" ht="18.75">
      <c r="A38" s="110" t="s">
        <v>136</v>
      </c>
      <c r="B38" s="117"/>
      <c r="C38" s="117">
        <f>3889972.32+304630</f>
        <v>4194602.32</v>
      </c>
      <c r="D38" s="117"/>
      <c r="E38" s="117"/>
      <c r="F38" s="117"/>
      <c r="G38" s="117"/>
      <c r="H38" s="117"/>
      <c r="I38" s="117"/>
      <c r="J38" s="117"/>
      <c r="K38" s="117"/>
      <c r="L38" s="117">
        <f>590730.77-304630+400098.19</f>
        <v>686198.96</v>
      </c>
      <c r="M38" s="117"/>
      <c r="N38" s="117"/>
      <c r="O38" s="117"/>
      <c r="P38" s="117"/>
      <c r="Q38" s="117"/>
      <c r="R38" s="117"/>
      <c r="S38" s="117"/>
      <c r="T38" s="117"/>
      <c r="U38" s="117">
        <v>180000</v>
      </c>
      <c r="V38" s="117"/>
      <c r="W38" s="32">
        <f>B38+E38+H38+K38+N38+Q38+T38</f>
        <v>0</v>
      </c>
      <c r="X38" s="32">
        <f>C38+F38+I38+L38+O38+R38+U38</f>
        <v>5060801.28</v>
      </c>
      <c r="Y38" s="32">
        <f>D38+G38+J38+M38+P38+S38+V38</f>
        <v>0</v>
      </c>
      <c r="Z38" s="32">
        <f>W38+X38+Y38</f>
        <v>5060801.28</v>
      </c>
    </row>
    <row r="39" spans="1:27" s="84" customFormat="1" ht="18.75">
      <c r="A39" s="110" t="s">
        <v>352</v>
      </c>
      <c r="B39" s="117"/>
      <c r="C39" s="117"/>
      <c r="D39" s="117"/>
      <c r="E39" s="117"/>
      <c r="F39" s="117"/>
      <c r="G39" s="117"/>
      <c r="H39" s="117"/>
      <c r="I39" s="117"/>
      <c r="J39" s="117"/>
      <c r="K39" s="117"/>
      <c r="L39" s="117">
        <v>290814.32</v>
      </c>
      <c r="M39" s="117"/>
      <c r="N39" s="117"/>
      <c r="O39" s="117"/>
      <c r="P39" s="117"/>
      <c r="Q39" s="117"/>
      <c r="R39" s="117"/>
      <c r="S39" s="117"/>
      <c r="T39" s="117"/>
      <c r="U39" s="117">
        <v>30000</v>
      </c>
      <c r="V39" s="117"/>
      <c r="W39" s="32">
        <f t="shared" ref="W39:Y45" si="9">+B39+E39+H39+K39+N39+Q39+T39</f>
        <v>0</v>
      </c>
      <c r="X39" s="32">
        <f t="shared" si="7"/>
        <v>320814.32</v>
      </c>
      <c r="Y39" s="32">
        <f t="shared" si="7"/>
        <v>0</v>
      </c>
      <c r="Z39" s="32">
        <f t="shared" si="8"/>
        <v>320814.32</v>
      </c>
    </row>
    <row r="40" spans="1:27" s="84" customFormat="1" ht="18.75">
      <c r="A40" s="110" t="s">
        <v>353</v>
      </c>
      <c r="B40" s="117"/>
      <c r="C40" s="117">
        <v>631402.87</v>
      </c>
      <c r="D40" s="117"/>
      <c r="E40" s="117"/>
      <c r="F40" s="117"/>
      <c r="G40" s="117"/>
      <c r="H40" s="117"/>
      <c r="I40" s="117"/>
      <c r="J40" s="117"/>
      <c r="K40" s="117"/>
      <c r="L40" s="117">
        <v>2955265.06</v>
      </c>
      <c r="M40" s="117"/>
      <c r="N40" s="117"/>
      <c r="O40" s="117"/>
      <c r="P40" s="117"/>
      <c r="Q40" s="117"/>
      <c r="R40" s="117"/>
      <c r="S40" s="117"/>
      <c r="T40" s="117"/>
      <c r="U40" s="117">
        <v>180000</v>
      </c>
      <c r="V40" s="117"/>
      <c r="W40" s="32">
        <f t="shared" si="9"/>
        <v>0</v>
      </c>
      <c r="X40" s="32">
        <f t="shared" si="7"/>
        <v>3766667.93</v>
      </c>
      <c r="Y40" s="32">
        <f t="shared" si="7"/>
        <v>0</v>
      </c>
      <c r="Z40" s="32">
        <f t="shared" si="8"/>
        <v>3766667.93</v>
      </c>
    </row>
    <row r="41" spans="1:27" s="84" customFormat="1" ht="18.75">
      <c r="A41" s="110" t="s">
        <v>137</v>
      </c>
      <c r="B41" s="117"/>
      <c r="C41" s="117">
        <v>1349142.77</v>
      </c>
      <c r="D41" s="117"/>
      <c r="E41" s="117"/>
      <c r="F41" s="117"/>
      <c r="G41" s="117"/>
      <c r="H41" s="117"/>
      <c r="I41" s="117"/>
      <c r="J41" s="117"/>
      <c r="K41" s="117"/>
      <c r="L41" s="117">
        <v>1035744</v>
      </c>
      <c r="M41" s="117"/>
      <c r="N41" s="117"/>
      <c r="O41" s="117"/>
      <c r="P41" s="117"/>
      <c r="Q41" s="117"/>
      <c r="R41" s="117"/>
      <c r="S41" s="117"/>
      <c r="T41" s="117"/>
      <c r="U41" s="117">
        <v>3388920</v>
      </c>
      <c r="V41" s="117"/>
      <c r="W41" s="32">
        <f t="shared" si="9"/>
        <v>0</v>
      </c>
      <c r="X41" s="32">
        <f t="shared" si="7"/>
        <v>5773806.7699999996</v>
      </c>
      <c r="Y41" s="32">
        <f t="shared" si="7"/>
        <v>0</v>
      </c>
      <c r="Z41" s="32">
        <f t="shared" si="8"/>
        <v>5773806.7699999996</v>
      </c>
    </row>
    <row r="42" spans="1:27" s="84" customFormat="1">
      <c r="A42" s="271" t="s">
        <v>437</v>
      </c>
      <c r="B42" s="121"/>
      <c r="C42" s="121">
        <f>193760+9688</f>
        <v>203448</v>
      </c>
      <c r="D42" s="121"/>
      <c r="E42" s="121"/>
      <c r="F42" s="121"/>
      <c r="G42" s="121"/>
      <c r="H42" s="121"/>
      <c r="I42" s="121"/>
      <c r="J42" s="121"/>
      <c r="K42" s="121"/>
      <c r="L42" s="121">
        <f>9000+88554+486830</f>
        <v>584384</v>
      </c>
      <c r="M42" s="121"/>
      <c r="N42" s="121"/>
      <c r="O42" s="121"/>
      <c r="P42" s="121"/>
      <c r="Q42" s="121"/>
      <c r="R42" s="121"/>
      <c r="S42" s="121"/>
      <c r="T42" s="121"/>
      <c r="U42" s="121"/>
      <c r="V42" s="121"/>
      <c r="W42" s="56">
        <f t="shared" si="9"/>
        <v>0</v>
      </c>
      <c r="X42" s="56">
        <f t="shared" si="9"/>
        <v>787832</v>
      </c>
      <c r="Y42" s="56">
        <f t="shared" si="9"/>
        <v>0</v>
      </c>
      <c r="Z42" s="56">
        <f t="shared" si="8"/>
        <v>787832</v>
      </c>
      <c r="AA42" s="101"/>
    </row>
    <row r="43" spans="1:27" s="84" customFormat="1">
      <c r="A43" s="271" t="s">
        <v>438</v>
      </c>
      <c r="B43" s="121"/>
      <c r="C43" s="121">
        <v>33483.870000000003</v>
      </c>
      <c r="D43" s="121"/>
      <c r="E43" s="121"/>
      <c r="F43" s="121"/>
      <c r="G43" s="121"/>
      <c r="H43" s="121"/>
      <c r="I43" s="121"/>
      <c r="J43" s="121"/>
      <c r="K43" s="121"/>
      <c r="L43" s="121">
        <f>1674+87845</f>
        <v>89519</v>
      </c>
      <c r="M43" s="121"/>
      <c r="N43" s="121"/>
      <c r="O43" s="121"/>
      <c r="P43" s="121"/>
      <c r="Q43" s="121"/>
      <c r="R43" s="121"/>
      <c r="S43" s="121"/>
      <c r="T43" s="121"/>
      <c r="U43" s="121">
        <v>50000</v>
      </c>
      <c r="V43" s="121"/>
      <c r="W43" s="56">
        <f t="shared" si="9"/>
        <v>0</v>
      </c>
      <c r="X43" s="56">
        <f t="shared" si="9"/>
        <v>173002.87</v>
      </c>
      <c r="Y43" s="56">
        <f t="shared" si="9"/>
        <v>0</v>
      </c>
      <c r="Z43" s="56">
        <f>+W43+X43+Y43</f>
        <v>173002.87</v>
      </c>
      <c r="AA43" s="101"/>
    </row>
    <row r="44" spans="1:27" s="84" customFormat="1">
      <c r="A44" s="110" t="s">
        <v>439</v>
      </c>
      <c r="B44" s="121"/>
      <c r="C44" s="121"/>
      <c r="D44" s="121"/>
      <c r="E44" s="121"/>
      <c r="F44" s="121"/>
      <c r="G44" s="121"/>
      <c r="H44" s="121"/>
      <c r="I44" s="121"/>
      <c r="J44" s="121"/>
      <c r="K44" s="121"/>
      <c r="L44" s="121">
        <v>184017</v>
      </c>
      <c r="M44" s="121"/>
      <c r="N44" s="121"/>
      <c r="O44" s="121"/>
      <c r="P44" s="121"/>
      <c r="Q44" s="121"/>
      <c r="R44" s="121"/>
      <c r="S44" s="121"/>
      <c r="T44" s="121"/>
      <c r="U44" s="121"/>
      <c r="V44" s="121"/>
      <c r="W44" s="56"/>
      <c r="X44" s="56">
        <f>+C44+F44+I44+L44+O44+R44+U44</f>
        <v>184017</v>
      </c>
      <c r="Y44" s="56"/>
      <c r="Z44" s="56">
        <f>+W44+X44+Y44</f>
        <v>184017</v>
      </c>
      <c r="AA44" s="101"/>
    </row>
    <row r="45" spans="1:27" s="84" customFormat="1" ht="19.5" thickBot="1">
      <c r="A45" s="287" t="s">
        <v>440</v>
      </c>
      <c r="B45" s="274">
        <v>0</v>
      </c>
      <c r="C45" s="274">
        <v>355680</v>
      </c>
      <c r="D45" s="274">
        <v>0</v>
      </c>
      <c r="E45" s="274">
        <v>0</v>
      </c>
      <c r="F45" s="117">
        <v>0</v>
      </c>
      <c r="G45" s="117">
        <v>0</v>
      </c>
      <c r="H45" s="117">
        <v>0</v>
      </c>
      <c r="I45" s="117">
        <v>0</v>
      </c>
      <c r="J45" s="117">
        <v>0</v>
      </c>
      <c r="K45" s="117">
        <v>40928</v>
      </c>
      <c r="L45" s="117">
        <v>0</v>
      </c>
      <c r="M45" s="274">
        <v>0</v>
      </c>
      <c r="N45" s="274">
        <v>0</v>
      </c>
      <c r="O45" s="274">
        <v>0</v>
      </c>
      <c r="P45" s="274">
        <v>0</v>
      </c>
      <c r="Q45" s="274">
        <v>0</v>
      </c>
      <c r="R45" s="274">
        <v>0</v>
      </c>
      <c r="S45" s="274">
        <v>0</v>
      </c>
      <c r="T45" s="274">
        <v>0</v>
      </c>
      <c r="U45" s="274">
        <v>7540</v>
      </c>
      <c r="V45" s="274"/>
      <c r="W45" s="32">
        <f t="shared" si="9"/>
        <v>40928</v>
      </c>
      <c r="X45" s="32">
        <f t="shared" si="7"/>
        <v>363220</v>
      </c>
      <c r="Y45" s="32">
        <f t="shared" si="7"/>
        <v>0</v>
      </c>
      <c r="Z45" s="32">
        <f t="shared" si="8"/>
        <v>404148</v>
      </c>
    </row>
    <row r="46" spans="1:27" s="269" customFormat="1" ht="20.25" thickTop="1" thickBot="1">
      <c r="A46" s="288" t="s">
        <v>8</v>
      </c>
      <c r="B46" s="289">
        <f>SUM(B36:B45)</f>
        <v>0</v>
      </c>
      <c r="C46" s="289">
        <f t="shared" ref="C46:Z46" si="10">SUM(C36:C45)</f>
        <v>8963316.0899999999</v>
      </c>
      <c r="D46" s="289">
        <f t="shared" si="10"/>
        <v>0</v>
      </c>
      <c r="E46" s="289">
        <f t="shared" si="10"/>
        <v>0</v>
      </c>
      <c r="F46" s="289">
        <f t="shared" si="10"/>
        <v>0</v>
      </c>
      <c r="G46" s="289">
        <f t="shared" si="10"/>
        <v>0</v>
      </c>
      <c r="H46" s="289">
        <f t="shared" si="10"/>
        <v>0</v>
      </c>
      <c r="I46" s="289">
        <f t="shared" si="10"/>
        <v>0</v>
      </c>
      <c r="J46" s="289">
        <f t="shared" si="10"/>
        <v>0</v>
      </c>
      <c r="K46" s="289">
        <f t="shared" si="10"/>
        <v>40928</v>
      </c>
      <c r="L46" s="289">
        <f t="shared" si="10"/>
        <v>14961480.08</v>
      </c>
      <c r="M46" s="289">
        <f t="shared" si="10"/>
        <v>0</v>
      </c>
      <c r="N46" s="289">
        <f t="shared" si="10"/>
        <v>0</v>
      </c>
      <c r="O46" s="289">
        <f t="shared" si="10"/>
        <v>0</v>
      </c>
      <c r="P46" s="289">
        <f t="shared" si="10"/>
        <v>0</v>
      </c>
      <c r="Q46" s="289">
        <f t="shared" si="10"/>
        <v>0</v>
      </c>
      <c r="R46" s="289">
        <f t="shared" si="10"/>
        <v>0</v>
      </c>
      <c r="S46" s="289">
        <f t="shared" si="10"/>
        <v>0</v>
      </c>
      <c r="T46" s="289">
        <f t="shared" si="10"/>
        <v>0</v>
      </c>
      <c r="U46" s="289">
        <f t="shared" si="10"/>
        <v>4247460</v>
      </c>
      <c r="V46" s="289">
        <f t="shared" si="10"/>
        <v>0</v>
      </c>
      <c r="W46" s="289">
        <f t="shared" si="10"/>
        <v>40928</v>
      </c>
      <c r="X46" s="289">
        <f t="shared" si="10"/>
        <v>28172256.169999998</v>
      </c>
      <c r="Y46" s="289">
        <f t="shared" si="10"/>
        <v>0</v>
      </c>
      <c r="Z46" s="289">
        <f t="shared" si="10"/>
        <v>28213184.169999998</v>
      </c>
    </row>
    <row r="47" spans="1:27" s="84" customFormat="1" ht="20.25" thickTop="1" thickBot="1">
      <c r="A47" s="220" t="s">
        <v>155</v>
      </c>
      <c r="B47" s="284">
        <f>+B34+B46</f>
        <v>555784144.37</v>
      </c>
      <c r="C47" s="284">
        <f>+C34+C46</f>
        <v>73215103.729999989</v>
      </c>
      <c r="D47" s="284">
        <f t="shared" ref="D47:Z47" si="11">+D34+D46</f>
        <v>14581679.48</v>
      </c>
      <c r="E47" s="284">
        <f t="shared" si="11"/>
        <v>7437247.4900000002</v>
      </c>
      <c r="F47" s="284">
        <f t="shared" si="11"/>
        <v>596544.06000000006</v>
      </c>
      <c r="G47" s="284">
        <f t="shared" si="11"/>
        <v>0</v>
      </c>
      <c r="H47" s="284">
        <f t="shared" si="11"/>
        <v>13150591.009999998</v>
      </c>
      <c r="I47" s="284">
        <f t="shared" si="11"/>
        <v>3203443.11</v>
      </c>
      <c r="J47" s="284">
        <f t="shared" si="11"/>
        <v>0</v>
      </c>
      <c r="K47" s="284">
        <f t="shared" si="11"/>
        <v>145624298.17000002</v>
      </c>
      <c r="L47" s="284">
        <f t="shared" si="11"/>
        <v>101041332.21000002</v>
      </c>
      <c r="M47" s="284">
        <f t="shared" si="11"/>
        <v>0</v>
      </c>
      <c r="N47" s="284">
        <f t="shared" si="11"/>
        <v>226498983.07999998</v>
      </c>
      <c r="O47" s="284">
        <f t="shared" si="11"/>
        <v>36902794.800000004</v>
      </c>
      <c r="P47" s="284">
        <f t="shared" si="11"/>
        <v>0</v>
      </c>
      <c r="Q47" s="284">
        <f t="shared" si="11"/>
        <v>77429957</v>
      </c>
      <c r="R47" s="284">
        <f t="shared" si="11"/>
        <v>12010527.5</v>
      </c>
      <c r="S47" s="284">
        <f t="shared" si="11"/>
        <v>0</v>
      </c>
      <c r="T47" s="284">
        <f t="shared" si="11"/>
        <v>45555216.479999997</v>
      </c>
      <c r="U47" s="284">
        <f t="shared" si="11"/>
        <v>51704772.390000001</v>
      </c>
      <c r="V47" s="284">
        <f t="shared" si="11"/>
        <v>0</v>
      </c>
      <c r="W47" s="284">
        <f t="shared" si="11"/>
        <v>1071480437.6000001</v>
      </c>
      <c r="X47" s="284">
        <f t="shared" si="11"/>
        <v>278674517.79999995</v>
      </c>
      <c r="Y47" s="284">
        <f t="shared" si="11"/>
        <v>14581679.48</v>
      </c>
      <c r="Z47" s="284">
        <f t="shared" si="11"/>
        <v>1364736634.8800001</v>
      </c>
    </row>
    <row r="48" spans="1:27" s="36" customFormat="1" ht="19.5" thickTop="1">
      <c r="A48" s="290" t="s">
        <v>441</v>
      </c>
      <c r="B48" s="290"/>
      <c r="C48" s="290"/>
      <c r="D48" s="290"/>
      <c r="E48" s="290"/>
      <c r="F48" s="290"/>
      <c r="G48" s="290"/>
      <c r="H48" s="290"/>
      <c r="I48" s="221"/>
      <c r="J48" s="221"/>
      <c r="K48" s="221"/>
      <c r="L48" s="86"/>
      <c r="M48" s="86"/>
      <c r="N48" s="86"/>
      <c r="O48" s="86"/>
      <c r="P48" s="86"/>
      <c r="Q48" s="86"/>
      <c r="R48" s="86"/>
      <c r="S48" s="86"/>
      <c r="T48" s="86"/>
      <c r="U48" s="86"/>
      <c r="V48" s="86"/>
      <c r="W48" s="86"/>
      <c r="X48" s="86"/>
      <c r="Y48" s="86"/>
    </row>
    <row r="49" spans="1:27" s="169" customFormat="1" ht="18.75">
      <c r="A49" s="612" t="s">
        <v>442</v>
      </c>
      <c r="B49" s="612"/>
      <c r="C49" s="612"/>
      <c r="D49" s="612"/>
      <c r="E49" s="612"/>
      <c r="F49" s="612"/>
      <c r="G49" s="612"/>
      <c r="H49" s="612"/>
      <c r="I49" s="612"/>
      <c r="J49" s="612"/>
      <c r="K49" s="177"/>
      <c r="L49" s="177"/>
      <c r="M49" s="177"/>
      <c r="N49" s="177"/>
      <c r="O49" s="177"/>
      <c r="P49" s="177"/>
      <c r="Q49" s="177"/>
      <c r="R49" s="177"/>
      <c r="S49" s="177"/>
      <c r="T49" s="177"/>
      <c r="U49" s="177"/>
      <c r="V49" s="177"/>
      <c r="W49" s="177"/>
      <c r="X49" s="177"/>
      <c r="Y49" s="177"/>
      <c r="Z49" s="170"/>
    </row>
    <row r="50" spans="1:27" s="84" customFormat="1" ht="31.5" customHeight="1">
      <c r="G50" s="84" t="s">
        <v>378</v>
      </c>
      <c r="R50" s="113"/>
      <c r="S50" s="113"/>
      <c r="T50" s="113"/>
      <c r="U50" s="113"/>
      <c r="V50" s="113"/>
      <c r="W50" s="113"/>
      <c r="X50" s="113"/>
      <c r="Y50" s="113"/>
      <c r="Z50" s="36"/>
    </row>
    <row r="51" spans="1:27" ht="31.5" customHeight="1"/>
    <row r="52" spans="1:27" s="36" customFormat="1" ht="31.5" customHeight="1"/>
    <row r="53" spans="1:27" s="36" customFormat="1" ht="31.5" customHeight="1">
      <c r="A53" s="221"/>
      <c r="B53" s="221"/>
      <c r="C53" s="221"/>
      <c r="D53" s="221"/>
      <c r="E53" s="221"/>
      <c r="F53" s="221"/>
      <c r="G53" s="221"/>
      <c r="H53" s="221"/>
      <c r="I53" s="221"/>
      <c r="J53" s="86"/>
      <c r="K53" s="86"/>
      <c r="L53" s="86"/>
      <c r="M53" s="86"/>
      <c r="N53" s="86"/>
      <c r="O53" s="86"/>
      <c r="P53" s="86"/>
      <c r="Q53" s="86"/>
      <c r="R53" s="86"/>
      <c r="S53" s="86"/>
      <c r="T53" s="86"/>
      <c r="U53" s="86"/>
      <c r="V53" s="86"/>
    </row>
    <row r="54" spans="1:27" ht="31.5" customHeight="1">
      <c r="A54" s="105"/>
      <c r="B54" s="105"/>
      <c r="C54" s="105"/>
      <c r="D54" s="105"/>
      <c r="E54" s="105"/>
      <c r="F54" s="105"/>
      <c r="G54" s="105"/>
      <c r="H54" s="105"/>
      <c r="I54" s="105"/>
      <c r="J54" s="291"/>
      <c r="K54" s="291"/>
      <c r="L54" s="291"/>
      <c r="M54" s="291"/>
      <c r="N54" s="291"/>
      <c r="O54" s="291"/>
      <c r="P54" s="291"/>
      <c r="Q54" s="291"/>
      <c r="R54" s="291"/>
      <c r="S54" s="291"/>
      <c r="T54" s="291"/>
      <c r="U54" s="291"/>
      <c r="V54" s="291"/>
      <c r="W54" s="31"/>
      <c r="X54" s="31"/>
      <c r="Y54" s="31"/>
      <c r="Z54" s="31"/>
    </row>
    <row r="55" spans="1:27" ht="31.5" customHeight="1">
      <c r="A55" s="105"/>
      <c r="B55" s="105"/>
      <c r="C55" s="105"/>
      <c r="D55" s="105"/>
      <c r="E55" s="105"/>
      <c r="F55" s="105"/>
      <c r="G55" s="105"/>
      <c r="H55" s="105"/>
      <c r="I55" s="105"/>
      <c r="J55" s="291"/>
      <c r="K55" s="291"/>
      <c r="L55" s="291"/>
      <c r="M55" s="291"/>
      <c r="N55" s="291"/>
      <c r="O55" s="291"/>
      <c r="P55" s="291"/>
      <c r="Q55" s="291"/>
      <c r="R55" s="291"/>
      <c r="S55" s="291"/>
      <c r="T55" s="291"/>
      <c r="U55" s="291"/>
      <c r="V55" s="291"/>
      <c r="W55" s="31"/>
      <c r="X55" s="31"/>
      <c r="Y55" s="31"/>
      <c r="Z55" s="31"/>
    </row>
    <row r="56" spans="1:27">
      <c r="A56" s="105"/>
      <c r="B56" s="221"/>
      <c r="C56" s="221"/>
      <c r="D56" s="221"/>
      <c r="E56" s="221"/>
      <c r="F56" s="221"/>
      <c r="G56" s="221"/>
      <c r="H56" s="221"/>
      <c r="I56" s="221"/>
      <c r="J56" s="86"/>
      <c r="K56" s="86"/>
      <c r="L56" s="86"/>
      <c r="M56" s="86"/>
      <c r="N56" s="86"/>
      <c r="O56" s="86"/>
      <c r="P56" s="86"/>
      <c r="Q56" s="86"/>
      <c r="R56" s="86"/>
      <c r="S56" s="86"/>
      <c r="T56" s="86"/>
      <c r="U56" s="86"/>
      <c r="V56" s="86"/>
      <c r="W56" s="36"/>
      <c r="X56" s="36"/>
      <c r="Y56" s="36"/>
      <c r="Z56" s="36"/>
    </row>
    <row r="57" spans="1:27">
      <c r="A57" s="105"/>
      <c r="B57" s="86"/>
      <c r="C57" s="86"/>
      <c r="D57" s="86"/>
      <c r="E57" s="86"/>
      <c r="F57" s="86"/>
      <c r="G57" s="86"/>
      <c r="H57" s="86"/>
      <c r="I57" s="86"/>
      <c r="J57" s="86"/>
      <c r="K57" s="221"/>
      <c r="L57" s="221"/>
      <c r="M57" s="221"/>
      <c r="N57" s="221"/>
      <c r="O57" s="86"/>
      <c r="P57" s="86"/>
      <c r="Q57" s="86"/>
      <c r="R57" s="86"/>
      <c r="S57" s="86"/>
      <c r="T57" s="86"/>
      <c r="U57" s="86"/>
      <c r="V57" s="86"/>
      <c r="W57" s="36"/>
      <c r="X57" s="36"/>
      <c r="Y57" s="36"/>
      <c r="Z57" s="36"/>
    </row>
    <row r="58" spans="1:27">
      <c r="A58" s="104"/>
      <c r="B58" s="86"/>
      <c r="C58" s="86"/>
      <c r="D58" s="86"/>
      <c r="E58" s="86"/>
      <c r="F58" s="86"/>
      <c r="G58" s="86"/>
      <c r="H58" s="86"/>
      <c r="I58" s="86"/>
      <c r="J58" s="86"/>
      <c r="K58" s="86"/>
      <c r="L58" s="86"/>
      <c r="M58" s="86"/>
      <c r="N58" s="86"/>
      <c r="O58" s="86"/>
      <c r="P58" s="86"/>
      <c r="Q58" s="86"/>
      <c r="R58" s="86"/>
      <c r="S58" s="86"/>
      <c r="T58" s="86"/>
      <c r="U58" s="86"/>
      <c r="V58" s="86"/>
      <c r="W58" s="36"/>
      <c r="X58" s="36"/>
      <c r="Y58" s="36"/>
      <c r="Z58" s="36"/>
    </row>
    <row r="59" spans="1:27" s="106" customFormat="1" ht="23.25">
      <c r="B59" s="113"/>
      <c r="C59" s="113"/>
      <c r="D59" s="113"/>
      <c r="E59" s="113"/>
      <c r="F59" s="113"/>
      <c r="G59" s="113"/>
      <c r="H59" s="113"/>
      <c r="I59" s="113"/>
      <c r="J59" s="113"/>
      <c r="K59" s="113"/>
      <c r="L59" s="113"/>
      <c r="M59" s="113"/>
      <c r="N59" s="113"/>
      <c r="O59" s="113"/>
      <c r="P59" s="113"/>
      <c r="Q59" s="113"/>
      <c r="R59" s="113"/>
      <c r="S59" s="113"/>
      <c r="T59" s="113"/>
      <c r="U59" s="113"/>
      <c r="V59" s="113"/>
      <c r="W59" s="84"/>
      <c r="X59" s="84"/>
      <c r="Y59" s="84"/>
      <c r="Z59" s="84"/>
      <c r="AA59" s="101"/>
    </row>
    <row r="60" spans="1:27" s="106" customFormat="1" ht="23.25">
      <c r="B60" s="114"/>
      <c r="C60" s="114"/>
      <c r="D60" s="114"/>
      <c r="E60" s="114"/>
      <c r="F60" s="114"/>
      <c r="G60" s="114"/>
      <c r="H60" s="114"/>
      <c r="I60" s="114"/>
      <c r="J60" s="114"/>
      <c r="K60" s="114"/>
      <c r="L60" s="114"/>
      <c r="M60" s="114"/>
      <c r="N60" s="114"/>
      <c r="O60" s="114"/>
      <c r="P60" s="114"/>
      <c r="Q60" s="114"/>
      <c r="R60" s="114"/>
      <c r="S60" s="114"/>
      <c r="T60" s="114"/>
      <c r="U60" s="114"/>
      <c r="V60" s="114"/>
      <c r="W60" s="83"/>
      <c r="X60" s="83"/>
      <c r="Y60" s="83"/>
      <c r="Z60" s="83"/>
      <c r="AA60" s="101"/>
    </row>
    <row r="61" spans="1:27" s="106" customFormat="1" ht="23.25">
      <c r="B61" s="114"/>
      <c r="C61" s="114"/>
      <c r="D61" s="114"/>
      <c r="E61" s="114"/>
      <c r="F61" s="114"/>
      <c r="G61" s="114"/>
      <c r="H61" s="114"/>
      <c r="I61" s="114"/>
      <c r="J61" s="114"/>
      <c r="K61" s="114"/>
      <c r="L61" s="114"/>
      <c r="M61" s="114"/>
      <c r="N61" s="114"/>
      <c r="O61" s="114"/>
      <c r="P61" s="114"/>
      <c r="Q61" s="114"/>
      <c r="R61" s="114"/>
      <c r="S61" s="114"/>
      <c r="T61" s="114"/>
      <c r="U61" s="114"/>
      <c r="V61" s="114"/>
      <c r="W61" s="83"/>
      <c r="X61" s="83"/>
      <c r="Y61" s="83"/>
      <c r="Z61" s="83"/>
      <c r="AA61" s="101"/>
    </row>
    <row r="62" spans="1:27" s="106" customFormat="1" ht="23.25">
      <c r="B62" s="114"/>
      <c r="C62" s="114"/>
      <c r="D62" s="114"/>
      <c r="E62" s="114"/>
      <c r="F62" s="114"/>
      <c r="G62" s="114"/>
      <c r="H62" s="114"/>
      <c r="I62" s="114"/>
      <c r="J62" s="114"/>
      <c r="K62" s="114"/>
      <c r="L62" s="114"/>
      <c r="M62" s="114"/>
      <c r="N62" s="114"/>
      <c r="O62" s="114"/>
      <c r="P62" s="114"/>
      <c r="Q62" s="114"/>
      <c r="R62" s="114"/>
      <c r="S62" s="114"/>
      <c r="T62" s="114"/>
      <c r="U62" s="114"/>
      <c r="V62" s="114"/>
      <c r="W62" s="83"/>
      <c r="X62" s="83"/>
      <c r="Y62" s="83"/>
      <c r="Z62" s="83"/>
      <c r="AA62" s="101"/>
    </row>
    <row r="63" spans="1:27" s="106" customFormat="1" ht="23.25">
      <c r="B63" s="114"/>
      <c r="C63" s="114"/>
      <c r="D63" s="114"/>
      <c r="E63" s="114"/>
      <c r="F63" s="114"/>
      <c r="G63" s="114"/>
      <c r="H63" s="114"/>
      <c r="I63" s="114"/>
      <c r="J63" s="114"/>
      <c r="K63" s="114"/>
      <c r="L63" s="114"/>
      <c r="M63" s="114"/>
      <c r="N63" s="114"/>
      <c r="O63" s="114"/>
      <c r="P63" s="114"/>
      <c r="Q63" s="114"/>
      <c r="R63" s="114"/>
      <c r="S63" s="114"/>
      <c r="T63" s="114"/>
      <c r="U63" s="114"/>
      <c r="V63" s="114"/>
      <c r="W63" s="83"/>
      <c r="X63" s="83"/>
      <c r="Y63" s="83"/>
      <c r="Z63" s="83"/>
      <c r="AA63" s="101"/>
    </row>
    <row r="64" spans="1:27" s="109" customFormat="1" ht="26.25">
      <c r="A64" s="107"/>
      <c r="B64" s="115"/>
      <c r="C64" s="115"/>
      <c r="D64" s="115"/>
      <c r="E64" s="115"/>
      <c r="F64" s="115"/>
      <c r="G64" s="115"/>
      <c r="H64" s="115"/>
      <c r="I64" s="115"/>
      <c r="J64" s="115"/>
      <c r="K64" s="115"/>
      <c r="L64" s="115"/>
      <c r="M64" s="115"/>
      <c r="N64" s="115"/>
      <c r="O64" s="115"/>
      <c r="P64" s="115"/>
      <c r="Q64" s="115"/>
      <c r="R64" s="115"/>
      <c r="S64" s="115"/>
      <c r="T64" s="115"/>
      <c r="U64" s="115"/>
      <c r="V64" s="115"/>
      <c r="W64" s="116"/>
      <c r="X64" s="116"/>
      <c r="Y64" s="116"/>
      <c r="Z64" s="116"/>
      <c r="AA64" s="108"/>
    </row>
    <row r="65" spans="1:1" ht="23.25">
      <c r="A65" s="106"/>
    </row>
    <row r="68" spans="1:1" ht="29.25" customHeight="1"/>
  </sheetData>
  <mergeCells count="15">
    <mergeCell ref="A1:Z1"/>
    <mergeCell ref="A2:Z2"/>
    <mergeCell ref="A49:J49"/>
    <mergeCell ref="A3:D3"/>
    <mergeCell ref="P3:Z3"/>
    <mergeCell ref="A4:A5"/>
    <mergeCell ref="B4:D4"/>
    <mergeCell ref="E4:G4"/>
    <mergeCell ref="H4:J4"/>
    <mergeCell ref="K4:M4"/>
    <mergeCell ref="N4:P4"/>
    <mergeCell ref="Q4:S4"/>
    <mergeCell ref="T4:V4"/>
    <mergeCell ref="W4:Y4"/>
    <mergeCell ref="Z4:Z5"/>
  </mergeCells>
  <phoneticPr fontId="3" type="noConversion"/>
  <printOptions horizontalCentered="1" verticalCentered="1"/>
  <pageMargins left="0.17" right="0.15" top="0.62992125984251968" bottom="0.39370078740157483" header="0.39370078740157483" footer="0.51181102362204722"/>
  <pageSetup paperSize="9" scale="40" orientation="landscape" verticalDpi="0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rgb="FF00B050"/>
  </sheetPr>
  <dimension ref="A1:BG288"/>
  <sheetViews>
    <sheetView topLeftCell="A253" zoomScale="80" zoomScaleNormal="80" workbookViewId="0">
      <selection activeCell="A197" sqref="A197"/>
    </sheetView>
  </sheetViews>
  <sheetFormatPr defaultRowHeight="25.5" customHeight="1"/>
  <cols>
    <col min="1" max="1" width="4.28515625" style="532" customWidth="1"/>
    <col min="2" max="2" width="5.5703125" style="292" bestFit="1" customWidth="1"/>
    <col min="3" max="3" width="45.140625" style="293" customWidth="1"/>
    <col min="4" max="4" width="15.85546875" style="294" hidden="1" customWidth="1"/>
    <col min="5" max="5" width="14.85546875" style="294" hidden="1" customWidth="1"/>
    <col min="6" max="6" width="14.85546875" style="293" hidden="1" customWidth="1"/>
    <col min="7" max="7" width="13.5703125" style="293" hidden="1" customWidth="1"/>
    <col min="8" max="8" width="12" style="293" hidden="1" customWidth="1"/>
    <col min="9" max="9" width="7.28515625" style="293" hidden="1" customWidth="1"/>
    <col min="10" max="11" width="13.5703125" style="293" hidden="1" customWidth="1"/>
    <col min="12" max="12" width="7.28515625" style="293" hidden="1" customWidth="1"/>
    <col min="13" max="14" width="14.85546875" style="293" hidden="1" customWidth="1"/>
    <col min="15" max="15" width="7.28515625" style="293" hidden="1" customWidth="1"/>
    <col min="16" max="16" width="15.85546875" style="293" hidden="1" customWidth="1"/>
    <col min="17" max="17" width="14.85546875" style="293" hidden="1" customWidth="1"/>
    <col min="18" max="18" width="7.28515625" style="293" hidden="1" customWidth="1"/>
    <col min="19" max="19" width="14.85546875" style="294" hidden="1" customWidth="1"/>
    <col min="20" max="20" width="13.5703125" style="294" hidden="1" customWidth="1"/>
    <col min="21" max="21" width="7.28515625" style="293" hidden="1" customWidth="1"/>
    <col min="22" max="23" width="14.85546875" style="294" hidden="1" customWidth="1"/>
    <col min="24" max="24" width="7.28515625" style="293" hidden="1" customWidth="1"/>
    <col min="25" max="25" width="16.140625" style="293" hidden="1" customWidth="1"/>
    <col min="26" max="26" width="15.85546875" style="293" hidden="1" customWidth="1"/>
    <col min="27" max="27" width="14.85546875" style="293" hidden="1" customWidth="1"/>
    <col min="28" max="28" width="16.140625" style="293" customWidth="1"/>
    <col min="29" max="29" width="14.5703125" style="295" customWidth="1"/>
    <col min="30" max="30" width="14.5703125" style="293" customWidth="1"/>
    <col min="31" max="31" width="13.5703125" style="293" customWidth="1"/>
    <col min="32" max="32" width="14.5703125" style="293" customWidth="1"/>
    <col min="33" max="33" width="16.140625" style="293" customWidth="1"/>
    <col min="34" max="35" width="14.5703125" style="293" customWidth="1"/>
    <col min="36" max="36" width="9" style="293" customWidth="1"/>
    <col min="37" max="37" width="14.85546875" style="293" customWidth="1"/>
    <col min="38" max="38" width="13.5703125" style="293" customWidth="1"/>
    <col min="39" max="39" width="13" style="293" customWidth="1"/>
    <col min="40" max="40" width="9.5703125" style="293" customWidth="1"/>
    <col min="41" max="41" width="12.85546875" style="293" customWidth="1"/>
    <col min="42" max="42" width="13.5703125" style="293" customWidth="1"/>
    <col min="43" max="43" width="21.5703125" style="293" customWidth="1"/>
    <col min="44" max="45" width="15.85546875" style="293" bestFit="1" customWidth="1"/>
    <col min="46" max="46" width="14.85546875" style="293" bestFit="1" customWidth="1"/>
    <col min="47" max="47" width="15.85546875" style="293" bestFit="1" customWidth="1"/>
    <col min="48" max="48" width="16.140625" style="344" bestFit="1" customWidth="1"/>
    <col min="49" max="49" width="14.5703125" style="293" customWidth="1"/>
    <col min="50" max="50" width="13.5703125" style="293" customWidth="1"/>
    <col min="51" max="51" width="10" style="293" customWidth="1"/>
    <col min="52" max="52" width="13.5703125" style="293" customWidth="1"/>
    <col min="53" max="53" width="14.5703125" style="293" customWidth="1"/>
    <col min="54" max="54" width="15" style="319" customWidth="1"/>
    <col min="55" max="57" width="15" style="293" customWidth="1"/>
    <col min="58" max="58" width="16.42578125" style="293" customWidth="1"/>
    <col min="59" max="59" width="20.85546875" style="293" customWidth="1"/>
    <col min="60" max="16384" width="9.140625" style="293"/>
  </cols>
  <sheetData>
    <row r="1" spans="1:59" ht="25.5" customHeight="1">
      <c r="A1" s="629" t="s">
        <v>494</v>
      </c>
      <c r="B1" s="629"/>
      <c r="C1" s="629"/>
      <c r="D1" s="629"/>
      <c r="E1" s="629"/>
      <c r="F1" s="629"/>
      <c r="G1" s="629"/>
      <c r="H1" s="629"/>
      <c r="I1" s="629"/>
      <c r="J1" s="629"/>
      <c r="K1" s="629"/>
      <c r="L1" s="629"/>
      <c r="M1" s="629"/>
      <c r="N1" s="629"/>
      <c r="O1" s="629"/>
      <c r="P1" s="629"/>
      <c r="Q1" s="629"/>
      <c r="R1" s="629"/>
      <c r="S1" s="629"/>
      <c r="T1" s="629"/>
      <c r="U1" s="629"/>
      <c r="V1" s="629"/>
      <c r="W1" s="629"/>
      <c r="X1" s="629"/>
      <c r="Y1" s="629"/>
      <c r="Z1" s="629"/>
      <c r="AA1" s="629"/>
      <c r="AB1" s="629"/>
      <c r="AC1" s="629"/>
      <c r="AD1" s="629"/>
      <c r="AE1" s="629"/>
      <c r="AF1" s="629"/>
      <c r="AG1" s="629"/>
      <c r="AH1" s="629"/>
      <c r="AI1" s="629"/>
      <c r="AJ1" s="629"/>
      <c r="AK1" s="629"/>
      <c r="AL1" s="629"/>
      <c r="AM1" s="629"/>
      <c r="AN1" s="629"/>
      <c r="AO1" s="629"/>
      <c r="AP1" s="629"/>
      <c r="AQ1" s="629"/>
      <c r="AR1" s="629"/>
      <c r="AS1" s="629"/>
      <c r="AT1" s="629"/>
      <c r="AU1" s="629"/>
      <c r="AV1" s="629"/>
      <c r="AW1" s="629"/>
      <c r="AX1" s="629"/>
      <c r="AY1" s="629"/>
      <c r="AZ1" s="629"/>
      <c r="BA1" s="629"/>
      <c r="BB1" s="629"/>
      <c r="BC1" s="629"/>
      <c r="BD1" s="629"/>
      <c r="BE1" s="629"/>
      <c r="BF1" s="629"/>
    </row>
    <row r="2" spans="1:59" ht="25.5" customHeight="1">
      <c r="A2" s="630" t="s">
        <v>36</v>
      </c>
      <c r="B2" s="630"/>
      <c r="C2" s="630"/>
      <c r="D2" s="630"/>
      <c r="E2" s="630"/>
      <c r="F2" s="630"/>
      <c r="G2" s="630"/>
      <c r="H2" s="630"/>
      <c r="I2" s="630"/>
      <c r="J2" s="630"/>
      <c r="K2" s="630"/>
      <c r="L2" s="630"/>
      <c r="M2" s="630"/>
      <c r="N2" s="630"/>
      <c r="O2" s="630"/>
      <c r="P2" s="630"/>
      <c r="Q2" s="630"/>
      <c r="R2" s="630"/>
      <c r="S2" s="630"/>
      <c r="T2" s="630"/>
      <c r="U2" s="630"/>
      <c r="V2" s="630"/>
      <c r="W2" s="630"/>
      <c r="X2" s="630"/>
      <c r="Y2" s="630"/>
      <c r="Z2" s="630"/>
      <c r="AA2" s="630"/>
      <c r="AB2" s="630"/>
      <c r="AC2" s="630"/>
      <c r="AD2" s="630"/>
      <c r="AE2" s="630"/>
      <c r="AF2" s="630"/>
      <c r="AG2" s="630"/>
      <c r="AH2" s="630"/>
      <c r="AI2" s="630"/>
      <c r="AJ2" s="630"/>
      <c r="AK2" s="630"/>
      <c r="AL2" s="630"/>
      <c r="AM2" s="630"/>
      <c r="AN2" s="630"/>
      <c r="AO2" s="630"/>
      <c r="AP2" s="630"/>
      <c r="AQ2" s="630"/>
      <c r="AR2" s="630"/>
      <c r="AS2" s="630"/>
      <c r="AT2" s="630"/>
      <c r="AU2" s="630"/>
      <c r="AV2" s="630"/>
      <c r="AW2" s="630"/>
      <c r="AX2" s="630"/>
      <c r="AY2" s="630"/>
      <c r="AZ2" s="630"/>
      <c r="BA2" s="630"/>
      <c r="BB2" s="630"/>
      <c r="BC2" s="630"/>
      <c r="BD2" s="630"/>
      <c r="BE2" s="630"/>
      <c r="BF2" s="630"/>
    </row>
    <row r="3" spans="1:59" ht="25.5" customHeight="1">
      <c r="A3" s="641"/>
      <c r="B3" s="648" t="s">
        <v>148</v>
      </c>
      <c r="C3" s="634" t="s">
        <v>443</v>
      </c>
      <c r="D3" s="634" t="s">
        <v>71</v>
      </c>
      <c r="E3" s="634"/>
      <c r="F3" s="634"/>
      <c r="G3" s="634" t="s">
        <v>444</v>
      </c>
      <c r="H3" s="634"/>
      <c r="I3" s="634"/>
      <c r="J3" s="634" t="s">
        <v>131</v>
      </c>
      <c r="K3" s="634"/>
      <c r="L3" s="634"/>
      <c r="M3" s="634" t="s">
        <v>132</v>
      </c>
      <c r="N3" s="634"/>
      <c r="O3" s="634"/>
      <c r="P3" s="634" t="s">
        <v>74</v>
      </c>
      <c r="Q3" s="634"/>
      <c r="R3" s="634"/>
      <c r="S3" s="634" t="s">
        <v>72</v>
      </c>
      <c r="T3" s="634"/>
      <c r="U3" s="634"/>
      <c r="V3" s="634" t="s">
        <v>445</v>
      </c>
      <c r="W3" s="634"/>
      <c r="X3" s="634"/>
      <c r="Y3" s="634" t="s">
        <v>446</v>
      </c>
      <c r="Z3" s="634"/>
      <c r="AA3" s="634"/>
      <c r="AB3" s="649" t="s">
        <v>61</v>
      </c>
      <c r="AC3" s="645" t="s">
        <v>329</v>
      </c>
      <c r="AD3" s="646"/>
      <c r="AE3" s="646"/>
      <c r="AF3" s="646"/>
      <c r="AG3" s="647"/>
      <c r="AH3" s="642" t="s">
        <v>182</v>
      </c>
      <c r="AI3" s="644" t="s">
        <v>179</v>
      </c>
      <c r="AJ3" s="644" t="s">
        <v>180</v>
      </c>
      <c r="AK3" s="631" t="s">
        <v>181</v>
      </c>
      <c r="AL3" s="633" t="s">
        <v>328</v>
      </c>
      <c r="AM3" s="633"/>
      <c r="AN3" s="633"/>
      <c r="AO3" s="633"/>
      <c r="AP3" s="633"/>
      <c r="AQ3" s="222" t="s">
        <v>333</v>
      </c>
      <c r="AR3" s="585" t="s">
        <v>481</v>
      </c>
      <c r="AS3" s="585"/>
      <c r="AT3" s="585"/>
      <c r="AU3" s="585"/>
      <c r="AV3" s="585"/>
      <c r="AW3" s="585" t="s">
        <v>332</v>
      </c>
      <c r="AX3" s="585"/>
      <c r="AY3" s="585"/>
      <c r="AZ3" s="585"/>
      <c r="BA3" s="585"/>
      <c r="BB3" s="585" t="s">
        <v>293</v>
      </c>
      <c r="BC3" s="585"/>
      <c r="BD3" s="585"/>
      <c r="BE3" s="585"/>
      <c r="BF3" s="585"/>
    </row>
    <row r="4" spans="1:59" ht="25.5" customHeight="1">
      <c r="A4" s="641"/>
      <c r="B4" s="648"/>
      <c r="C4" s="634"/>
      <c r="D4" s="333" t="s">
        <v>40</v>
      </c>
      <c r="E4" s="333" t="s">
        <v>41</v>
      </c>
      <c r="F4" s="358" t="s">
        <v>10</v>
      </c>
      <c r="G4" s="358" t="s">
        <v>40</v>
      </c>
      <c r="H4" s="358" t="s">
        <v>41</v>
      </c>
      <c r="I4" s="358" t="s">
        <v>10</v>
      </c>
      <c r="J4" s="358" t="s">
        <v>40</v>
      </c>
      <c r="K4" s="358" t="s">
        <v>41</v>
      </c>
      <c r="L4" s="358" t="s">
        <v>10</v>
      </c>
      <c r="M4" s="358" t="s">
        <v>40</v>
      </c>
      <c r="N4" s="358" t="s">
        <v>41</v>
      </c>
      <c r="O4" s="358" t="s">
        <v>10</v>
      </c>
      <c r="P4" s="358" t="s">
        <v>40</v>
      </c>
      <c r="Q4" s="358" t="s">
        <v>41</v>
      </c>
      <c r="R4" s="358" t="s">
        <v>10</v>
      </c>
      <c r="S4" s="333" t="s">
        <v>40</v>
      </c>
      <c r="T4" s="333" t="s">
        <v>41</v>
      </c>
      <c r="U4" s="358" t="s">
        <v>10</v>
      </c>
      <c r="V4" s="333" t="s">
        <v>40</v>
      </c>
      <c r="W4" s="333" t="s">
        <v>41</v>
      </c>
      <c r="X4" s="358" t="s">
        <v>10</v>
      </c>
      <c r="Y4" s="358" t="s">
        <v>40</v>
      </c>
      <c r="Z4" s="358" t="s">
        <v>41</v>
      </c>
      <c r="AA4" s="358" t="s">
        <v>10</v>
      </c>
      <c r="AB4" s="649"/>
      <c r="AC4" s="297" t="s">
        <v>40</v>
      </c>
      <c r="AD4" s="297" t="s">
        <v>41</v>
      </c>
      <c r="AE4" s="297" t="s">
        <v>10</v>
      </c>
      <c r="AF4" s="297" t="s">
        <v>196</v>
      </c>
      <c r="AG4" s="297" t="s">
        <v>12</v>
      </c>
      <c r="AH4" s="643"/>
      <c r="AI4" s="585"/>
      <c r="AJ4" s="585"/>
      <c r="AK4" s="632"/>
      <c r="AL4" s="29" t="s">
        <v>163</v>
      </c>
      <c r="AM4" s="331" t="s">
        <v>164</v>
      </c>
      <c r="AN4" s="331" t="s">
        <v>327</v>
      </c>
      <c r="AO4" s="331" t="s">
        <v>11</v>
      </c>
      <c r="AP4" s="314" t="s">
        <v>183</v>
      </c>
      <c r="AQ4" s="303"/>
      <c r="AR4" s="324" t="s">
        <v>163</v>
      </c>
      <c r="AS4" s="325" t="s">
        <v>164</v>
      </c>
      <c r="AT4" s="325" t="s">
        <v>10</v>
      </c>
      <c r="AU4" s="325" t="s">
        <v>11</v>
      </c>
      <c r="AV4" s="345" t="s">
        <v>292</v>
      </c>
      <c r="AW4" s="324" t="s">
        <v>163</v>
      </c>
      <c r="AX4" s="325" t="s">
        <v>164</v>
      </c>
      <c r="AY4" s="325" t="s">
        <v>10</v>
      </c>
      <c r="AZ4" s="325" t="s">
        <v>11</v>
      </c>
      <c r="BA4" s="323" t="s">
        <v>183</v>
      </c>
      <c r="BB4" s="320" t="s">
        <v>163</v>
      </c>
      <c r="BC4" s="325" t="s">
        <v>164</v>
      </c>
      <c r="BD4" s="325" t="s">
        <v>10</v>
      </c>
      <c r="BE4" s="325" t="s">
        <v>11</v>
      </c>
      <c r="BF4" s="325" t="s">
        <v>183</v>
      </c>
    </row>
    <row r="5" spans="1:59" ht="25.5" customHeight="1">
      <c r="A5" s="530">
        <v>1</v>
      </c>
      <c r="B5" s="297" t="s">
        <v>162</v>
      </c>
      <c r="C5" s="627" t="s">
        <v>57</v>
      </c>
      <c r="D5" s="627"/>
      <c r="E5" s="627"/>
      <c r="F5" s="627"/>
      <c r="G5" s="627"/>
      <c r="H5" s="627"/>
      <c r="I5" s="627"/>
      <c r="J5" s="627"/>
      <c r="K5" s="627"/>
      <c r="L5" s="627"/>
      <c r="M5" s="627"/>
      <c r="N5" s="627"/>
      <c r="O5" s="627"/>
      <c r="P5" s="627"/>
      <c r="Q5" s="627"/>
      <c r="R5" s="627"/>
      <c r="S5" s="627"/>
      <c r="T5" s="627"/>
      <c r="U5" s="627"/>
      <c r="V5" s="627"/>
      <c r="W5" s="627"/>
      <c r="X5" s="627"/>
      <c r="Y5" s="627"/>
      <c r="Z5" s="627"/>
      <c r="AA5" s="627"/>
      <c r="AB5" s="352"/>
      <c r="AC5" s="303"/>
      <c r="AD5" s="303"/>
      <c r="AE5" s="303"/>
      <c r="AF5" s="303"/>
      <c r="AG5" s="303"/>
      <c r="AH5" s="303"/>
      <c r="AI5" s="303"/>
      <c r="AJ5" s="303"/>
      <c r="AK5" s="303"/>
      <c r="AL5" s="303"/>
      <c r="AM5" s="303"/>
      <c r="AN5" s="303"/>
      <c r="AO5" s="303"/>
      <c r="AP5" s="308"/>
      <c r="AQ5" s="303"/>
      <c r="AR5" s="303"/>
      <c r="AS5" s="303"/>
      <c r="AT5" s="303"/>
      <c r="AU5" s="303"/>
      <c r="AV5" s="346"/>
      <c r="AW5" s="340"/>
      <c r="AX5" s="303"/>
      <c r="AY5" s="303"/>
      <c r="AZ5" s="303"/>
      <c r="BA5" s="308"/>
      <c r="BB5" s="321"/>
      <c r="BC5" s="303"/>
      <c r="BD5" s="303"/>
      <c r="BE5" s="303"/>
      <c r="BF5" s="303"/>
    </row>
    <row r="6" spans="1:59" ht="25.5" customHeight="1">
      <c r="A6" s="530"/>
      <c r="B6" s="297"/>
      <c r="C6" s="359" t="s">
        <v>447</v>
      </c>
      <c r="D6" s="360"/>
      <c r="E6" s="360"/>
      <c r="F6" s="360"/>
      <c r="G6" s="360"/>
      <c r="H6" s="360"/>
      <c r="I6" s="360"/>
      <c r="J6" s="360"/>
      <c r="K6" s="360"/>
      <c r="L6" s="360"/>
      <c r="M6" s="360"/>
      <c r="N6" s="360"/>
      <c r="O6" s="360"/>
      <c r="P6" s="360"/>
      <c r="Q6" s="360"/>
      <c r="R6" s="360"/>
      <c r="S6" s="360"/>
      <c r="T6" s="360"/>
      <c r="U6" s="360"/>
      <c r="V6" s="360"/>
      <c r="W6" s="360"/>
      <c r="X6" s="360"/>
      <c r="Y6" s="360">
        <f>+D6+G6+J6+M6+P6+S6+V6</f>
        <v>0</v>
      </c>
      <c r="Z6" s="360">
        <f>+E6+H6+K6+N6+Q6+T6+W6</f>
        <v>0</v>
      </c>
      <c r="AA6" s="360">
        <f>+F6+I6+L6+O6+R6+U6+X6</f>
        <v>0</v>
      </c>
      <c r="AB6" s="352"/>
      <c r="AC6" s="304">
        <f>+D6+G6+J6+M6+S6+V6</f>
        <v>0</v>
      </c>
      <c r="AD6" s="304">
        <f t="shared" ref="AD6" si="0">+E6+H6+K6+N6+T6+W6</f>
        <v>0</v>
      </c>
      <c r="AE6" s="304">
        <f>+F6+I6+L6+O6+U6+X6</f>
        <v>0</v>
      </c>
      <c r="AF6" s="304">
        <f>+P6+Q6</f>
        <v>0</v>
      </c>
      <c r="AG6" s="304">
        <f>+AC6+AD6+AE6+AF6</f>
        <v>0</v>
      </c>
      <c r="AH6" s="304">
        <f>+AF6</f>
        <v>0</v>
      </c>
      <c r="AI6" s="304">
        <f>+AC6+AD6</f>
        <v>0</v>
      </c>
      <c r="AJ6" s="304">
        <f>+AI6*100/AI14</f>
        <v>0</v>
      </c>
      <c r="AK6" s="304">
        <f>+AH7*AJ6/100</f>
        <v>0</v>
      </c>
      <c r="AL6" s="304">
        <f t="shared" ref="AL6:AO7" si="1">AC208*AC6/AC66</f>
        <v>0</v>
      </c>
      <c r="AM6" s="304">
        <f t="shared" si="1"/>
        <v>0</v>
      </c>
      <c r="AN6" s="304">
        <f t="shared" si="1"/>
        <v>0</v>
      </c>
      <c r="AO6" s="304">
        <f t="shared" si="1"/>
        <v>0</v>
      </c>
      <c r="AP6" s="298">
        <f>+AL6+AM6+AN6+AO6</f>
        <v>0</v>
      </c>
      <c r="AQ6" s="303"/>
      <c r="AR6" s="304">
        <f>+AC6+AL6</f>
        <v>0</v>
      </c>
      <c r="AS6" s="304">
        <f>+AD6+AM6</f>
        <v>0</v>
      </c>
      <c r="AT6" s="304">
        <f>+AE6+AN6+AQ6</f>
        <v>0</v>
      </c>
      <c r="AU6" s="304">
        <f>+AK6+AO6</f>
        <v>0</v>
      </c>
      <c r="AV6" s="347">
        <f>SUM(AR6:AU6)</f>
        <v>0</v>
      </c>
      <c r="AW6" s="341">
        <f t="shared" ref="AW6:AZ7" si="2">+AC274*AR6/AR187</f>
        <v>0</v>
      </c>
      <c r="AX6" s="304">
        <f t="shared" si="2"/>
        <v>0</v>
      </c>
      <c r="AY6" s="304">
        <f t="shared" si="2"/>
        <v>0</v>
      </c>
      <c r="AZ6" s="304">
        <f t="shared" si="2"/>
        <v>0</v>
      </c>
      <c r="BA6" s="298">
        <f t="shared" ref="BA6:BA14" si="3">SUM(AW6:AZ6)</f>
        <v>0</v>
      </c>
      <c r="BB6" s="304">
        <f>+AR6+AW6</f>
        <v>0</v>
      </c>
      <c r="BC6" s="304">
        <f t="shared" ref="BC6:BD6" si="4">+AS6+AX6</f>
        <v>0</v>
      </c>
      <c r="BD6" s="304">
        <f t="shared" si="4"/>
        <v>0</v>
      </c>
      <c r="BE6" s="304">
        <f>+AU6+AZ6</f>
        <v>0</v>
      </c>
      <c r="BF6" s="304">
        <f t="shared" ref="BF6:BF14" si="5">SUM(BB6:BE6)</f>
        <v>0</v>
      </c>
    </row>
    <row r="7" spans="1:59" ht="25.5" customHeight="1">
      <c r="A7" s="530"/>
      <c r="B7" s="297"/>
      <c r="C7" s="359" t="s">
        <v>448</v>
      </c>
      <c r="D7" s="360"/>
      <c r="E7" s="360"/>
      <c r="F7" s="360">
        <v>165862.85</v>
      </c>
      <c r="G7" s="360">
        <v>144047.5</v>
      </c>
      <c r="H7" s="299"/>
      <c r="I7" s="360"/>
      <c r="J7" s="360">
        <v>61355</v>
      </c>
      <c r="K7" s="360"/>
      <c r="L7" s="360"/>
      <c r="M7" s="360">
        <v>5898017.6200000001</v>
      </c>
      <c r="N7" s="360">
        <f>3677603.72+1259600+891162+3094831+800875+465000</f>
        <v>10189071.720000001</v>
      </c>
      <c r="O7" s="360"/>
      <c r="P7" s="360">
        <v>27129321.699999999</v>
      </c>
      <c r="Q7" s="360">
        <v>2257167.5299999998</v>
      </c>
      <c r="R7" s="360"/>
      <c r="S7" s="360"/>
      <c r="T7" s="360"/>
      <c r="U7" s="360"/>
      <c r="V7" s="360">
        <v>2025431.99</v>
      </c>
      <c r="W7" s="360">
        <f>1256116+79593+4520+6720+78095</f>
        <v>1425044</v>
      </c>
      <c r="X7" s="360"/>
      <c r="Y7" s="360">
        <f t="shared" ref="Y7:AA14" si="6">+D7+G7+J7+M7+P7+S7+V7</f>
        <v>35258173.810000002</v>
      </c>
      <c r="Z7" s="360">
        <f t="shared" si="6"/>
        <v>13871283.25</v>
      </c>
      <c r="AA7" s="360">
        <f t="shared" si="6"/>
        <v>165862.85</v>
      </c>
      <c r="AB7" s="342">
        <f>+Y7+Z7+AA7</f>
        <v>49295319.910000004</v>
      </c>
      <c r="AC7" s="304">
        <f t="shared" ref="AC7:AC14" si="7">+D7+G7+J7+M7+S7+V7</f>
        <v>8128852.1100000003</v>
      </c>
      <c r="AD7" s="304">
        <f t="shared" ref="AD7:AD14" si="8">+E7+H7+K7+N7+T7+W7</f>
        <v>11614115.720000001</v>
      </c>
      <c r="AE7" s="304">
        <f t="shared" ref="AE7:AE14" si="9">+F7+I7+L7+O7+U7+X7</f>
        <v>165862.85</v>
      </c>
      <c r="AF7" s="304">
        <f t="shared" ref="AF7:AF14" si="10">+P7+Q7</f>
        <v>29386489.23</v>
      </c>
      <c r="AG7" s="304">
        <f t="shared" ref="AG7:AG13" si="11">+AC7+AD7+AE7+AF7</f>
        <v>49295319.910000004</v>
      </c>
      <c r="AH7" s="304">
        <f t="shared" ref="AH7:AH80" si="12">+AF7</f>
        <v>29386489.23</v>
      </c>
      <c r="AI7" s="304">
        <f t="shared" ref="AI7:AI80" si="13">+AC7+AD7</f>
        <v>19742967.830000002</v>
      </c>
      <c r="AJ7" s="304">
        <f>+AI7*100/AI14</f>
        <v>42.086824433167891</v>
      </c>
      <c r="AK7" s="304">
        <f>+AH7*AJ7/100</f>
        <v>12367840.129301891</v>
      </c>
      <c r="AL7" s="304">
        <f>AC209*AC7/AC67</f>
        <v>3059154.4012701828</v>
      </c>
      <c r="AM7" s="304">
        <f t="shared" si="1"/>
        <v>3085561.5712896646</v>
      </c>
      <c r="AN7" s="304">
        <f t="shared" si="1"/>
        <v>0</v>
      </c>
      <c r="AO7" s="304">
        <f t="shared" si="1"/>
        <v>0</v>
      </c>
      <c r="AP7" s="298">
        <f t="shared" ref="AP7:AP13" si="14">+AL7+AM7+AN7+AO7</f>
        <v>6144715.9725598469</v>
      </c>
      <c r="AQ7" s="299">
        <v>2408634.92</v>
      </c>
      <c r="AR7" s="304">
        <f t="shared" ref="AR7:AR13" si="15">+AC7+AL7</f>
        <v>11188006.511270184</v>
      </c>
      <c r="AS7" s="304">
        <f t="shared" ref="AS7:AS13" si="16">+AD7+AM7</f>
        <v>14699677.291289665</v>
      </c>
      <c r="AT7" s="304">
        <f t="shared" ref="AT7:AT13" si="17">+AE7+AN7+AQ7</f>
        <v>2574497.77</v>
      </c>
      <c r="AU7" s="304">
        <f t="shared" ref="AU7:AU13" si="18">+AK7+AO7</f>
        <v>12367840.129301891</v>
      </c>
      <c r="AV7" s="347">
        <f t="shared" ref="AV7:AV13" si="19">SUM(AR7:AU7)</f>
        <v>40830021.701861739</v>
      </c>
      <c r="AW7" s="341">
        <f>+AC275*AR7/AR188</f>
        <v>14319103.530544998</v>
      </c>
      <c r="AX7" s="304">
        <f>+AD275*AS7/AS188</f>
        <v>13696944.839661704</v>
      </c>
      <c r="AY7" s="304">
        <f t="shared" si="2"/>
        <v>0</v>
      </c>
      <c r="AZ7" s="304">
        <f t="shared" si="2"/>
        <v>15261253.674615175</v>
      </c>
      <c r="BA7" s="298">
        <f t="shared" si="3"/>
        <v>43277302.044821873</v>
      </c>
      <c r="BB7" s="304">
        <f t="shared" ref="BB7:BB13" si="20">+AR7+AW7</f>
        <v>25507110.041815184</v>
      </c>
      <c r="BC7" s="304">
        <f t="shared" ref="BC7:BC13" si="21">+AS7+AX7</f>
        <v>28396622.130951367</v>
      </c>
      <c r="BD7" s="304">
        <f t="shared" ref="BD7:BD13" si="22">+AT7+AY7</f>
        <v>2574497.77</v>
      </c>
      <c r="BE7" s="304">
        <f t="shared" ref="BE7:BE13" si="23">+AU7+AZ7</f>
        <v>27629093.803917065</v>
      </c>
      <c r="BF7" s="304">
        <f t="shared" si="5"/>
        <v>84107323.746683627</v>
      </c>
    </row>
    <row r="8" spans="1:59" ht="25.5" customHeight="1">
      <c r="A8" s="530"/>
      <c r="B8" s="297"/>
      <c r="C8" s="359" t="s">
        <v>449</v>
      </c>
      <c r="D8" s="360"/>
      <c r="E8" s="360"/>
      <c r="F8" s="360"/>
      <c r="G8" s="360"/>
      <c r="H8" s="360"/>
      <c r="I8" s="360"/>
      <c r="J8" s="360"/>
      <c r="K8" s="360"/>
      <c r="L8" s="360"/>
      <c r="M8" s="360"/>
      <c r="N8" s="360"/>
      <c r="O8" s="360"/>
      <c r="P8" s="360"/>
      <c r="Q8" s="360"/>
      <c r="R8" s="360"/>
      <c r="S8" s="360"/>
      <c r="T8" s="360"/>
      <c r="U8" s="360"/>
      <c r="V8" s="360">
        <v>356508.79</v>
      </c>
      <c r="W8" s="360"/>
      <c r="X8" s="360"/>
      <c r="Y8" s="360">
        <f t="shared" si="6"/>
        <v>356508.79</v>
      </c>
      <c r="Z8" s="360">
        <f t="shared" si="6"/>
        <v>0</v>
      </c>
      <c r="AA8" s="360">
        <f t="shared" si="6"/>
        <v>0</v>
      </c>
      <c r="AB8" s="342">
        <f t="shared" ref="AB8:AB81" si="24">+Y8+Z8+AA8</f>
        <v>356508.79</v>
      </c>
      <c r="AC8" s="304">
        <f t="shared" si="7"/>
        <v>356508.79</v>
      </c>
      <c r="AD8" s="304">
        <f t="shared" si="8"/>
        <v>0</v>
      </c>
      <c r="AE8" s="304">
        <f t="shared" si="9"/>
        <v>0</v>
      </c>
      <c r="AF8" s="304">
        <f t="shared" si="10"/>
        <v>0</v>
      </c>
      <c r="AG8" s="304">
        <f t="shared" si="11"/>
        <v>356508.79</v>
      </c>
      <c r="AH8" s="304">
        <f t="shared" si="12"/>
        <v>0</v>
      </c>
      <c r="AI8" s="304">
        <f t="shared" si="13"/>
        <v>356508.79</v>
      </c>
      <c r="AJ8" s="304">
        <f>+AI8*100/AI14</f>
        <v>0.7599831485726084</v>
      </c>
      <c r="AK8" s="304">
        <f>+AH7*AJ8/100</f>
        <v>223332.36610510445</v>
      </c>
      <c r="AL8" s="304">
        <f t="shared" ref="AL8:AL13" si="25">AC210*AC8/AC68</f>
        <v>0</v>
      </c>
      <c r="AM8" s="307">
        <v>0</v>
      </c>
      <c r="AN8" s="304">
        <v>0</v>
      </c>
      <c r="AO8" s="304">
        <v>0</v>
      </c>
      <c r="AP8" s="298">
        <f t="shared" si="14"/>
        <v>0</v>
      </c>
      <c r="AQ8" s="303"/>
      <c r="AR8" s="304">
        <f t="shared" si="15"/>
        <v>356508.79</v>
      </c>
      <c r="AS8" s="304">
        <f t="shared" si="16"/>
        <v>0</v>
      </c>
      <c r="AT8" s="304">
        <f t="shared" si="17"/>
        <v>0</v>
      </c>
      <c r="AU8" s="304">
        <f t="shared" si="18"/>
        <v>223332.36610510445</v>
      </c>
      <c r="AV8" s="347">
        <f t="shared" si="19"/>
        <v>579841.15610510437</v>
      </c>
      <c r="AW8" s="341">
        <f t="shared" ref="AW8:AX12" si="26">+AC276*AR8/AR189</f>
        <v>393011.61079591286</v>
      </c>
      <c r="AX8" s="304">
        <f t="shared" si="26"/>
        <v>0</v>
      </c>
      <c r="AY8" s="304">
        <v>0</v>
      </c>
      <c r="AZ8" s="304">
        <f t="shared" ref="AZ8:AZ13" si="27">+AF276*AU8/AU189</f>
        <v>0</v>
      </c>
      <c r="BA8" s="298">
        <f t="shared" si="3"/>
        <v>393011.61079591286</v>
      </c>
      <c r="BB8" s="304">
        <f t="shared" si="20"/>
        <v>749520.40079591284</v>
      </c>
      <c r="BC8" s="304">
        <f t="shared" si="21"/>
        <v>0</v>
      </c>
      <c r="BD8" s="304">
        <f t="shared" si="22"/>
        <v>0</v>
      </c>
      <c r="BE8" s="304">
        <f t="shared" si="23"/>
        <v>223332.36610510445</v>
      </c>
      <c r="BF8" s="304">
        <f t="shared" si="5"/>
        <v>972852.76690101728</v>
      </c>
    </row>
    <row r="9" spans="1:59" ht="25.5" customHeight="1">
      <c r="A9" s="530"/>
      <c r="B9" s="297"/>
      <c r="C9" s="359" t="s">
        <v>450</v>
      </c>
      <c r="D9" s="360"/>
      <c r="E9" s="360"/>
      <c r="F9" s="360"/>
      <c r="G9" s="360"/>
      <c r="H9" s="360"/>
      <c r="I9" s="360"/>
      <c r="J9" s="360"/>
      <c r="K9" s="360"/>
      <c r="L9" s="360"/>
      <c r="M9" s="360"/>
      <c r="N9" s="360"/>
      <c r="O9" s="360"/>
      <c r="P9" s="360"/>
      <c r="Q9" s="360"/>
      <c r="R9" s="360"/>
      <c r="S9" s="360"/>
      <c r="T9" s="360"/>
      <c r="U9" s="360"/>
      <c r="V9" s="360">
        <v>73778</v>
      </c>
      <c r="W9" s="360">
        <v>79800</v>
      </c>
      <c r="X9" s="360"/>
      <c r="Y9" s="360">
        <f t="shared" si="6"/>
        <v>73778</v>
      </c>
      <c r="Z9" s="360">
        <f t="shared" si="6"/>
        <v>79800</v>
      </c>
      <c r="AA9" s="360">
        <f t="shared" si="6"/>
        <v>0</v>
      </c>
      <c r="AB9" s="342">
        <f t="shared" si="24"/>
        <v>153578</v>
      </c>
      <c r="AC9" s="304">
        <f t="shared" si="7"/>
        <v>73778</v>
      </c>
      <c r="AD9" s="304">
        <f t="shared" si="8"/>
        <v>79800</v>
      </c>
      <c r="AE9" s="304">
        <f t="shared" si="9"/>
        <v>0</v>
      </c>
      <c r="AF9" s="304">
        <f t="shared" si="10"/>
        <v>0</v>
      </c>
      <c r="AG9" s="304">
        <f t="shared" si="11"/>
        <v>153578</v>
      </c>
      <c r="AH9" s="304">
        <f t="shared" si="12"/>
        <v>0</v>
      </c>
      <c r="AI9" s="304">
        <f t="shared" si="13"/>
        <v>153578</v>
      </c>
      <c r="AJ9" s="304">
        <f>+AI9*100/AI14</f>
        <v>0.3273879782641097</v>
      </c>
      <c r="AK9" s="304">
        <f>+AH7*AJ9/100</f>
        <v>96207.832972897348</v>
      </c>
      <c r="AL9" s="304">
        <f t="shared" si="25"/>
        <v>0</v>
      </c>
      <c r="AM9" s="304">
        <f>AD211*AD9/AD69</f>
        <v>0</v>
      </c>
      <c r="AN9" s="304">
        <v>0</v>
      </c>
      <c r="AO9" s="304">
        <v>0</v>
      </c>
      <c r="AP9" s="298">
        <f t="shared" si="14"/>
        <v>0</v>
      </c>
      <c r="AQ9" s="303"/>
      <c r="AR9" s="304">
        <f t="shared" si="15"/>
        <v>73778</v>
      </c>
      <c r="AS9" s="304">
        <f t="shared" si="16"/>
        <v>79800</v>
      </c>
      <c r="AT9" s="304">
        <f t="shared" si="17"/>
        <v>0</v>
      </c>
      <c r="AU9" s="304">
        <f t="shared" si="18"/>
        <v>96207.832972897348</v>
      </c>
      <c r="AV9" s="347">
        <f t="shared" si="19"/>
        <v>249785.83297289733</v>
      </c>
      <c r="AW9" s="341">
        <f t="shared" si="26"/>
        <v>129401.2628882906</v>
      </c>
      <c r="AX9" s="304">
        <f t="shared" si="26"/>
        <v>0</v>
      </c>
      <c r="AY9" s="304">
        <v>0</v>
      </c>
      <c r="AZ9" s="304">
        <f t="shared" si="27"/>
        <v>0</v>
      </c>
      <c r="BA9" s="298">
        <f t="shared" si="3"/>
        <v>129401.2628882906</v>
      </c>
      <c r="BB9" s="304">
        <f t="shared" si="20"/>
        <v>203179.2628882906</v>
      </c>
      <c r="BC9" s="304">
        <f t="shared" si="21"/>
        <v>79800</v>
      </c>
      <c r="BD9" s="304">
        <f t="shared" si="22"/>
        <v>0</v>
      </c>
      <c r="BE9" s="304">
        <f t="shared" si="23"/>
        <v>96207.832972897348</v>
      </c>
      <c r="BF9" s="304">
        <f t="shared" si="5"/>
        <v>379187.0958611879</v>
      </c>
    </row>
    <row r="10" spans="1:59" ht="25.5" customHeight="1">
      <c r="A10" s="530"/>
      <c r="B10" s="297"/>
      <c r="C10" s="359" t="s">
        <v>451</v>
      </c>
      <c r="D10" s="360">
        <v>12870720</v>
      </c>
      <c r="E10" s="360">
        <v>4307516.83</v>
      </c>
      <c r="F10" s="360"/>
      <c r="G10" s="360"/>
      <c r="H10" s="360"/>
      <c r="I10" s="360"/>
      <c r="J10" s="360"/>
      <c r="K10" s="360"/>
      <c r="L10" s="360"/>
      <c r="M10" s="360"/>
      <c r="N10" s="360"/>
      <c r="O10" s="360"/>
      <c r="P10" s="360"/>
      <c r="Q10" s="360"/>
      <c r="R10" s="360"/>
      <c r="S10" s="360"/>
      <c r="T10" s="360"/>
      <c r="U10" s="360"/>
      <c r="V10" s="360"/>
      <c r="W10" s="360"/>
      <c r="X10" s="360"/>
      <c r="Y10" s="360">
        <f t="shared" si="6"/>
        <v>12870720</v>
      </c>
      <c r="Z10" s="360">
        <f t="shared" si="6"/>
        <v>4307516.83</v>
      </c>
      <c r="AA10" s="360">
        <f t="shared" si="6"/>
        <v>0</v>
      </c>
      <c r="AB10" s="342">
        <f t="shared" si="24"/>
        <v>17178236.829999998</v>
      </c>
      <c r="AC10" s="304">
        <f t="shared" si="7"/>
        <v>12870720</v>
      </c>
      <c r="AD10" s="304">
        <f t="shared" si="8"/>
        <v>4307516.83</v>
      </c>
      <c r="AE10" s="304">
        <f t="shared" si="9"/>
        <v>0</v>
      </c>
      <c r="AF10" s="304">
        <f t="shared" si="10"/>
        <v>0</v>
      </c>
      <c r="AG10" s="304">
        <f t="shared" si="11"/>
        <v>17178236.829999998</v>
      </c>
      <c r="AH10" s="304">
        <f t="shared" si="12"/>
        <v>0</v>
      </c>
      <c r="AI10" s="304">
        <f t="shared" si="13"/>
        <v>17178236.829999998</v>
      </c>
      <c r="AJ10" s="304">
        <f>+AI10*100/AI14</f>
        <v>36.619491241686752</v>
      </c>
      <c r="AK10" s="304">
        <f>+AH7*AJ10/100</f>
        <v>10761182.849819072</v>
      </c>
      <c r="AL10" s="304">
        <f t="shared" si="25"/>
        <v>0</v>
      </c>
      <c r="AM10" s="304">
        <f>AD212*AD10/AD70</f>
        <v>337862.27119660255</v>
      </c>
      <c r="AN10" s="304">
        <v>0</v>
      </c>
      <c r="AO10" s="304">
        <v>0</v>
      </c>
      <c r="AP10" s="298">
        <f t="shared" si="14"/>
        <v>337862.27119660255</v>
      </c>
      <c r="AQ10" s="303"/>
      <c r="AR10" s="304">
        <f t="shared" si="15"/>
        <v>12870720</v>
      </c>
      <c r="AS10" s="304">
        <f t="shared" si="16"/>
        <v>4645379.1011966029</v>
      </c>
      <c r="AT10" s="304">
        <f t="shared" si="17"/>
        <v>0</v>
      </c>
      <c r="AU10" s="304">
        <f t="shared" si="18"/>
        <v>10761182.849819072</v>
      </c>
      <c r="AV10" s="347">
        <f t="shared" si="19"/>
        <v>28277281.951015674</v>
      </c>
      <c r="AW10" s="341">
        <f t="shared" si="26"/>
        <v>46059394.689157248</v>
      </c>
      <c r="AX10" s="304">
        <f t="shared" si="26"/>
        <v>1575392.0743459817</v>
      </c>
      <c r="AY10" s="304">
        <f>+AE278*AT10/AT191</f>
        <v>0</v>
      </c>
      <c r="AZ10" s="304">
        <f t="shared" si="27"/>
        <v>0</v>
      </c>
      <c r="BA10" s="298">
        <f t="shared" si="3"/>
        <v>47634786.763503231</v>
      </c>
      <c r="BB10" s="304">
        <f t="shared" si="20"/>
        <v>58930114.689157248</v>
      </c>
      <c r="BC10" s="304">
        <f t="shared" si="21"/>
        <v>6220771.1755425846</v>
      </c>
      <c r="BD10" s="304">
        <f t="shared" si="22"/>
        <v>0</v>
      </c>
      <c r="BE10" s="304">
        <f t="shared" si="23"/>
        <v>10761182.849819072</v>
      </c>
      <c r="BF10" s="304">
        <f t="shared" si="5"/>
        <v>75912068.714518905</v>
      </c>
    </row>
    <row r="11" spans="1:59" ht="25.5" customHeight="1">
      <c r="A11" s="530"/>
      <c r="B11" s="297"/>
      <c r="C11" s="359" t="s">
        <v>452</v>
      </c>
      <c r="D11" s="360"/>
      <c r="E11" s="360"/>
      <c r="F11" s="360"/>
      <c r="G11" s="360"/>
      <c r="H11" s="360"/>
      <c r="I11" s="360"/>
      <c r="J11" s="360"/>
      <c r="K11" s="360"/>
      <c r="L11" s="360"/>
      <c r="M11" s="360"/>
      <c r="N11" s="360"/>
      <c r="O11" s="360"/>
      <c r="P11" s="360"/>
      <c r="Q11" s="360"/>
      <c r="R11" s="360"/>
      <c r="S11" s="360">
        <v>3367200</v>
      </c>
      <c r="T11" s="360"/>
      <c r="U11" s="360"/>
      <c r="V11" s="360"/>
      <c r="W11" s="360">
        <v>1452000</v>
      </c>
      <c r="X11" s="360"/>
      <c r="Y11" s="360">
        <f t="shared" si="6"/>
        <v>3367200</v>
      </c>
      <c r="Z11" s="360">
        <f t="shared" si="6"/>
        <v>1452000</v>
      </c>
      <c r="AA11" s="360">
        <f t="shared" si="6"/>
        <v>0</v>
      </c>
      <c r="AB11" s="342">
        <f t="shared" si="24"/>
        <v>4819200</v>
      </c>
      <c r="AC11" s="304">
        <f t="shared" si="7"/>
        <v>3367200</v>
      </c>
      <c r="AD11" s="304">
        <f t="shared" si="8"/>
        <v>1452000</v>
      </c>
      <c r="AE11" s="304">
        <f t="shared" si="9"/>
        <v>0</v>
      </c>
      <c r="AF11" s="304">
        <f t="shared" si="10"/>
        <v>0</v>
      </c>
      <c r="AG11" s="304">
        <f t="shared" si="11"/>
        <v>4819200</v>
      </c>
      <c r="AH11" s="304">
        <f t="shared" si="12"/>
        <v>0</v>
      </c>
      <c r="AI11" s="304">
        <f t="shared" si="13"/>
        <v>4819200</v>
      </c>
      <c r="AJ11" s="304">
        <f>+AI11*100/AI14</f>
        <v>10.273269249830038</v>
      </c>
      <c r="AK11" s="304">
        <f>+AH7*AJ11/100</f>
        <v>3018953.1616702061</v>
      </c>
      <c r="AL11" s="304">
        <f t="shared" si="25"/>
        <v>0</v>
      </c>
      <c r="AM11" s="304">
        <f>AD213*AD11/AD71</f>
        <v>0</v>
      </c>
      <c r="AN11" s="304">
        <v>0</v>
      </c>
      <c r="AO11" s="304">
        <v>0</v>
      </c>
      <c r="AP11" s="298">
        <f t="shared" si="14"/>
        <v>0</v>
      </c>
      <c r="AQ11" s="303"/>
      <c r="AR11" s="304">
        <f t="shared" si="15"/>
        <v>3367200</v>
      </c>
      <c r="AS11" s="304">
        <f t="shared" si="16"/>
        <v>1452000</v>
      </c>
      <c r="AT11" s="304">
        <f t="shared" si="17"/>
        <v>0</v>
      </c>
      <c r="AU11" s="304">
        <f t="shared" si="18"/>
        <v>3018953.1616702061</v>
      </c>
      <c r="AV11" s="347">
        <f t="shared" si="19"/>
        <v>7838153.1616702061</v>
      </c>
      <c r="AW11" s="341">
        <f t="shared" si="26"/>
        <v>0</v>
      </c>
      <c r="AX11" s="304">
        <f t="shared" si="26"/>
        <v>0</v>
      </c>
      <c r="AY11" s="304">
        <v>0</v>
      </c>
      <c r="AZ11" s="304">
        <f t="shared" si="27"/>
        <v>0</v>
      </c>
      <c r="BA11" s="298">
        <f t="shared" si="3"/>
        <v>0</v>
      </c>
      <c r="BB11" s="304">
        <f t="shared" si="20"/>
        <v>3367200</v>
      </c>
      <c r="BC11" s="304">
        <f t="shared" si="21"/>
        <v>1452000</v>
      </c>
      <c r="BD11" s="304">
        <f t="shared" si="22"/>
        <v>0</v>
      </c>
      <c r="BE11" s="304">
        <f t="shared" si="23"/>
        <v>3018953.1616702061</v>
      </c>
      <c r="BF11" s="304">
        <f t="shared" si="5"/>
        <v>7838153.1616702061</v>
      </c>
    </row>
    <row r="12" spans="1:59" ht="25.5" customHeight="1">
      <c r="A12" s="530"/>
      <c r="B12" s="297"/>
      <c r="C12" s="359" t="s">
        <v>453</v>
      </c>
      <c r="D12" s="360"/>
      <c r="E12" s="360"/>
      <c r="F12" s="360"/>
      <c r="G12" s="360"/>
      <c r="H12" s="360"/>
      <c r="I12" s="360"/>
      <c r="J12" s="360"/>
      <c r="K12" s="360"/>
      <c r="L12" s="360"/>
      <c r="M12" s="360"/>
      <c r="N12" s="360"/>
      <c r="O12" s="360"/>
      <c r="P12" s="360"/>
      <c r="Q12" s="360"/>
      <c r="R12" s="360"/>
      <c r="S12" s="360">
        <v>2657400</v>
      </c>
      <c r="T12" s="360"/>
      <c r="U12" s="360"/>
      <c r="V12" s="360"/>
      <c r="W12" s="360"/>
      <c r="X12" s="360"/>
      <c r="Y12" s="360">
        <f t="shared" si="6"/>
        <v>2657400</v>
      </c>
      <c r="Z12" s="360">
        <f t="shared" si="6"/>
        <v>0</v>
      </c>
      <c r="AA12" s="360">
        <f t="shared" si="6"/>
        <v>0</v>
      </c>
      <c r="AB12" s="342">
        <f t="shared" si="24"/>
        <v>2657400</v>
      </c>
      <c r="AC12" s="304">
        <f t="shared" si="7"/>
        <v>2657400</v>
      </c>
      <c r="AD12" s="304">
        <f t="shared" si="8"/>
        <v>0</v>
      </c>
      <c r="AE12" s="304">
        <f t="shared" si="9"/>
        <v>0</v>
      </c>
      <c r="AF12" s="304">
        <f t="shared" si="10"/>
        <v>0</v>
      </c>
      <c r="AG12" s="304">
        <f t="shared" si="11"/>
        <v>2657400</v>
      </c>
      <c r="AH12" s="304">
        <f t="shared" si="12"/>
        <v>0</v>
      </c>
      <c r="AI12" s="304">
        <f t="shared" si="13"/>
        <v>2657400</v>
      </c>
      <c r="AJ12" s="304">
        <f>+AI12*100/AI14</f>
        <v>5.6648791717501537</v>
      </c>
      <c r="AK12" s="304">
        <f>+AH7*AJ12/100</f>
        <v>1664709.107698872</v>
      </c>
      <c r="AL12" s="304">
        <f t="shared" si="25"/>
        <v>0</v>
      </c>
      <c r="AM12" s="304">
        <v>0</v>
      </c>
      <c r="AN12" s="304">
        <v>0</v>
      </c>
      <c r="AO12" s="304">
        <v>0</v>
      </c>
      <c r="AP12" s="298">
        <f t="shared" si="14"/>
        <v>0</v>
      </c>
      <c r="AQ12" s="303"/>
      <c r="AR12" s="304">
        <f t="shared" si="15"/>
        <v>2657400</v>
      </c>
      <c r="AS12" s="304">
        <f t="shared" si="16"/>
        <v>0</v>
      </c>
      <c r="AT12" s="304">
        <f t="shared" si="17"/>
        <v>0</v>
      </c>
      <c r="AU12" s="304">
        <f t="shared" si="18"/>
        <v>1664709.107698872</v>
      </c>
      <c r="AV12" s="347">
        <f t="shared" si="19"/>
        <v>4322109.1076988718</v>
      </c>
      <c r="AW12" s="341">
        <f t="shared" si="26"/>
        <v>0</v>
      </c>
      <c r="AX12" s="304">
        <f t="shared" si="26"/>
        <v>0</v>
      </c>
      <c r="AY12" s="304">
        <v>0</v>
      </c>
      <c r="AZ12" s="304">
        <f t="shared" si="27"/>
        <v>0</v>
      </c>
      <c r="BA12" s="298">
        <f t="shared" si="3"/>
        <v>0</v>
      </c>
      <c r="BB12" s="304">
        <f t="shared" si="20"/>
        <v>2657400</v>
      </c>
      <c r="BC12" s="304">
        <f t="shared" si="21"/>
        <v>0</v>
      </c>
      <c r="BD12" s="304">
        <f t="shared" si="22"/>
        <v>0</v>
      </c>
      <c r="BE12" s="304">
        <f t="shared" si="23"/>
        <v>1664709.107698872</v>
      </c>
      <c r="BF12" s="304">
        <f t="shared" si="5"/>
        <v>4322109.1076988718</v>
      </c>
    </row>
    <row r="13" spans="1:59" ht="25.5" customHeight="1">
      <c r="A13" s="530"/>
      <c r="B13" s="297"/>
      <c r="C13" s="359" t="s">
        <v>454</v>
      </c>
      <c r="D13" s="360"/>
      <c r="E13" s="360"/>
      <c r="F13" s="360"/>
      <c r="G13" s="360"/>
      <c r="H13" s="360"/>
      <c r="I13" s="360"/>
      <c r="J13" s="360"/>
      <c r="K13" s="360"/>
      <c r="L13" s="360"/>
      <c r="M13" s="360"/>
      <c r="N13" s="360"/>
      <c r="O13" s="360"/>
      <c r="P13" s="360"/>
      <c r="Q13" s="360"/>
      <c r="R13" s="360"/>
      <c r="S13" s="360">
        <v>2002200</v>
      </c>
      <c r="T13" s="360"/>
      <c r="U13" s="360"/>
      <c r="V13" s="360"/>
      <c r="W13" s="360"/>
      <c r="X13" s="360"/>
      <c r="Y13" s="360">
        <f t="shared" si="6"/>
        <v>2002200</v>
      </c>
      <c r="Z13" s="360">
        <f t="shared" si="6"/>
        <v>0</v>
      </c>
      <c r="AA13" s="360">
        <f t="shared" si="6"/>
        <v>0</v>
      </c>
      <c r="AB13" s="342">
        <f t="shared" si="24"/>
        <v>2002200</v>
      </c>
      <c r="AC13" s="304">
        <f t="shared" si="7"/>
        <v>2002200</v>
      </c>
      <c r="AD13" s="304">
        <f t="shared" si="8"/>
        <v>0</v>
      </c>
      <c r="AE13" s="304">
        <f t="shared" si="9"/>
        <v>0</v>
      </c>
      <c r="AF13" s="304">
        <f t="shared" si="10"/>
        <v>0</v>
      </c>
      <c r="AG13" s="304">
        <f t="shared" si="11"/>
        <v>2002200</v>
      </c>
      <c r="AH13" s="304">
        <f t="shared" si="12"/>
        <v>0</v>
      </c>
      <c r="AI13" s="304">
        <f t="shared" si="13"/>
        <v>2002200</v>
      </c>
      <c r="AJ13" s="304">
        <f>+AI13*100/AI14</f>
        <v>4.2681647767284412</v>
      </c>
      <c r="AK13" s="304">
        <f>+AH7*AJ13/100</f>
        <v>1254263.7824319571</v>
      </c>
      <c r="AL13" s="304">
        <f t="shared" si="25"/>
        <v>0</v>
      </c>
      <c r="AM13" s="304">
        <v>0</v>
      </c>
      <c r="AN13" s="304">
        <v>0</v>
      </c>
      <c r="AO13" s="304">
        <v>0</v>
      </c>
      <c r="AP13" s="298">
        <f t="shared" si="14"/>
        <v>0</v>
      </c>
      <c r="AQ13" s="303"/>
      <c r="AR13" s="304">
        <f t="shared" si="15"/>
        <v>2002200</v>
      </c>
      <c r="AS13" s="304">
        <f t="shared" si="16"/>
        <v>0</v>
      </c>
      <c r="AT13" s="304">
        <f t="shared" si="17"/>
        <v>0</v>
      </c>
      <c r="AU13" s="304">
        <f t="shared" si="18"/>
        <v>1254263.7824319571</v>
      </c>
      <c r="AV13" s="347">
        <f t="shared" si="19"/>
        <v>3256463.7824319573</v>
      </c>
      <c r="AW13" s="341">
        <f>+AC281*AR13/AR194</f>
        <v>0</v>
      </c>
      <c r="AX13" s="304">
        <v>0</v>
      </c>
      <c r="AY13" s="304">
        <v>0</v>
      </c>
      <c r="AZ13" s="304">
        <f t="shared" si="27"/>
        <v>0</v>
      </c>
      <c r="BA13" s="298">
        <f t="shared" si="3"/>
        <v>0</v>
      </c>
      <c r="BB13" s="304">
        <f t="shared" si="20"/>
        <v>2002200</v>
      </c>
      <c r="BC13" s="304">
        <f t="shared" si="21"/>
        <v>0</v>
      </c>
      <c r="BD13" s="304">
        <f t="shared" si="22"/>
        <v>0</v>
      </c>
      <c r="BE13" s="304">
        <f t="shared" si="23"/>
        <v>1254263.7824319571</v>
      </c>
      <c r="BF13" s="304">
        <f t="shared" si="5"/>
        <v>3256463.7824319573</v>
      </c>
    </row>
    <row r="14" spans="1:59" ht="25.5" customHeight="1">
      <c r="A14" s="530"/>
      <c r="B14" s="297"/>
      <c r="C14" s="338" t="s">
        <v>455</v>
      </c>
      <c r="D14" s="360">
        <f>SUM(D7:D13)</f>
        <v>12870720</v>
      </c>
      <c r="E14" s="360">
        <f t="shared" ref="E14:X14" si="28">SUM(E7:E13)</f>
        <v>4307516.83</v>
      </c>
      <c r="F14" s="360">
        <f t="shared" si="28"/>
        <v>165862.85</v>
      </c>
      <c r="G14" s="360">
        <f t="shared" si="28"/>
        <v>144047.5</v>
      </c>
      <c r="H14" s="360">
        <f t="shared" si="28"/>
        <v>0</v>
      </c>
      <c r="I14" s="360">
        <f t="shared" si="28"/>
        <v>0</v>
      </c>
      <c r="J14" s="360">
        <f t="shared" si="28"/>
        <v>61355</v>
      </c>
      <c r="K14" s="360">
        <f t="shared" si="28"/>
        <v>0</v>
      </c>
      <c r="L14" s="360">
        <f t="shared" si="28"/>
        <v>0</v>
      </c>
      <c r="M14" s="360">
        <f t="shared" si="28"/>
        <v>5898017.6200000001</v>
      </c>
      <c r="N14" s="360">
        <f>SUM(N7:N13)</f>
        <v>10189071.720000001</v>
      </c>
      <c r="O14" s="360">
        <f t="shared" si="28"/>
        <v>0</v>
      </c>
      <c r="P14" s="360">
        <f t="shared" si="28"/>
        <v>27129321.699999999</v>
      </c>
      <c r="Q14" s="360">
        <f t="shared" si="28"/>
        <v>2257167.5299999998</v>
      </c>
      <c r="R14" s="360">
        <f t="shared" si="28"/>
        <v>0</v>
      </c>
      <c r="S14" s="360">
        <f t="shared" si="28"/>
        <v>8026800</v>
      </c>
      <c r="T14" s="360">
        <f t="shared" si="28"/>
        <v>0</v>
      </c>
      <c r="U14" s="360">
        <f t="shared" si="28"/>
        <v>0</v>
      </c>
      <c r="V14" s="360">
        <f t="shared" si="28"/>
        <v>2455718.7799999998</v>
      </c>
      <c r="W14" s="360">
        <f t="shared" si="28"/>
        <v>2956844</v>
      </c>
      <c r="X14" s="360">
        <f t="shared" si="28"/>
        <v>0</v>
      </c>
      <c r="Y14" s="360">
        <f t="shared" si="6"/>
        <v>56585980.600000001</v>
      </c>
      <c r="Z14" s="360">
        <f>+E14+H14+K14+N14+Q14+T14+W14</f>
        <v>19710600.079999998</v>
      </c>
      <c r="AA14" s="360">
        <f t="shared" si="6"/>
        <v>165862.85</v>
      </c>
      <c r="AB14" s="342">
        <f t="shared" si="24"/>
        <v>76462443.530000001</v>
      </c>
      <c r="AC14" s="304">
        <f t="shared" si="7"/>
        <v>29456658.900000002</v>
      </c>
      <c r="AD14" s="304">
        <f t="shared" si="8"/>
        <v>17453432.550000001</v>
      </c>
      <c r="AE14" s="304">
        <f t="shared" si="9"/>
        <v>165862.85</v>
      </c>
      <c r="AF14" s="304">
        <f t="shared" si="10"/>
        <v>29386489.23</v>
      </c>
      <c r="AG14" s="304">
        <f>+AC14+AD14+AE14+AF14</f>
        <v>76462443.530000001</v>
      </c>
      <c r="AH14" s="304">
        <f t="shared" si="12"/>
        <v>29386489.23</v>
      </c>
      <c r="AI14" s="304">
        <f t="shared" si="13"/>
        <v>46910091.450000003</v>
      </c>
      <c r="AJ14" s="304">
        <f t="shared" ref="AJ14:AO14" si="29">SUM(AJ6:AJ13)</f>
        <v>100</v>
      </c>
      <c r="AK14" s="304">
        <f t="shared" si="29"/>
        <v>29386489.23</v>
      </c>
      <c r="AL14" s="304">
        <f t="shared" si="29"/>
        <v>3059154.4012701828</v>
      </c>
      <c r="AM14" s="304">
        <f t="shared" si="29"/>
        <v>3423423.842486267</v>
      </c>
      <c r="AN14" s="304">
        <f t="shared" si="29"/>
        <v>0</v>
      </c>
      <c r="AO14" s="304">
        <f t="shared" si="29"/>
        <v>0</v>
      </c>
      <c r="AP14" s="298">
        <f>+AL14+AM14+AN14+AO14</f>
        <v>6482578.2437564498</v>
      </c>
      <c r="AQ14" s="304">
        <f>SUM(AQ7:AQ13)</f>
        <v>2408634.92</v>
      </c>
      <c r="AR14" s="304">
        <f>SUM(AR6:AR13)</f>
        <v>32515813.301270183</v>
      </c>
      <c r="AS14" s="304">
        <f>SUM(AS6:AS13)</f>
        <v>20876856.392486267</v>
      </c>
      <c r="AT14" s="304">
        <f t="shared" ref="AT14:AU14" si="30">SUM(AT6:AT13)</f>
        <v>2574497.77</v>
      </c>
      <c r="AU14" s="304">
        <f t="shared" si="30"/>
        <v>29386489.23</v>
      </c>
      <c r="AV14" s="347">
        <f>SUM(AR14:AU14)</f>
        <v>85353656.693756446</v>
      </c>
      <c r="AW14" s="341">
        <f>SUM(AW6:AW13)</f>
        <v>60900911.093386449</v>
      </c>
      <c r="AX14" s="304">
        <f>SUM(AX6:AX13)</f>
        <v>15272336.914007686</v>
      </c>
      <c r="AY14" s="304">
        <f>SUM(AY6:AY13)</f>
        <v>0</v>
      </c>
      <c r="AZ14" s="304">
        <f>SUM(AZ6:AZ13)</f>
        <v>15261253.674615175</v>
      </c>
      <c r="BA14" s="298">
        <f t="shared" si="3"/>
        <v>91434501.68200931</v>
      </c>
      <c r="BB14" s="336">
        <f>SUM(BB6:BB13)</f>
        <v>93416724.394656628</v>
      </c>
      <c r="BC14" s="304">
        <f>SUM(BC6:BC13)</f>
        <v>36149193.306493953</v>
      </c>
      <c r="BD14" s="304">
        <f>SUM(BD6:BD13)</f>
        <v>2574497.77</v>
      </c>
      <c r="BE14" s="304">
        <f>SUM(BE6:BE13)</f>
        <v>44647742.904615179</v>
      </c>
      <c r="BF14" s="304">
        <f t="shared" si="5"/>
        <v>176788158.37576574</v>
      </c>
      <c r="BG14" s="305"/>
    </row>
    <row r="15" spans="1:59" ht="25.5" customHeight="1">
      <c r="A15" s="530">
        <v>2</v>
      </c>
      <c r="B15" s="297" t="s">
        <v>165</v>
      </c>
      <c r="C15" s="627" t="s">
        <v>44</v>
      </c>
      <c r="D15" s="627"/>
      <c r="E15" s="627"/>
      <c r="F15" s="627"/>
      <c r="G15" s="627"/>
      <c r="H15" s="627"/>
      <c r="I15" s="627"/>
      <c r="J15" s="627"/>
      <c r="K15" s="627"/>
      <c r="L15" s="627"/>
      <c r="M15" s="627"/>
      <c r="N15" s="627"/>
      <c r="O15" s="627"/>
      <c r="P15" s="627"/>
      <c r="Q15" s="627"/>
      <c r="R15" s="627"/>
      <c r="S15" s="627"/>
      <c r="T15" s="627"/>
      <c r="U15" s="627"/>
      <c r="V15" s="627"/>
      <c r="W15" s="627"/>
      <c r="X15" s="627"/>
      <c r="Y15" s="627"/>
      <c r="Z15" s="627"/>
      <c r="AA15" s="627"/>
      <c r="AB15" s="342">
        <f t="shared" si="24"/>
        <v>0</v>
      </c>
      <c r="AC15" s="304">
        <f t="shared" ref="AC15:AC88" si="31">+D15+G15+J15+M15+S15+V15</f>
        <v>0</v>
      </c>
      <c r="AD15" s="304">
        <f t="shared" ref="AD15:AD88" si="32">+E15+H15+K15+N15+T15+W15</f>
        <v>0</v>
      </c>
      <c r="AE15" s="304">
        <f t="shared" ref="AE15:AE88" si="33">+F15+I15+L15+O15+U15+X15</f>
        <v>0</v>
      </c>
      <c r="AF15" s="304">
        <f t="shared" ref="AF15:AF88" si="34">+P15+Q15</f>
        <v>0</v>
      </c>
      <c r="AG15" s="304">
        <f t="shared" ref="AG15:AG88" si="35">+AC15+AD15+AE15+AF15</f>
        <v>0</v>
      </c>
      <c r="AH15" s="304">
        <f t="shared" si="12"/>
        <v>0</v>
      </c>
      <c r="AI15" s="304">
        <f t="shared" si="13"/>
        <v>0</v>
      </c>
      <c r="AJ15" s="303"/>
      <c r="AK15" s="303"/>
      <c r="AL15" s="303"/>
      <c r="AM15" s="303"/>
      <c r="AN15" s="303"/>
      <c r="AO15" s="303"/>
      <c r="AP15" s="308"/>
      <c r="AQ15" s="303"/>
      <c r="AR15" s="303"/>
      <c r="AS15" s="303"/>
      <c r="AT15" s="303"/>
      <c r="AU15" s="303"/>
      <c r="AV15" s="346"/>
      <c r="AW15" s="340"/>
      <c r="AX15" s="303"/>
      <c r="AY15" s="303"/>
      <c r="AZ15" s="303"/>
      <c r="BA15" s="308"/>
      <c r="BB15" s="321"/>
      <c r="BC15" s="303"/>
      <c r="BD15" s="303"/>
      <c r="BE15" s="303"/>
      <c r="BF15" s="303"/>
    </row>
    <row r="16" spans="1:59" ht="25.5" customHeight="1">
      <c r="A16" s="530"/>
      <c r="B16" s="297"/>
      <c r="C16" s="359" t="s">
        <v>447</v>
      </c>
      <c r="D16" s="299"/>
      <c r="E16" s="299"/>
      <c r="F16" s="299">
        <v>204688.26</v>
      </c>
      <c r="G16" s="299">
        <f>130112.93+561340.68</f>
        <v>691453.6100000001</v>
      </c>
      <c r="H16" s="299"/>
      <c r="I16" s="299"/>
      <c r="J16" s="299">
        <f>12557.6+16530</f>
        <v>29087.599999999999</v>
      </c>
      <c r="K16" s="299"/>
      <c r="L16" s="299"/>
      <c r="M16" s="299">
        <f>2569659+2819946.61</f>
        <v>5389605.6099999994</v>
      </c>
      <c r="N16" s="299">
        <f>871902.12+478809+2609220+158000+3566220</f>
        <v>7684151.1200000001</v>
      </c>
      <c r="O16" s="299"/>
      <c r="P16" s="299">
        <v>19016865.149999999</v>
      </c>
      <c r="Q16" s="299">
        <v>1914870.5</v>
      </c>
      <c r="R16" s="299"/>
      <c r="S16" s="299"/>
      <c r="T16" s="299"/>
      <c r="U16" s="299"/>
      <c r="V16" s="299">
        <v>349508</v>
      </c>
      <c r="W16" s="299">
        <f>1688733+339846+1740+5160+70760</f>
        <v>2106239</v>
      </c>
      <c r="X16" s="299"/>
      <c r="Y16" s="360">
        <f>+D16+G16+J16+M16+P16+S16+V16</f>
        <v>25476519.969999999</v>
      </c>
      <c r="Z16" s="360">
        <f>+E16+H16+K16+N16+Q16+T16+W16</f>
        <v>11705260.620000001</v>
      </c>
      <c r="AA16" s="360">
        <f>+F16+I16+L16+O16+R16+U16+X16</f>
        <v>204688.26</v>
      </c>
      <c r="AB16" s="342">
        <f t="shared" si="24"/>
        <v>37386468.850000001</v>
      </c>
      <c r="AC16" s="304">
        <f t="shared" si="31"/>
        <v>6459654.8199999994</v>
      </c>
      <c r="AD16" s="304">
        <f t="shared" si="32"/>
        <v>9790390.120000001</v>
      </c>
      <c r="AE16" s="304">
        <f t="shared" si="33"/>
        <v>204688.26</v>
      </c>
      <c r="AF16" s="304">
        <f t="shared" si="34"/>
        <v>20931735.649999999</v>
      </c>
      <c r="AG16" s="304">
        <f t="shared" si="35"/>
        <v>37386468.850000001</v>
      </c>
      <c r="AH16" s="304">
        <f t="shared" si="12"/>
        <v>20931735.649999999</v>
      </c>
      <c r="AI16" s="304">
        <f t="shared" si="13"/>
        <v>16250044.940000001</v>
      </c>
      <c r="AJ16" s="304">
        <f>+AI16*100/AI24</f>
        <v>55.630649025164217</v>
      </c>
      <c r="AK16" s="304">
        <f>+AH16*AJ16/100</f>
        <v>11644460.394326676</v>
      </c>
      <c r="AL16" s="304">
        <f t="shared" ref="AL16:AO17" si="36">AC208*AC16/AC66</f>
        <v>833618.38729565032</v>
      </c>
      <c r="AM16" s="304">
        <f t="shared" si="36"/>
        <v>509976.58334977494</v>
      </c>
      <c r="AN16" s="304">
        <f t="shared" si="36"/>
        <v>0</v>
      </c>
      <c r="AO16" s="304">
        <f t="shared" si="36"/>
        <v>0</v>
      </c>
      <c r="AP16" s="298">
        <f t="shared" ref="AP16:AP24" si="37">SUM(AL16:AO16)</f>
        <v>1343594.9706454254</v>
      </c>
      <c r="AQ16" s="299">
        <v>2972451.68</v>
      </c>
      <c r="AR16" s="304">
        <f>+AC16+AL16</f>
        <v>7293273.2072956497</v>
      </c>
      <c r="AS16" s="304">
        <f>+AD16+AM16</f>
        <v>10300366.703349777</v>
      </c>
      <c r="AT16" s="304">
        <f>+AE16+AN16+AQ16</f>
        <v>3177139.9400000004</v>
      </c>
      <c r="AU16" s="304">
        <f>+AK16+AO16</f>
        <v>11644460.394326676</v>
      </c>
      <c r="AV16" s="347">
        <f>SUM(AR16:AU16)</f>
        <v>32415240.244972102</v>
      </c>
      <c r="AW16" s="341">
        <f t="shared" ref="AW16:AZ17" si="38">+AC274*AR16/AR187</f>
        <v>1313186.5786458773</v>
      </c>
      <c r="AX16" s="304">
        <f t="shared" si="38"/>
        <v>3122384.365868499</v>
      </c>
      <c r="AY16" s="304">
        <f t="shared" si="38"/>
        <v>0</v>
      </c>
      <c r="AZ16" s="304">
        <f t="shared" si="38"/>
        <v>0</v>
      </c>
      <c r="BA16" s="298">
        <f t="shared" ref="BA16:BA24" si="39">SUM(AW16:AZ16)</f>
        <v>4435570.9445143761</v>
      </c>
      <c r="BB16" s="304">
        <f>+AR16+AW16</f>
        <v>8606459.7859415263</v>
      </c>
      <c r="BC16" s="304">
        <f t="shared" ref="BC16:BC23" si="40">+AS16+AX16</f>
        <v>13422751.069218276</v>
      </c>
      <c r="BD16" s="304">
        <f t="shared" ref="BD16:BD23" si="41">+AT16+AY16</f>
        <v>3177139.9400000004</v>
      </c>
      <c r="BE16" s="304">
        <f>+AU16+AZ16</f>
        <v>11644460.394326676</v>
      </c>
      <c r="BF16" s="304">
        <f t="shared" ref="BF16:BF24" si="42">SUM(BB16:BE16)</f>
        <v>36850811.189486481</v>
      </c>
    </row>
    <row r="17" spans="1:58" ht="25.5" customHeight="1">
      <c r="A17" s="530"/>
      <c r="B17" s="297"/>
      <c r="C17" s="359" t="s">
        <v>448</v>
      </c>
      <c r="D17" s="299"/>
      <c r="E17" s="299"/>
      <c r="F17" s="299"/>
      <c r="G17" s="299"/>
      <c r="H17" s="299"/>
      <c r="I17" s="299"/>
      <c r="J17" s="299"/>
      <c r="K17" s="299"/>
      <c r="L17" s="299"/>
      <c r="M17" s="299"/>
      <c r="N17" s="299"/>
      <c r="O17" s="299"/>
      <c r="P17" s="299"/>
      <c r="Q17" s="299"/>
      <c r="R17" s="299"/>
      <c r="S17" s="299"/>
      <c r="T17" s="299"/>
      <c r="U17" s="299"/>
      <c r="V17" s="299"/>
      <c r="W17" s="299"/>
      <c r="X17" s="299"/>
      <c r="Y17" s="360">
        <f t="shared" ref="Y17:AA23" si="43">+D17+G17+J17+M17+P17+S17+V17</f>
        <v>0</v>
      </c>
      <c r="Z17" s="360">
        <f t="shared" si="43"/>
        <v>0</v>
      </c>
      <c r="AA17" s="360">
        <f t="shared" si="43"/>
        <v>0</v>
      </c>
      <c r="AB17" s="342">
        <f t="shared" si="24"/>
        <v>0</v>
      </c>
      <c r="AC17" s="304">
        <f t="shared" si="31"/>
        <v>0</v>
      </c>
      <c r="AD17" s="304">
        <f t="shared" si="32"/>
        <v>0</v>
      </c>
      <c r="AE17" s="304">
        <f t="shared" si="33"/>
        <v>0</v>
      </c>
      <c r="AF17" s="304">
        <f t="shared" si="34"/>
        <v>0</v>
      </c>
      <c r="AG17" s="304">
        <f t="shared" si="35"/>
        <v>0</v>
      </c>
      <c r="AH17" s="304">
        <f t="shared" si="12"/>
        <v>0</v>
      </c>
      <c r="AI17" s="304">
        <f t="shared" si="13"/>
        <v>0</v>
      </c>
      <c r="AJ17" s="304">
        <f>+AI17*100/AI24</f>
        <v>0</v>
      </c>
      <c r="AK17" s="304">
        <f>+AH16*AJ17/100</f>
        <v>0</v>
      </c>
      <c r="AL17" s="304">
        <f t="shared" si="36"/>
        <v>0</v>
      </c>
      <c r="AM17" s="304">
        <f t="shared" si="36"/>
        <v>0</v>
      </c>
      <c r="AN17" s="304">
        <f t="shared" si="36"/>
        <v>0</v>
      </c>
      <c r="AO17" s="304">
        <f t="shared" si="36"/>
        <v>0</v>
      </c>
      <c r="AP17" s="298">
        <f t="shared" si="37"/>
        <v>0</v>
      </c>
      <c r="AQ17" s="303"/>
      <c r="AR17" s="304">
        <f t="shared" ref="AR17:AR23" si="44">+AC17+AL17</f>
        <v>0</v>
      </c>
      <c r="AS17" s="304">
        <f t="shared" ref="AS17:AS23" si="45">+AD17+AM17</f>
        <v>0</v>
      </c>
      <c r="AT17" s="304">
        <f t="shared" ref="AT17:AT23" si="46">+AE17+AN17+AQ17</f>
        <v>0</v>
      </c>
      <c r="AU17" s="304">
        <f t="shared" ref="AU17:AU23" si="47">+AK17+AO17</f>
        <v>0</v>
      </c>
      <c r="AV17" s="347">
        <f t="shared" ref="AV17:AV23" si="48">SUM(AR17:AU17)</f>
        <v>0</v>
      </c>
      <c r="AW17" s="341">
        <f t="shared" si="38"/>
        <v>0</v>
      </c>
      <c r="AX17" s="304">
        <f t="shared" si="38"/>
        <v>0</v>
      </c>
      <c r="AY17" s="304">
        <f t="shared" si="38"/>
        <v>0</v>
      </c>
      <c r="AZ17" s="304">
        <f t="shared" si="38"/>
        <v>0</v>
      </c>
      <c r="BA17" s="298">
        <f t="shared" si="39"/>
        <v>0</v>
      </c>
      <c r="BB17" s="304">
        <f t="shared" ref="BB17:BB23" si="49">+AR17+AW17</f>
        <v>0</v>
      </c>
      <c r="BC17" s="304">
        <f t="shared" si="40"/>
        <v>0</v>
      </c>
      <c r="BD17" s="304">
        <f t="shared" si="41"/>
        <v>0</v>
      </c>
      <c r="BE17" s="304">
        <f t="shared" ref="BE17:BE23" si="50">+AU17+AZ17</f>
        <v>0</v>
      </c>
      <c r="BF17" s="304">
        <f t="shared" si="42"/>
        <v>0</v>
      </c>
    </row>
    <row r="18" spans="1:58" ht="25.5" customHeight="1">
      <c r="A18" s="530"/>
      <c r="B18" s="297"/>
      <c r="C18" s="359" t="s">
        <v>449</v>
      </c>
      <c r="D18" s="299"/>
      <c r="E18" s="299"/>
      <c r="F18" s="299"/>
      <c r="G18" s="299"/>
      <c r="H18" s="299"/>
      <c r="I18" s="299"/>
      <c r="J18" s="299"/>
      <c r="K18" s="299"/>
      <c r="L18" s="299"/>
      <c r="M18" s="299"/>
      <c r="N18" s="299"/>
      <c r="O18" s="299"/>
      <c r="P18" s="299"/>
      <c r="Q18" s="299"/>
      <c r="R18" s="299"/>
      <c r="S18" s="299"/>
      <c r="T18" s="299"/>
      <c r="U18" s="299"/>
      <c r="V18" s="299">
        <v>191192.9</v>
      </c>
      <c r="W18" s="299"/>
      <c r="X18" s="299"/>
      <c r="Y18" s="360">
        <f t="shared" si="43"/>
        <v>191192.9</v>
      </c>
      <c r="Z18" s="360">
        <f t="shared" si="43"/>
        <v>0</v>
      </c>
      <c r="AA18" s="360">
        <f t="shared" si="43"/>
        <v>0</v>
      </c>
      <c r="AB18" s="342">
        <f t="shared" si="24"/>
        <v>191192.9</v>
      </c>
      <c r="AC18" s="304">
        <f t="shared" si="31"/>
        <v>191192.9</v>
      </c>
      <c r="AD18" s="304">
        <f t="shared" si="32"/>
        <v>0</v>
      </c>
      <c r="AE18" s="304">
        <f t="shared" si="33"/>
        <v>0</v>
      </c>
      <c r="AF18" s="304">
        <f t="shared" si="34"/>
        <v>0</v>
      </c>
      <c r="AG18" s="304">
        <f t="shared" si="35"/>
        <v>191192.9</v>
      </c>
      <c r="AH18" s="304">
        <f t="shared" si="12"/>
        <v>0</v>
      </c>
      <c r="AI18" s="304">
        <f t="shared" si="13"/>
        <v>191192.9</v>
      </c>
      <c r="AJ18" s="304">
        <f>+AI18*100/AI24</f>
        <v>0.65453265854188569</v>
      </c>
      <c r="AK18" s="304">
        <f>+AH16*AJ18/100</f>
        <v>137005.04582890464</v>
      </c>
      <c r="AL18" s="304">
        <f t="shared" ref="AL18:AL23" si="51">AC210*AC18/AC68</f>
        <v>0</v>
      </c>
      <c r="AM18" s="304">
        <v>0</v>
      </c>
      <c r="AN18" s="304">
        <v>0</v>
      </c>
      <c r="AO18" s="304">
        <v>0</v>
      </c>
      <c r="AP18" s="298">
        <f t="shared" si="37"/>
        <v>0</v>
      </c>
      <c r="AQ18" s="303"/>
      <c r="AR18" s="304">
        <f t="shared" si="44"/>
        <v>191192.9</v>
      </c>
      <c r="AS18" s="304">
        <f t="shared" si="45"/>
        <v>0</v>
      </c>
      <c r="AT18" s="304">
        <f t="shared" si="46"/>
        <v>0</v>
      </c>
      <c r="AU18" s="304">
        <f t="shared" si="47"/>
        <v>137005.04582890464</v>
      </c>
      <c r="AV18" s="347">
        <f t="shared" si="48"/>
        <v>328197.94582890463</v>
      </c>
      <c r="AW18" s="341">
        <f t="shared" ref="AW18:AX22" si="52">+AC276*AR18/AR189</f>
        <v>210769.07977988955</v>
      </c>
      <c r="AX18" s="304">
        <f t="shared" si="52"/>
        <v>0</v>
      </c>
      <c r="AY18" s="304">
        <v>0</v>
      </c>
      <c r="AZ18" s="304">
        <f t="shared" ref="AZ18:AZ23" si="53">+AF276*AU18/AU189</f>
        <v>0</v>
      </c>
      <c r="BA18" s="298">
        <f t="shared" si="39"/>
        <v>210769.07977988955</v>
      </c>
      <c r="BB18" s="304">
        <f t="shared" si="49"/>
        <v>401961.97977988957</v>
      </c>
      <c r="BC18" s="304">
        <f t="shared" si="40"/>
        <v>0</v>
      </c>
      <c r="BD18" s="304">
        <f t="shared" si="41"/>
        <v>0</v>
      </c>
      <c r="BE18" s="304">
        <f t="shared" si="50"/>
        <v>137005.04582890464</v>
      </c>
      <c r="BF18" s="304">
        <f t="shared" si="42"/>
        <v>538967.02560879418</v>
      </c>
    </row>
    <row r="19" spans="1:58" ht="25.5" customHeight="1">
      <c r="A19" s="530"/>
      <c r="B19" s="297"/>
      <c r="C19" s="359" t="s">
        <v>450</v>
      </c>
      <c r="D19" s="299"/>
      <c r="E19" s="299"/>
      <c r="F19" s="299"/>
      <c r="G19" s="299"/>
      <c r="H19" s="299"/>
      <c r="I19" s="299"/>
      <c r="J19" s="299"/>
      <c r="K19" s="299"/>
      <c r="L19" s="299"/>
      <c r="M19" s="299"/>
      <c r="N19" s="299"/>
      <c r="O19" s="299"/>
      <c r="P19" s="299"/>
      <c r="Q19" s="299"/>
      <c r="R19" s="299"/>
      <c r="S19" s="299"/>
      <c r="T19" s="299"/>
      <c r="U19" s="299"/>
      <c r="V19" s="299">
        <v>124100</v>
      </c>
      <c r="W19" s="299">
        <v>334800</v>
      </c>
      <c r="X19" s="299"/>
      <c r="Y19" s="360">
        <f t="shared" si="43"/>
        <v>124100</v>
      </c>
      <c r="Z19" s="360">
        <f t="shared" si="43"/>
        <v>334800</v>
      </c>
      <c r="AA19" s="360">
        <f t="shared" si="43"/>
        <v>0</v>
      </c>
      <c r="AB19" s="342">
        <f t="shared" si="24"/>
        <v>458900</v>
      </c>
      <c r="AC19" s="304">
        <f t="shared" si="31"/>
        <v>124100</v>
      </c>
      <c r="AD19" s="304">
        <f t="shared" si="32"/>
        <v>334800</v>
      </c>
      <c r="AE19" s="304">
        <f t="shared" si="33"/>
        <v>0</v>
      </c>
      <c r="AF19" s="304">
        <f t="shared" si="34"/>
        <v>0</v>
      </c>
      <c r="AG19" s="304">
        <f t="shared" si="35"/>
        <v>458900</v>
      </c>
      <c r="AH19" s="304">
        <f t="shared" si="12"/>
        <v>0</v>
      </c>
      <c r="AI19" s="304">
        <f t="shared" si="13"/>
        <v>458900</v>
      </c>
      <c r="AJ19" s="304">
        <f>+AI19*100/AI24</f>
        <v>1.5710051837953782</v>
      </c>
      <c r="AK19" s="304">
        <f>+AH16*AJ19/100</f>
        <v>328838.65211984521</v>
      </c>
      <c r="AL19" s="304">
        <f t="shared" si="51"/>
        <v>0</v>
      </c>
      <c r="AM19" s="304">
        <f>AD211*AD19/AD69</f>
        <v>0</v>
      </c>
      <c r="AN19" s="304">
        <v>0</v>
      </c>
      <c r="AO19" s="304">
        <v>0</v>
      </c>
      <c r="AP19" s="298">
        <f t="shared" si="37"/>
        <v>0</v>
      </c>
      <c r="AQ19" s="303"/>
      <c r="AR19" s="304">
        <f t="shared" si="44"/>
        <v>124100</v>
      </c>
      <c r="AS19" s="304">
        <f t="shared" si="45"/>
        <v>334800</v>
      </c>
      <c r="AT19" s="304">
        <f t="shared" si="46"/>
        <v>0</v>
      </c>
      <c r="AU19" s="304">
        <f t="shared" si="47"/>
        <v>328838.65211984521</v>
      </c>
      <c r="AV19" s="347">
        <f t="shared" si="48"/>
        <v>787738.65211984515</v>
      </c>
      <c r="AW19" s="341">
        <f t="shared" si="52"/>
        <v>217662.40240229966</v>
      </c>
      <c r="AX19" s="304">
        <f t="shared" si="52"/>
        <v>0</v>
      </c>
      <c r="AY19" s="304">
        <v>0</v>
      </c>
      <c r="AZ19" s="304">
        <f t="shared" si="53"/>
        <v>0</v>
      </c>
      <c r="BA19" s="298">
        <f t="shared" si="39"/>
        <v>217662.40240229966</v>
      </c>
      <c r="BB19" s="304">
        <f t="shared" si="49"/>
        <v>341762.40240229969</v>
      </c>
      <c r="BC19" s="304">
        <f t="shared" si="40"/>
        <v>334800</v>
      </c>
      <c r="BD19" s="304">
        <f t="shared" si="41"/>
        <v>0</v>
      </c>
      <c r="BE19" s="304">
        <f t="shared" si="50"/>
        <v>328838.65211984521</v>
      </c>
      <c r="BF19" s="304">
        <f t="shared" si="42"/>
        <v>1005401.0545221448</v>
      </c>
    </row>
    <row r="20" spans="1:58" ht="25.5" customHeight="1">
      <c r="A20" s="530"/>
      <c r="B20" s="297"/>
      <c r="C20" s="359" t="s">
        <v>451</v>
      </c>
      <c r="D20" s="299">
        <v>6739440</v>
      </c>
      <c r="E20" s="299">
        <f>4736019.6+345000</f>
        <v>5081019.5999999996</v>
      </c>
      <c r="F20" s="299"/>
      <c r="G20" s="299"/>
      <c r="H20" s="299"/>
      <c r="I20" s="299"/>
      <c r="J20" s="299"/>
      <c r="K20" s="299"/>
      <c r="L20" s="299"/>
      <c r="M20" s="299"/>
      <c r="N20" s="299"/>
      <c r="O20" s="299"/>
      <c r="P20" s="299"/>
      <c r="Q20" s="299"/>
      <c r="R20" s="299"/>
      <c r="S20" s="299"/>
      <c r="T20" s="299"/>
      <c r="U20" s="299"/>
      <c r="V20" s="299"/>
      <c r="W20" s="299"/>
      <c r="X20" s="299"/>
      <c r="Y20" s="360">
        <f t="shared" si="43"/>
        <v>6739440</v>
      </c>
      <c r="Z20" s="360">
        <f t="shared" si="43"/>
        <v>5081019.5999999996</v>
      </c>
      <c r="AA20" s="360">
        <f t="shared" si="43"/>
        <v>0</v>
      </c>
      <c r="AB20" s="342">
        <f t="shared" si="24"/>
        <v>11820459.6</v>
      </c>
      <c r="AC20" s="304">
        <f t="shared" si="31"/>
        <v>6739440</v>
      </c>
      <c r="AD20" s="304">
        <f t="shared" si="32"/>
        <v>5081019.5999999996</v>
      </c>
      <c r="AE20" s="304">
        <f t="shared" si="33"/>
        <v>0</v>
      </c>
      <c r="AF20" s="304">
        <f t="shared" si="34"/>
        <v>0</v>
      </c>
      <c r="AG20" s="304">
        <f t="shared" si="35"/>
        <v>11820459.6</v>
      </c>
      <c r="AH20" s="304">
        <f t="shared" si="12"/>
        <v>0</v>
      </c>
      <c r="AI20" s="304">
        <f t="shared" si="13"/>
        <v>11820459.6</v>
      </c>
      <c r="AJ20" s="304">
        <f>+AI20*100/AI24</f>
        <v>40.466339739472311</v>
      </c>
      <c r="AK20" s="304">
        <f>+AH16*AJ20/100</f>
        <v>8470307.2614972424</v>
      </c>
      <c r="AL20" s="304">
        <f t="shared" si="51"/>
        <v>0</v>
      </c>
      <c r="AM20" s="304">
        <f>AD212*AD20/AD70</f>
        <v>398532.35397584108</v>
      </c>
      <c r="AN20" s="304">
        <v>0</v>
      </c>
      <c r="AO20" s="304">
        <v>0</v>
      </c>
      <c r="AP20" s="298">
        <f t="shared" si="37"/>
        <v>398532.35397584108</v>
      </c>
      <c r="AQ20" s="303"/>
      <c r="AR20" s="304">
        <f t="shared" si="44"/>
        <v>6739440</v>
      </c>
      <c r="AS20" s="304">
        <f t="shared" si="45"/>
        <v>5479551.9539758405</v>
      </c>
      <c r="AT20" s="304">
        <f t="shared" si="46"/>
        <v>0</v>
      </c>
      <c r="AU20" s="304">
        <f t="shared" si="47"/>
        <v>8470307.2614972424</v>
      </c>
      <c r="AV20" s="347">
        <f t="shared" si="48"/>
        <v>20689299.215473086</v>
      </c>
      <c r="AW20" s="341">
        <f t="shared" si="52"/>
        <v>24117883.61054346</v>
      </c>
      <c r="AX20" s="304">
        <f t="shared" si="52"/>
        <v>1858285.9506637352</v>
      </c>
      <c r="AY20" s="304">
        <f>+AE278*AT20/AT191</f>
        <v>0</v>
      </c>
      <c r="AZ20" s="304">
        <f t="shared" si="53"/>
        <v>0</v>
      </c>
      <c r="BA20" s="298">
        <f t="shared" si="39"/>
        <v>25976169.561207194</v>
      </c>
      <c r="BB20" s="304">
        <f t="shared" si="49"/>
        <v>30857323.61054346</v>
      </c>
      <c r="BC20" s="304">
        <f t="shared" si="40"/>
        <v>7337837.9046395756</v>
      </c>
      <c r="BD20" s="304">
        <f t="shared" si="41"/>
        <v>0</v>
      </c>
      <c r="BE20" s="304">
        <f t="shared" si="50"/>
        <v>8470307.2614972424</v>
      </c>
      <c r="BF20" s="304">
        <f t="shared" si="42"/>
        <v>46665468.776680276</v>
      </c>
    </row>
    <row r="21" spans="1:58" ht="25.5" customHeight="1">
      <c r="A21" s="530"/>
      <c r="B21" s="297"/>
      <c r="C21" s="359" t="s">
        <v>452</v>
      </c>
      <c r="D21" s="299"/>
      <c r="E21" s="299"/>
      <c r="F21" s="299"/>
      <c r="G21" s="299"/>
      <c r="H21" s="299"/>
      <c r="I21" s="299"/>
      <c r="J21" s="299"/>
      <c r="K21" s="299"/>
      <c r="L21" s="299"/>
      <c r="M21" s="299"/>
      <c r="N21" s="299"/>
      <c r="O21" s="299"/>
      <c r="P21" s="299"/>
      <c r="Q21" s="299"/>
      <c r="R21" s="299"/>
      <c r="S21" s="299"/>
      <c r="T21" s="299"/>
      <c r="U21" s="299"/>
      <c r="V21" s="299"/>
      <c r="W21" s="299"/>
      <c r="X21" s="299"/>
      <c r="Y21" s="360">
        <f t="shared" si="43"/>
        <v>0</v>
      </c>
      <c r="Z21" s="360">
        <f t="shared" si="43"/>
        <v>0</v>
      </c>
      <c r="AA21" s="360">
        <f t="shared" si="43"/>
        <v>0</v>
      </c>
      <c r="AB21" s="342">
        <f t="shared" si="24"/>
        <v>0</v>
      </c>
      <c r="AC21" s="304">
        <f t="shared" si="31"/>
        <v>0</v>
      </c>
      <c r="AD21" s="304">
        <f t="shared" si="32"/>
        <v>0</v>
      </c>
      <c r="AE21" s="304">
        <f t="shared" si="33"/>
        <v>0</v>
      </c>
      <c r="AF21" s="304">
        <f t="shared" si="34"/>
        <v>0</v>
      </c>
      <c r="AG21" s="304">
        <f t="shared" si="35"/>
        <v>0</v>
      </c>
      <c r="AH21" s="304">
        <f t="shared" si="12"/>
        <v>0</v>
      </c>
      <c r="AI21" s="304">
        <f t="shared" si="13"/>
        <v>0</v>
      </c>
      <c r="AJ21" s="304">
        <f>+AI21*100/AI24</f>
        <v>0</v>
      </c>
      <c r="AK21" s="304">
        <f>+AH16*AJ21/100</f>
        <v>0</v>
      </c>
      <c r="AL21" s="304">
        <f t="shared" si="51"/>
        <v>0</v>
      </c>
      <c r="AM21" s="304">
        <f>AD213*AD21/AD71</f>
        <v>0</v>
      </c>
      <c r="AN21" s="304">
        <v>0</v>
      </c>
      <c r="AO21" s="304">
        <v>0</v>
      </c>
      <c r="AP21" s="298">
        <f t="shared" si="37"/>
        <v>0</v>
      </c>
      <c r="AQ21" s="303"/>
      <c r="AR21" s="304">
        <f t="shared" si="44"/>
        <v>0</v>
      </c>
      <c r="AS21" s="304">
        <f t="shared" si="45"/>
        <v>0</v>
      </c>
      <c r="AT21" s="304">
        <f t="shared" si="46"/>
        <v>0</v>
      </c>
      <c r="AU21" s="304">
        <f t="shared" si="47"/>
        <v>0</v>
      </c>
      <c r="AV21" s="347">
        <f t="shared" si="48"/>
        <v>0</v>
      </c>
      <c r="AW21" s="341">
        <f t="shared" si="52"/>
        <v>0</v>
      </c>
      <c r="AX21" s="304">
        <f t="shared" si="52"/>
        <v>0</v>
      </c>
      <c r="AY21" s="304">
        <v>0</v>
      </c>
      <c r="AZ21" s="304">
        <f t="shared" si="53"/>
        <v>0</v>
      </c>
      <c r="BA21" s="298">
        <f t="shared" si="39"/>
        <v>0</v>
      </c>
      <c r="BB21" s="304">
        <f t="shared" si="49"/>
        <v>0</v>
      </c>
      <c r="BC21" s="304">
        <f t="shared" si="40"/>
        <v>0</v>
      </c>
      <c r="BD21" s="304">
        <f t="shared" si="41"/>
        <v>0</v>
      </c>
      <c r="BE21" s="304">
        <f t="shared" si="50"/>
        <v>0</v>
      </c>
      <c r="BF21" s="304">
        <f t="shared" si="42"/>
        <v>0</v>
      </c>
    </row>
    <row r="22" spans="1:58" ht="25.5" customHeight="1">
      <c r="A22" s="530"/>
      <c r="B22" s="297"/>
      <c r="C22" s="359" t="s">
        <v>453</v>
      </c>
      <c r="D22" s="299"/>
      <c r="E22" s="299"/>
      <c r="F22" s="299"/>
      <c r="G22" s="299"/>
      <c r="H22" s="299"/>
      <c r="I22" s="299"/>
      <c r="J22" s="299"/>
      <c r="K22" s="299"/>
      <c r="L22" s="299"/>
      <c r="M22" s="299"/>
      <c r="N22" s="299"/>
      <c r="O22" s="299"/>
      <c r="P22" s="299"/>
      <c r="Q22" s="299"/>
      <c r="R22" s="299"/>
      <c r="S22" s="299">
        <v>490000</v>
      </c>
      <c r="T22" s="299"/>
      <c r="U22" s="299"/>
      <c r="V22" s="299"/>
      <c r="W22" s="299"/>
      <c r="X22" s="299"/>
      <c r="Y22" s="360">
        <f t="shared" si="43"/>
        <v>490000</v>
      </c>
      <c r="Z22" s="360">
        <f t="shared" si="43"/>
        <v>0</v>
      </c>
      <c r="AA22" s="360">
        <f t="shared" si="43"/>
        <v>0</v>
      </c>
      <c r="AB22" s="342">
        <f t="shared" si="24"/>
        <v>490000</v>
      </c>
      <c r="AC22" s="304">
        <f t="shared" si="31"/>
        <v>490000</v>
      </c>
      <c r="AD22" s="304">
        <f t="shared" si="32"/>
        <v>0</v>
      </c>
      <c r="AE22" s="304">
        <f t="shared" si="33"/>
        <v>0</v>
      </c>
      <c r="AF22" s="304">
        <f t="shared" si="34"/>
        <v>0</v>
      </c>
      <c r="AG22" s="304">
        <f t="shared" si="35"/>
        <v>490000</v>
      </c>
      <c r="AH22" s="304">
        <f t="shared" si="12"/>
        <v>0</v>
      </c>
      <c r="AI22" s="304">
        <f t="shared" si="13"/>
        <v>490000</v>
      </c>
      <c r="AJ22" s="304">
        <f>+AI22*100/AI24</f>
        <v>1.6774733930262264</v>
      </c>
      <c r="AK22" s="304">
        <f>+AH16*AJ22/100</f>
        <v>351124.29622733523</v>
      </c>
      <c r="AL22" s="304">
        <f t="shared" si="51"/>
        <v>0</v>
      </c>
      <c r="AM22" s="304">
        <v>0</v>
      </c>
      <c r="AN22" s="304">
        <v>0</v>
      </c>
      <c r="AO22" s="304">
        <v>0</v>
      </c>
      <c r="AP22" s="298">
        <f t="shared" si="37"/>
        <v>0</v>
      </c>
      <c r="AQ22" s="303"/>
      <c r="AR22" s="304">
        <f t="shared" si="44"/>
        <v>490000</v>
      </c>
      <c r="AS22" s="304">
        <f t="shared" si="45"/>
        <v>0</v>
      </c>
      <c r="AT22" s="304">
        <f t="shared" si="46"/>
        <v>0</v>
      </c>
      <c r="AU22" s="304">
        <f t="shared" si="47"/>
        <v>351124.29622733523</v>
      </c>
      <c r="AV22" s="347">
        <f t="shared" si="48"/>
        <v>841124.29622733523</v>
      </c>
      <c r="AW22" s="341">
        <f t="shared" si="52"/>
        <v>0</v>
      </c>
      <c r="AX22" s="304">
        <f t="shared" si="52"/>
        <v>0</v>
      </c>
      <c r="AY22" s="304">
        <v>0</v>
      </c>
      <c r="AZ22" s="304">
        <f t="shared" si="53"/>
        <v>0</v>
      </c>
      <c r="BA22" s="298">
        <f t="shared" si="39"/>
        <v>0</v>
      </c>
      <c r="BB22" s="304">
        <f t="shared" si="49"/>
        <v>490000</v>
      </c>
      <c r="BC22" s="304">
        <f t="shared" si="40"/>
        <v>0</v>
      </c>
      <c r="BD22" s="304">
        <f t="shared" si="41"/>
        <v>0</v>
      </c>
      <c r="BE22" s="304">
        <f t="shared" si="50"/>
        <v>351124.29622733523</v>
      </c>
      <c r="BF22" s="304">
        <f t="shared" si="42"/>
        <v>841124.29622733523</v>
      </c>
    </row>
    <row r="23" spans="1:58" ht="25.5" customHeight="1">
      <c r="A23" s="530"/>
      <c r="B23" s="297"/>
      <c r="C23" s="359" t="s">
        <v>454</v>
      </c>
      <c r="D23" s="299"/>
      <c r="E23" s="299"/>
      <c r="F23" s="299"/>
      <c r="G23" s="299"/>
      <c r="H23" s="299"/>
      <c r="I23" s="299"/>
      <c r="J23" s="299"/>
      <c r="K23" s="299"/>
      <c r="L23" s="299"/>
      <c r="M23" s="299"/>
      <c r="N23" s="299"/>
      <c r="O23" s="299"/>
      <c r="P23" s="299"/>
      <c r="Q23" s="299"/>
      <c r="R23" s="299"/>
      <c r="S23" s="299"/>
      <c r="T23" s="299"/>
      <c r="U23" s="299"/>
      <c r="V23" s="299"/>
      <c r="W23" s="299"/>
      <c r="X23" s="299"/>
      <c r="Y23" s="360">
        <f t="shared" si="43"/>
        <v>0</v>
      </c>
      <c r="Z23" s="360">
        <f t="shared" si="43"/>
        <v>0</v>
      </c>
      <c r="AA23" s="360">
        <f t="shared" si="43"/>
        <v>0</v>
      </c>
      <c r="AB23" s="342">
        <f t="shared" si="24"/>
        <v>0</v>
      </c>
      <c r="AC23" s="304">
        <f t="shared" si="31"/>
        <v>0</v>
      </c>
      <c r="AD23" s="304">
        <f t="shared" si="32"/>
        <v>0</v>
      </c>
      <c r="AE23" s="304">
        <f t="shared" si="33"/>
        <v>0</v>
      </c>
      <c r="AF23" s="304">
        <f t="shared" si="34"/>
        <v>0</v>
      </c>
      <c r="AG23" s="304">
        <f t="shared" si="35"/>
        <v>0</v>
      </c>
      <c r="AH23" s="304">
        <f t="shared" si="12"/>
        <v>0</v>
      </c>
      <c r="AI23" s="304">
        <f t="shared" si="13"/>
        <v>0</v>
      </c>
      <c r="AJ23" s="304">
        <f>+AI23*100/AI24</f>
        <v>0</v>
      </c>
      <c r="AK23" s="304">
        <f>+AH16*AJ23/100</f>
        <v>0</v>
      </c>
      <c r="AL23" s="304">
        <f t="shared" si="51"/>
        <v>0</v>
      </c>
      <c r="AM23" s="304">
        <v>0</v>
      </c>
      <c r="AN23" s="304">
        <v>0</v>
      </c>
      <c r="AO23" s="304">
        <v>0</v>
      </c>
      <c r="AP23" s="298">
        <f t="shared" si="37"/>
        <v>0</v>
      </c>
      <c r="AQ23" s="303"/>
      <c r="AR23" s="304">
        <f t="shared" si="44"/>
        <v>0</v>
      </c>
      <c r="AS23" s="304">
        <f t="shared" si="45"/>
        <v>0</v>
      </c>
      <c r="AT23" s="304">
        <f t="shared" si="46"/>
        <v>0</v>
      </c>
      <c r="AU23" s="304">
        <f t="shared" si="47"/>
        <v>0</v>
      </c>
      <c r="AV23" s="347">
        <f t="shared" si="48"/>
        <v>0</v>
      </c>
      <c r="AW23" s="341">
        <f>+AC281*AR23/AR194</f>
        <v>0</v>
      </c>
      <c r="AX23" s="304">
        <v>0</v>
      </c>
      <c r="AY23" s="304">
        <v>0</v>
      </c>
      <c r="AZ23" s="304">
        <f t="shared" si="53"/>
        <v>0</v>
      </c>
      <c r="BA23" s="298">
        <f t="shared" si="39"/>
        <v>0</v>
      </c>
      <c r="BB23" s="304">
        <f t="shared" si="49"/>
        <v>0</v>
      </c>
      <c r="BC23" s="304">
        <f t="shared" si="40"/>
        <v>0</v>
      </c>
      <c r="BD23" s="304">
        <f t="shared" si="41"/>
        <v>0</v>
      </c>
      <c r="BE23" s="304">
        <f t="shared" si="50"/>
        <v>0</v>
      </c>
      <c r="BF23" s="304">
        <f t="shared" si="42"/>
        <v>0</v>
      </c>
    </row>
    <row r="24" spans="1:58" ht="25.5" customHeight="1">
      <c r="A24" s="530"/>
      <c r="B24" s="297"/>
      <c r="C24" s="338" t="s">
        <v>455</v>
      </c>
      <c r="D24" s="299">
        <f>SUM(D16:D23)</f>
        <v>6739440</v>
      </c>
      <c r="E24" s="299">
        <f t="shared" ref="E24:AA24" si="54">SUM(E16:E23)</f>
        <v>5081019.5999999996</v>
      </c>
      <c r="F24" s="299">
        <f t="shared" si="54"/>
        <v>204688.26</v>
      </c>
      <c r="G24" s="299">
        <f t="shared" si="54"/>
        <v>691453.6100000001</v>
      </c>
      <c r="H24" s="299">
        <f t="shared" si="54"/>
        <v>0</v>
      </c>
      <c r="I24" s="299">
        <f t="shared" si="54"/>
        <v>0</v>
      </c>
      <c r="J24" s="299">
        <f t="shared" si="54"/>
        <v>29087.599999999999</v>
      </c>
      <c r="K24" s="299">
        <f t="shared" si="54"/>
        <v>0</v>
      </c>
      <c r="L24" s="299">
        <f t="shared" si="54"/>
        <v>0</v>
      </c>
      <c r="M24" s="299">
        <f t="shared" si="54"/>
        <v>5389605.6099999994</v>
      </c>
      <c r="N24" s="299">
        <f t="shared" si="54"/>
        <v>7684151.1200000001</v>
      </c>
      <c r="O24" s="299">
        <f t="shared" si="54"/>
        <v>0</v>
      </c>
      <c r="P24" s="299">
        <f t="shared" si="54"/>
        <v>19016865.149999999</v>
      </c>
      <c r="Q24" s="299">
        <f t="shared" si="54"/>
        <v>1914870.5</v>
      </c>
      <c r="R24" s="299">
        <f t="shared" si="54"/>
        <v>0</v>
      </c>
      <c r="S24" s="299">
        <f t="shared" si="54"/>
        <v>490000</v>
      </c>
      <c r="T24" s="299">
        <f t="shared" si="54"/>
        <v>0</v>
      </c>
      <c r="U24" s="299">
        <f t="shared" si="54"/>
        <v>0</v>
      </c>
      <c r="V24" s="299">
        <f t="shared" si="54"/>
        <v>664800.9</v>
      </c>
      <c r="W24" s="299">
        <f t="shared" si="54"/>
        <v>2441039</v>
      </c>
      <c r="X24" s="299">
        <f t="shared" si="54"/>
        <v>0</v>
      </c>
      <c r="Y24" s="360">
        <f>+D24+G24+J24+M24+P24+S24+V24</f>
        <v>33021252.869999997</v>
      </c>
      <c r="Z24" s="299">
        <f t="shared" si="54"/>
        <v>17121080.219999999</v>
      </c>
      <c r="AA24" s="299">
        <f t="shared" si="54"/>
        <v>204688.26</v>
      </c>
      <c r="AB24" s="342">
        <f t="shared" si="24"/>
        <v>50347021.349999994</v>
      </c>
      <c r="AC24" s="304">
        <f t="shared" si="31"/>
        <v>14004387.720000001</v>
      </c>
      <c r="AD24" s="304">
        <f t="shared" si="32"/>
        <v>15206209.719999999</v>
      </c>
      <c r="AE24" s="304">
        <f t="shared" si="33"/>
        <v>204688.26</v>
      </c>
      <c r="AF24" s="304">
        <f t="shared" si="34"/>
        <v>20931735.649999999</v>
      </c>
      <c r="AG24" s="304">
        <f t="shared" si="35"/>
        <v>50347021.349999994</v>
      </c>
      <c r="AH24" s="304">
        <f t="shared" si="12"/>
        <v>20931735.649999999</v>
      </c>
      <c r="AI24" s="304">
        <f t="shared" si="13"/>
        <v>29210597.439999998</v>
      </c>
      <c r="AJ24" s="304">
        <f t="shared" ref="AJ24:AO24" si="55">SUM(AJ16:AJ23)</f>
        <v>100.00000000000003</v>
      </c>
      <c r="AK24" s="304">
        <f t="shared" si="55"/>
        <v>20931735.650000006</v>
      </c>
      <c r="AL24" s="304">
        <f t="shared" si="55"/>
        <v>833618.38729565032</v>
      </c>
      <c r="AM24" s="304">
        <f t="shared" si="55"/>
        <v>908508.93732561602</v>
      </c>
      <c r="AN24" s="304">
        <f t="shared" si="55"/>
        <v>0</v>
      </c>
      <c r="AO24" s="304">
        <f t="shared" si="55"/>
        <v>0</v>
      </c>
      <c r="AP24" s="298">
        <f t="shared" si="37"/>
        <v>1742127.3246212662</v>
      </c>
      <c r="AQ24" s="304">
        <f>SUM(AQ16:AQ23)</f>
        <v>2972451.68</v>
      </c>
      <c r="AR24" s="304">
        <f>SUM(AR16:AR23)</f>
        <v>14838006.107295651</v>
      </c>
      <c r="AS24" s="304">
        <f>SUM(AS16:AS23)</f>
        <v>16114718.657325618</v>
      </c>
      <c r="AT24" s="304">
        <f t="shared" ref="AT24" si="56">SUM(AT16:AT23)</f>
        <v>3177139.9400000004</v>
      </c>
      <c r="AU24" s="304">
        <f t="shared" ref="AU24" si="57">SUM(AU16:AU23)</f>
        <v>20931735.650000006</v>
      </c>
      <c r="AV24" s="347">
        <f>SUM(AR24:AU24)</f>
        <v>55061600.354621276</v>
      </c>
      <c r="AW24" s="341">
        <f>SUM(AW16:AW23)</f>
        <v>25859501.671371527</v>
      </c>
      <c r="AX24" s="304">
        <f>SUM(AX16:AX23)</f>
        <v>4980670.3165322337</v>
      </c>
      <c r="AY24" s="304">
        <f>SUM(AY16:AY23)</f>
        <v>0</v>
      </c>
      <c r="AZ24" s="304">
        <f>SUM(AZ16:AZ23)</f>
        <v>0</v>
      </c>
      <c r="BA24" s="298">
        <f t="shared" si="39"/>
        <v>30840171.987903759</v>
      </c>
      <c r="BB24" s="336">
        <f>SUM(BB16:BB23)</f>
        <v>40697507.778667174</v>
      </c>
      <c r="BC24" s="304">
        <f>SUM(BC16:BC23)</f>
        <v>21095388.97385785</v>
      </c>
      <c r="BD24" s="304">
        <f>SUM(BD16:BD23)</f>
        <v>3177139.9400000004</v>
      </c>
      <c r="BE24" s="304">
        <f>SUM(BE16:BE23)</f>
        <v>20931735.650000006</v>
      </c>
      <c r="BF24" s="304">
        <f t="shared" si="42"/>
        <v>85901772.342525035</v>
      </c>
    </row>
    <row r="25" spans="1:58" ht="25.5" customHeight="1">
      <c r="A25" s="530">
        <v>3</v>
      </c>
      <c r="B25" s="297" t="s">
        <v>165</v>
      </c>
      <c r="C25" s="627" t="s">
        <v>49</v>
      </c>
      <c r="D25" s="627"/>
      <c r="E25" s="627"/>
      <c r="F25" s="627"/>
      <c r="G25" s="627"/>
      <c r="H25" s="627"/>
      <c r="I25" s="627"/>
      <c r="J25" s="627"/>
      <c r="K25" s="627"/>
      <c r="L25" s="627"/>
      <c r="M25" s="627"/>
      <c r="N25" s="627"/>
      <c r="O25" s="627"/>
      <c r="P25" s="627"/>
      <c r="Q25" s="627"/>
      <c r="R25" s="627"/>
      <c r="S25" s="627"/>
      <c r="T25" s="627"/>
      <c r="U25" s="627"/>
      <c r="V25" s="627"/>
      <c r="W25" s="627"/>
      <c r="X25" s="627"/>
      <c r="Y25" s="627"/>
      <c r="Z25" s="627"/>
      <c r="AA25" s="627"/>
      <c r="AB25" s="342">
        <f t="shared" si="24"/>
        <v>0</v>
      </c>
      <c r="AC25" s="304">
        <f t="shared" si="31"/>
        <v>0</v>
      </c>
      <c r="AD25" s="304">
        <f t="shared" si="32"/>
        <v>0</v>
      </c>
      <c r="AE25" s="304">
        <f t="shared" si="33"/>
        <v>0</v>
      </c>
      <c r="AF25" s="304">
        <f t="shared" si="34"/>
        <v>0</v>
      </c>
      <c r="AG25" s="304">
        <f t="shared" si="35"/>
        <v>0</v>
      </c>
      <c r="AH25" s="304">
        <f t="shared" si="12"/>
        <v>0</v>
      </c>
      <c r="AI25" s="304">
        <f t="shared" si="13"/>
        <v>0</v>
      </c>
      <c r="AJ25" s="303"/>
      <c r="AK25" s="303"/>
      <c r="AL25" s="303"/>
      <c r="AM25" s="303"/>
      <c r="AN25" s="303"/>
      <c r="AO25" s="303"/>
      <c r="AP25" s="308"/>
      <c r="AQ25" s="303"/>
      <c r="AR25" s="303"/>
      <c r="AS25" s="303"/>
      <c r="AT25" s="303"/>
      <c r="AU25" s="303"/>
      <c r="AV25" s="346"/>
      <c r="AW25" s="340"/>
      <c r="AX25" s="303"/>
      <c r="AY25" s="303"/>
      <c r="AZ25" s="303"/>
      <c r="BA25" s="308"/>
      <c r="BB25" s="321"/>
      <c r="BC25" s="303"/>
      <c r="BD25" s="303"/>
      <c r="BE25" s="303"/>
      <c r="BF25" s="303"/>
    </row>
    <row r="26" spans="1:58" ht="25.5" customHeight="1">
      <c r="A26" s="530"/>
      <c r="B26" s="297"/>
      <c r="C26" s="359" t="s">
        <v>447</v>
      </c>
      <c r="D26" s="360"/>
      <c r="E26" s="360"/>
      <c r="F26" s="360">
        <v>85731.93</v>
      </c>
      <c r="G26" s="360">
        <f>530196.53+3560</f>
        <v>533756.53</v>
      </c>
      <c r="H26" s="360"/>
      <c r="I26" s="360"/>
      <c r="J26" s="360">
        <f>219716+14682</f>
        <v>234398</v>
      </c>
      <c r="K26" s="360"/>
      <c r="L26" s="360"/>
      <c r="M26" s="360">
        <f>2250522.59+4210445.37</f>
        <v>6460967.96</v>
      </c>
      <c r="N26" s="360">
        <f>726657.11+297010+585865+2334690</f>
        <v>3944222.11</v>
      </c>
      <c r="O26" s="360"/>
      <c r="P26" s="360">
        <v>11389587.640000001</v>
      </c>
      <c r="Q26" s="360">
        <v>1710896.09</v>
      </c>
      <c r="R26" s="360"/>
      <c r="S26" s="360"/>
      <c r="T26" s="360"/>
      <c r="U26" s="360"/>
      <c r="V26" s="360">
        <f>439206+697003.55</f>
        <v>1136209.55</v>
      </c>
      <c r="W26" s="360">
        <f>1063407.25+329589+286168</f>
        <v>1679164.25</v>
      </c>
      <c r="X26" s="360"/>
      <c r="Y26" s="360">
        <f>+D26+G26+J26+M26+P26+S26+V26</f>
        <v>19754919.680000003</v>
      </c>
      <c r="Z26" s="360">
        <f>+E26+H26+K26+N26+Q26+T26+W26</f>
        <v>7334282.4500000002</v>
      </c>
      <c r="AA26" s="360">
        <f>+F26+I26+L26+O26+R26+U26+X26</f>
        <v>85731.93</v>
      </c>
      <c r="AB26" s="342">
        <f>+Y26+Z26+AA26</f>
        <v>27174934.060000002</v>
      </c>
      <c r="AC26" s="304">
        <f t="shared" si="31"/>
        <v>8365332.04</v>
      </c>
      <c r="AD26" s="304">
        <f t="shared" si="32"/>
        <v>5623386.3599999994</v>
      </c>
      <c r="AE26" s="304">
        <f t="shared" si="33"/>
        <v>85731.93</v>
      </c>
      <c r="AF26" s="304">
        <f t="shared" si="34"/>
        <v>13100483.73</v>
      </c>
      <c r="AG26" s="304">
        <f t="shared" si="35"/>
        <v>27174934.059999999</v>
      </c>
      <c r="AH26" s="304">
        <f t="shared" si="12"/>
        <v>13100483.73</v>
      </c>
      <c r="AI26" s="304">
        <f t="shared" si="13"/>
        <v>13988718.399999999</v>
      </c>
      <c r="AJ26" s="304">
        <f>+AI26*100/AI34</f>
        <v>42.973068486820935</v>
      </c>
      <c r="AK26" s="304">
        <f>+AH26*AJ26/100</f>
        <v>5629679.8453977332</v>
      </c>
      <c r="AL26" s="304">
        <f t="shared" ref="AL26:AO27" si="58">AC208*AC26/AC66</f>
        <v>1079546.0127043496</v>
      </c>
      <c r="AM26" s="304">
        <f t="shared" si="58"/>
        <v>292919.41665022506</v>
      </c>
      <c r="AN26" s="304">
        <f t="shared" si="58"/>
        <v>0</v>
      </c>
      <c r="AO26" s="304">
        <f t="shared" si="58"/>
        <v>0</v>
      </c>
      <c r="AP26" s="298">
        <f t="shared" ref="AP26:AP33" si="59">SUM(AL26:AO26)</f>
        <v>1372465.4293545745</v>
      </c>
      <c r="AQ26" s="299">
        <v>1244986.02</v>
      </c>
      <c r="AR26" s="304">
        <f>+AC26+AL26</f>
        <v>9444878.0527043492</v>
      </c>
      <c r="AS26" s="304">
        <f>+AD26+AM26</f>
        <v>5916305.7766502248</v>
      </c>
      <c r="AT26" s="304">
        <f>+AE26+AN26+AQ26</f>
        <v>1330717.95</v>
      </c>
      <c r="AU26" s="304">
        <f>+AK26+AO26</f>
        <v>5629679.8453977332</v>
      </c>
      <c r="AV26" s="347">
        <f>SUM(AR26:AU26)</f>
        <v>22321581.624752305</v>
      </c>
      <c r="AW26" s="341">
        <f t="shared" ref="AW26:AZ27" si="60">+AC274*AR26/AR187</f>
        <v>1700592.6890756583</v>
      </c>
      <c r="AX26" s="304">
        <f t="shared" si="60"/>
        <v>1793429.4178771873</v>
      </c>
      <c r="AY26" s="304">
        <f t="shared" si="60"/>
        <v>0</v>
      </c>
      <c r="AZ26" s="304">
        <f t="shared" si="60"/>
        <v>0</v>
      </c>
      <c r="BA26" s="298">
        <f t="shared" ref="BA26:BA34" si="61">SUM(AW26:AZ26)</f>
        <v>3494022.1069528456</v>
      </c>
      <c r="BB26" s="304">
        <f>+AR26+AW26</f>
        <v>11145470.741780007</v>
      </c>
      <c r="BC26" s="304">
        <f t="shared" ref="BC26:BC33" si="62">+AS26+AX26</f>
        <v>7709735.1945274118</v>
      </c>
      <c r="BD26" s="304">
        <f t="shared" ref="BD26:BD33" si="63">+AT26+AY26</f>
        <v>1330717.95</v>
      </c>
      <c r="BE26" s="304">
        <f>+AU26+AZ26</f>
        <v>5629679.8453977332</v>
      </c>
      <c r="BF26" s="304">
        <f t="shared" ref="BF26:BF34" si="64">SUM(BB26:BE26)</f>
        <v>25815603.731705151</v>
      </c>
    </row>
    <row r="27" spans="1:58" ht="25.5" customHeight="1">
      <c r="A27" s="530"/>
      <c r="B27" s="297"/>
      <c r="C27" s="359" t="s">
        <v>448</v>
      </c>
      <c r="D27" s="360"/>
      <c r="E27" s="360"/>
      <c r="F27" s="360"/>
      <c r="G27" s="360"/>
      <c r="H27" s="360"/>
      <c r="I27" s="360"/>
      <c r="J27" s="360"/>
      <c r="K27" s="360"/>
      <c r="L27" s="360"/>
      <c r="M27" s="360"/>
      <c r="N27" s="360"/>
      <c r="O27" s="360"/>
      <c r="P27" s="360"/>
      <c r="Q27" s="360"/>
      <c r="R27" s="360"/>
      <c r="S27" s="360"/>
      <c r="T27" s="360"/>
      <c r="U27" s="360"/>
      <c r="V27" s="360"/>
      <c r="W27" s="360"/>
      <c r="X27" s="360"/>
      <c r="Y27" s="360">
        <f t="shared" ref="Y27:AA34" si="65">+D27+G27+J27+M27+P27+S27+V27</f>
        <v>0</v>
      </c>
      <c r="Z27" s="360">
        <f t="shared" si="65"/>
        <v>0</v>
      </c>
      <c r="AA27" s="360">
        <f t="shared" si="65"/>
        <v>0</v>
      </c>
      <c r="AB27" s="342">
        <f t="shared" si="24"/>
        <v>0</v>
      </c>
      <c r="AC27" s="304">
        <f t="shared" si="31"/>
        <v>0</v>
      </c>
      <c r="AD27" s="304">
        <f t="shared" si="32"/>
        <v>0</v>
      </c>
      <c r="AE27" s="304">
        <f t="shared" si="33"/>
        <v>0</v>
      </c>
      <c r="AF27" s="304">
        <f t="shared" si="34"/>
        <v>0</v>
      </c>
      <c r="AG27" s="304">
        <f t="shared" si="35"/>
        <v>0</v>
      </c>
      <c r="AH27" s="304">
        <f t="shared" si="12"/>
        <v>0</v>
      </c>
      <c r="AI27" s="304">
        <f t="shared" si="13"/>
        <v>0</v>
      </c>
      <c r="AJ27" s="304">
        <f>+AI27*100/AI34</f>
        <v>0</v>
      </c>
      <c r="AK27" s="304">
        <f>+AH26*AJ27/100</f>
        <v>0</v>
      </c>
      <c r="AL27" s="304">
        <f t="shared" si="58"/>
        <v>0</v>
      </c>
      <c r="AM27" s="304">
        <f t="shared" si="58"/>
        <v>0</v>
      </c>
      <c r="AN27" s="304">
        <f t="shared" si="58"/>
        <v>0</v>
      </c>
      <c r="AO27" s="304">
        <f t="shared" si="58"/>
        <v>0</v>
      </c>
      <c r="AP27" s="298">
        <f t="shared" si="59"/>
        <v>0</v>
      </c>
      <c r="AQ27" s="303"/>
      <c r="AR27" s="304">
        <f t="shared" ref="AR27:AR33" si="66">+AC27+AL27</f>
        <v>0</v>
      </c>
      <c r="AS27" s="304">
        <f t="shared" ref="AS27:AS33" si="67">+AD27+AM27</f>
        <v>0</v>
      </c>
      <c r="AT27" s="304">
        <f t="shared" ref="AT27:AT33" si="68">+AE27+AN27+AQ27</f>
        <v>0</v>
      </c>
      <c r="AU27" s="304">
        <f t="shared" ref="AU27:AU33" si="69">+AK27+AO27</f>
        <v>0</v>
      </c>
      <c r="AV27" s="347">
        <f t="shared" ref="AV27:AV33" si="70">SUM(AR27:AU27)</f>
        <v>0</v>
      </c>
      <c r="AW27" s="341">
        <f t="shared" si="60"/>
        <v>0</v>
      </c>
      <c r="AX27" s="304">
        <f t="shared" si="60"/>
        <v>0</v>
      </c>
      <c r="AY27" s="304">
        <f t="shared" si="60"/>
        <v>0</v>
      </c>
      <c r="AZ27" s="304">
        <f t="shared" si="60"/>
        <v>0</v>
      </c>
      <c r="BA27" s="298">
        <f t="shared" si="61"/>
        <v>0</v>
      </c>
      <c r="BB27" s="304">
        <f t="shared" ref="BB27:BB33" si="71">+AR27+AW27</f>
        <v>0</v>
      </c>
      <c r="BC27" s="304">
        <f t="shared" si="62"/>
        <v>0</v>
      </c>
      <c r="BD27" s="304">
        <f t="shared" si="63"/>
        <v>0</v>
      </c>
      <c r="BE27" s="304">
        <f t="shared" ref="BE27:BE33" si="72">+AU27+AZ27</f>
        <v>0</v>
      </c>
      <c r="BF27" s="304">
        <f t="shared" si="64"/>
        <v>0</v>
      </c>
    </row>
    <row r="28" spans="1:58" ht="25.5" customHeight="1">
      <c r="A28" s="530"/>
      <c r="B28" s="297"/>
      <c r="C28" s="359" t="s">
        <v>449</v>
      </c>
      <c r="D28" s="360"/>
      <c r="E28" s="360"/>
      <c r="F28" s="360"/>
      <c r="G28" s="360"/>
      <c r="H28" s="360"/>
      <c r="I28" s="360"/>
      <c r="J28" s="360"/>
      <c r="K28" s="360"/>
      <c r="L28" s="360"/>
      <c r="M28" s="360"/>
      <c r="N28" s="360"/>
      <c r="O28" s="360"/>
      <c r="P28" s="360"/>
      <c r="Q28" s="360"/>
      <c r="R28" s="360"/>
      <c r="S28" s="360"/>
      <c r="T28" s="360"/>
      <c r="U28" s="360"/>
      <c r="V28" s="360">
        <v>207192</v>
      </c>
      <c r="W28" s="360"/>
      <c r="X28" s="360"/>
      <c r="Y28" s="360">
        <f t="shared" si="65"/>
        <v>207192</v>
      </c>
      <c r="Z28" s="360">
        <f t="shared" si="65"/>
        <v>0</v>
      </c>
      <c r="AA28" s="360">
        <f t="shared" si="65"/>
        <v>0</v>
      </c>
      <c r="AB28" s="342">
        <f t="shared" si="24"/>
        <v>207192</v>
      </c>
      <c r="AC28" s="304">
        <f t="shared" si="31"/>
        <v>207192</v>
      </c>
      <c r="AD28" s="304">
        <f t="shared" si="32"/>
        <v>0</v>
      </c>
      <c r="AE28" s="304">
        <f t="shared" si="33"/>
        <v>0</v>
      </c>
      <c r="AF28" s="304">
        <f t="shared" si="34"/>
        <v>0</v>
      </c>
      <c r="AG28" s="304">
        <f t="shared" si="35"/>
        <v>207192</v>
      </c>
      <c r="AH28" s="304">
        <f t="shared" si="12"/>
        <v>0</v>
      </c>
      <c r="AI28" s="304">
        <f t="shared" si="13"/>
        <v>207192</v>
      </c>
      <c r="AJ28" s="304">
        <f>+AI28*100/AI34</f>
        <v>0.63648975919919903</v>
      </c>
      <c r="AK28" s="304">
        <f>+AH26*AJ28/100</f>
        <v>83383.237347007249</v>
      </c>
      <c r="AL28" s="304">
        <f t="shared" ref="AL28:AL33" si="73">AC210*AC28/AC68</f>
        <v>0</v>
      </c>
      <c r="AM28" s="304">
        <v>0</v>
      </c>
      <c r="AN28" s="304">
        <v>0</v>
      </c>
      <c r="AO28" s="304">
        <v>0</v>
      </c>
      <c r="AP28" s="298">
        <f t="shared" si="59"/>
        <v>0</v>
      </c>
      <c r="AQ28" s="303"/>
      <c r="AR28" s="304">
        <f t="shared" si="66"/>
        <v>207192</v>
      </c>
      <c r="AS28" s="304">
        <f t="shared" si="67"/>
        <v>0</v>
      </c>
      <c r="AT28" s="304">
        <f t="shared" si="68"/>
        <v>0</v>
      </c>
      <c r="AU28" s="304">
        <f t="shared" si="69"/>
        <v>83383.237347007249</v>
      </c>
      <c r="AV28" s="347">
        <f t="shared" si="70"/>
        <v>290575.23734700726</v>
      </c>
      <c r="AW28" s="341">
        <f t="shared" ref="AW28:AX32" si="74">+AC276*AR28/AR189</f>
        <v>228406.3225033716</v>
      </c>
      <c r="AX28" s="304">
        <f t="shared" si="74"/>
        <v>0</v>
      </c>
      <c r="AY28" s="304">
        <v>0</v>
      </c>
      <c r="AZ28" s="304">
        <f t="shared" ref="AZ28:AZ33" si="75">+AF276*AU28/AU189</f>
        <v>0</v>
      </c>
      <c r="BA28" s="298">
        <f t="shared" si="61"/>
        <v>228406.3225033716</v>
      </c>
      <c r="BB28" s="304">
        <f t="shared" si="71"/>
        <v>435598.32250337163</v>
      </c>
      <c r="BC28" s="304">
        <f t="shared" si="62"/>
        <v>0</v>
      </c>
      <c r="BD28" s="304">
        <f t="shared" si="63"/>
        <v>0</v>
      </c>
      <c r="BE28" s="304">
        <f t="shared" si="72"/>
        <v>83383.237347007249</v>
      </c>
      <c r="BF28" s="304">
        <f t="shared" si="64"/>
        <v>518981.55985037889</v>
      </c>
    </row>
    <row r="29" spans="1:58" ht="25.5" customHeight="1">
      <c r="A29" s="530"/>
      <c r="B29" s="297"/>
      <c r="C29" s="359" t="s">
        <v>450</v>
      </c>
      <c r="D29" s="360"/>
      <c r="E29" s="360"/>
      <c r="F29" s="360"/>
      <c r="G29" s="360"/>
      <c r="H29" s="360"/>
      <c r="I29" s="360"/>
      <c r="J29" s="360"/>
      <c r="K29" s="360"/>
      <c r="L29" s="360"/>
      <c r="M29" s="360"/>
      <c r="N29" s="360"/>
      <c r="O29" s="360"/>
      <c r="P29" s="360"/>
      <c r="Q29" s="360"/>
      <c r="R29" s="360"/>
      <c r="S29" s="360"/>
      <c r="T29" s="360"/>
      <c r="U29" s="360"/>
      <c r="V29" s="360">
        <v>190000</v>
      </c>
      <c r="W29" s="360">
        <v>130000</v>
      </c>
      <c r="X29" s="360"/>
      <c r="Y29" s="360">
        <f t="shared" si="65"/>
        <v>190000</v>
      </c>
      <c r="Z29" s="360">
        <f t="shared" si="65"/>
        <v>130000</v>
      </c>
      <c r="AA29" s="360">
        <f t="shared" si="65"/>
        <v>0</v>
      </c>
      <c r="AB29" s="342">
        <f t="shared" si="24"/>
        <v>320000</v>
      </c>
      <c r="AC29" s="304">
        <f t="shared" si="31"/>
        <v>190000</v>
      </c>
      <c r="AD29" s="304">
        <f t="shared" si="32"/>
        <v>130000</v>
      </c>
      <c r="AE29" s="304">
        <f t="shared" si="33"/>
        <v>0</v>
      </c>
      <c r="AF29" s="304">
        <f t="shared" si="34"/>
        <v>0</v>
      </c>
      <c r="AG29" s="304">
        <f t="shared" si="35"/>
        <v>320000</v>
      </c>
      <c r="AH29" s="304">
        <f t="shared" si="12"/>
        <v>0</v>
      </c>
      <c r="AI29" s="304">
        <f t="shared" si="13"/>
        <v>320000</v>
      </c>
      <c r="AJ29" s="304">
        <f>+AI29*100/AI34</f>
        <v>0.98303372207297424</v>
      </c>
      <c r="AK29" s="304">
        <f>+AH26*AJ29/100</f>
        <v>128782.17282058341</v>
      </c>
      <c r="AL29" s="304">
        <f t="shared" si="73"/>
        <v>0</v>
      </c>
      <c r="AM29" s="304">
        <f>AD211*AD29/AD69</f>
        <v>0</v>
      </c>
      <c r="AN29" s="304">
        <v>0</v>
      </c>
      <c r="AO29" s="304">
        <v>0</v>
      </c>
      <c r="AP29" s="298">
        <f t="shared" si="59"/>
        <v>0</v>
      </c>
      <c r="AQ29" s="303"/>
      <c r="AR29" s="304">
        <f t="shared" si="66"/>
        <v>190000</v>
      </c>
      <c r="AS29" s="304">
        <f t="shared" si="67"/>
        <v>130000</v>
      </c>
      <c r="AT29" s="304">
        <f t="shared" si="68"/>
        <v>0</v>
      </c>
      <c r="AU29" s="304">
        <f t="shared" si="69"/>
        <v>128782.17282058341</v>
      </c>
      <c r="AV29" s="347">
        <f t="shared" si="70"/>
        <v>448782.17282058339</v>
      </c>
      <c r="AW29" s="341">
        <f t="shared" si="74"/>
        <v>333246.22446766263</v>
      </c>
      <c r="AX29" s="304">
        <f t="shared" si="74"/>
        <v>0</v>
      </c>
      <c r="AY29" s="304">
        <v>0</v>
      </c>
      <c r="AZ29" s="304">
        <f t="shared" si="75"/>
        <v>0</v>
      </c>
      <c r="BA29" s="298">
        <f t="shared" si="61"/>
        <v>333246.22446766263</v>
      </c>
      <c r="BB29" s="304">
        <f t="shared" si="71"/>
        <v>523246.22446766263</v>
      </c>
      <c r="BC29" s="304">
        <f t="shared" si="62"/>
        <v>130000</v>
      </c>
      <c r="BD29" s="304">
        <f t="shared" si="63"/>
        <v>0</v>
      </c>
      <c r="BE29" s="304">
        <f t="shared" si="72"/>
        <v>128782.17282058341</v>
      </c>
      <c r="BF29" s="304">
        <f t="shared" si="64"/>
        <v>782028.39728824608</v>
      </c>
    </row>
    <row r="30" spans="1:58" ht="25.5" customHeight="1">
      <c r="A30" s="530"/>
      <c r="B30" s="297"/>
      <c r="C30" s="359" t="s">
        <v>451</v>
      </c>
      <c r="D30" s="360">
        <v>12550440</v>
      </c>
      <c r="E30" s="360">
        <v>4694140.82</v>
      </c>
      <c r="F30" s="360"/>
      <c r="G30" s="360"/>
      <c r="H30" s="360"/>
      <c r="I30" s="360"/>
      <c r="J30" s="360"/>
      <c r="K30" s="360"/>
      <c r="L30" s="360"/>
      <c r="M30" s="360"/>
      <c r="N30" s="360"/>
      <c r="O30" s="360"/>
      <c r="P30" s="360"/>
      <c r="Q30" s="360"/>
      <c r="R30" s="360"/>
      <c r="S30" s="360"/>
      <c r="T30" s="360"/>
      <c r="U30" s="360"/>
      <c r="V30" s="360"/>
      <c r="W30" s="360"/>
      <c r="X30" s="360"/>
      <c r="Y30" s="360">
        <f t="shared" si="65"/>
        <v>12550440</v>
      </c>
      <c r="Z30" s="360">
        <f t="shared" si="65"/>
        <v>4694140.82</v>
      </c>
      <c r="AA30" s="360">
        <f t="shared" si="65"/>
        <v>0</v>
      </c>
      <c r="AB30" s="342">
        <f t="shared" si="24"/>
        <v>17244580.82</v>
      </c>
      <c r="AC30" s="304">
        <f t="shared" si="31"/>
        <v>12550440</v>
      </c>
      <c r="AD30" s="304">
        <f t="shared" si="32"/>
        <v>4694140.82</v>
      </c>
      <c r="AE30" s="304">
        <f t="shared" si="33"/>
        <v>0</v>
      </c>
      <c r="AF30" s="304">
        <f t="shared" si="34"/>
        <v>0</v>
      </c>
      <c r="AG30" s="304">
        <f t="shared" si="35"/>
        <v>17244580.82</v>
      </c>
      <c r="AH30" s="304">
        <f t="shared" si="12"/>
        <v>0</v>
      </c>
      <c r="AI30" s="304">
        <f t="shared" si="13"/>
        <v>17244580.82</v>
      </c>
      <c r="AJ30" s="304">
        <f>+AI30*100/AI34</f>
        <v>52.975013965852575</v>
      </c>
      <c r="AK30" s="304">
        <f>+AH26*AJ30/100</f>
        <v>6939983.0855617449</v>
      </c>
      <c r="AL30" s="304">
        <f t="shared" si="73"/>
        <v>0</v>
      </c>
      <c r="AM30" s="304">
        <f>AD212*AD30/AD70</f>
        <v>368187.32029466791</v>
      </c>
      <c r="AN30" s="304">
        <v>0</v>
      </c>
      <c r="AO30" s="304">
        <v>0</v>
      </c>
      <c r="AP30" s="298">
        <f t="shared" si="59"/>
        <v>368187.32029466791</v>
      </c>
      <c r="AQ30" s="303"/>
      <c r="AR30" s="304">
        <f t="shared" si="66"/>
        <v>12550440</v>
      </c>
      <c r="AS30" s="304">
        <f t="shared" si="67"/>
        <v>5062328.1402946683</v>
      </c>
      <c r="AT30" s="304">
        <f t="shared" si="68"/>
        <v>0</v>
      </c>
      <c r="AU30" s="304">
        <f t="shared" si="69"/>
        <v>6939983.0855617449</v>
      </c>
      <c r="AV30" s="347">
        <f t="shared" si="70"/>
        <v>24552751.225856412</v>
      </c>
      <c r="AW30" s="341">
        <f t="shared" si="74"/>
        <v>44913234.806023799</v>
      </c>
      <c r="AX30" s="304">
        <f t="shared" si="74"/>
        <v>1716792.4202148616</v>
      </c>
      <c r="AY30" s="304">
        <f>+AE278*AT30/AT191</f>
        <v>0</v>
      </c>
      <c r="AZ30" s="304">
        <f t="shared" si="75"/>
        <v>0</v>
      </c>
      <c r="BA30" s="298">
        <f t="shared" si="61"/>
        <v>46630027.226238661</v>
      </c>
      <c r="BB30" s="304">
        <f t="shared" si="71"/>
        <v>57463674.806023799</v>
      </c>
      <c r="BC30" s="304">
        <f t="shared" si="62"/>
        <v>6779120.5605095299</v>
      </c>
      <c r="BD30" s="304">
        <f t="shared" si="63"/>
        <v>0</v>
      </c>
      <c r="BE30" s="304">
        <f t="shared" si="72"/>
        <v>6939983.0855617449</v>
      </c>
      <c r="BF30" s="304">
        <f t="shared" si="64"/>
        <v>71182778.452095076</v>
      </c>
    </row>
    <row r="31" spans="1:58" ht="25.5" customHeight="1">
      <c r="A31" s="530"/>
      <c r="B31" s="297"/>
      <c r="C31" s="359" t="s">
        <v>452</v>
      </c>
      <c r="D31" s="360"/>
      <c r="E31" s="360"/>
      <c r="F31" s="360"/>
      <c r="G31" s="360"/>
      <c r="H31" s="360"/>
      <c r="I31" s="360"/>
      <c r="J31" s="360"/>
      <c r="K31" s="360"/>
      <c r="L31" s="360"/>
      <c r="M31" s="360"/>
      <c r="N31" s="360"/>
      <c r="O31" s="360"/>
      <c r="P31" s="360"/>
      <c r="Q31" s="360"/>
      <c r="R31" s="360"/>
      <c r="S31" s="360">
        <v>299800</v>
      </c>
      <c r="T31" s="360"/>
      <c r="U31" s="360"/>
      <c r="V31" s="360"/>
      <c r="W31" s="360"/>
      <c r="X31" s="360"/>
      <c r="Y31" s="360">
        <f t="shared" si="65"/>
        <v>299800</v>
      </c>
      <c r="Z31" s="360">
        <f t="shared" si="65"/>
        <v>0</v>
      </c>
      <c r="AA31" s="360">
        <f t="shared" si="65"/>
        <v>0</v>
      </c>
      <c r="AB31" s="342">
        <f t="shared" si="24"/>
        <v>299800</v>
      </c>
      <c r="AC31" s="304">
        <f t="shared" si="31"/>
        <v>299800</v>
      </c>
      <c r="AD31" s="304">
        <f t="shared" si="32"/>
        <v>0</v>
      </c>
      <c r="AE31" s="304">
        <f t="shared" si="33"/>
        <v>0</v>
      </c>
      <c r="AF31" s="304">
        <f t="shared" si="34"/>
        <v>0</v>
      </c>
      <c r="AG31" s="304">
        <f t="shared" si="35"/>
        <v>299800</v>
      </c>
      <c r="AH31" s="304">
        <f t="shared" si="12"/>
        <v>0</v>
      </c>
      <c r="AI31" s="304">
        <f t="shared" si="13"/>
        <v>299800</v>
      </c>
      <c r="AJ31" s="304">
        <f>+AI31*100/AI34</f>
        <v>0.92097971836711778</v>
      </c>
      <c r="AK31" s="304">
        <f>+AH26*AJ31/100</f>
        <v>120652.79816128408</v>
      </c>
      <c r="AL31" s="304">
        <f t="shared" si="73"/>
        <v>0</v>
      </c>
      <c r="AM31" s="304">
        <f>AD213*AD31/AD71</f>
        <v>0</v>
      </c>
      <c r="AN31" s="304">
        <v>0</v>
      </c>
      <c r="AO31" s="304">
        <v>0</v>
      </c>
      <c r="AP31" s="298">
        <f t="shared" si="59"/>
        <v>0</v>
      </c>
      <c r="AQ31" s="303"/>
      <c r="AR31" s="304">
        <f t="shared" si="66"/>
        <v>299800</v>
      </c>
      <c r="AS31" s="304">
        <f t="shared" si="67"/>
        <v>0</v>
      </c>
      <c r="AT31" s="304">
        <f t="shared" si="68"/>
        <v>0</v>
      </c>
      <c r="AU31" s="304">
        <f t="shared" si="69"/>
        <v>120652.79816128408</v>
      </c>
      <c r="AV31" s="347">
        <f t="shared" si="70"/>
        <v>420452.79816128407</v>
      </c>
      <c r="AW31" s="341">
        <f t="shared" si="74"/>
        <v>0</v>
      </c>
      <c r="AX31" s="304">
        <f t="shared" si="74"/>
        <v>0</v>
      </c>
      <c r="AY31" s="304">
        <v>0</v>
      </c>
      <c r="AZ31" s="304">
        <f t="shared" si="75"/>
        <v>0</v>
      </c>
      <c r="BA31" s="298">
        <f t="shared" si="61"/>
        <v>0</v>
      </c>
      <c r="BB31" s="304">
        <f t="shared" si="71"/>
        <v>299800</v>
      </c>
      <c r="BC31" s="304">
        <f t="shared" si="62"/>
        <v>0</v>
      </c>
      <c r="BD31" s="304">
        <f t="shared" si="63"/>
        <v>0</v>
      </c>
      <c r="BE31" s="304">
        <f t="shared" si="72"/>
        <v>120652.79816128408</v>
      </c>
      <c r="BF31" s="304">
        <f t="shared" si="64"/>
        <v>420452.79816128407</v>
      </c>
    </row>
    <row r="32" spans="1:58" ht="25.5" customHeight="1">
      <c r="A32" s="530"/>
      <c r="B32" s="297"/>
      <c r="C32" s="359" t="s">
        <v>453</v>
      </c>
      <c r="D32" s="360"/>
      <c r="E32" s="360"/>
      <c r="F32" s="360"/>
      <c r="G32" s="360"/>
      <c r="H32" s="360"/>
      <c r="I32" s="360"/>
      <c r="J32" s="360"/>
      <c r="K32" s="360"/>
      <c r="L32" s="360"/>
      <c r="M32" s="360"/>
      <c r="N32" s="360"/>
      <c r="O32" s="360"/>
      <c r="P32" s="360"/>
      <c r="Q32" s="360"/>
      <c r="R32" s="360"/>
      <c r="S32" s="360">
        <v>492000</v>
      </c>
      <c r="T32" s="360"/>
      <c r="U32" s="360"/>
      <c r="V32" s="360"/>
      <c r="W32" s="360"/>
      <c r="X32" s="360"/>
      <c r="Y32" s="360">
        <f t="shared" si="65"/>
        <v>492000</v>
      </c>
      <c r="Z32" s="360">
        <f t="shared" si="65"/>
        <v>0</v>
      </c>
      <c r="AA32" s="360">
        <f t="shared" si="65"/>
        <v>0</v>
      </c>
      <c r="AB32" s="342">
        <f t="shared" si="24"/>
        <v>492000</v>
      </c>
      <c r="AC32" s="304">
        <f t="shared" si="31"/>
        <v>492000</v>
      </c>
      <c r="AD32" s="304">
        <f t="shared" si="32"/>
        <v>0</v>
      </c>
      <c r="AE32" s="304">
        <f t="shared" si="33"/>
        <v>0</v>
      </c>
      <c r="AF32" s="304">
        <f t="shared" si="34"/>
        <v>0</v>
      </c>
      <c r="AG32" s="304">
        <f t="shared" si="35"/>
        <v>492000</v>
      </c>
      <c r="AH32" s="304">
        <f t="shared" si="12"/>
        <v>0</v>
      </c>
      <c r="AI32" s="304">
        <f t="shared" si="13"/>
        <v>492000</v>
      </c>
      <c r="AJ32" s="304">
        <f>+AI32*100/AI34</f>
        <v>1.511414347687198</v>
      </c>
      <c r="AK32" s="304">
        <f>+AH26*AJ32/100</f>
        <v>198002.590711647</v>
      </c>
      <c r="AL32" s="304">
        <f t="shared" si="73"/>
        <v>0</v>
      </c>
      <c r="AM32" s="304">
        <v>0</v>
      </c>
      <c r="AN32" s="304">
        <v>0</v>
      </c>
      <c r="AO32" s="304">
        <v>0</v>
      </c>
      <c r="AP32" s="298">
        <f t="shared" si="59"/>
        <v>0</v>
      </c>
      <c r="AQ32" s="303"/>
      <c r="AR32" s="304">
        <f t="shared" si="66"/>
        <v>492000</v>
      </c>
      <c r="AS32" s="304">
        <f t="shared" si="67"/>
        <v>0</v>
      </c>
      <c r="AT32" s="304">
        <f t="shared" si="68"/>
        <v>0</v>
      </c>
      <c r="AU32" s="304">
        <f t="shared" si="69"/>
        <v>198002.590711647</v>
      </c>
      <c r="AV32" s="347">
        <f t="shared" si="70"/>
        <v>690002.59071164695</v>
      </c>
      <c r="AW32" s="341">
        <f t="shared" si="74"/>
        <v>0</v>
      </c>
      <c r="AX32" s="304">
        <f t="shared" si="74"/>
        <v>0</v>
      </c>
      <c r="AY32" s="304">
        <v>0</v>
      </c>
      <c r="AZ32" s="304">
        <f t="shared" si="75"/>
        <v>0</v>
      </c>
      <c r="BA32" s="298">
        <f t="shared" si="61"/>
        <v>0</v>
      </c>
      <c r="BB32" s="304">
        <f t="shared" si="71"/>
        <v>492000</v>
      </c>
      <c r="BC32" s="304">
        <f t="shared" si="62"/>
        <v>0</v>
      </c>
      <c r="BD32" s="304">
        <f t="shared" si="63"/>
        <v>0</v>
      </c>
      <c r="BE32" s="304">
        <f t="shared" si="72"/>
        <v>198002.590711647</v>
      </c>
      <c r="BF32" s="304">
        <f t="shared" si="64"/>
        <v>690002.59071164695</v>
      </c>
    </row>
    <row r="33" spans="1:58" ht="25.5" customHeight="1">
      <c r="A33" s="530"/>
      <c r="B33" s="297"/>
      <c r="C33" s="359" t="s">
        <v>454</v>
      </c>
      <c r="D33" s="360"/>
      <c r="E33" s="360"/>
      <c r="F33" s="360"/>
      <c r="G33" s="360"/>
      <c r="H33" s="360"/>
      <c r="I33" s="360"/>
      <c r="J33" s="360"/>
      <c r="K33" s="360"/>
      <c r="L33" s="360"/>
      <c r="M33" s="360"/>
      <c r="N33" s="360"/>
      <c r="O33" s="360"/>
      <c r="P33" s="360"/>
      <c r="Q33" s="360"/>
      <c r="R33" s="360"/>
      <c r="S33" s="360"/>
      <c r="T33" s="360"/>
      <c r="U33" s="360"/>
      <c r="V33" s="360"/>
      <c r="W33" s="360"/>
      <c r="X33" s="360"/>
      <c r="Y33" s="360">
        <f t="shared" si="65"/>
        <v>0</v>
      </c>
      <c r="Z33" s="360">
        <f t="shared" si="65"/>
        <v>0</v>
      </c>
      <c r="AA33" s="360">
        <f t="shared" si="65"/>
        <v>0</v>
      </c>
      <c r="AB33" s="342">
        <f t="shared" si="24"/>
        <v>0</v>
      </c>
      <c r="AC33" s="304">
        <f t="shared" si="31"/>
        <v>0</v>
      </c>
      <c r="AD33" s="304">
        <f t="shared" si="32"/>
        <v>0</v>
      </c>
      <c r="AE33" s="304">
        <f t="shared" si="33"/>
        <v>0</v>
      </c>
      <c r="AF33" s="304">
        <f t="shared" si="34"/>
        <v>0</v>
      </c>
      <c r="AG33" s="304">
        <f t="shared" si="35"/>
        <v>0</v>
      </c>
      <c r="AH33" s="304">
        <f t="shared" si="12"/>
        <v>0</v>
      </c>
      <c r="AI33" s="304">
        <f t="shared" si="13"/>
        <v>0</v>
      </c>
      <c r="AJ33" s="304">
        <f>+AI33*100/AI34</f>
        <v>0</v>
      </c>
      <c r="AK33" s="304">
        <f>+AH26*AJ33/100</f>
        <v>0</v>
      </c>
      <c r="AL33" s="304">
        <f t="shared" si="73"/>
        <v>0</v>
      </c>
      <c r="AM33" s="304">
        <v>0</v>
      </c>
      <c r="AN33" s="304">
        <v>0</v>
      </c>
      <c r="AO33" s="304">
        <v>0</v>
      </c>
      <c r="AP33" s="298">
        <f t="shared" si="59"/>
        <v>0</v>
      </c>
      <c r="AQ33" s="303"/>
      <c r="AR33" s="304">
        <f t="shared" si="66"/>
        <v>0</v>
      </c>
      <c r="AS33" s="304">
        <f t="shared" si="67"/>
        <v>0</v>
      </c>
      <c r="AT33" s="304">
        <f t="shared" si="68"/>
        <v>0</v>
      </c>
      <c r="AU33" s="304">
        <f t="shared" si="69"/>
        <v>0</v>
      </c>
      <c r="AV33" s="347">
        <f t="shared" si="70"/>
        <v>0</v>
      </c>
      <c r="AW33" s="341">
        <f>+AC281*AR33/AR194</f>
        <v>0</v>
      </c>
      <c r="AX33" s="304">
        <v>0</v>
      </c>
      <c r="AY33" s="304">
        <v>0</v>
      </c>
      <c r="AZ33" s="304">
        <f t="shared" si="75"/>
        <v>0</v>
      </c>
      <c r="BA33" s="298">
        <f t="shared" si="61"/>
        <v>0</v>
      </c>
      <c r="BB33" s="304">
        <f t="shared" si="71"/>
        <v>0</v>
      </c>
      <c r="BC33" s="304">
        <f t="shared" si="62"/>
        <v>0</v>
      </c>
      <c r="BD33" s="304">
        <f t="shared" si="63"/>
        <v>0</v>
      </c>
      <c r="BE33" s="304">
        <f t="shared" si="72"/>
        <v>0</v>
      </c>
      <c r="BF33" s="304">
        <f t="shared" si="64"/>
        <v>0</v>
      </c>
    </row>
    <row r="34" spans="1:58" ht="25.5" customHeight="1">
      <c r="A34" s="530"/>
      <c r="B34" s="297"/>
      <c r="C34" s="338" t="s">
        <v>455</v>
      </c>
      <c r="D34" s="360">
        <f>SUM(D26:D33)</f>
        <v>12550440</v>
      </c>
      <c r="E34" s="360">
        <f t="shared" ref="E34:X34" si="76">SUM(E26:E33)</f>
        <v>4694140.82</v>
      </c>
      <c r="F34" s="360">
        <f t="shared" si="76"/>
        <v>85731.93</v>
      </c>
      <c r="G34" s="360">
        <f t="shared" si="76"/>
        <v>533756.53</v>
      </c>
      <c r="H34" s="360">
        <f t="shared" si="76"/>
        <v>0</v>
      </c>
      <c r="I34" s="360">
        <f t="shared" si="76"/>
        <v>0</v>
      </c>
      <c r="J34" s="360">
        <f t="shared" si="76"/>
        <v>234398</v>
      </c>
      <c r="K34" s="360">
        <f t="shared" si="76"/>
        <v>0</v>
      </c>
      <c r="L34" s="360">
        <f t="shared" si="76"/>
        <v>0</v>
      </c>
      <c r="M34" s="360">
        <f t="shared" si="76"/>
        <v>6460967.96</v>
      </c>
      <c r="N34" s="360">
        <f t="shared" si="76"/>
        <v>3944222.11</v>
      </c>
      <c r="O34" s="360">
        <f t="shared" si="76"/>
        <v>0</v>
      </c>
      <c r="P34" s="360">
        <f t="shared" si="76"/>
        <v>11389587.640000001</v>
      </c>
      <c r="Q34" s="360">
        <f t="shared" si="76"/>
        <v>1710896.09</v>
      </c>
      <c r="R34" s="360">
        <f t="shared" si="76"/>
        <v>0</v>
      </c>
      <c r="S34" s="360">
        <f t="shared" si="76"/>
        <v>791800</v>
      </c>
      <c r="T34" s="360">
        <f t="shared" si="76"/>
        <v>0</v>
      </c>
      <c r="U34" s="360">
        <f t="shared" si="76"/>
        <v>0</v>
      </c>
      <c r="V34" s="57">
        <f>SUM(V26:V33)</f>
        <v>1533401.55</v>
      </c>
      <c r="W34" s="360">
        <f t="shared" si="76"/>
        <v>1809164.25</v>
      </c>
      <c r="X34" s="360">
        <f t="shared" si="76"/>
        <v>0</v>
      </c>
      <c r="Y34" s="360">
        <f t="shared" si="65"/>
        <v>33494351.68</v>
      </c>
      <c r="Z34" s="360">
        <f t="shared" si="65"/>
        <v>12158423.27</v>
      </c>
      <c r="AA34" s="360">
        <f t="shared" si="65"/>
        <v>85731.93</v>
      </c>
      <c r="AB34" s="342">
        <f t="shared" si="24"/>
        <v>45738506.880000003</v>
      </c>
      <c r="AC34" s="304">
        <f t="shared" si="31"/>
        <v>22104764.039999999</v>
      </c>
      <c r="AD34" s="304">
        <f t="shared" si="32"/>
        <v>10447527.18</v>
      </c>
      <c r="AE34" s="304">
        <f t="shared" si="33"/>
        <v>85731.93</v>
      </c>
      <c r="AF34" s="304">
        <f t="shared" si="34"/>
        <v>13100483.73</v>
      </c>
      <c r="AG34" s="304">
        <f t="shared" si="35"/>
        <v>45738506.879999995</v>
      </c>
      <c r="AH34" s="304">
        <f t="shared" si="12"/>
        <v>13100483.73</v>
      </c>
      <c r="AI34" s="304">
        <f t="shared" si="13"/>
        <v>32552291.219999999</v>
      </c>
      <c r="AJ34" s="304">
        <f t="shared" ref="AJ34:AO34" si="77">SUM(AJ26:AJ33)</f>
        <v>100</v>
      </c>
      <c r="AK34" s="304">
        <f t="shared" si="77"/>
        <v>13100483.73</v>
      </c>
      <c r="AL34" s="304">
        <f t="shared" si="77"/>
        <v>1079546.0127043496</v>
      </c>
      <c r="AM34" s="304">
        <f t="shared" si="77"/>
        <v>661106.73694489291</v>
      </c>
      <c r="AN34" s="304">
        <f t="shared" si="77"/>
        <v>0</v>
      </c>
      <c r="AO34" s="304">
        <f t="shared" si="77"/>
        <v>0</v>
      </c>
      <c r="AP34" s="298">
        <f>SUM(AL34:AO34)</f>
        <v>1740652.7496492425</v>
      </c>
      <c r="AQ34" s="304">
        <f>SUM(AQ26:AQ33)</f>
        <v>1244986.02</v>
      </c>
      <c r="AR34" s="304">
        <f>SUM(AR26:AR33)</f>
        <v>23184310.052704349</v>
      </c>
      <c r="AS34" s="304">
        <f>SUM(AS26:AS33)</f>
        <v>11108633.916944893</v>
      </c>
      <c r="AT34" s="304">
        <f t="shared" ref="AT34" si="78">SUM(AT26:AT33)</f>
        <v>1330717.95</v>
      </c>
      <c r="AU34" s="304">
        <f t="shared" ref="AU34" si="79">SUM(AU26:AU33)</f>
        <v>13100483.73</v>
      </c>
      <c r="AV34" s="347">
        <f>SUM(AR34:AU34)</f>
        <v>48724145.649649248</v>
      </c>
      <c r="AW34" s="341">
        <f>SUM(AW26:AW33)</f>
        <v>47175480.042070493</v>
      </c>
      <c r="AX34" s="304">
        <f>SUM(AX26:AX33)</f>
        <v>3510221.8380920487</v>
      </c>
      <c r="AY34" s="304">
        <f>SUM(AY26:AY33)</f>
        <v>0</v>
      </c>
      <c r="AZ34" s="304">
        <f>SUM(AZ26:AZ33)</f>
        <v>0</v>
      </c>
      <c r="BA34" s="298">
        <f t="shared" si="61"/>
        <v>50685701.880162545</v>
      </c>
      <c r="BB34" s="336">
        <f>SUM(BB26:BB33)</f>
        <v>70359790.094774842</v>
      </c>
      <c r="BC34" s="304">
        <f>SUM(BC26:BC33)</f>
        <v>14618855.755036943</v>
      </c>
      <c r="BD34" s="304">
        <f>SUM(BD26:BD33)</f>
        <v>1330717.95</v>
      </c>
      <c r="BE34" s="304">
        <f>SUM(BE26:BE33)</f>
        <v>13100483.73</v>
      </c>
      <c r="BF34" s="304">
        <f t="shared" si="64"/>
        <v>99409847.5298118</v>
      </c>
    </row>
    <row r="35" spans="1:58" ht="25.5" customHeight="1">
      <c r="A35" s="530">
        <v>4</v>
      </c>
      <c r="B35" s="297" t="s">
        <v>162</v>
      </c>
      <c r="C35" s="627" t="s">
        <v>47</v>
      </c>
      <c r="D35" s="627"/>
      <c r="E35" s="627"/>
      <c r="F35" s="627"/>
      <c r="G35" s="627"/>
      <c r="H35" s="627"/>
      <c r="I35" s="627"/>
      <c r="J35" s="627"/>
      <c r="K35" s="627"/>
      <c r="L35" s="627"/>
      <c r="M35" s="627"/>
      <c r="N35" s="627"/>
      <c r="O35" s="627"/>
      <c r="P35" s="627"/>
      <c r="Q35" s="627"/>
      <c r="R35" s="627"/>
      <c r="S35" s="627"/>
      <c r="T35" s="627"/>
      <c r="U35" s="627"/>
      <c r="V35" s="627"/>
      <c r="W35" s="627"/>
      <c r="X35" s="627"/>
      <c r="Y35" s="627"/>
      <c r="Z35" s="627"/>
      <c r="AA35" s="627"/>
      <c r="AB35" s="342">
        <f t="shared" si="24"/>
        <v>0</v>
      </c>
      <c r="AC35" s="304">
        <f t="shared" si="31"/>
        <v>0</v>
      </c>
      <c r="AD35" s="304">
        <f t="shared" si="32"/>
        <v>0</v>
      </c>
      <c r="AE35" s="304">
        <f t="shared" si="33"/>
        <v>0</v>
      </c>
      <c r="AF35" s="304">
        <f t="shared" si="34"/>
        <v>0</v>
      </c>
      <c r="AG35" s="304">
        <f t="shared" si="35"/>
        <v>0</v>
      </c>
      <c r="AH35" s="304">
        <f t="shared" si="12"/>
        <v>0</v>
      </c>
      <c r="AI35" s="304">
        <f t="shared" si="13"/>
        <v>0</v>
      </c>
      <c r="AJ35" s="303"/>
      <c r="AK35" s="303"/>
      <c r="AL35" s="303"/>
      <c r="AM35" s="303"/>
      <c r="AN35" s="303"/>
      <c r="AO35" s="303"/>
      <c r="AP35" s="308"/>
      <c r="AQ35" s="303"/>
      <c r="AR35" s="303"/>
      <c r="AS35" s="303"/>
      <c r="AT35" s="303"/>
      <c r="AU35" s="303"/>
      <c r="AV35" s="346"/>
      <c r="AW35" s="340"/>
      <c r="AX35" s="303"/>
      <c r="AY35" s="303"/>
      <c r="AZ35" s="303"/>
      <c r="BA35" s="308"/>
      <c r="BB35" s="321"/>
      <c r="BC35" s="303"/>
      <c r="BD35" s="303"/>
      <c r="BE35" s="303"/>
      <c r="BF35" s="303"/>
    </row>
    <row r="36" spans="1:58" ht="25.5" customHeight="1">
      <c r="A36" s="530"/>
      <c r="B36" s="297"/>
      <c r="C36" s="359" t="s">
        <v>447</v>
      </c>
      <c r="D36" s="299"/>
      <c r="E36" s="299"/>
      <c r="F36" s="299"/>
      <c r="G36" s="299"/>
      <c r="H36" s="299"/>
      <c r="I36" s="299"/>
      <c r="J36" s="299"/>
      <c r="K36" s="299"/>
      <c r="L36" s="299"/>
      <c r="M36" s="299"/>
      <c r="N36" s="299"/>
      <c r="O36" s="299"/>
      <c r="P36" s="299"/>
      <c r="Q36" s="299"/>
      <c r="R36" s="299"/>
      <c r="S36" s="299"/>
      <c r="T36" s="299"/>
      <c r="U36" s="299"/>
      <c r="V36" s="299"/>
      <c r="W36" s="299"/>
      <c r="X36" s="299"/>
      <c r="Y36" s="360">
        <f t="shared" ref="Y36:AA43" si="80">+D36+G36+J36+M36+P36+S36+V36</f>
        <v>0</v>
      </c>
      <c r="Z36" s="360">
        <f t="shared" si="80"/>
        <v>0</v>
      </c>
      <c r="AA36" s="360">
        <f t="shared" si="80"/>
        <v>0</v>
      </c>
      <c r="AB36" s="342">
        <f t="shared" si="24"/>
        <v>0</v>
      </c>
      <c r="AC36" s="304">
        <f t="shared" si="31"/>
        <v>0</v>
      </c>
      <c r="AD36" s="304">
        <f t="shared" si="32"/>
        <v>0</v>
      </c>
      <c r="AE36" s="304">
        <f t="shared" si="33"/>
        <v>0</v>
      </c>
      <c r="AF36" s="304">
        <f t="shared" si="34"/>
        <v>0</v>
      </c>
      <c r="AG36" s="304">
        <f t="shared" si="35"/>
        <v>0</v>
      </c>
      <c r="AH36" s="304">
        <f t="shared" si="12"/>
        <v>0</v>
      </c>
      <c r="AI36" s="304">
        <f t="shared" si="13"/>
        <v>0</v>
      </c>
      <c r="AJ36" s="304">
        <f>+AI36*100/AI44</f>
        <v>0</v>
      </c>
      <c r="AK36" s="304">
        <f>+AH37*AJ36/100</f>
        <v>0</v>
      </c>
      <c r="AL36" s="304">
        <f t="shared" ref="AL36:AO37" si="81">AC208*AC36/AC66</f>
        <v>0</v>
      </c>
      <c r="AM36" s="304">
        <f t="shared" si="81"/>
        <v>0</v>
      </c>
      <c r="AN36" s="304">
        <f t="shared" si="81"/>
        <v>0</v>
      </c>
      <c r="AO36" s="304">
        <f t="shared" si="81"/>
        <v>0</v>
      </c>
      <c r="AP36" s="298">
        <f>SUM(AL36:AO36)</f>
        <v>0</v>
      </c>
      <c r="AQ36" s="303"/>
      <c r="AR36" s="304">
        <f>+AC36+AL36</f>
        <v>0</v>
      </c>
      <c r="AS36" s="304">
        <f>+AD36+AM36</f>
        <v>0</v>
      </c>
      <c r="AT36" s="304">
        <f>+AE36+AN36+AQ36</f>
        <v>0</v>
      </c>
      <c r="AU36" s="304">
        <f>+AK36+AO36</f>
        <v>0</v>
      </c>
      <c r="AV36" s="347">
        <f>SUM(AR36:AU36)</f>
        <v>0</v>
      </c>
      <c r="AW36" s="341">
        <f t="shared" ref="AW36:AZ37" si="82">+AC274*AR36/AR187</f>
        <v>0</v>
      </c>
      <c r="AX36" s="304">
        <f t="shared" si="82"/>
        <v>0</v>
      </c>
      <c r="AY36" s="304">
        <f t="shared" si="82"/>
        <v>0</v>
      </c>
      <c r="AZ36" s="304">
        <f t="shared" si="82"/>
        <v>0</v>
      </c>
      <c r="BA36" s="298">
        <f t="shared" ref="BA36:BA44" si="83">SUM(AW36:AZ36)</f>
        <v>0</v>
      </c>
      <c r="BB36" s="304">
        <f>+AR36+AW36</f>
        <v>0</v>
      </c>
      <c r="BC36" s="304">
        <f t="shared" ref="BC36:BC43" si="84">+AS36+AX36</f>
        <v>0</v>
      </c>
      <c r="BD36" s="304">
        <f t="shared" ref="BD36:BD43" si="85">+AT36+AY36</f>
        <v>0</v>
      </c>
      <c r="BE36" s="304">
        <f>+AU36+AZ36</f>
        <v>0</v>
      </c>
      <c r="BF36" s="304">
        <f t="shared" ref="BF36:BF44" si="86">SUM(BB36:BE36)</f>
        <v>0</v>
      </c>
    </row>
    <row r="37" spans="1:58" ht="25.5" customHeight="1">
      <c r="A37" s="530"/>
      <c r="B37" s="297"/>
      <c r="C37" s="359" t="s">
        <v>448</v>
      </c>
      <c r="D37" s="299"/>
      <c r="E37" s="299"/>
      <c r="F37" s="299">
        <v>44439.040000000001</v>
      </c>
      <c r="G37" s="299">
        <f>211162+44108</f>
        <v>255270</v>
      </c>
      <c r="H37" s="299"/>
      <c r="I37" s="299"/>
      <c r="J37" s="299">
        <f>154503+9054</f>
        <v>163557</v>
      </c>
      <c r="K37" s="299"/>
      <c r="L37" s="299"/>
      <c r="M37" s="299">
        <f>2193377.49+688010.18</f>
        <v>2881387.6700000004</v>
      </c>
      <c r="N37" s="299">
        <f>245530+341756+914960+14080</f>
        <v>1516326</v>
      </c>
      <c r="O37" s="299"/>
      <c r="P37" s="299">
        <v>6007505.0999999996</v>
      </c>
      <c r="Q37" s="299">
        <v>379923.01</v>
      </c>
      <c r="R37" s="299"/>
      <c r="S37" s="299"/>
      <c r="T37" s="299"/>
      <c r="U37" s="299"/>
      <c r="V37" s="299">
        <v>390682</v>
      </c>
      <c r="W37" s="299">
        <f>314000+50000</f>
        <v>364000</v>
      </c>
      <c r="X37" s="299"/>
      <c r="Y37" s="360">
        <f t="shared" si="80"/>
        <v>9698401.7699999996</v>
      </c>
      <c r="Z37" s="360">
        <f t="shared" si="80"/>
        <v>2260249.0099999998</v>
      </c>
      <c r="AA37" s="360">
        <f t="shared" si="80"/>
        <v>44439.040000000001</v>
      </c>
      <c r="AB37" s="342">
        <f>+Y37+Z37+AA37</f>
        <v>12003089.819999998</v>
      </c>
      <c r="AC37" s="304">
        <f t="shared" si="31"/>
        <v>3690896.6700000004</v>
      </c>
      <c r="AD37" s="304">
        <f t="shared" si="32"/>
        <v>1880326</v>
      </c>
      <c r="AE37" s="304">
        <f t="shared" si="33"/>
        <v>44439.040000000001</v>
      </c>
      <c r="AF37" s="304">
        <f t="shared" si="34"/>
        <v>6387428.1099999994</v>
      </c>
      <c r="AG37" s="304">
        <f t="shared" si="35"/>
        <v>12003089.82</v>
      </c>
      <c r="AH37" s="304">
        <f t="shared" si="12"/>
        <v>6387428.1099999994</v>
      </c>
      <c r="AI37" s="304">
        <f t="shared" si="13"/>
        <v>5571222.6699999999</v>
      </c>
      <c r="AJ37" s="304">
        <f>+AI37*100/AI44</f>
        <v>31.664713432818306</v>
      </c>
      <c r="AK37" s="304">
        <f>+AH37*AJ37/100</f>
        <v>2022560.8067587824</v>
      </c>
      <c r="AL37" s="304">
        <f t="shared" si="81"/>
        <v>1389005.8079386023</v>
      </c>
      <c r="AM37" s="304">
        <f t="shared" si="81"/>
        <v>499552.59504653956</v>
      </c>
      <c r="AN37" s="304">
        <f t="shared" si="81"/>
        <v>0</v>
      </c>
      <c r="AO37" s="304">
        <f t="shared" si="81"/>
        <v>0</v>
      </c>
      <c r="AP37" s="298">
        <f t="shared" ref="AP37:AP43" si="87">SUM(AL37:AO37)</f>
        <v>1888558.4029851418</v>
      </c>
      <c r="AQ37" s="299">
        <v>645336.98</v>
      </c>
      <c r="AR37" s="304">
        <f t="shared" ref="AR37:AR43" si="88">+AC37+AL37</f>
        <v>5079902.4779386027</v>
      </c>
      <c r="AS37" s="304">
        <f t="shared" ref="AS37:AS43" si="89">+AD37+AM37</f>
        <v>2379878.5950465398</v>
      </c>
      <c r="AT37" s="304">
        <f t="shared" ref="AT37:AT43" si="90">+AE37+AN37+AQ37</f>
        <v>689776.02</v>
      </c>
      <c r="AU37" s="304">
        <f t="shared" ref="AU37:AU43" si="91">+AK37+AO37</f>
        <v>2022560.8067587824</v>
      </c>
      <c r="AV37" s="347">
        <f t="shared" ref="AV37:AV43" si="92">SUM(AR37:AU37)</f>
        <v>10172117.899743924</v>
      </c>
      <c r="AW37" s="341">
        <f t="shared" si="82"/>
        <v>6501573.7551994631</v>
      </c>
      <c r="AX37" s="304">
        <f t="shared" si="82"/>
        <v>2217536.1537194788</v>
      </c>
      <c r="AY37" s="304">
        <f t="shared" si="82"/>
        <v>0</v>
      </c>
      <c r="AZ37" s="304">
        <f t="shared" si="82"/>
        <v>2495731.9323000009</v>
      </c>
      <c r="BA37" s="298">
        <f t="shared" si="83"/>
        <v>11214841.841218943</v>
      </c>
      <c r="BB37" s="304">
        <f t="shared" ref="BB37:BB43" si="93">+AR37+AW37</f>
        <v>11581476.233138066</v>
      </c>
      <c r="BC37" s="304">
        <f t="shared" si="84"/>
        <v>4597414.7487660181</v>
      </c>
      <c r="BD37" s="304">
        <f t="shared" si="85"/>
        <v>689776.02</v>
      </c>
      <c r="BE37" s="304">
        <f t="shared" ref="BE37:BE43" si="94">+AU37+AZ37</f>
        <v>4518292.7390587833</v>
      </c>
      <c r="BF37" s="304">
        <f t="shared" si="86"/>
        <v>21386959.74096287</v>
      </c>
    </row>
    <row r="38" spans="1:58" ht="25.5" customHeight="1">
      <c r="A38" s="530"/>
      <c r="B38" s="297"/>
      <c r="C38" s="359" t="s">
        <v>449</v>
      </c>
      <c r="D38" s="299"/>
      <c r="E38" s="299"/>
      <c r="F38" s="299"/>
      <c r="G38" s="299"/>
      <c r="H38" s="299"/>
      <c r="I38" s="299"/>
      <c r="J38" s="299"/>
      <c r="K38" s="299"/>
      <c r="L38" s="299"/>
      <c r="M38" s="299"/>
      <c r="N38" s="299"/>
      <c r="O38" s="299"/>
      <c r="P38" s="299"/>
      <c r="Q38" s="299"/>
      <c r="R38" s="299"/>
      <c r="S38" s="299"/>
      <c r="T38" s="299"/>
      <c r="U38" s="299"/>
      <c r="V38" s="299">
        <v>3230741.32</v>
      </c>
      <c r="W38" s="299"/>
      <c r="X38" s="299"/>
      <c r="Y38" s="360">
        <f t="shared" si="80"/>
        <v>3230741.32</v>
      </c>
      <c r="Z38" s="360">
        <f t="shared" si="80"/>
        <v>0</v>
      </c>
      <c r="AA38" s="360">
        <f t="shared" si="80"/>
        <v>0</v>
      </c>
      <c r="AB38" s="342">
        <f t="shared" si="24"/>
        <v>3230741.32</v>
      </c>
      <c r="AC38" s="304">
        <f t="shared" si="31"/>
        <v>3230741.32</v>
      </c>
      <c r="AD38" s="304">
        <f t="shared" si="32"/>
        <v>0</v>
      </c>
      <c r="AE38" s="304">
        <f t="shared" si="33"/>
        <v>0</v>
      </c>
      <c r="AF38" s="304">
        <f t="shared" si="34"/>
        <v>0</v>
      </c>
      <c r="AG38" s="304">
        <f t="shared" si="35"/>
        <v>3230741.32</v>
      </c>
      <c r="AH38" s="304">
        <f t="shared" si="12"/>
        <v>0</v>
      </c>
      <c r="AI38" s="304">
        <f t="shared" si="13"/>
        <v>3230741.32</v>
      </c>
      <c r="AJ38" s="304">
        <f>+AI38*100/AI44</f>
        <v>18.362306468961354</v>
      </c>
      <c r="AK38" s="304">
        <f>+AH37*AJ38/100</f>
        <v>1172879.1250427859</v>
      </c>
      <c r="AL38" s="304">
        <f t="shared" ref="AL38:AL43" si="95">AC210*AC38/AC68</f>
        <v>0</v>
      </c>
      <c r="AM38" s="304">
        <v>0</v>
      </c>
      <c r="AN38" s="304">
        <v>0</v>
      </c>
      <c r="AO38" s="304">
        <v>0</v>
      </c>
      <c r="AP38" s="298">
        <f t="shared" si="87"/>
        <v>0</v>
      </c>
      <c r="AQ38" s="303"/>
      <c r="AR38" s="304">
        <f t="shared" si="88"/>
        <v>3230741.32</v>
      </c>
      <c r="AS38" s="304">
        <f t="shared" si="89"/>
        <v>0</v>
      </c>
      <c r="AT38" s="304">
        <f t="shared" si="90"/>
        <v>0</v>
      </c>
      <c r="AU38" s="304">
        <f t="shared" si="91"/>
        <v>1172879.1250427859</v>
      </c>
      <c r="AV38" s="347">
        <f t="shared" si="92"/>
        <v>4403620.4450427853</v>
      </c>
      <c r="AW38" s="341">
        <f t="shared" ref="AW38:AX42" si="96">+AC276*AR38/AR189</f>
        <v>3561535.8887451659</v>
      </c>
      <c r="AX38" s="304">
        <f t="shared" si="96"/>
        <v>0</v>
      </c>
      <c r="AY38" s="304">
        <v>0</v>
      </c>
      <c r="AZ38" s="304">
        <f t="shared" ref="AZ38:AZ43" si="97">+AF276*AU38/AU189</f>
        <v>0</v>
      </c>
      <c r="BA38" s="298">
        <f t="shared" si="83"/>
        <v>3561535.8887451659</v>
      </c>
      <c r="BB38" s="304">
        <f t="shared" si="93"/>
        <v>6792277.2087451657</v>
      </c>
      <c r="BC38" s="304">
        <f t="shared" si="84"/>
        <v>0</v>
      </c>
      <c r="BD38" s="304">
        <f t="shared" si="85"/>
        <v>0</v>
      </c>
      <c r="BE38" s="304">
        <f t="shared" si="94"/>
        <v>1172879.1250427859</v>
      </c>
      <c r="BF38" s="304">
        <f t="shared" si="86"/>
        <v>7965156.3337879516</v>
      </c>
    </row>
    <row r="39" spans="1:58" ht="25.5" customHeight="1">
      <c r="A39" s="530"/>
      <c r="B39" s="297"/>
      <c r="C39" s="359" t="s">
        <v>450</v>
      </c>
      <c r="D39" s="299"/>
      <c r="E39" s="299"/>
      <c r="F39" s="299"/>
      <c r="G39" s="299"/>
      <c r="H39" s="299"/>
      <c r="I39" s="299"/>
      <c r="J39" s="299"/>
      <c r="K39" s="299"/>
      <c r="L39" s="299"/>
      <c r="M39" s="299"/>
      <c r="N39" s="299"/>
      <c r="O39" s="299"/>
      <c r="P39" s="299"/>
      <c r="Q39" s="299"/>
      <c r="R39" s="299"/>
      <c r="S39" s="299"/>
      <c r="T39" s="299"/>
      <c r="U39" s="299"/>
      <c r="V39" s="299">
        <v>191020</v>
      </c>
      <c r="W39" s="299">
        <v>80000</v>
      </c>
      <c r="X39" s="299"/>
      <c r="Y39" s="360">
        <f t="shared" si="80"/>
        <v>191020</v>
      </c>
      <c r="Z39" s="360">
        <f t="shared" si="80"/>
        <v>80000</v>
      </c>
      <c r="AA39" s="360">
        <f t="shared" si="80"/>
        <v>0</v>
      </c>
      <c r="AB39" s="342">
        <f t="shared" si="24"/>
        <v>271020</v>
      </c>
      <c r="AC39" s="304">
        <f t="shared" si="31"/>
        <v>191020</v>
      </c>
      <c r="AD39" s="304">
        <f t="shared" si="32"/>
        <v>80000</v>
      </c>
      <c r="AE39" s="304">
        <f t="shared" si="33"/>
        <v>0</v>
      </c>
      <c r="AF39" s="304">
        <f t="shared" si="34"/>
        <v>0</v>
      </c>
      <c r="AG39" s="304">
        <f t="shared" si="35"/>
        <v>271020</v>
      </c>
      <c r="AH39" s="304">
        <f t="shared" si="12"/>
        <v>0</v>
      </c>
      <c r="AI39" s="304">
        <f t="shared" si="13"/>
        <v>271020</v>
      </c>
      <c r="AJ39" s="304">
        <f>+AI39*100/AI44</f>
        <v>1.5403747333190718</v>
      </c>
      <c r="AK39" s="304">
        <f>+AH37*AJ39/100</f>
        <v>98390.328715359923</v>
      </c>
      <c r="AL39" s="304">
        <f t="shared" si="95"/>
        <v>0</v>
      </c>
      <c r="AM39" s="304">
        <f>AD211*AD39/AD69</f>
        <v>0</v>
      </c>
      <c r="AN39" s="304">
        <v>0</v>
      </c>
      <c r="AO39" s="304">
        <v>0</v>
      </c>
      <c r="AP39" s="298">
        <f t="shared" si="87"/>
        <v>0</v>
      </c>
      <c r="AQ39" s="303"/>
      <c r="AR39" s="304">
        <f t="shared" si="88"/>
        <v>191020</v>
      </c>
      <c r="AS39" s="304">
        <f t="shared" si="89"/>
        <v>80000</v>
      </c>
      <c r="AT39" s="304">
        <f t="shared" si="90"/>
        <v>0</v>
      </c>
      <c r="AU39" s="304">
        <f t="shared" si="91"/>
        <v>98390.328715359923</v>
      </c>
      <c r="AV39" s="347">
        <f t="shared" si="92"/>
        <v>369410.32871535991</v>
      </c>
      <c r="AW39" s="341">
        <f t="shared" si="96"/>
        <v>335035.23051480483</v>
      </c>
      <c r="AX39" s="304">
        <f t="shared" si="96"/>
        <v>0</v>
      </c>
      <c r="AY39" s="304">
        <v>0</v>
      </c>
      <c r="AZ39" s="304">
        <f t="shared" si="97"/>
        <v>0</v>
      </c>
      <c r="BA39" s="298">
        <f t="shared" si="83"/>
        <v>335035.23051480483</v>
      </c>
      <c r="BB39" s="304">
        <f t="shared" si="93"/>
        <v>526055.23051480483</v>
      </c>
      <c r="BC39" s="304">
        <f t="shared" si="84"/>
        <v>80000</v>
      </c>
      <c r="BD39" s="304">
        <f t="shared" si="85"/>
        <v>0</v>
      </c>
      <c r="BE39" s="304">
        <f t="shared" si="94"/>
        <v>98390.328715359923</v>
      </c>
      <c r="BF39" s="304">
        <f t="shared" si="86"/>
        <v>704445.55923016474</v>
      </c>
    </row>
    <row r="40" spans="1:58" ht="25.5" customHeight="1">
      <c r="A40" s="530"/>
      <c r="B40" s="297"/>
      <c r="C40" s="359" t="s">
        <v>451</v>
      </c>
      <c r="D40" s="299">
        <v>6257040</v>
      </c>
      <c r="E40" s="299">
        <v>1772676</v>
      </c>
      <c r="F40" s="299"/>
      <c r="G40" s="299"/>
      <c r="H40" s="299"/>
      <c r="I40" s="299"/>
      <c r="J40" s="299"/>
      <c r="K40" s="299"/>
      <c r="L40" s="299"/>
      <c r="M40" s="299"/>
      <c r="N40" s="299"/>
      <c r="O40" s="299"/>
      <c r="P40" s="299"/>
      <c r="Q40" s="299"/>
      <c r="R40" s="299"/>
      <c r="S40" s="299"/>
      <c r="T40" s="299"/>
      <c r="U40" s="299"/>
      <c r="V40" s="299">
        <v>491720</v>
      </c>
      <c r="W40" s="299"/>
      <c r="X40" s="299"/>
      <c r="Y40" s="360">
        <f t="shared" si="80"/>
        <v>6748760</v>
      </c>
      <c r="Z40" s="360">
        <f t="shared" si="80"/>
        <v>1772676</v>
      </c>
      <c r="AA40" s="360">
        <f t="shared" si="80"/>
        <v>0</v>
      </c>
      <c r="AB40" s="342">
        <f t="shared" si="24"/>
        <v>8521436</v>
      </c>
      <c r="AC40" s="304">
        <f t="shared" si="31"/>
        <v>6748760</v>
      </c>
      <c r="AD40" s="304">
        <f t="shared" si="32"/>
        <v>1772676</v>
      </c>
      <c r="AE40" s="304">
        <f t="shared" si="33"/>
        <v>0</v>
      </c>
      <c r="AF40" s="304">
        <f t="shared" si="34"/>
        <v>0</v>
      </c>
      <c r="AG40" s="304">
        <f t="shared" si="35"/>
        <v>8521436</v>
      </c>
      <c r="AH40" s="304">
        <f t="shared" si="12"/>
        <v>0</v>
      </c>
      <c r="AI40" s="304">
        <f t="shared" si="13"/>
        <v>8521436</v>
      </c>
      <c r="AJ40" s="304">
        <f>+AI40*100/AI44</f>
        <v>48.432605364901256</v>
      </c>
      <c r="AK40" s="304">
        <f>+AH37*AJ40/100</f>
        <v>3093597.8494830704</v>
      </c>
      <c r="AL40" s="304">
        <f t="shared" si="95"/>
        <v>0</v>
      </c>
      <c r="AM40" s="304">
        <f>AD212*AD40/AD70</f>
        <v>139040.74275101756</v>
      </c>
      <c r="AN40" s="304">
        <v>0</v>
      </c>
      <c r="AO40" s="304">
        <v>0</v>
      </c>
      <c r="AP40" s="298">
        <f t="shared" si="87"/>
        <v>139040.74275101756</v>
      </c>
      <c r="AQ40" s="303"/>
      <c r="AR40" s="304">
        <f t="shared" si="88"/>
        <v>6748760</v>
      </c>
      <c r="AS40" s="304">
        <f t="shared" si="89"/>
        <v>1911716.7427510177</v>
      </c>
      <c r="AT40" s="304">
        <f t="shared" si="90"/>
        <v>0</v>
      </c>
      <c r="AU40" s="304">
        <f t="shared" si="91"/>
        <v>3093597.8494830704</v>
      </c>
      <c r="AV40" s="347">
        <f t="shared" si="92"/>
        <v>11754074.592234088</v>
      </c>
      <c r="AW40" s="341">
        <f t="shared" si="96"/>
        <v>24151236.333507128</v>
      </c>
      <c r="AX40" s="304">
        <f t="shared" si="96"/>
        <v>648322.41660291725</v>
      </c>
      <c r="AY40" s="304">
        <f>+AE278*AT40/AT191</f>
        <v>0</v>
      </c>
      <c r="AZ40" s="304">
        <f t="shared" si="97"/>
        <v>0</v>
      </c>
      <c r="BA40" s="298">
        <f t="shared" si="83"/>
        <v>24799558.750110045</v>
      </c>
      <c r="BB40" s="304">
        <f t="shared" si="93"/>
        <v>30899996.333507128</v>
      </c>
      <c r="BC40" s="304">
        <f t="shared" si="84"/>
        <v>2560039.1593539352</v>
      </c>
      <c r="BD40" s="304">
        <f t="shared" si="85"/>
        <v>0</v>
      </c>
      <c r="BE40" s="304">
        <f t="shared" si="94"/>
        <v>3093597.8494830704</v>
      </c>
      <c r="BF40" s="304">
        <f t="shared" si="86"/>
        <v>36553633.342344135</v>
      </c>
    </row>
    <row r="41" spans="1:58" ht="25.5" customHeight="1">
      <c r="A41" s="530"/>
      <c r="B41" s="297"/>
      <c r="C41" s="359" t="s">
        <v>452</v>
      </c>
      <c r="D41" s="299"/>
      <c r="E41" s="299"/>
      <c r="F41" s="299"/>
      <c r="G41" s="299"/>
      <c r="H41" s="299"/>
      <c r="I41" s="299"/>
      <c r="J41" s="299"/>
      <c r="K41" s="299"/>
      <c r="L41" s="299"/>
      <c r="M41" s="299"/>
      <c r="N41" s="299"/>
      <c r="O41" s="299"/>
      <c r="P41" s="299"/>
      <c r="Q41" s="299"/>
      <c r="R41" s="299"/>
      <c r="S41" s="299"/>
      <c r="T41" s="299"/>
      <c r="U41" s="299"/>
      <c r="V41" s="299"/>
      <c r="W41" s="299"/>
      <c r="X41" s="299"/>
      <c r="Y41" s="360">
        <f t="shared" si="80"/>
        <v>0</v>
      </c>
      <c r="Z41" s="360">
        <f t="shared" si="80"/>
        <v>0</v>
      </c>
      <c r="AA41" s="360">
        <f t="shared" si="80"/>
        <v>0</v>
      </c>
      <c r="AB41" s="342">
        <f t="shared" si="24"/>
        <v>0</v>
      </c>
      <c r="AC41" s="304">
        <f t="shared" si="31"/>
        <v>0</v>
      </c>
      <c r="AD41" s="304">
        <f t="shared" si="32"/>
        <v>0</v>
      </c>
      <c r="AE41" s="304">
        <f t="shared" si="33"/>
        <v>0</v>
      </c>
      <c r="AF41" s="304">
        <f t="shared" si="34"/>
        <v>0</v>
      </c>
      <c r="AG41" s="304">
        <f t="shared" si="35"/>
        <v>0</v>
      </c>
      <c r="AH41" s="304">
        <f t="shared" si="12"/>
        <v>0</v>
      </c>
      <c r="AI41" s="304">
        <f t="shared" si="13"/>
        <v>0</v>
      </c>
      <c r="AJ41" s="304">
        <f>+AI41*100/AI44</f>
        <v>0</v>
      </c>
      <c r="AK41" s="304">
        <f>+AH37*AJ41/100</f>
        <v>0</v>
      </c>
      <c r="AL41" s="304">
        <f t="shared" si="95"/>
        <v>0</v>
      </c>
      <c r="AM41" s="304">
        <f>AD213*AD41/AD71</f>
        <v>0</v>
      </c>
      <c r="AN41" s="304">
        <v>0</v>
      </c>
      <c r="AO41" s="304">
        <v>0</v>
      </c>
      <c r="AP41" s="298">
        <f t="shared" si="87"/>
        <v>0</v>
      </c>
      <c r="AQ41" s="303"/>
      <c r="AR41" s="304">
        <f t="shared" si="88"/>
        <v>0</v>
      </c>
      <c r="AS41" s="304">
        <f t="shared" si="89"/>
        <v>0</v>
      </c>
      <c r="AT41" s="304">
        <f t="shared" si="90"/>
        <v>0</v>
      </c>
      <c r="AU41" s="304">
        <f t="shared" si="91"/>
        <v>0</v>
      </c>
      <c r="AV41" s="347">
        <f t="shared" si="92"/>
        <v>0</v>
      </c>
      <c r="AW41" s="341">
        <f t="shared" si="96"/>
        <v>0</v>
      </c>
      <c r="AX41" s="304">
        <f t="shared" si="96"/>
        <v>0</v>
      </c>
      <c r="AY41" s="304">
        <v>0</v>
      </c>
      <c r="AZ41" s="304">
        <f t="shared" si="97"/>
        <v>0</v>
      </c>
      <c r="BA41" s="298">
        <f t="shared" si="83"/>
        <v>0</v>
      </c>
      <c r="BB41" s="304">
        <f t="shared" si="93"/>
        <v>0</v>
      </c>
      <c r="BC41" s="304">
        <f t="shared" si="84"/>
        <v>0</v>
      </c>
      <c r="BD41" s="304">
        <f t="shared" si="85"/>
        <v>0</v>
      </c>
      <c r="BE41" s="304">
        <f t="shared" si="94"/>
        <v>0</v>
      </c>
      <c r="BF41" s="304">
        <f t="shared" si="86"/>
        <v>0</v>
      </c>
    </row>
    <row r="42" spans="1:58" ht="25.5" customHeight="1">
      <c r="A42" s="530"/>
      <c r="B42" s="297"/>
      <c r="C42" s="359" t="s">
        <v>453</v>
      </c>
      <c r="D42" s="299"/>
      <c r="E42" s="299"/>
      <c r="F42" s="299"/>
      <c r="G42" s="299"/>
      <c r="H42" s="299"/>
      <c r="I42" s="299"/>
      <c r="J42" s="299"/>
      <c r="K42" s="299"/>
      <c r="L42" s="299"/>
      <c r="M42" s="299"/>
      <c r="N42" s="299"/>
      <c r="O42" s="299"/>
      <c r="P42" s="299"/>
      <c r="Q42" s="299"/>
      <c r="R42" s="299"/>
      <c r="S42" s="299"/>
      <c r="T42" s="299"/>
      <c r="U42" s="299"/>
      <c r="V42" s="299"/>
      <c r="W42" s="299"/>
      <c r="X42" s="299"/>
      <c r="Y42" s="360">
        <f t="shared" si="80"/>
        <v>0</v>
      </c>
      <c r="Z42" s="360">
        <f t="shared" si="80"/>
        <v>0</v>
      </c>
      <c r="AA42" s="360">
        <f t="shared" si="80"/>
        <v>0</v>
      </c>
      <c r="AB42" s="342">
        <f t="shared" si="24"/>
        <v>0</v>
      </c>
      <c r="AC42" s="304">
        <f t="shared" si="31"/>
        <v>0</v>
      </c>
      <c r="AD42" s="304">
        <f t="shared" si="32"/>
        <v>0</v>
      </c>
      <c r="AE42" s="304">
        <f t="shared" si="33"/>
        <v>0</v>
      </c>
      <c r="AF42" s="304">
        <f t="shared" si="34"/>
        <v>0</v>
      </c>
      <c r="AG42" s="304">
        <f t="shared" si="35"/>
        <v>0</v>
      </c>
      <c r="AH42" s="304">
        <f t="shared" si="12"/>
        <v>0</v>
      </c>
      <c r="AI42" s="304">
        <f t="shared" si="13"/>
        <v>0</v>
      </c>
      <c r="AJ42" s="304">
        <f>+AI42*100/AI44</f>
        <v>0</v>
      </c>
      <c r="AK42" s="304">
        <f>+AH37*AJ42/100</f>
        <v>0</v>
      </c>
      <c r="AL42" s="304">
        <f t="shared" si="95"/>
        <v>0</v>
      </c>
      <c r="AM42" s="304">
        <v>0</v>
      </c>
      <c r="AN42" s="304">
        <v>0</v>
      </c>
      <c r="AO42" s="304">
        <v>0</v>
      </c>
      <c r="AP42" s="298">
        <f t="shared" si="87"/>
        <v>0</v>
      </c>
      <c r="AQ42" s="303"/>
      <c r="AR42" s="304">
        <f t="shared" si="88"/>
        <v>0</v>
      </c>
      <c r="AS42" s="304">
        <f t="shared" si="89"/>
        <v>0</v>
      </c>
      <c r="AT42" s="304">
        <f t="shared" si="90"/>
        <v>0</v>
      </c>
      <c r="AU42" s="304">
        <f t="shared" si="91"/>
        <v>0</v>
      </c>
      <c r="AV42" s="347">
        <f t="shared" si="92"/>
        <v>0</v>
      </c>
      <c r="AW42" s="341">
        <f t="shared" si="96"/>
        <v>0</v>
      </c>
      <c r="AX42" s="304">
        <f t="shared" si="96"/>
        <v>0</v>
      </c>
      <c r="AY42" s="304">
        <v>0</v>
      </c>
      <c r="AZ42" s="304">
        <f t="shared" si="97"/>
        <v>0</v>
      </c>
      <c r="BA42" s="298">
        <f t="shared" si="83"/>
        <v>0</v>
      </c>
      <c r="BB42" s="304">
        <f t="shared" si="93"/>
        <v>0</v>
      </c>
      <c r="BC42" s="304">
        <f t="shared" si="84"/>
        <v>0</v>
      </c>
      <c r="BD42" s="304">
        <f t="shared" si="85"/>
        <v>0</v>
      </c>
      <c r="BE42" s="304">
        <f t="shared" si="94"/>
        <v>0</v>
      </c>
      <c r="BF42" s="304">
        <f t="shared" si="86"/>
        <v>0</v>
      </c>
    </row>
    <row r="43" spans="1:58" ht="25.5" customHeight="1">
      <c r="A43" s="530"/>
      <c r="B43" s="297"/>
      <c r="C43" s="359" t="s">
        <v>454</v>
      </c>
      <c r="D43" s="299"/>
      <c r="E43" s="299"/>
      <c r="F43" s="299"/>
      <c r="G43" s="299"/>
      <c r="H43" s="299"/>
      <c r="I43" s="299"/>
      <c r="J43" s="299"/>
      <c r="K43" s="299"/>
      <c r="L43" s="299"/>
      <c r="M43" s="299"/>
      <c r="N43" s="299"/>
      <c r="O43" s="299"/>
      <c r="P43" s="299"/>
      <c r="Q43" s="299"/>
      <c r="R43" s="299"/>
      <c r="S43" s="299"/>
      <c r="T43" s="299"/>
      <c r="U43" s="299"/>
      <c r="V43" s="299"/>
      <c r="W43" s="299"/>
      <c r="X43" s="299"/>
      <c r="Y43" s="360">
        <f t="shared" si="80"/>
        <v>0</v>
      </c>
      <c r="Z43" s="360">
        <f t="shared" si="80"/>
        <v>0</v>
      </c>
      <c r="AA43" s="360">
        <f t="shared" si="80"/>
        <v>0</v>
      </c>
      <c r="AB43" s="342">
        <f t="shared" si="24"/>
        <v>0</v>
      </c>
      <c r="AC43" s="304">
        <f t="shared" si="31"/>
        <v>0</v>
      </c>
      <c r="AD43" s="304">
        <f t="shared" si="32"/>
        <v>0</v>
      </c>
      <c r="AE43" s="304">
        <f t="shared" si="33"/>
        <v>0</v>
      </c>
      <c r="AF43" s="304">
        <f t="shared" si="34"/>
        <v>0</v>
      </c>
      <c r="AG43" s="304">
        <f t="shared" si="35"/>
        <v>0</v>
      </c>
      <c r="AH43" s="304">
        <f t="shared" si="12"/>
        <v>0</v>
      </c>
      <c r="AI43" s="304">
        <f t="shared" si="13"/>
        <v>0</v>
      </c>
      <c r="AJ43" s="304">
        <f>+AI43*100/AI44</f>
        <v>0</v>
      </c>
      <c r="AK43" s="304">
        <f>+AH37*AJ43/100</f>
        <v>0</v>
      </c>
      <c r="AL43" s="304">
        <f t="shared" si="95"/>
        <v>0</v>
      </c>
      <c r="AM43" s="304">
        <v>0</v>
      </c>
      <c r="AN43" s="304">
        <v>0</v>
      </c>
      <c r="AO43" s="304">
        <v>0</v>
      </c>
      <c r="AP43" s="298">
        <f t="shared" si="87"/>
        <v>0</v>
      </c>
      <c r="AQ43" s="303"/>
      <c r="AR43" s="304">
        <f t="shared" si="88"/>
        <v>0</v>
      </c>
      <c r="AS43" s="304">
        <f t="shared" si="89"/>
        <v>0</v>
      </c>
      <c r="AT43" s="304">
        <f t="shared" si="90"/>
        <v>0</v>
      </c>
      <c r="AU43" s="304">
        <f t="shared" si="91"/>
        <v>0</v>
      </c>
      <c r="AV43" s="347">
        <f t="shared" si="92"/>
        <v>0</v>
      </c>
      <c r="AW43" s="341">
        <f>+AC281*AR43/AR194</f>
        <v>0</v>
      </c>
      <c r="AX43" s="304">
        <v>0</v>
      </c>
      <c r="AY43" s="304">
        <v>0</v>
      </c>
      <c r="AZ43" s="304">
        <f t="shared" si="97"/>
        <v>0</v>
      </c>
      <c r="BA43" s="298">
        <f t="shared" si="83"/>
        <v>0</v>
      </c>
      <c r="BB43" s="304">
        <f t="shared" si="93"/>
        <v>0</v>
      </c>
      <c r="BC43" s="304">
        <f t="shared" si="84"/>
        <v>0</v>
      </c>
      <c r="BD43" s="304">
        <f t="shared" si="85"/>
        <v>0</v>
      </c>
      <c r="BE43" s="304">
        <f t="shared" si="94"/>
        <v>0</v>
      </c>
      <c r="BF43" s="304">
        <f t="shared" si="86"/>
        <v>0</v>
      </c>
    </row>
    <row r="44" spans="1:58" ht="25.5" customHeight="1">
      <c r="A44" s="530"/>
      <c r="B44" s="297"/>
      <c r="C44" s="338" t="s">
        <v>455</v>
      </c>
      <c r="D44" s="299">
        <f>SUM(D36:D43)</f>
        <v>6257040</v>
      </c>
      <c r="E44" s="299">
        <f t="shared" ref="E44:AA44" si="98">SUM(E36:E43)</f>
        <v>1772676</v>
      </c>
      <c r="F44" s="299">
        <f t="shared" si="98"/>
        <v>44439.040000000001</v>
      </c>
      <c r="G44" s="299">
        <f t="shared" si="98"/>
        <v>255270</v>
      </c>
      <c r="H44" s="299">
        <f t="shared" si="98"/>
        <v>0</v>
      </c>
      <c r="I44" s="299">
        <f t="shared" si="98"/>
        <v>0</v>
      </c>
      <c r="J44" s="299">
        <f t="shared" si="98"/>
        <v>163557</v>
      </c>
      <c r="K44" s="299">
        <f t="shared" si="98"/>
        <v>0</v>
      </c>
      <c r="L44" s="299">
        <f t="shared" si="98"/>
        <v>0</v>
      </c>
      <c r="M44" s="299">
        <f t="shared" si="98"/>
        <v>2881387.6700000004</v>
      </c>
      <c r="N44" s="299">
        <f t="shared" si="98"/>
        <v>1516326</v>
      </c>
      <c r="O44" s="299">
        <f t="shared" si="98"/>
        <v>0</v>
      </c>
      <c r="P44" s="299">
        <f t="shared" si="98"/>
        <v>6007505.0999999996</v>
      </c>
      <c r="Q44" s="299">
        <f t="shared" si="98"/>
        <v>379923.01</v>
      </c>
      <c r="R44" s="299">
        <f t="shared" si="98"/>
        <v>0</v>
      </c>
      <c r="S44" s="299">
        <f t="shared" si="98"/>
        <v>0</v>
      </c>
      <c r="T44" s="299">
        <f t="shared" si="98"/>
        <v>0</v>
      </c>
      <c r="U44" s="299">
        <f t="shared" si="98"/>
        <v>0</v>
      </c>
      <c r="V44" s="299">
        <f t="shared" si="98"/>
        <v>4304163.32</v>
      </c>
      <c r="W44" s="299">
        <f t="shared" si="98"/>
        <v>444000</v>
      </c>
      <c r="X44" s="299">
        <f t="shared" si="98"/>
        <v>0</v>
      </c>
      <c r="Y44" s="299">
        <f t="shared" si="98"/>
        <v>19868923.09</v>
      </c>
      <c r="Z44" s="299">
        <f t="shared" si="98"/>
        <v>4112925.01</v>
      </c>
      <c r="AA44" s="299">
        <f t="shared" si="98"/>
        <v>44439.040000000001</v>
      </c>
      <c r="AB44" s="342">
        <f t="shared" si="24"/>
        <v>24026287.140000001</v>
      </c>
      <c r="AC44" s="304">
        <f t="shared" si="31"/>
        <v>13861417.99</v>
      </c>
      <c r="AD44" s="304">
        <f t="shared" si="32"/>
        <v>3733002</v>
      </c>
      <c r="AE44" s="304">
        <f t="shared" si="33"/>
        <v>44439.040000000001</v>
      </c>
      <c r="AF44" s="304">
        <f t="shared" si="34"/>
        <v>6387428.1099999994</v>
      </c>
      <c r="AG44" s="304">
        <f t="shared" si="35"/>
        <v>24026287.140000001</v>
      </c>
      <c r="AH44" s="304">
        <f t="shared" si="12"/>
        <v>6387428.1099999994</v>
      </c>
      <c r="AI44" s="304">
        <f t="shared" si="13"/>
        <v>17594419.990000002</v>
      </c>
      <c r="AJ44" s="304">
        <f t="shared" ref="AJ44:AO44" si="99">SUM(AJ36:AJ43)</f>
        <v>99.999999999999986</v>
      </c>
      <c r="AK44" s="304">
        <f t="shared" si="99"/>
        <v>6387428.1099999985</v>
      </c>
      <c r="AL44" s="304">
        <f t="shared" si="99"/>
        <v>1389005.8079386023</v>
      </c>
      <c r="AM44" s="304">
        <f t="shared" si="99"/>
        <v>638593.33779755712</v>
      </c>
      <c r="AN44" s="304">
        <f t="shared" si="99"/>
        <v>0</v>
      </c>
      <c r="AO44" s="304">
        <f t="shared" si="99"/>
        <v>0</v>
      </c>
      <c r="AP44" s="298">
        <f>SUM(AL44:AO44)</f>
        <v>2027599.1457361593</v>
      </c>
      <c r="AQ44" s="299">
        <f>SUM(AQ36:AQ43)</f>
        <v>645336.98</v>
      </c>
      <c r="AR44" s="304">
        <f>SUM(AR36:AR43)</f>
        <v>15250423.797938602</v>
      </c>
      <c r="AS44" s="304">
        <f>SUM(AS36:AS43)</f>
        <v>4371595.3377975579</v>
      </c>
      <c r="AT44" s="304">
        <f t="shared" ref="AT44" si="100">SUM(AT36:AT43)</f>
        <v>689776.02</v>
      </c>
      <c r="AU44" s="304">
        <f t="shared" ref="AU44" si="101">SUM(AU36:AU43)</f>
        <v>6387428.1099999985</v>
      </c>
      <c r="AV44" s="347">
        <f>SUM(AR44:AU44)</f>
        <v>26699223.265736159</v>
      </c>
      <c r="AW44" s="341">
        <f>SUM(AW36:AW43)</f>
        <v>34549381.207966566</v>
      </c>
      <c r="AX44" s="304">
        <f>SUM(AX36:AX43)</f>
        <v>2865858.5703223962</v>
      </c>
      <c r="AY44" s="304">
        <f>SUM(AY36:AY43)</f>
        <v>0</v>
      </c>
      <c r="AZ44" s="304">
        <f>SUM(AZ36:AZ43)</f>
        <v>2495731.9323000009</v>
      </c>
      <c r="BA44" s="298">
        <f t="shared" si="83"/>
        <v>39910971.710588962</v>
      </c>
      <c r="BB44" s="336">
        <f>SUM(BB36:BB43)</f>
        <v>49799805.005905166</v>
      </c>
      <c r="BC44" s="304">
        <f>SUM(BC36:BC43)</f>
        <v>7237453.9081199532</v>
      </c>
      <c r="BD44" s="304">
        <f>SUM(BD36:BD43)</f>
        <v>689776.02</v>
      </c>
      <c r="BE44" s="304">
        <f>SUM(BE36:BE43)</f>
        <v>8883160.0422999989</v>
      </c>
      <c r="BF44" s="304">
        <f t="shared" si="86"/>
        <v>66610194.976325125</v>
      </c>
    </row>
    <row r="45" spans="1:58" ht="25.5" customHeight="1">
      <c r="A45" s="530">
        <v>5</v>
      </c>
      <c r="B45" s="297" t="s">
        <v>162</v>
      </c>
      <c r="C45" s="627" t="s">
        <v>58</v>
      </c>
      <c r="D45" s="627"/>
      <c r="E45" s="627"/>
      <c r="F45" s="627"/>
      <c r="G45" s="627"/>
      <c r="H45" s="627"/>
      <c r="I45" s="627"/>
      <c r="J45" s="627"/>
      <c r="K45" s="627"/>
      <c r="L45" s="627"/>
      <c r="M45" s="627"/>
      <c r="N45" s="627"/>
      <c r="O45" s="627"/>
      <c r="P45" s="627"/>
      <c r="Q45" s="627"/>
      <c r="R45" s="627"/>
      <c r="S45" s="627"/>
      <c r="T45" s="627"/>
      <c r="U45" s="627"/>
      <c r="V45" s="627"/>
      <c r="W45" s="627"/>
      <c r="X45" s="627"/>
      <c r="Y45" s="627"/>
      <c r="Z45" s="627"/>
      <c r="AA45" s="627"/>
      <c r="AB45" s="342">
        <f t="shared" si="24"/>
        <v>0</v>
      </c>
      <c r="AC45" s="304">
        <f t="shared" si="31"/>
        <v>0</v>
      </c>
      <c r="AD45" s="304">
        <f t="shared" si="32"/>
        <v>0</v>
      </c>
      <c r="AE45" s="304">
        <f t="shared" si="33"/>
        <v>0</v>
      </c>
      <c r="AF45" s="304">
        <f t="shared" si="34"/>
        <v>0</v>
      </c>
      <c r="AG45" s="304">
        <f t="shared" si="35"/>
        <v>0</v>
      </c>
      <c r="AH45" s="304">
        <f t="shared" si="12"/>
        <v>0</v>
      </c>
      <c r="AI45" s="304">
        <f t="shared" si="13"/>
        <v>0</v>
      </c>
      <c r="AJ45" s="303"/>
      <c r="AK45" s="303"/>
      <c r="AL45" s="303"/>
      <c r="AM45" s="303"/>
      <c r="AN45" s="303"/>
      <c r="AO45" s="303"/>
      <c r="AP45" s="308"/>
      <c r="AQ45" s="303"/>
      <c r="AR45" s="303"/>
      <c r="AS45" s="303"/>
      <c r="AT45" s="303"/>
      <c r="AU45" s="303"/>
      <c r="AV45" s="346"/>
      <c r="AW45" s="340"/>
      <c r="AX45" s="303"/>
      <c r="AY45" s="303"/>
      <c r="AZ45" s="303"/>
      <c r="BA45" s="308"/>
      <c r="BB45" s="321"/>
      <c r="BC45" s="303"/>
      <c r="BD45" s="303"/>
      <c r="BE45" s="303"/>
      <c r="BF45" s="303"/>
    </row>
    <row r="46" spans="1:58" ht="25.5" customHeight="1">
      <c r="A46" s="530"/>
      <c r="B46" s="297"/>
      <c r="C46" s="359" t="s">
        <v>447</v>
      </c>
      <c r="D46" s="360"/>
      <c r="E46" s="360"/>
      <c r="F46" s="360"/>
      <c r="G46" s="360"/>
      <c r="H46" s="360"/>
      <c r="I46" s="360"/>
      <c r="J46" s="360"/>
      <c r="K46" s="360"/>
      <c r="L46" s="360"/>
      <c r="M46" s="360"/>
      <c r="N46" s="360"/>
      <c r="O46" s="360"/>
      <c r="P46" s="360"/>
      <c r="Q46" s="360"/>
      <c r="R46" s="360"/>
      <c r="S46" s="360"/>
      <c r="T46" s="360"/>
      <c r="U46" s="360"/>
      <c r="V46" s="360"/>
      <c r="W46" s="360"/>
      <c r="X46" s="360"/>
      <c r="Y46" s="360">
        <f>+D46+G46+J46+M46+P46+S46+V46</f>
        <v>0</v>
      </c>
      <c r="Z46" s="360">
        <f>+E46+H46+K46+N46+Q46+T46+W46</f>
        <v>0</v>
      </c>
      <c r="AA46" s="360">
        <f>+F46+I46+L46+O46+R46+U46+X46</f>
        <v>0</v>
      </c>
      <c r="AB46" s="342">
        <f t="shared" si="24"/>
        <v>0</v>
      </c>
      <c r="AC46" s="304">
        <f t="shared" si="31"/>
        <v>0</v>
      </c>
      <c r="AD46" s="304">
        <f t="shared" si="32"/>
        <v>0</v>
      </c>
      <c r="AE46" s="304">
        <f t="shared" si="33"/>
        <v>0</v>
      </c>
      <c r="AF46" s="304">
        <f t="shared" si="34"/>
        <v>0</v>
      </c>
      <c r="AG46" s="304">
        <f t="shared" si="35"/>
        <v>0</v>
      </c>
      <c r="AH46" s="304">
        <f t="shared" si="12"/>
        <v>0</v>
      </c>
      <c r="AI46" s="304">
        <f t="shared" si="13"/>
        <v>0</v>
      </c>
      <c r="AJ46" s="304">
        <f>+AI46*100/AI54</f>
        <v>0</v>
      </c>
      <c r="AK46" s="304">
        <f>+AH47*AJ46/100</f>
        <v>0</v>
      </c>
      <c r="AL46" s="304">
        <f t="shared" ref="AL46:AO47" si="102">AC208*AC46/AC66</f>
        <v>0</v>
      </c>
      <c r="AM46" s="304">
        <f t="shared" si="102"/>
        <v>0</v>
      </c>
      <c r="AN46" s="304">
        <f t="shared" si="102"/>
        <v>0</v>
      </c>
      <c r="AO46" s="304">
        <f t="shared" si="102"/>
        <v>0</v>
      </c>
      <c r="AP46" s="298">
        <f>SUM(AL46:AO46)</f>
        <v>0</v>
      </c>
      <c r="AQ46" s="299"/>
      <c r="AR46" s="304">
        <f>+AC46+AL46</f>
        <v>0</v>
      </c>
      <c r="AS46" s="304">
        <f>+AD46+AM46</f>
        <v>0</v>
      </c>
      <c r="AT46" s="304">
        <f>+AE46+AN46+AQ46</f>
        <v>0</v>
      </c>
      <c r="AU46" s="304">
        <f>+AK46+AO46</f>
        <v>0</v>
      </c>
      <c r="AV46" s="347">
        <f>SUM(AR46:AU46)</f>
        <v>0</v>
      </c>
      <c r="AW46" s="341">
        <f t="shared" ref="AW46:AZ47" si="103">+AC274*AR46/AR187</f>
        <v>0</v>
      </c>
      <c r="AX46" s="304">
        <f t="shared" si="103"/>
        <v>0</v>
      </c>
      <c r="AY46" s="304">
        <f t="shared" si="103"/>
        <v>0</v>
      </c>
      <c r="AZ46" s="304">
        <f t="shared" si="103"/>
        <v>0</v>
      </c>
      <c r="BA46" s="298">
        <f t="shared" ref="BA46:BA54" si="104">SUM(AW46:AZ46)</f>
        <v>0</v>
      </c>
      <c r="BB46" s="304">
        <f>+AR46+AW46</f>
        <v>0</v>
      </c>
      <c r="BC46" s="304">
        <f t="shared" ref="BC46:BC53" si="105">+AS46+AX46</f>
        <v>0</v>
      </c>
      <c r="BD46" s="304">
        <f t="shared" ref="BD46:BD53" si="106">+AT46+AY46</f>
        <v>0</v>
      </c>
      <c r="BE46" s="304">
        <f>+AU46+AZ46</f>
        <v>0</v>
      </c>
      <c r="BF46" s="304">
        <f t="shared" ref="BF46:BF54" si="107">SUM(BB46:BE46)</f>
        <v>0</v>
      </c>
    </row>
    <row r="47" spans="1:58" ht="25.5" customHeight="1">
      <c r="A47" s="530"/>
      <c r="B47" s="297"/>
      <c r="C47" s="359" t="s">
        <v>448</v>
      </c>
      <c r="D47" s="360"/>
      <c r="E47" s="360"/>
      <c r="F47" s="360">
        <v>66408.17</v>
      </c>
      <c r="G47" s="360">
        <v>208907</v>
      </c>
      <c r="H47" s="360"/>
      <c r="I47" s="360"/>
      <c r="J47" s="360">
        <v>252130</v>
      </c>
      <c r="K47" s="360"/>
      <c r="L47" s="360"/>
      <c r="M47" s="360">
        <v>3531711.35</v>
      </c>
      <c r="N47" s="360">
        <f>1942541.56+592356+261872</f>
        <v>2796769.56</v>
      </c>
      <c r="O47" s="360"/>
      <c r="P47" s="360">
        <v>12724242.17</v>
      </c>
      <c r="Q47" s="360">
        <v>1079094.7</v>
      </c>
      <c r="R47" s="360"/>
      <c r="S47" s="360"/>
      <c r="T47" s="360"/>
      <c r="U47" s="360"/>
      <c r="V47" s="360">
        <v>1376940.02</v>
      </c>
      <c r="W47" s="360">
        <v>545720</v>
      </c>
      <c r="X47" s="360"/>
      <c r="Y47" s="360">
        <f t="shared" ref="Y47:AA53" si="108">+D47+G47+J47+M47+P47+S47+V47</f>
        <v>18093930.539999999</v>
      </c>
      <c r="Z47" s="360">
        <f t="shared" si="108"/>
        <v>4421584.26</v>
      </c>
      <c r="AA47" s="360">
        <f t="shared" si="108"/>
        <v>66408.17</v>
      </c>
      <c r="AB47" s="342">
        <f t="shared" si="24"/>
        <v>22581922.969999999</v>
      </c>
      <c r="AC47" s="304">
        <f t="shared" si="31"/>
        <v>5369688.3700000001</v>
      </c>
      <c r="AD47" s="304">
        <f t="shared" si="32"/>
        <v>3342489.56</v>
      </c>
      <c r="AE47" s="304">
        <f t="shared" si="33"/>
        <v>66408.17</v>
      </c>
      <c r="AF47" s="304">
        <f t="shared" si="34"/>
        <v>13803336.869999999</v>
      </c>
      <c r="AG47" s="304">
        <f t="shared" si="35"/>
        <v>22581922.969999999</v>
      </c>
      <c r="AH47" s="304">
        <f t="shared" si="12"/>
        <v>13803336.869999999</v>
      </c>
      <c r="AI47" s="304">
        <f t="shared" si="13"/>
        <v>8712177.9299999997</v>
      </c>
      <c r="AJ47" s="304">
        <f>+AI47*100/AI54</f>
        <v>42.425041283306868</v>
      </c>
      <c r="AK47" s="304">
        <f>+AH47*AJ47/100</f>
        <v>5856071.3655714178</v>
      </c>
      <c r="AL47" s="304">
        <f t="shared" si="102"/>
        <v>2020790.3389368972</v>
      </c>
      <c r="AM47" s="304">
        <f t="shared" si="102"/>
        <v>888010.55434747285</v>
      </c>
      <c r="AN47" s="304">
        <f t="shared" si="102"/>
        <v>0</v>
      </c>
      <c r="AO47" s="304">
        <f t="shared" si="102"/>
        <v>0</v>
      </c>
      <c r="AP47" s="298">
        <f t="shared" ref="AP47:AP53" si="109">SUM(AL47:AO47)</f>
        <v>2908800.8932843702</v>
      </c>
      <c r="AQ47" s="299">
        <v>964369.35</v>
      </c>
      <c r="AR47" s="304">
        <f t="shared" ref="AR47:AR53" si="110">+AC47+AL47</f>
        <v>7390478.7089368971</v>
      </c>
      <c r="AS47" s="304">
        <f t="shared" ref="AS47:AS53" si="111">+AD47+AM47</f>
        <v>4230500.1143474728</v>
      </c>
      <c r="AT47" s="304">
        <f t="shared" ref="AT47:AT53" si="112">+AE47+AN47+AQ47</f>
        <v>1030777.52</v>
      </c>
      <c r="AU47" s="304">
        <f t="shared" ref="AU47:AU53" si="113">+AK47+AO47</f>
        <v>5856071.3655714178</v>
      </c>
      <c r="AV47" s="347">
        <f t="shared" ref="AV47:AV53" si="114">SUM(AR47:AU47)</f>
        <v>18507827.708855785</v>
      </c>
      <c r="AW47" s="341">
        <f t="shared" si="103"/>
        <v>9458792.2939581461</v>
      </c>
      <c r="AX47" s="304">
        <f t="shared" si="103"/>
        <v>3941918.2858344312</v>
      </c>
      <c r="AY47" s="304">
        <f t="shared" si="103"/>
        <v>0</v>
      </c>
      <c r="AZ47" s="304">
        <f t="shared" si="103"/>
        <v>7226079.0657293294</v>
      </c>
      <c r="BA47" s="298">
        <f t="shared" si="104"/>
        <v>20626789.645521909</v>
      </c>
      <c r="BB47" s="304">
        <f t="shared" ref="BB47:BB53" si="115">+AR47+AW47</f>
        <v>16849271.002895042</v>
      </c>
      <c r="BC47" s="304">
        <f t="shared" si="105"/>
        <v>8172418.4001819044</v>
      </c>
      <c r="BD47" s="304">
        <f t="shared" si="106"/>
        <v>1030777.52</v>
      </c>
      <c r="BE47" s="304">
        <f t="shared" ref="BE47:BE53" si="116">+AU47+AZ47</f>
        <v>13082150.431300748</v>
      </c>
      <c r="BF47" s="304">
        <f t="shared" si="107"/>
        <v>39134617.354377694</v>
      </c>
    </row>
    <row r="48" spans="1:58" ht="25.5" customHeight="1">
      <c r="A48" s="530"/>
      <c r="B48" s="297"/>
      <c r="C48" s="359" t="s">
        <v>449</v>
      </c>
      <c r="D48" s="360"/>
      <c r="E48" s="360"/>
      <c r="F48" s="360"/>
      <c r="G48" s="360"/>
      <c r="H48" s="360"/>
      <c r="I48" s="360"/>
      <c r="J48" s="360"/>
      <c r="K48" s="360"/>
      <c r="L48" s="360"/>
      <c r="M48" s="360"/>
      <c r="N48" s="360"/>
      <c r="O48" s="360"/>
      <c r="P48" s="360"/>
      <c r="Q48" s="360"/>
      <c r="R48" s="360"/>
      <c r="S48" s="360"/>
      <c r="T48" s="360"/>
      <c r="U48" s="360"/>
      <c r="V48" s="360">
        <v>164190</v>
      </c>
      <c r="W48" s="360"/>
      <c r="X48" s="360"/>
      <c r="Y48" s="360">
        <f t="shared" si="108"/>
        <v>164190</v>
      </c>
      <c r="Z48" s="360">
        <f t="shared" si="108"/>
        <v>0</v>
      </c>
      <c r="AA48" s="360">
        <f t="shared" si="108"/>
        <v>0</v>
      </c>
      <c r="AB48" s="342">
        <f t="shared" si="24"/>
        <v>164190</v>
      </c>
      <c r="AC48" s="304">
        <f t="shared" si="31"/>
        <v>164190</v>
      </c>
      <c r="AD48" s="304">
        <f t="shared" si="32"/>
        <v>0</v>
      </c>
      <c r="AE48" s="304">
        <f t="shared" si="33"/>
        <v>0</v>
      </c>
      <c r="AF48" s="304">
        <f t="shared" si="34"/>
        <v>0</v>
      </c>
      <c r="AG48" s="304">
        <f t="shared" si="35"/>
        <v>164190</v>
      </c>
      <c r="AH48" s="304">
        <f t="shared" si="12"/>
        <v>0</v>
      </c>
      <c r="AI48" s="304">
        <f t="shared" si="13"/>
        <v>164190</v>
      </c>
      <c r="AJ48" s="304">
        <f>+AI48*100/AI54</f>
        <v>0.79954376325578025</v>
      </c>
      <c r="AK48" s="304">
        <f>+AH47*AJ48/100</f>
        <v>110363.71906527063</v>
      </c>
      <c r="AL48" s="304">
        <f t="shared" ref="AL48:AL53" si="117">AC210*AC48/AC68</f>
        <v>0</v>
      </c>
      <c r="AM48" s="304">
        <v>0</v>
      </c>
      <c r="AN48" s="304">
        <v>0</v>
      </c>
      <c r="AO48" s="304">
        <v>0</v>
      </c>
      <c r="AP48" s="298">
        <f t="shared" si="109"/>
        <v>0</v>
      </c>
      <c r="AQ48" s="299"/>
      <c r="AR48" s="304">
        <f t="shared" si="110"/>
        <v>164190</v>
      </c>
      <c r="AS48" s="304">
        <f t="shared" si="111"/>
        <v>0</v>
      </c>
      <c r="AT48" s="304">
        <f t="shared" si="112"/>
        <v>0</v>
      </c>
      <c r="AU48" s="304">
        <f t="shared" si="113"/>
        <v>110363.71906527063</v>
      </c>
      <c r="AV48" s="347">
        <f t="shared" si="114"/>
        <v>274553.71906527062</v>
      </c>
      <c r="AW48" s="341">
        <f t="shared" ref="AW48:AX52" si="118">+AC276*AR48/AR189</f>
        <v>181001.3614996167</v>
      </c>
      <c r="AX48" s="304">
        <f t="shared" si="118"/>
        <v>0</v>
      </c>
      <c r="AY48" s="304">
        <v>0</v>
      </c>
      <c r="AZ48" s="304">
        <f t="shared" ref="AZ48:AZ53" si="119">+AF276*AU48/AU189</f>
        <v>0</v>
      </c>
      <c r="BA48" s="298">
        <f t="shared" si="104"/>
        <v>181001.3614996167</v>
      </c>
      <c r="BB48" s="304">
        <f t="shared" si="115"/>
        <v>345191.3614996167</v>
      </c>
      <c r="BC48" s="304">
        <f t="shared" si="105"/>
        <v>0</v>
      </c>
      <c r="BD48" s="304">
        <f t="shared" si="106"/>
        <v>0</v>
      </c>
      <c r="BE48" s="304">
        <f t="shared" si="116"/>
        <v>110363.71906527063</v>
      </c>
      <c r="BF48" s="304">
        <f t="shared" si="107"/>
        <v>455555.08056488732</v>
      </c>
    </row>
    <row r="49" spans="1:58" ht="25.5" customHeight="1">
      <c r="A49" s="530"/>
      <c r="B49" s="297"/>
      <c r="C49" s="359" t="s">
        <v>450</v>
      </c>
      <c r="D49" s="360"/>
      <c r="E49" s="360"/>
      <c r="F49" s="360"/>
      <c r="G49" s="360"/>
      <c r="H49" s="360"/>
      <c r="I49" s="360"/>
      <c r="J49" s="360"/>
      <c r="K49" s="360"/>
      <c r="L49" s="360"/>
      <c r="M49" s="360"/>
      <c r="N49" s="360"/>
      <c r="O49" s="360"/>
      <c r="P49" s="360"/>
      <c r="Q49" s="360"/>
      <c r="R49" s="360"/>
      <c r="S49" s="360"/>
      <c r="T49" s="360"/>
      <c r="U49" s="360"/>
      <c r="V49" s="360">
        <v>561100</v>
      </c>
      <c r="W49" s="360">
        <v>75000</v>
      </c>
      <c r="X49" s="360"/>
      <c r="Y49" s="360">
        <f t="shared" si="108"/>
        <v>561100</v>
      </c>
      <c r="Z49" s="360">
        <f t="shared" si="108"/>
        <v>75000</v>
      </c>
      <c r="AA49" s="360">
        <f t="shared" si="108"/>
        <v>0</v>
      </c>
      <c r="AB49" s="342">
        <f t="shared" si="24"/>
        <v>636100</v>
      </c>
      <c r="AC49" s="304">
        <f t="shared" si="31"/>
        <v>561100</v>
      </c>
      <c r="AD49" s="304">
        <f t="shared" si="32"/>
        <v>75000</v>
      </c>
      <c r="AE49" s="304">
        <f t="shared" si="33"/>
        <v>0</v>
      </c>
      <c r="AF49" s="304">
        <f t="shared" si="34"/>
        <v>0</v>
      </c>
      <c r="AG49" s="304">
        <f t="shared" si="35"/>
        <v>636100</v>
      </c>
      <c r="AH49" s="304">
        <f t="shared" si="12"/>
        <v>0</v>
      </c>
      <c r="AI49" s="304">
        <f t="shared" si="13"/>
        <v>636100</v>
      </c>
      <c r="AJ49" s="304">
        <f>+AI49*100/AI54</f>
        <v>3.0975685961812647</v>
      </c>
      <c r="AK49" s="304">
        <f>+AH47*AJ49/100</f>
        <v>427567.82811022992</v>
      </c>
      <c r="AL49" s="304">
        <f t="shared" si="117"/>
        <v>0</v>
      </c>
      <c r="AM49" s="304">
        <f>AD211*AD49/AD69</f>
        <v>0</v>
      </c>
      <c r="AN49" s="304">
        <v>0</v>
      </c>
      <c r="AO49" s="304">
        <v>0</v>
      </c>
      <c r="AP49" s="298">
        <f t="shared" si="109"/>
        <v>0</v>
      </c>
      <c r="AQ49" s="299"/>
      <c r="AR49" s="304">
        <f t="shared" si="110"/>
        <v>561100</v>
      </c>
      <c r="AS49" s="304">
        <f t="shared" si="111"/>
        <v>75000</v>
      </c>
      <c r="AT49" s="304">
        <f t="shared" si="112"/>
        <v>0</v>
      </c>
      <c r="AU49" s="304">
        <f t="shared" si="113"/>
        <v>427567.82811022992</v>
      </c>
      <c r="AV49" s="347">
        <f t="shared" si="114"/>
        <v>1063667.8281102299</v>
      </c>
      <c r="AW49" s="341">
        <f t="shared" si="118"/>
        <v>984128.71867792367</v>
      </c>
      <c r="AX49" s="304">
        <f t="shared" si="118"/>
        <v>0</v>
      </c>
      <c r="AY49" s="304">
        <v>0</v>
      </c>
      <c r="AZ49" s="304">
        <f t="shared" si="119"/>
        <v>0</v>
      </c>
      <c r="BA49" s="298">
        <f t="shared" si="104"/>
        <v>984128.71867792367</v>
      </c>
      <c r="BB49" s="304">
        <f t="shared" si="115"/>
        <v>1545228.7186779235</v>
      </c>
      <c r="BC49" s="304">
        <f t="shared" si="105"/>
        <v>75000</v>
      </c>
      <c r="BD49" s="304">
        <f t="shared" si="106"/>
        <v>0</v>
      </c>
      <c r="BE49" s="304">
        <f t="shared" si="116"/>
        <v>427567.82811022992</v>
      </c>
      <c r="BF49" s="304">
        <f t="shared" si="107"/>
        <v>2047796.5467881535</v>
      </c>
    </row>
    <row r="50" spans="1:58" ht="25.5" customHeight="1">
      <c r="A50" s="530"/>
      <c r="B50" s="297"/>
      <c r="C50" s="359" t="s">
        <v>451</v>
      </c>
      <c r="D50" s="360">
        <v>6225000</v>
      </c>
      <c r="E50" s="360">
        <v>3540693.36</v>
      </c>
      <c r="F50" s="360"/>
      <c r="G50" s="360"/>
      <c r="H50" s="360"/>
      <c r="I50" s="360"/>
      <c r="J50" s="360"/>
      <c r="K50" s="360"/>
      <c r="L50" s="360"/>
      <c r="M50" s="360"/>
      <c r="N50" s="360"/>
      <c r="O50" s="360"/>
      <c r="P50" s="360"/>
      <c r="Q50" s="360"/>
      <c r="R50" s="360"/>
      <c r="S50" s="360"/>
      <c r="T50" s="360"/>
      <c r="U50" s="360"/>
      <c r="V50" s="360"/>
      <c r="W50" s="360"/>
      <c r="X50" s="360"/>
      <c r="Y50" s="360">
        <f t="shared" si="108"/>
        <v>6225000</v>
      </c>
      <c r="Z50" s="360">
        <f t="shared" si="108"/>
        <v>3540693.36</v>
      </c>
      <c r="AA50" s="360">
        <f t="shared" si="108"/>
        <v>0</v>
      </c>
      <c r="AB50" s="342">
        <f t="shared" si="24"/>
        <v>9765693.3599999994</v>
      </c>
      <c r="AC50" s="304">
        <f t="shared" si="31"/>
        <v>6225000</v>
      </c>
      <c r="AD50" s="304">
        <f t="shared" si="32"/>
        <v>3540693.36</v>
      </c>
      <c r="AE50" s="304">
        <f t="shared" si="33"/>
        <v>0</v>
      </c>
      <c r="AF50" s="304">
        <f t="shared" si="34"/>
        <v>0</v>
      </c>
      <c r="AG50" s="304">
        <f t="shared" si="35"/>
        <v>9765693.3599999994</v>
      </c>
      <c r="AH50" s="304">
        <f t="shared" si="12"/>
        <v>0</v>
      </c>
      <c r="AI50" s="304">
        <f t="shared" si="13"/>
        <v>9765693.3599999994</v>
      </c>
      <c r="AJ50" s="304">
        <f>+AI50*100/AI54</f>
        <v>47.555266580524915</v>
      </c>
      <c r="AK50" s="304">
        <f>+AH47*AJ50/100</f>
        <v>6564213.6455363836</v>
      </c>
      <c r="AL50" s="304">
        <f t="shared" si="117"/>
        <v>0</v>
      </c>
      <c r="AM50" s="304">
        <f>AD212*AD50/AD70</f>
        <v>277716.08270659501</v>
      </c>
      <c r="AN50" s="304">
        <v>0</v>
      </c>
      <c r="AO50" s="304">
        <v>0</v>
      </c>
      <c r="AP50" s="298">
        <f t="shared" si="109"/>
        <v>277716.08270659501</v>
      </c>
      <c r="AQ50" s="299"/>
      <c r="AR50" s="304">
        <f t="shared" si="110"/>
        <v>6225000</v>
      </c>
      <c r="AS50" s="304">
        <f t="shared" si="111"/>
        <v>3818409.4427065947</v>
      </c>
      <c r="AT50" s="304">
        <f t="shared" si="112"/>
        <v>0</v>
      </c>
      <c r="AU50" s="304">
        <f t="shared" si="113"/>
        <v>6564213.6455363836</v>
      </c>
      <c r="AV50" s="347">
        <f t="shared" si="114"/>
        <v>16607623.088242978</v>
      </c>
      <c r="AW50" s="341">
        <f t="shared" si="118"/>
        <v>22276899.189789217</v>
      </c>
      <c r="AX50" s="304">
        <f t="shared" si="118"/>
        <v>1294941.0245330238</v>
      </c>
      <c r="AY50" s="304">
        <f>+AE278*AT50/AT191</f>
        <v>0</v>
      </c>
      <c r="AZ50" s="304">
        <f t="shared" si="119"/>
        <v>0</v>
      </c>
      <c r="BA50" s="298">
        <f t="shared" si="104"/>
        <v>23571840.214322239</v>
      </c>
      <c r="BB50" s="304">
        <f t="shared" si="115"/>
        <v>28501899.189789217</v>
      </c>
      <c r="BC50" s="304">
        <f t="shared" si="105"/>
        <v>5113350.4672396183</v>
      </c>
      <c r="BD50" s="304">
        <f t="shared" si="106"/>
        <v>0</v>
      </c>
      <c r="BE50" s="304">
        <f t="shared" si="116"/>
        <v>6564213.6455363836</v>
      </c>
      <c r="BF50" s="304">
        <f t="shared" si="107"/>
        <v>40179463.302565224</v>
      </c>
    </row>
    <row r="51" spans="1:58" ht="25.5" customHeight="1">
      <c r="A51" s="530"/>
      <c r="B51" s="297"/>
      <c r="C51" s="359" t="s">
        <v>452</v>
      </c>
      <c r="D51" s="360"/>
      <c r="E51" s="360"/>
      <c r="F51" s="360"/>
      <c r="G51" s="360"/>
      <c r="H51" s="360"/>
      <c r="I51" s="360"/>
      <c r="J51" s="360"/>
      <c r="K51" s="360"/>
      <c r="L51" s="360"/>
      <c r="M51" s="360"/>
      <c r="N51" s="360"/>
      <c r="O51" s="360"/>
      <c r="P51" s="360"/>
      <c r="Q51" s="360"/>
      <c r="R51" s="360"/>
      <c r="S51" s="360">
        <v>300000</v>
      </c>
      <c r="T51" s="360"/>
      <c r="U51" s="360"/>
      <c r="V51" s="360"/>
      <c r="W51" s="360"/>
      <c r="X51" s="360"/>
      <c r="Y51" s="360">
        <f t="shared" si="108"/>
        <v>300000</v>
      </c>
      <c r="Z51" s="360">
        <f t="shared" si="108"/>
        <v>0</v>
      </c>
      <c r="AA51" s="360">
        <f t="shared" si="108"/>
        <v>0</v>
      </c>
      <c r="AB51" s="342">
        <f t="shared" si="24"/>
        <v>300000</v>
      </c>
      <c r="AC51" s="304">
        <f t="shared" si="31"/>
        <v>300000</v>
      </c>
      <c r="AD51" s="304">
        <f t="shared" si="32"/>
        <v>0</v>
      </c>
      <c r="AE51" s="304">
        <f t="shared" si="33"/>
        <v>0</v>
      </c>
      <c r="AF51" s="304">
        <f t="shared" si="34"/>
        <v>0</v>
      </c>
      <c r="AG51" s="304">
        <f t="shared" si="35"/>
        <v>300000</v>
      </c>
      <c r="AH51" s="304">
        <f t="shared" si="12"/>
        <v>0</v>
      </c>
      <c r="AI51" s="304">
        <f t="shared" si="13"/>
        <v>300000</v>
      </c>
      <c r="AJ51" s="304">
        <f>+AI51*100/AI54</f>
        <v>1.4608875630472873</v>
      </c>
      <c r="AK51" s="304">
        <f>+AH47*AJ51/100</f>
        <v>201651.2316193507</v>
      </c>
      <c r="AL51" s="304">
        <f t="shared" si="117"/>
        <v>0</v>
      </c>
      <c r="AM51" s="304">
        <f>AD213*AD51/AD71</f>
        <v>0</v>
      </c>
      <c r="AN51" s="304">
        <v>0</v>
      </c>
      <c r="AO51" s="304">
        <v>0</v>
      </c>
      <c r="AP51" s="298">
        <f t="shared" si="109"/>
        <v>0</v>
      </c>
      <c r="AQ51" s="299"/>
      <c r="AR51" s="304">
        <f t="shared" si="110"/>
        <v>300000</v>
      </c>
      <c r="AS51" s="304">
        <f t="shared" si="111"/>
        <v>0</v>
      </c>
      <c r="AT51" s="304">
        <f t="shared" si="112"/>
        <v>0</v>
      </c>
      <c r="AU51" s="304">
        <f t="shared" si="113"/>
        <v>201651.2316193507</v>
      </c>
      <c r="AV51" s="347">
        <f t="shared" si="114"/>
        <v>501651.23161935073</v>
      </c>
      <c r="AW51" s="341">
        <f t="shared" si="118"/>
        <v>0</v>
      </c>
      <c r="AX51" s="304">
        <f t="shared" si="118"/>
        <v>0</v>
      </c>
      <c r="AY51" s="304">
        <v>0</v>
      </c>
      <c r="AZ51" s="304">
        <f t="shared" si="119"/>
        <v>0</v>
      </c>
      <c r="BA51" s="298">
        <f t="shared" si="104"/>
        <v>0</v>
      </c>
      <c r="BB51" s="304">
        <f t="shared" si="115"/>
        <v>300000</v>
      </c>
      <c r="BC51" s="304">
        <f t="shared" si="105"/>
        <v>0</v>
      </c>
      <c r="BD51" s="304">
        <f t="shared" si="106"/>
        <v>0</v>
      </c>
      <c r="BE51" s="304">
        <f t="shared" si="116"/>
        <v>201651.2316193507</v>
      </c>
      <c r="BF51" s="304">
        <f t="shared" si="107"/>
        <v>501651.23161935073</v>
      </c>
    </row>
    <row r="52" spans="1:58" ht="25.5" customHeight="1">
      <c r="A52" s="530"/>
      <c r="B52" s="297"/>
      <c r="C52" s="359" t="s">
        <v>453</v>
      </c>
      <c r="D52" s="360"/>
      <c r="E52" s="360"/>
      <c r="F52" s="360"/>
      <c r="G52" s="360"/>
      <c r="H52" s="360"/>
      <c r="I52" s="360"/>
      <c r="J52" s="360"/>
      <c r="K52" s="360"/>
      <c r="L52" s="360"/>
      <c r="M52" s="360"/>
      <c r="N52" s="360"/>
      <c r="O52" s="360"/>
      <c r="P52" s="360"/>
      <c r="Q52" s="360"/>
      <c r="R52" s="360"/>
      <c r="S52" s="360">
        <v>957300</v>
      </c>
      <c r="T52" s="360"/>
      <c r="U52" s="360"/>
      <c r="V52" s="360"/>
      <c r="W52" s="360"/>
      <c r="X52" s="360"/>
      <c r="Y52" s="360">
        <f t="shared" si="108"/>
        <v>957300</v>
      </c>
      <c r="Z52" s="360">
        <f t="shared" si="108"/>
        <v>0</v>
      </c>
      <c r="AA52" s="360">
        <f t="shared" si="108"/>
        <v>0</v>
      </c>
      <c r="AB52" s="342">
        <f t="shared" si="24"/>
        <v>957300</v>
      </c>
      <c r="AC52" s="304">
        <f t="shared" si="31"/>
        <v>957300</v>
      </c>
      <c r="AD52" s="304">
        <f t="shared" si="32"/>
        <v>0</v>
      </c>
      <c r="AE52" s="304">
        <f t="shared" si="33"/>
        <v>0</v>
      </c>
      <c r="AF52" s="304">
        <f t="shared" si="34"/>
        <v>0</v>
      </c>
      <c r="AG52" s="304">
        <f t="shared" si="35"/>
        <v>957300</v>
      </c>
      <c r="AH52" s="304">
        <f t="shared" si="12"/>
        <v>0</v>
      </c>
      <c r="AI52" s="304">
        <f t="shared" si="13"/>
        <v>957300</v>
      </c>
      <c r="AJ52" s="304">
        <f>+AI52*100/AI54</f>
        <v>4.6616922136838932</v>
      </c>
      <c r="AK52" s="304">
        <f>+AH47*AJ52/100</f>
        <v>643469.08009734796</v>
      </c>
      <c r="AL52" s="304">
        <f t="shared" si="117"/>
        <v>0</v>
      </c>
      <c r="AM52" s="304">
        <v>0</v>
      </c>
      <c r="AN52" s="304">
        <v>0</v>
      </c>
      <c r="AO52" s="304">
        <v>0</v>
      </c>
      <c r="AP52" s="298">
        <f t="shared" si="109"/>
        <v>0</v>
      </c>
      <c r="AQ52" s="299"/>
      <c r="AR52" s="304">
        <f t="shared" si="110"/>
        <v>957300</v>
      </c>
      <c r="AS52" s="304">
        <f t="shared" si="111"/>
        <v>0</v>
      </c>
      <c r="AT52" s="304">
        <f t="shared" si="112"/>
        <v>0</v>
      </c>
      <c r="AU52" s="304">
        <f t="shared" si="113"/>
        <v>643469.08009734796</v>
      </c>
      <c r="AV52" s="347">
        <f t="shared" si="114"/>
        <v>1600769.080097348</v>
      </c>
      <c r="AW52" s="341">
        <f t="shared" si="118"/>
        <v>0</v>
      </c>
      <c r="AX52" s="304">
        <f t="shared" si="118"/>
        <v>0</v>
      </c>
      <c r="AY52" s="304">
        <v>0</v>
      </c>
      <c r="AZ52" s="304">
        <f t="shared" si="119"/>
        <v>0</v>
      </c>
      <c r="BA52" s="298">
        <f t="shared" si="104"/>
        <v>0</v>
      </c>
      <c r="BB52" s="304">
        <f t="shared" si="115"/>
        <v>957300</v>
      </c>
      <c r="BC52" s="304">
        <f t="shared" si="105"/>
        <v>0</v>
      </c>
      <c r="BD52" s="304">
        <f t="shared" si="106"/>
        <v>0</v>
      </c>
      <c r="BE52" s="304">
        <f t="shared" si="116"/>
        <v>643469.08009734796</v>
      </c>
      <c r="BF52" s="304">
        <f t="shared" si="107"/>
        <v>1600769.080097348</v>
      </c>
    </row>
    <row r="53" spans="1:58" ht="25.5" customHeight="1">
      <c r="A53" s="530"/>
      <c r="B53" s="297"/>
      <c r="C53" s="359" t="s">
        <v>454</v>
      </c>
      <c r="D53" s="360"/>
      <c r="E53" s="360"/>
      <c r="F53" s="360"/>
      <c r="G53" s="360"/>
      <c r="H53" s="360"/>
      <c r="I53" s="360"/>
      <c r="J53" s="360"/>
      <c r="K53" s="360"/>
      <c r="L53" s="360"/>
      <c r="M53" s="360"/>
      <c r="N53" s="360"/>
      <c r="O53" s="360"/>
      <c r="P53" s="360"/>
      <c r="Q53" s="360"/>
      <c r="R53" s="360"/>
      <c r="S53" s="360"/>
      <c r="T53" s="360"/>
      <c r="U53" s="360"/>
      <c r="V53" s="360"/>
      <c r="W53" s="360"/>
      <c r="X53" s="360"/>
      <c r="Y53" s="360">
        <f t="shared" si="108"/>
        <v>0</v>
      </c>
      <c r="Z53" s="360">
        <f t="shared" si="108"/>
        <v>0</v>
      </c>
      <c r="AA53" s="360">
        <f t="shared" si="108"/>
        <v>0</v>
      </c>
      <c r="AB53" s="342">
        <f t="shared" si="24"/>
        <v>0</v>
      </c>
      <c r="AC53" s="304">
        <f t="shared" si="31"/>
        <v>0</v>
      </c>
      <c r="AD53" s="304">
        <f t="shared" si="32"/>
        <v>0</v>
      </c>
      <c r="AE53" s="304">
        <f t="shared" si="33"/>
        <v>0</v>
      </c>
      <c r="AF53" s="304">
        <f t="shared" si="34"/>
        <v>0</v>
      </c>
      <c r="AG53" s="304">
        <f t="shared" si="35"/>
        <v>0</v>
      </c>
      <c r="AH53" s="304">
        <f t="shared" si="12"/>
        <v>0</v>
      </c>
      <c r="AI53" s="304">
        <f t="shared" si="13"/>
        <v>0</v>
      </c>
      <c r="AJ53" s="304">
        <f>+AI53*100/AI54</f>
        <v>0</v>
      </c>
      <c r="AK53" s="304">
        <f>+AH47*AJ53/100</f>
        <v>0</v>
      </c>
      <c r="AL53" s="304">
        <f t="shared" si="117"/>
        <v>0</v>
      </c>
      <c r="AM53" s="304">
        <v>0</v>
      </c>
      <c r="AN53" s="304">
        <v>0</v>
      </c>
      <c r="AO53" s="304">
        <v>0</v>
      </c>
      <c r="AP53" s="298">
        <f t="shared" si="109"/>
        <v>0</v>
      </c>
      <c r="AQ53" s="299"/>
      <c r="AR53" s="304">
        <f t="shared" si="110"/>
        <v>0</v>
      </c>
      <c r="AS53" s="304">
        <f t="shared" si="111"/>
        <v>0</v>
      </c>
      <c r="AT53" s="304">
        <f t="shared" si="112"/>
        <v>0</v>
      </c>
      <c r="AU53" s="304">
        <f t="shared" si="113"/>
        <v>0</v>
      </c>
      <c r="AV53" s="347">
        <f t="shared" si="114"/>
        <v>0</v>
      </c>
      <c r="AW53" s="341">
        <f>+AC281*AR53/AR194</f>
        <v>0</v>
      </c>
      <c r="AX53" s="304">
        <v>0</v>
      </c>
      <c r="AY53" s="304">
        <v>0</v>
      </c>
      <c r="AZ53" s="304">
        <f t="shared" si="119"/>
        <v>0</v>
      </c>
      <c r="BA53" s="298">
        <f t="shared" si="104"/>
        <v>0</v>
      </c>
      <c r="BB53" s="304">
        <f t="shared" si="115"/>
        <v>0</v>
      </c>
      <c r="BC53" s="304">
        <f t="shared" si="105"/>
        <v>0</v>
      </c>
      <c r="BD53" s="304">
        <f t="shared" si="106"/>
        <v>0</v>
      </c>
      <c r="BE53" s="304">
        <f t="shared" si="116"/>
        <v>0</v>
      </c>
      <c r="BF53" s="304">
        <f t="shared" si="107"/>
        <v>0</v>
      </c>
    </row>
    <row r="54" spans="1:58" ht="25.5" customHeight="1">
      <c r="A54" s="530"/>
      <c r="B54" s="297"/>
      <c r="C54" s="338" t="s">
        <v>455</v>
      </c>
      <c r="D54" s="360">
        <f>SUM(D46:D53)</f>
        <v>6225000</v>
      </c>
      <c r="E54" s="360">
        <f t="shared" ref="E54:AA54" si="120">SUM(E46:E53)</f>
        <v>3540693.36</v>
      </c>
      <c r="F54" s="360">
        <f t="shared" si="120"/>
        <v>66408.17</v>
      </c>
      <c r="G54" s="360">
        <f t="shared" si="120"/>
        <v>208907</v>
      </c>
      <c r="H54" s="360">
        <f t="shared" si="120"/>
        <v>0</v>
      </c>
      <c r="I54" s="360">
        <f t="shared" si="120"/>
        <v>0</v>
      </c>
      <c r="J54" s="360">
        <f t="shared" si="120"/>
        <v>252130</v>
      </c>
      <c r="K54" s="360">
        <f t="shared" si="120"/>
        <v>0</v>
      </c>
      <c r="L54" s="360">
        <f t="shared" si="120"/>
        <v>0</v>
      </c>
      <c r="M54" s="360">
        <f t="shared" si="120"/>
        <v>3531711.35</v>
      </c>
      <c r="N54" s="360">
        <f t="shared" si="120"/>
        <v>2796769.56</v>
      </c>
      <c r="O54" s="360">
        <f t="shared" si="120"/>
        <v>0</v>
      </c>
      <c r="P54" s="360">
        <f t="shared" si="120"/>
        <v>12724242.17</v>
      </c>
      <c r="Q54" s="360">
        <f t="shared" si="120"/>
        <v>1079094.7</v>
      </c>
      <c r="R54" s="360">
        <f t="shared" si="120"/>
        <v>0</v>
      </c>
      <c r="S54" s="360">
        <f t="shared" si="120"/>
        <v>1257300</v>
      </c>
      <c r="T54" s="360">
        <f t="shared" si="120"/>
        <v>0</v>
      </c>
      <c r="U54" s="360">
        <f t="shared" si="120"/>
        <v>0</v>
      </c>
      <c r="V54" s="360">
        <f t="shared" si="120"/>
        <v>2102230.02</v>
      </c>
      <c r="W54" s="360">
        <f t="shared" si="120"/>
        <v>620720</v>
      </c>
      <c r="X54" s="360">
        <f t="shared" si="120"/>
        <v>0</v>
      </c>
      <c r="Y54" s="360">
        <f t="shared" si="120"/>
        <v>26301520.539999999</v>
      </c>
      <c r="Z54" s="360">
        <f t="shared" si="120"/>
        <v>8037277.6199999992</v>
      </c>
      <c r="AA54" s="360">
        <f t="shared" si="120"/>
        <v>66408.17</v>
      </c>
      <c r="AB54" s="342">
        <f t="shared" si="24"/>
        <v>34405206.329999998</v>
      </c>
      <c r="AC54" s="304">
        <f t="shared" si="31"/>
        <v>13577278.369999999</v>
      </c>
      <c r="AD54" s="304">
        <f t="shared" si="32"/>
        <v>6958182.9199999999</v>
      </c>
      <c r="AE54" s="304">
        <f t="shared" si="33"/>
        <v>66408.17</v>
      </c>
      <c r="AF54" s="304">
        <f t="shared" si="34"/>
        <v>13803336.869999999</v>
      </c>
      <c r="AG54" s="304">
        <f t="shared" si="35"/>
        <v>34405206.329999998</v>
      </c>
      <c r="AH54" s="304">
        <f t="shared" si="12"/>
        <v>13803336.869999999</v>
      </c>
      <c r="AI54" s="304">
        <f t="shared" si="13"/>
        <v>20535461.289999999</v>
      </c>
      <c r="AJ54" s="304">
        <f>SUM(AJ46:AJ53)</f>
        <v>100.00000000000001</v>
      </c>
      <c r="AK54" s="304">
        <f>SUM(AK46:AK53)</f>
        <v>13803336.870000001</v>
      </c>
      <c r="AL54" s="304">
        <f>SUM(AL46:AL53)</f>
        <v>2020790.3389368972</v>
      </c>
      <c r="AM54" s="304">
        <f t="shared" ref="AM54:AO54" si="121">SUM(AM46:AM53)</f>
        <v>1165726.6370540678</v>
      </c>
      <c r="AN54" s="304">
        <f t="shared" si="121"/>
        <v>0</v>
      </c>
      <c r="AO54" s="304">
        <f t="shared" si="121"/>
        <v>0</v>
      </c>
      <c r="AP54" s="298">
        <f>SUM(AP46:AP53)</f>
        <v>3186516.975990965</v>
      </c>
      <c r="AQ54" s="299">
        <f>SUM(AQ46:AQ53)</f>
        <v>964369.35</v>
      </c>
      <c r="AR54" s="304">
        <f>SUM(AR46:AR53)</f>
        <v>15598068.708936896</v>
      </c>
      <c r="AS54" s="304">
        <f>SUM(AS46:AS53)</f>
        <v>8123909.557054067</v>
      </c>
      <c r="AT54" s="304">
        <f t="shared" ref="AT54" si="122">SUM(AT46:AT53)</f>
        <v>1030777.52</v>
      </c>
      <c r="AU54" s="304">
        <f t="shared" ref="AU54" si="123">SUM(AU46:AU53)</f>
        <v>13803336.870000001</v>
      </c>
      <c r="AV54" s="347">
        <f>SUM(AR54:AU54)</f>
        <v>38556092.655990966</v>
      </c>
      <c r="AW54" s="341">
        <f>SUM(AW46:AW53)</f>
        <v>32900821.563924901</v>
      </c>
      <c r="AX54" s="304">
        <f>SUM(AX46:AX53)</f>
        <v>5236859.3103674548</v>
      </c>
      <c r="AY54" s="304">
        <f>SUM(AY46:AY53)</f>
        <v>0</v>
      </c>
      <c r="AZ54" s="304">
        <f>SUM(AZ46:AZ53)</f>
        <v>7226079.0657293294</v>
      </c>
      <c r="BA54" s="298">
        <f t="shared" si="104"/>
        <v>45363759.940021686</v>
      </c>
      <c r="BB54" s="336">
        <f>SUM(BB46:BB53)</f>
        <v>48498890.272861794</v>
      </c>
      <c r="BC54" s="304">
        <f>SUM(BC46:BC53)</f>
        <v>13360768.867421523</v>
      </c>
      <c r="BD54" s="304">
        <f>SUM(BD46:BD53)</f>
        <v>1030777.52</v>
      </c>
      <c r="BE54" s="304">
        <f>SUM(BE46:BE53)</f>
        <v>21029415.935729332</v>
      </c>
      <c r="BF54" s="304">
        <f t="shared" si="107"/>
        <v>83919852.596012652</v>
      </c>
    </row>
    <row r="55" spans="1:58" ht="25.5" customHeight="1">
      <c r="A55" s="530">
        <v>6</v>
      </c>
      <c r="B55" s="297" t="s">
        <v>162</v>
      </c>
      <c r="C55" s="627" t="s">
        <v>60</v>
      </c>
      <c r="D55" s="627"/>
      <c r="E55" s="627"/>
      <c r="F55" s="627"/>
      <c r="G55" s="627"/>
      <c r="H55" s="627"/>
      <c r="I55" s="627"/>
      <c r="J55" s="627"/>
      <c r="K55" s="627"/>
      <c r="L55" s="627"/>
      <c r="M55" s="627"/>
      <c r="N55" s="627"/>
      <c r="O55" s="627"/>
      <c r="P55" s="627"/>
      <c r="Q55" s="627"/>
      <c r="R55" s="627"/>
      <c r="S55" s="627"/>
      <c r="T55" s="627"/>
      <c r="U55" s="627"/>
      <c r="V55" s="627"/>
      <c r="W55" s="627"/>
      <c r="X55" s="627"/>
      <c r="Y55" s="627"/>
      <c r="Z55" s="627"/>
      <c r="AA55" s="627"/>
      <c r="AB55" s="342">
        <f t="shared" si="24"/>
        <v>0</v>
      </c>
      <c r="AC55" s="304">
        <f t="shared" si="31"/>
        <v>0</v>
      </c>
      <c r="AD55" s="304">
        <f t="shared" si="32"/>
        <v>0</v>
      </c>
      <c r="AE55" s="304">
        <f t="shared" si="33"/>
        <v>0</v>
      </c>
      <c r="AF55" s="304">
        <f t="shared" si="34"/>
        <v>0</v>
      </c>
      <c r="AG55" s="304">
        <f t="shared" si="35"/>
        <v>0</v>
      </c>
      <c r="AH55" s="304">
        <f t="shared" si="12"/>
        <v>0</v>
      </c>
      <c r="AI55" s="304">
        <f t="shared" si="13"/>
        <v>0</v>
      </c>
      <c r="AJ55" s="303"/>
      <c r="AK55" s="303"/>
      <c r="AL55" s="303"/>
      <c r="AM55" s="303"/>
      <c r="AN55" s="303"/>
      <c r="AO55" s="303"/>
      <c r="AP55" s="308"/>
      <c r="AQ55" s="303"/>
      <c r="AR55" s="303"/>
      <c r="AS55" s="303"/>
      <c r="AT55" s="303"/>
      <c r="AU55" s="303"/>
      <c r="AV55" s="346"/>
      <c r="AW55" s="340"/>
      <c r="AX55" s="303"/>
      <c r="AY55" s="303"/>
      <c r="AZ55" s="303"/>
      <c r="BA55" s="308"/>
      <c r="BB55" s="321"/>
      <c r="BC55" s="303"/>
      <c r="BD55" s="303"/>
      <c r="BE55" s="303"/>
      <c r="BF55" s="303"/>
    </row>
    <row r="56" spans="1:58" ht="25.5" customHeight="1">
      <c r="A56" s="530"/>
      <c r="B56" s="297"/>
      <c r="C56" s="359" t="s">
        <v>447</v>
      </c>
      <c r="D56" s="299"/>
      <c r="E56" s="299"/>
      <c r="F56" s="299"/>
      <c r="G56" s="299"/>
      <c r="H56" s="299"/>
      <c r="I56" s="299"/>
      <c r="J56" s="299"/>
      <c r="K56" s="299"/>
      <c r="L56" s="299"/>
      <c r="M56" s="299"/>
      <c r="N56" s="299"/>
      <c r="O56" s="299"/>
      <c r="P56" s="299"/>
      <c r="Q56" s="299"/>
      <c r="R56" s="299"/>
      <c r="S56" s="299"/>
      <c r="T56" s="299"/>
      <c r="U56" s="299"/>
      <c r="V56" s="299"/>
      <c r="W56" s="299"/>
      <c r="X56" s="299"/>
      <c r="Y56" s="360">
        <f>+D56+G56+J56+M56+P56+S56+V56</f>
        <v>0</v>
      </c>
      <c r="Z56" s="360">
        <f>+E56+H56+K56+N56+Q56+T56+W56</f>
        <v>0</v>
      </c>
      <c r="AA56" s="360">
        <f>+F56+I56+L56+O56+R56+U56+X56</f>
        <v>0</v>
      </c>
      <c r="AB56" s="342">
        <f t="shared" si="24"/>
        <v>0</v>
      </c>
      <c r="AC56" s="304">
        <f t="shared" si="31"/>
        <v>0</v>
      </c>
      <c r="AD56" s="304">
        <f t="shared" si="32"/>
        <v>0</v>
      </c>
      <c r="AE56" s="304">
        <f t="shared" si="33"/>
        <v>0</v>
      </c>
      <c r="AF56" s="304">
        <f t="shared" si="34"/>
        <v>0</v>
      </c>
      <c r="AG56" s="304">
        <f t="shared" si="35"/>
        <v>0</v>
      </c>
      <c r="AH56" s="304">
        <f t="shared" si="12"/>
        <v>0</v>
      </c>
      <c r="AI56" s="304">
        <f t="shared" si="13"/>
        <v>0</v>
      </c>
      <c r="AJ56" s="304">
        <f>+AI56*100/AI64</f>
        <v>0</v>
      </c>
      <c r="AK56" s="304">
        <f>+AH57*AJ56/100</f>
        <v>0</v>
      </c>
      <c r="AL56" s="304">
        <f t="shared" ref="AL56:AO57" si="124">AC208*AC56/AC66</f>
        <v>0</v>
      </c>
      <c r="AM56" s="304">
        <f t="shared" si="124"/>
        <v>0</v>
      </c>
      <c r="AN56" s="304">
        <f t="shared" si="124"/>
        <v>0</v>
      </c>
      <c r="AO56" s="304">
        <f t="shared" si="124"/>
        <v>0</v>
      </c>
      <c r="AP56" s="298">
        <f t="shared" ref="AP56:AP63" si="125">SUM(AL56:AO56)</f>
        <v>0</v>
      </c>
      <c r="AQ56" s="299"/>
      <c r="AR56" s="304">
        <f>+AC56+AL56</f>
        <v>0</v>
      </c>
      <c r="AS56" s="304">
        <f>+AD56+AM56</f>
        <v>0</v>
      </c>
      <c r="AT56" s="304">
        <f>+AE56+AN56+AQ56</f>
        <v>0</v>
      </c>
      <c r="AU56" s="304">
        <f>+AK56+AO56</f>
        <v>0</v>
      </c>
      <c r="AV56" s="347">
        <f>SUM(AR56:AU56)</f>
        <v>0</v>
      </c>
      <c r="AW56" s="341">
        <f t="shared" ref="AW56:AZ57" si="126">+AC274*AR56/AR187</f>
        <v>0</v>
      </c>
      <c r="AX56" s="304">
        <f t="shared" si="126"/>
        <v>0</v>
      </c>
      <c r="AY56" s="304">
        <f t="shared" si="126"/>
        <v>0</v>
      </c>
      <c r="AZ56" s="304">
        <f t="shared" si="126"/>
        <v>0</v>
      </c>
      <c r="BA56" s="298">
        <f t="shared" ref="BA56:BA64" si="127">SUM(AW56:AZ56)</f>
        <v>0</v>
      </c>
      <c r="BB56" s="304">
        <f>+AR56+AW56</f>
        <v>0</v>
      </c>
      <c r="BC56" s="304">
        <f t="shared" ref="BC56:BC63" si="128">+AS56+AX56</f>
        <v>0</v>
      </c>
      <c r="BD56" s="304">
        <f t="shared" ref="BD56:BD63" si="129">+AT56+AY56</f>
        <v>0</v>
      </c>
      <c r="BE56" s="304">
        <f>+AU56+AZ56</f>
        <v>0</v>
      </c>
      <c r="BF56" s="304">
        <f t="shared" ref="BF56:BF64" si="130">SUM(BB56:BE56)</f>
        <v>0</v>
      </c>
    </row>
    <row r="57" spans="1:58" ht="25.5" customHeight="1">
      <c r="A57" s="530"/>
      <c r="B57" s="297"/>
      <c r="C57" s="359" t="s">
        <v>448</v>
      </c>
      <c r="D57" s="299"/>
      <c r="E57" s="299"/>
      <c r="F57" s="299">
        <v>34557.24</v>
      </c>
      <c r="G57" s="299">
        <v>145885</v>
      </c>
      <c r="H57" s="299"/>
      <c r="I57" s="299"/>
      <c r="J57" s="299">
        <v>37277</v>
      </c>
      <c r="K57" s="299"/>
      <c r="L57" s="299"/>
      <c r="M57" s="299">
        <f>2957533.24+1572589.56</f>
        <v>4530122.8000000007</v>
      </c>
      <c r="N57" s="299">
        <f>250895.01+9500+7000</f>
        <v>267395.01</v>
      </c>
      <c r="O57" s="299"/>
      <c r="P57" s="299">
        <v>10724009.9</v>
      </c>
      <c r="Q57" s="299">
        <v>1191147.6499999999</v>
      </c>
      <c r="R57" s="299"/>
      <c r="S57" s="299"/>
      <c r="T57" s="299"/>
      <c r="U57" s="299"/>
      <c r="V57" s="299">
        <f>1215642+85400</f>
        <v>1301042</v>
      </c>
      <c r="W57" s="299">
        <f>165350+9700+217050</f>
        <v>392100</v>
      </c>
      <c r="X57" s="299"/>
      <c r="Y57" s="360">
        <f t="shared" ref="Y57:AA63" si="131">+D57+G57+J57+M57+P57+S57+V57</f>
        <v>16738336.700000001</v>
      </c>
      <c r="Z57" s="360">
        <f t="shared" si="131"/>
        <v>1850642.66</v>
      </c>
      <c r="AA57" s="360">
        <f t="shared" si="131"/>
        <v>34557.24</v>
      </c>
      <c r="AB57" s="342">
        <f t="shared" si="24"/>
        <v>18623536.599999998</v>
      </c>
      <c r="AC57" s="304">
        <f t="shared" si="31"/>
        <v>6014326.8000000007</v>
      </c>
      <c r="AD57" s="304">
        <f t="shared" si="32"/>
        <v>659495.01</v>
      </c>
      <c r="AE57" s="304">
        <f t="shared" si="33"/>
        <v>34557.24</v>
      </c>
      <c r="AF57" s="304">
        <f t="shared" si="34"/>
        <v>11915157.550000001</v>
      </c>
      <c r="AG57" s="304">
        <f t="shared" si="35"/>
        <v>18623536.600000001</v>
      </c>
      <c r="AH57" s="304">
        <f t="shared" si="12"/>
        <v>11915157.550000001</v>
      </c>
      <c r="AI57" s="304">
        <f t="shared" si="13"/>
        <v>6673821.8100000005</v>
      </c>
      <c r="AJ57" s="304">
        <f>+AI57*100/AI64</f>
        <v>38.212540297964573</v>
      </c>
      <c r="AK57" s="304">
        <f>+AH57*AJ57/100</f>
        <v>4553084.3803597186</v>
      </c>
      <c r="AL57" s="304">
        <f t="shared" si="124"/>
        <v>2263388.9818543168</v>
      </c>
      <c r="AM57" s="304">
        <f t="shared" si="124"/>
        <v>175210.27931632259</v>
      </c>
      <c r="AN57" s="304">
        <f t="shared" si="124"/>
        <v>0</v>
      </c>
      <c r="AO57" s="304">
        <f t="shared" si="124"/>
        <v>0</v>
      </c>
      <c r="AP57" s="298">
        <f t="shared" si="125"/>
        <v>2438599.2611706392</v>
      </c>
      <c r="AQ57" s="299">
        <v>501834.96</v>
      </c>
      <c r="AR57" s="304">
        <f t="shared" ref="AR57:AR63" si="132">+AC57+AL57</f>
        <v>8277715.7818543175</v>
      </c>
      <c r="AS57" s="304">
        <f t="shared" ref="AS57:AS63" si="133">+AD57+AM57</f>
        <v>834705.28931632265</v>
      </c>
      <c r="AT57" s="304">
        <f t="shared" ref="AT57:AT63" si="134">+AE57+AN57+AQ57</f>
        <v>536392.20000000007</v>
      </c>
      <c r="AU57" s="304">
        <f t="shared" ref="AU57:AU63" si="135">+AK57+AO57</f>
        <v>4553084.3803597186</v>
      </c>
      <c r="AV57" s="347">
        <f t="shared" ref="AV57:AV63" si="136">SUM(AR57:AU57)</f>
        <v>14201897.651530357</v>
      </c>
      <c r="AW57" s="341">
        <f t="shared" si="126"/>
        <v>10594333.240456922</v>
      </c>
      <c r="AX57" s="304">
        <f t="shared" si="126"/>
        <v>777766.21068505629</v>
      </c>
      <c r="AY57" s="304">
        <f t="shared" si="126"/>
        <v>0</v>
      </c>
      <c r="AZ57" s="304">
        <f t="shared" si="126"/>
        <v>5618262.7689350536</v>
      </c>
      <c r="BA57" s="298">
        <f t="shared" si="127"/>
        <v>16990362.22007703</v>
      </c>
      <c r="BB57" s="304">
        <f t="shared" ref="BB57:BB63" si="137">+AR57+AW57</f>
        <v>18872049.02231124</v>
      </c>
      <c r="BC57" s="304">
        <f t="shared" si="128"/>
        <v>1612471.5000013788</v>
      </c>
      <c r="BD57" s="304">
        <f t="shared" si="129"/>
        <v>536392.20000000007</v>
      </c>
      <c r="BE57" s="304">
        <f t="shared" ref="BE57:BE63" si="138">+AU57+AZ57</f>
        <v>10171347.149294771</v>
      </c>
      <c r="BF57" s="304">
        <f t="shared" si="130"/>
        <v>31192259.871607389</v>
      </c>
    </row>
    <row r="58" spans="1:58" ht="25.5" customHeight="1">
      <c r="A58" s="530"/>
      <c r="B58" s="297"/>
      <c r="C58" s="359" t="s">
        <v>449</v>
      </c>
      <c r="D58" s="299"/>
      <c r="E58" s="299"/>
      <c r="F58" s="299"/>
      <c r="G58" s="299"/>
      <c r="H58" s="299"/>
      <c r="I58" s="299"/>
      <c r="J58" s="299"/>
      <c r="K58" s="299"/>
      <c r="L58" s="299"/>
      <c r="M58" s="299"/>
      <c r="N58" s="299"/>
      <c r="O58" s="299"/>
      <c r="P58" s="299"/>
      <c r="Q58" s="299"/>
      <c r="R58" s="299"/>
      <c r="S58" s="299"/>
      <c r="T58" s="299"/>
      <c r="U58" s="299"/>
      <c r="V58" s="299">
        <v>72700</v>
      </c>
      <c r="W58" s="299"/>
      <c r="X58" s="299"/>
      <c r="Y58" s="360">
        <f t="shared" si="131"/>
        <v>72700</v>
      </c>
      <c r="Z58" s="360">
        <f t="shared" si="131"/>
        <v>0</v>
      </c>
      <c r="AA58" s="360">
        <f t="shared" si="131"/>
        <v>0</v>
      </c>
      <c r="AB58" s="342">
        <f t="shared" si="24"/>
        <v>72700</v>
      </c>
      <c r="AC58" s="304">
        <f t="shared" si="31"/>
        <v>72700</v>
      </c>
      <c r="AD58" s="304">
        <f t="shared" si="32"/>
        <v>0</v>
      </c>
      <c r="AE58" s="304">
        <f t="shared" si="33"/>
        <v>0</v>
      </c>
      <c r="AF58" s="304">
        <f t="shared" si="34"/>
        <v>0</v>
      </c>
      <c r="AG58" s="304">
        <f t="shared" si="35"/>
        <v>72700</v>
      </c>
      <c r="AH58" s="304">
        <f t="shared" si="12"/>
        <v>0</v>
      </c>
      <c r="AI58" s="304">
        <f t="shared" si="13"/>
        <v>72700</v>
      </c>
      <c r="AJ58" s="304">
        <f>+AI58*100/AI64</f>
        <v>0.41626099089121832</v>
      </c>
      <c r="AK58" s="304">
        <f>+AH57*AJ58/100</f>
        <v>49598.152883879811</v>
      </c>
      <c r="AL58" s="304">
        <f t="shared" ref="AL58:AL63" si="139">AC210*AC58/AC68</f>
        <v>0</v>
      </c>
      <c r="AM58" s="304">
        <v>0</v>
      </c>
      <c r="AN58" s="304">
        <v>0</v>
      </c>
      <c r="AO58" s="304">
        <v>0</v>
      </c>
      <c r="AP58" s="298">
        <f t="shared" si="125"/>
        <v>0</v>
      </c>
      <c r="AQ58" s="299"/>
      <c r="AR58" s="304">
        <f t="shared" si="132"/>
        <v>72700</v>
      </c>
      <c r="AS58" s="304">
        <f t="shared" si="133"/>
        <v>0</v>
      </c>
      <c r="AT58" s="304">
        <f t="shared" si="134"/>
        <v>0</v>
      </c>
      <c r="AU58" s="304">
        <f t="shared" si="135"/>
        <v>49598.152883879811</v>
      </c>
      <c r="AV58" s="347">
        <f t="shared" si="136"/>
        <v>122298.15288387981</v>
      </c>
      <c r="AW58" s="341">
        <f t="shared" ref="AW58:AX62" si="140">+AC276*AR58/AR189</f>
        <v>80143.729709617721</v>
      </c>
      <c r="AX58" s="304">
        <f t="shared" si="140"/>
        <v>0</v>
      </c>
      <c r="AY58" s="304">
        <v>0</v>
      </c>
      <c r="AZ58" s="304">
        <f t="shared" ref="AZ58:AZ63" si="141">+AF276*AU58/AU189</f>
        <v>0</v>
      </c>
      <c r="BA58" s="298">
        <f t="shared" si="127"/>
        <v>80143.729709617721</v>
      </c>
      <c r="BB58" s="304">
        <f t="shared" si="137"/>
        <v>152843.72970961774</v>
      </c>
      <c r="BC58" s="304">
        <f t="shared" si="128"/>
        <v>0</v>
      </c>
      <c r="BD58" s="304">
        <f t="shared" si="129"/>
        <v>0</v>
      </c>
      <c r="BE58" s="304">
        <f t="shared" si="138"/>
        <v>49598.152883879811</v>
      </c>
      <c r="BF58" s="304">
        <f t="shared" si="130"/>
        <v>202441.88259349755</v>
      </c>
    </row>
    <row r="59" spans="1:58" ht="25.5" customHeight="1">
      <c r="A59" s="530"/>
      <c r="B59" s="297"/>
      <c r="C59" s="359" t="s">
        <v>450</v>
      </c>
      <c r="D59" s="299"/>
      <c r="E59" s="299"/>
      <c r="F59" s="299"/>
      <c r="G59" s="299"/>
      <c r="H59" s="299"/>
      <c r="I59" s="299"/>
      <c r="J59" s="299"/>
      <c r="K59" s="299"/>
      <c r="L59" s="299"/>
      <c r="M59" s="299"/>
      <c r="N59" s="299"/>
      <c r="O59" s="299"/>
      <c r="P59" s="299"/>
      <c r="Q59" s="299"/>
      <c r="R59" s="299"/>
      <c r="S59" s="299"/>
      <c r="T59" s="299"/>
      <c r="U59" s="299"/>
      <c r="V59" s="299">
        <v>601643.80000000005</v>
      </c>
      <c r="W59" s="299">
        <v>117595</v>
      </c>
      <c r="X59" s="299"/>
      <c r="Y59" s="360">
        <f t="shared" si="131"/>
        <v>601643.80000000005</v>
      </c>
      <c r="Z59" s="360">
        <f t="shared" si="131"/>
        <v>117595</v>
      </c>
      <c r="AA59" s="360">
        <f t="shared" si="131"/>
        <v>0</v>
      </c>
      <c r="AB59" s="342">
        <f t="shared" si="24"/>
        <v>719238.8</v>
      </c>
      <c r="AC59" s="304">
        <f t="shared" si="31"/>
        <v>601643.80000000005</v>
      </c>
      <c r="AD59" s="304">
        <f t="shared" si="32"/>
        <v>117595</v>
      </c>
      <c r="AE59" s="304">
        <f t="shared" si="33"/>
        <v>0</v>
      </c>
      <c r="AF59" s="304">
        <f t="shared" si="34"/>
        <v>0</v>
      </c>
      <c r="AG59" s="304">
        <f t="shared" si="35"/>
        <v>719238.8</v>
      </c>
      <c r="AH59" s="304">
        <f t="shared" si="12"/>
        <v>0</v>
      </c>
      <c r="AI59" s="304">
        <f t="shared" si="13"/>
        <v>719238.8</v>
      </c>
      <c r="AJ59" s="304">
        <f>+AI59*100/AI64</f>
        <v>4.1181713284100523</v>
      </c>
      <c r="AK59" s="304">
        <f>+AH57*AJ59/100</f>
        <v>490686.60195898567</v>
      </c>
      <c r="AL59" s="304">
        <f t="shared" si="139"/>
        <v>0</v>
      </c>
      <c r="AM59" s="304">
        <f>AD211*AD59/AD69</f>
        <v>0</v>
      </c>
      <c r="AN59" s="304">
        <v>0</v>
      </c>
      <c r="AO59" s="304">
        <v>0</v>
      </c>
      <c r="AP59" s="298">
        <f t="shared" si="125"/>
        <v>0</v>
      </c>
      <c r="AQ59" s="299"/>
      <c r="AR59" s="304">
        <f t="shared" si="132"/>
        <v>601643.80000000005</v>
      </c>
      <c r="AS59" s="304">
        <f t="shared" si="133"/>
        <v>117595</v>
      </c>
      <c r="AT59" s="304">
        <f t="shared" si="134"/>
        <v>0</v>
      </c>
      <c r="AU59" s="304">
        <f t="shared" si="135"/>
        <v>490686.60195898567</v>
      </c>
      <c r="AV59" s="347">
        <f t="shared" si="136"/>
        <v>1209925.4019589857</v>
      </c>
      <c r="AW59" s="341">
        <f t="shared" si="140"/>
        <v>1055239.6043388292</v>
      </c>
      <c r="AX59" s="304">
        <f t="shared" si="140"/>
        <v>0</v>
      </c>
      <c r="AY59" s="304">
        <v>0</v>
      </c>
      <c r="AZ59" s="304">
        <f t="shared" si="141"/>
        <v>0</v>
      </c>
      <c r="BA59" s="298">
        <f t="shared" si="127"/>
        <v>1055239.6043388292</v>
      </c>
      <c r="BB59" s="304">
        <f t="shared" si="137"/>
        <v>1656883.4043388292</v>
      </c>
      <c r="BC59" s="304">
        <f t="shared" si="128"/>
        <v>117595</v>
      </c>
      <c r="BD59" s="304">
        <f t="shared" si="129"/>
        <v>0</v>
      </c>
      <c r="BE59" s="304">
        <f t="shared" si="138"/>
        <v>490686.60195898567</v>
      </c>
      <c r="BF59" s="304">
        <f t="shared" si="130"/>
        <v>2265165.0062978147</v>
      </c>
    </row>
    <row r="60" spans="1:58" ht="25.5" customHeight="1">
      <c r="A60" s="530"/>
      <c r="B60" s="297"/>
      <c r="C60" s="359" t="s">
        <v>451</v>
      </c>
      <c r="D60" s="299">
        <v>6000000</v>
      </c>
      <c r="E60" s="299">
        <v>2123543.7000000002</v>
      </c>
      <c r="F60" s="299"/>
      <c r="G60" s="299"/>
      <c r="H60" s="299"/>
      <c r="I60" s="299"/>
      <c r="J60" s="299"/>
      <c r="K60" s="299"/>
      <c r="L60" s="299"/>
      <c r="M60" s="299"/>
      <c r="N60" s="299"/>
      <c r="O60" s="299"/>
      <c r="P60" s="299"/>
      <c r="Q60" s="299"/>
      <c r="R60" s="299"/>
      <c r="S60" s="299"/>
      <c r="T60" s="299"/>
      <c r="U60" s="299"/>
      <c r="V60" s="299"/>
      <c r="W60" s="299"/>
      <c r="X60" s="299"/>
      <c r="Y60" s="360">
        <f t="shared" si="131"/>
        <v>6000000</v>
      </c>
      <c r="Z60" s="360">
        <f t="shared" si="131"/>
        <v>2123543.7000000002</v>
      </c>
      <c r="AA60" s="360">
        <f t="shared" si="131"/>
        <v>0</v>
      </c>
      <c r="AB60" s="342">
        <f t="shared" si="24"/>
        <v>8123543.7000000002</v>
      </c>
      <c r="AC60" s="304">
        <f t="shared" si="31"/>
        <v>6000000</v>
      </c>
      <c r="AD60" s="304">
        <f t="shared" si="32"/>
        <v>2123543.7000000002</v>
      </c>
      <c r="AE60" s="304">
        <f t="shared" si="33"/>
        <v>0</v>
      </c>
      <c r="AF60" s="304">
        <f t="shared" si="34"/>
        <v>0</v>
      </c>
      <c r="AG60" s="304">
        <f t="shared" si="35"/>
        <v>8123543.7000000002</v>
      </c>
      <c r="AH60" s="304">
        <f t="shared" si="12"/>
        <v>0</v>
      </c>
      <c r="AI60" s="304">
        <f t="shared" si="13"/>
        <v>8123543.7000000002</v>
      </c>
      <c r="AJ60" s="304">
        <f>+AI60*100/AI64</f>
        <v>46.513264788309684</v>
      </c>
      <c r="AK60" s="304">
        <f>+AH57*AJ60/100</f>
        <v>5542128.7811757736</v>
      </c>
      <c r="AL60" s="304">
        <f t="shared" si="139"/>
        <v>0</v>
      </c>
      <c r="AM60" s="304">
        <f>AD212*AD60/AD70</f>
        <v>166561.22907527606</v>
      </c>
      <c r="AN60" s="304">
        <v>0</v>
      </c>
      <c r="AO60" s="304">
        <v>0</v>
      </c>
      <c r="AP60" s="298">
        <f t="shared" si="125"/>
        <v>166561.22907527606</v>
      </c>
      <c r="AQ60" s="299"/>
      <c r="AR60" s="304">
        <f t="shared" si="132"/>
        <v>6000000</v>
      </c>
      <c r="AS60" s="304">
        <f t="shared" si="133"/>
        <v>2290104.9290752765</v>
      </c>
      <c r="AT60" s="304">
        <f t="shared" si="134"/>
        <v>0</v>
      </c>
      <c r="AU60" s="304">
        <f t="shared" si="135"/>
        <v>5542128.7811757736</v>
      </c>
      <c r="AV60" s="347">
        <f t="shared" si="136"/>
        <v>13832233.71025105</v>
      </c>
      <c r="AW60" s="341">
        <f t="shared" si="140"/>
        <v>21471710.062447436</v>
      </c>
      <c r="AX60" s="304">
        <f t="shared" si="140"/>
        <v>776645.58179041208</v>
      </c>
      <c r="AY60" s="304">
        <f>+AE278*AT60/AT191</f>
        <v>0</v>
      </c>
      <c r="AZ60" s="304">
        <f t="shared" si="141"/>
        <v>0</v>
      </c>
      <c r="BA60" s="298">
        <f t="shared" si="127"/>
        <v>22248355.64423785</v>
      </c>
      <c r="BB60" s="304">
        <f t="shared" si="137"/>
        <v>27471710.062447436</v>
      </c>
      <c r="BC60" s="304">
        <f t="shared" si="128"/>
        <v>3066750.5108656883</v>
      </c>
      <c r="BD60" s="304">
        <f t="shared" si="129"/>
        <v>0</v>
      </c>
      <c r="BE60" s="304">
        <f t="shared" si="138"/>
        <v>5542128.7811757736</v>
      </c>
      <c r="BF60" s="304">
        <f t="shared" si="130"/>
        <v>36080589.354488894</v>
      </c>
    </row>
    <row r="61" spans="1:58" ht="25.5" customHeight="1">
      <c r="A61" s="530"/>
      <c r="B61" s="297"/>
      <c r="C61" s="359" t="s">
        <v>452</v>
      </c>
      <c r="D61" s="299"/>
      <c r="E61" s="299"/>
      <c r="F61" s="299"/>
      <c r="G61" s="299"/>
      <c r="H61" s="299"/>
      <c r="I61" s="299"/>
      <c r="J61" s="299"/>
      <c r="K61" s="299"/>
      <c r="L61" s="299"/>
      <c r="M61" s="299"/>
      <c r="N61" s="299"/>
      <c r="O61" s="299"/>
      <c r="P61" s="299"/>
      <c r="Q61" s="299"/>
      <c r="R61" s="299"/>
      <c r="S61" s="299"/>
      <c r="T61" s="299"/>
      <c r="U61" s="299"/>
      <c r="V61" s="299"/>
      <c r="W61" s="299"/>
      <c r="X61" s="299"/>
      <c r="Y61" s="360">
        <f t="shared" si="131"/>
        <v>0</v>
      </c>
      <c r="Z61" s="360">
        <f t="shared" si="131"/>
        <v>0</v>
      </c>
      <c r="AA61" s="360">
        <f t="shared" si="131"/>
        <v>0</v>
      </c>
      <c r="AB61" s="342">
        <f t="shared" si="24"/>
        <v>0</v>
      </c>
      <c r="AC61" s="304">
        <f t="shared" si="31"/>
        <v>0</v>
      </c>
      <c r="AD61" s="304">
        <f t="shared" si="32"/>
        <v>0</v>
      </c>
      <c r="AE61" s="304">
        <f t="shared" si="33"/>
        <v>0</v>
      </c>
      <c r="AF61" s="304">
        <f t="shared" si="34"/>
        <v>0</v>
      </c>
      <c r="AG61" s="304">
        <f t="shared" si="35"/>
        <v>0</v>
      </c>
      <c r="AH61" s="304">
        <f t="shared" si="12"/>
        <v>0</v>
      </c>
      <c r="AI61" s="304">
        <f t="shared" si="13"/>
        <v>0</v>
      </c>
      <c r="AJ61" s="304">
        <f>+AI61*100/AI64</f>
        <v>0</v>
      </c>
      <c r="AK61" s="304">
        <f>+AH57*AJ61/100</f>
        <v>0</v>
      </c>
      <c r="AL61" s="304">
        <f t="shared" si="139"/>
        <v>0</v>
      </c>
      <c r="AM61" s="304">
        <f>AD213*AD61/AD71</f>
        <v>0</v>
      </c>
      <c r="AN61" s="304">
        <v>0</v>
      </c>
      <c r="AO61" s="304">
        <v>0</v>
      </c>
      <c r="AP61" s="298">
        <f t="shared" si="125"/>
        <v>0</v>
      </c>
      <c r="AQ61" s="299"/>
      <c r="AR61" s="304">
        <f t="shared" si="132"/>
        <v>0</v>
      </c>
      <c r="AS61" s="304">
        <f t="shared" si="133"/>
        <v>0</v>
      </c>
      <c r="AT61" s="304">
        <f t="shared" si="134"/>
        <v>0</v>
      </c>
      <c r="AU61" s="304">
        <f t="shared" si="135"/>
        <v>0</v>
      </c>
      <c r="AV61" s="347">
        <f t="shared" si="136"/>
        <v>0</v>
      </c>
      <c r="AW61" s="341">
        <f t="shared" si="140"/>
        <v>0</v>
      </c>
      <c r="AX61" s="304">
        <f t="shared" si="140"/>
        <v>0</v>
      </c>
      <c r="AY61" s="304">
        <v>0</v>
      </c>
      <c r="AZ61" s="304">
        <f t="shared" si="141"/>
        <v>0</v>
      </c>
      <c r="BA61" s="298">
        <f t="shared" si="127"/>
        <v>0</v>
      </c>
      <c r="BB61" s="304">
        <f t="shared" si="137"/>
        <v>0</v>
      </c>
      <c r="BC61" s="304">
        <f t="shared" si="128"/>
        <v>0</v>
      </c>
      <c r="BD61" s="304">
        <f t="shared" si="129"/>
        <v>0</v>
      </c>
      <c r="BE61" s="304">
        <f t="shared" si="138"/>
        <v>0</v>
      </c>
      <c r="BF61" s="304">
        <f t="shared" si="130"/>
        <v>0</v>
      </c>
    </row>
    <row r="62" spans="1:58" ht="25.5" customHeight="1">
      <c r="A62" s="530"/>
      <c r="B62" s="297"/>
      <c r="C62" s="359" t="s">
        <v>453</v>
      </c>
      <c r="D62" s="299"/>
      <c r="E62" s="299"/>
      <c r="F62" s="299"/>
      <c r="G62" s="299"/>
      <c r="H62" s="299"/>
      <c r="I62" s="299"/>
      <c r="J62" s="299"/>
      <c r="K62" s="299"/>
      <c r="L62" s="299"/>
      <c r="M62" s="299"/>
      <c r="N62" s="299"/>
      <c r="O62" s="299"/>
      <c r="P62" s="299"/>
      <c r="Q62" s="299"/>
      <c r="R62" s="299"/>
      <c r="S62" s="299">
        <v>1575700</v>
      </c>
      <c r="T62" s="299"/>
      <c r="U62" s="299"/>
      <c r="V62" s="299"/>
      <c r="W62" s="299"/>
      <c r="X62" s="299"/>
      <c r="Y62" s="360">
        <f t="shared" si="131"/>
        <v>1575700</v>
      </c>
      <c r="Z62" s="360">
        <f t="shared" si="131"/>
        <v>0</v>
      </c>
      <c r="AA62" s="360">
        <f t="shared" si="131"/>
        <v>0</v>
      </c>
      <c r="AB62" s="342">
        <f t="shared" si="24"/>
        <v>1575700</v>
      </c>
      <c r="AC62" s="304">
        <f t="shared" si="31"/>
        <v>1575700</v>
      </c>
      <c r="AD62" s="304">
        <f t="shared" si="32"/>
        <v>0</v>
      </c>
      <c r="AE62" s="304">
        <f t="shared" si="33"/>
        <v>0</v>
      </c>
      <c r="AF62" s="304">
        <f t="shared" si="34"/>
        <v>0</v>
      </c>
      <c r="AG62" s="304">
        <f t="shared" si="35"/>
        <v>1575700</v>
      </c>
      <c r="AH62" s="304">
        <f t="shared" si="12"/>
        <v>0</v>
      </c>
      <c r="AI62" s="304">
        <f t="shared" si="13"/>
        <v>1575700</v>
      </c>
      <c r="AJ62" s="304">
        <f>+AI62*100/AI64</f>
        <v>9.0220418617234213</v>
      </c>
      <c r="AK62" s="304">
        <f>+AH57*AJ62/100</f>
        <v>1074990.502051299</v>
      </c>
      <c r="AL62" s="304">
        <f t="shared" si="139"/>
        <v>0</v>
      </c>
      <c r="AM62" s="304">
        <v>0</v>
      </c>
      <c r="AN62" s="304">
        <v>0</v>
      </c>
      <c r="AO62" s="304">
        <v>0</v>
      </c>
      <c r="AP62" s="298">
        <f t="shared" si="125"/>
        <v>0</v>
      </c>
      <c r="AQ62" s="299"/>
      <c r="AR62" s="304">
        <f t="shared" si="132"/>
        <v>1575700</v>
      </c>
      <c r="AS62" s="304">
        <f t="shared" si="133"/>
        <v>0</v>
      </c>
      <c r="AT62" s="304">
        <f t="shared" si="134"/>
        <v>0</v>
      </c>
      <c r="AU62" s="304">
        <f t="shared" si="135"/>
        <v>1074990.502051299</v>
      </c>
      <c r="AV62" s="347">
        <f t="shared" si="136"/>
        <v>2650690.502051299</v>
      </c>
      <c r="AW62" s="341">
        <f t="shared" si="140"/>
        <v>0</v>
      </c>
      <c r="AX62" s="304">
        <f t="shared" si="140"/>
        <v>0</v>
      </c>
      <c r="AY62" s="304">
        <v>0</v>
      </c>
      <c r="AZ62" s="304">
        <f t="shared" si="141"/>
        <v>0</v>
      </c>
      <c r="BA62" s="298">
        <f t="shared" si="127"/>
        <v>0</v>
      </c>
      <c r="BB62" s="304">
        <f t="shared" si="137"/>
        <v>1575700</v>
      </c>
      <c r="BC62" s="304">
        <f t="shared" si="128"/>
        <v>0</v>
      </c>
      <c r="BD62" s="304">
        <f t="shared" si="129"/>
        <v>0</v>
      </c>
      <c r="BE62" s="304">
        <f t="shared" si="138"/>
        <v>1074990.502051299</v>
      </c>
      <c r="BF62" s="304">
        <f t="shared" si="130"/>
        <v>2650690.502051299</v>
      </c>
    </row>
    <row r="63" spans="1:58" ht="25.5" customHeight="1">
      <c r="A63" s="530"/>
      <c r="B63" s="297"/>
      <c r="C63" s="359" t="s">
        <v>454</v>
      </c>
      <c r="D63" s="299"/>
      <c r="E63" s="299"/>
      <c r="F63" s="299"/>
      <c r="G63" s="299"/>
      <c r="H63" s="299"/>
      <c r="I63" s="299"/>
      <c r="J63" s="299"/>
      <c r="K63" s="299"/>
      <c r="L63" s="299"/>
      <c r="M63" s="299"/>
      <c r="N63" s="299"/>
      <c r="O63" s="299"/>
      <c r="P63" s="299"/>
      <c r="Q63" s="299"/>
      <c r="R63" s="299"/>
      <c r="S63" s="299">
        <v>300000</v>
      </c>
      <c r="T63" s="299"/>
      <c r="U63" s="299"/>
      <c r="V63" s="299"/>
      <c r="W63" s="299"/>
      <c r="X63" s="299"/>
      <c r="Y63" s="360">
        <f t="shared" si="131"/>
        <v>300000</v>
      </c>
      <c r="Z63" s="360">
        <f t="shared" si="131"/>
        <v>0</v>
      </c>
      <c r="AA63" s="360">
        <f t="shared" si="131"/>
        <v>0</v>
      </c>
      <c r="AB63" s="342">
        <f t="shared" si="24"/>
        <v>300000</v>
      </c>
      <c r="AC63" s="304">
        <f t="shared" si="31"/>
        <v>300000</v>
      </c>
      <c r="AD63" s="304">
        <f t="shared" si="32"/>
        <v>0</v>
      </c>
      <c r="AE63" s="304">
        <f t="shared" si="33"/>
        <v>0</v>
      </c>
      <c r="AF63" s="304">
        <f t="shared" si="34"/>
        <v>0</v>
      </c>
      <c r="AG63" s="304">
        <f t="shared" si="35"/>
        <v>300000</v>
      </c>
      <c r="AH63" s="304">
        <f t="shared" si="12"/>
        <v>0</v>
      </c>
      <c r="AI63" s="304">
        <f t="shared" si="13"/>
        <v>300000</v>
      </c>
      <c r="AJ63" s="304">
        <f>+AI63*100/AI64</f>
        <v>1.7177207327010384</v>
      </c>
      <c r="AK63" s="304">
        <f>+AH57*AJ63/100</f>
        <v>204669.1315703431</v>
      </c>
      <c r="AL63" s="304">
        <f t="shared" si="139"/>
        <v>0</v>
      </c>
      <c r="AM63" s="304">
        <v>0</v>
      </c>
      <c r="AN63" s="304">
        <v>0</v>
      </c>
      <c r="AO63" s="304">
        <v>0</v>
      </c>
      <c r="AP63" s="298">
        <f t="shared" si="125"/>
        <v>0</v>
      </c>
      <c r="AQ63" s="299"/>
      <c r="AR63" s="304">
        <f t="shared" si="132"/>
        <v>300000</v>
      </c>
      <c r="AS63" s="304">
        <f t="shared" si="133"/>
        <v>0</v>
      </c>
      <c r="AT63" s="304">
        <f t="shared" si="134"/>
        <v>0</v>
      </c>
      <c r="AU63" s="304">
        <f t="shared" si="135"/>
        <v>204669.1315703431</v>
      </c>
      <c r="AV63" s="347">
        <f t="shared" si="136"/>
        <v>504669.1315703431</v>
      </c>
      <c r="AW63" s="341">
        <f>+AC281*AR63/AR194</f>
        <v>0</v>
      </c>
      <c r="AX63" s="304">
        <v>0</v>
      </c>
      <c r="AY63" s="304">
        <v>0</v>
      </c>
      <c r="AZ63" s="304">
        <f t="shared" si="141"/>
        <v>0</v>
      </c>
      <c r="BA63" s="298">
        <f t="shared" si="127"/>
        <v>0</v>
      </c>
      <c r="BB63" s="304">
        <f t="shared" si="137"/>
        <v>300000</v>
      </c>
      <c r="BC63" s="304">
        <f t="shared" si="128"/>
        <v>0</v>
      </c>
      <c r="BD63" s="304">
        <f t="shared" si="129"/>
        <v>0</v>
      </c>
      <c r="BE63" s="304">
        <f t="shared" si="138"/>
        <v>204669.1315703431</v>
      </c>
      <c r="BF63" s="304">
        <f t="shared" si="130"/>
        <v>504669.1315703431</v>
      </c>
    </row>
    <row r="64" spans="1:58" ht="25.5" customHeight="1">
      <c r="A64" s="530"/>
      <c r="B64" s="297"/>
      <c r="C64" s="338" t="s">
        <v>455</v>
      </c>
      <c r="D64" s="299">
        <f>SUM(D56:D63)</f>
        <v>6000000</v>
      </c>
      <c r="E64" s="299">
        <f t="shared" ref="E64:AA64" si="142">SUM(E56:E63)</f>
        <v>2123543.7000000002</v>
      </c>
      <c r="F64" s="299">
        <f t="shared" si="142"/>
        <v>34557.24</v>
      </c>
      <c r="G64" s="299">
        <f t="shared" si="142"/>
        <v>145885</v>
      </c>
      <c r="H64" s="299">
        <f t="shared" si="142"/>
        <v>0</v>
      </c>
      <c r="I64" s="299">
        <f t="shared" si="142"/>
        <v>0</v>
      </c>
      <c r="J64" s="299">
        <f t="shared" si="142"/>
        <v>37277</v>
      </c>
      <c r="K64" s="299">
        <f t="shared" si="142"/>
        <v>0</v>
      </c>
      <c r="L64" s="299">
        <f t="shared" si="142"/>
        <v>0</v>
      </c>
      <c r="M64" s="299">
        <f t="shared" si="142"/>
        <v>4530122.8000000007</v>
      </c>
      <c r="N64" s="299">
        <f t="shared" si="142"/>
        <v>267395.01</v>
      </c>
      <c r="O64" s="299">
        <f t="shared" si="142"/>
        <v>0</v>
      </c>
      <c r="P64" s="299">
        <f t="shared" si="142"/>
        <v>10724009.9</v>
      </c>
      <c r="Q64" s="299">
        <f t="shared" si="142"/>
        <v>1191147.6499999999</v>
      </c>
      <c r="R64" s="299">
        <f t="shared" si="142"/>
        <v>0</v>
      </c>
      <c r="S64" s="299">
        <f t="shared" si="142"/>
        <v>1875700</v>
      </c>
      <c r="T64" s="299">
        <f t="shared" si="142"/>
        <v>0</v>
      </c>
      <c r="U64" s="299">
        <f t="shared" si="142"/>
        <v>0</v>
      </c>
      <c r="V64" s="299">
        <f t="shared" si="142"/>
        <v>1975385.8</v>
      </c>
      <c r="W64" s="299">
        <f t="shared" si="142"/>
        <v>509695</v>
      </c>
      <c r="X64" s="299">
        <f t="shared" si="142"/>
        <v>0</v>
      </c>
      <c r="Y64" s="299">
        <f t="shared" si="142"/>
        <v>25288380.500000004</v>
      </c>
      <c r="Z64" s="299">
        <f t="shared" si="142"/>
        <v>4091781.3600000003</v>
      </c>
      <c r="AA64" s="299">
        <f t="shared" si="142"/>
        <v>34557.24</v>
      </c>
      <c r="AB64" s="342">
        <f t="shared" si="24"/>
        <v>29414719.100000001</v>
      </c>
      <c r="AC64" s="304">
        <f t="shared" si="31"/>
        <v>14564370.600000001</v>
      </c>
      <c r="AD64" s="304">
        <f t="shared" si="32"/>
        <v>2900633.71</v>
      </c>
      <c r="AE64" s="304">
        <f t="shared" si="33"/>
        <v>34557.24</v>
      </c>
      <c r="AF64" s="304">
        <f t="shared" si="34"/>
        <v>11915157.550000001</v>
      </c>
      <c r="AG64" s="304">
        <f t="shared" si="35"/>
        <v>29414719.100000001</v>
      </c>
      <c r="AH64" s="304">
        <f t="shared" si="12"/>
        <v>11915157.550000001</v>
      </c>
      <c r="AI64" s="304">
        <f t="shared" si="13"/>
        <v>17465004.310000002</v>
      </c>
      <c r="AJ64" s="304">
        <f t="shared" ref="AJ64:AS64" si="143">SUM(AJ56:AJ63)</f>
        <v>99.999999999999986</v>
      </c>
      <c r="AK64" s="304">
        <f t="shared" si="143"/>
        <v>11915157.549999999</v>
      </c>
      <c r="AL64" s="304">
        <f t="shared" si="143"/>
        <v>2263388.9818543168</v>
      </c>
      <c r="AM64" s="304">
        <f t="shared" si="143"/>
        <v>341771.50839159865</v>
      </c>
      <c r="AN64" s="304">
        <f t="shared" si="143"/>
        <v>0</v>
      </c>
      <c r="AO64" s="304">
        <f t="shared" si="143"/>
        <v>0</v>
      </c>
      <c r="AP64" s="298">
        <f t="shared" si="143"/>
        <v>2605160.490245915</v>
      </c>
      <c r="AQ64" s="299">
        <f>SUM(AQ56:AQ63)</f>
        <v>501834.96</v>
      </c>
      <c r="AR64" s="304">
        <f t="shared" si="143"/>
        <v>16827759.581854317</v>
      </c>
      <c r="AS64" s="304">
        <f t="shared" si="143"/>
        <v>3242405.2183915991</v>
      </c>
      <c r="AT64" s="304">
        <f t="shared" ref="AT64" si="144">SUM(AT56:AT63)</f>
        <v>536392.20000000007</v>
      </c>
      <c r="AU64" s="304">
        <f t="shared" ref="AU64" si="145">SUM(AU56:AU63)</f>
        <v>11915157.549999999</v>
      </c>
      <c r="AV64" s="347">
        <f>SUM(AR64:AU64)</f>
        <v>32521714.550245918</v>
      </c>
      <c r="AW64" s="341">
        <f>SUM(AW56:AW63)</f>
        <v>33201426.636952803</v>
      </c>
      <c r="AX64" s="304">
        <f>SUM(AX56:AX63)</f>
        <v>1554411.7924754685</v>
      </c>
      <c r="AY64" s="304">
        <f>SUM(AY56:AY63)</f>
        <v>0</v>
      </c>
      <c r="AZ64" s="304">
        <f>SUM(AZ56:AZ63)</f>
        <v>5618262.7689350536</v>
      </c>
      <c r="BA64" s="298">
        <f t="shared" si="127"/>
        <v>40374101.198363326</v>
      </c>
      <c r="BB64" s="336">
        <f>SUM(BB56:BB63)</f>
        <v>50029186.218807124</v>
      </c>
      <c r="BC64" s="304">
        <f>SUM(BC56:BC63)</f>
        <v>4796817.0108670667</v>
      </c>
      <c r="BD64" s="304">
        <f>SUM(BD56:BD63)</f>
        <v>536392.20000000007</v>
      </c>
      <c r="BE64" s="304">
        <f>SUM(BE56:BE63)</f>
        <v>17533420.318935052</v>
      </c>
      <c r="BF64" s="304">
        <f t="shared" si="130"/>
        <v>72895815.748609245</v>
      </c>
    </row>
    <row r="65" spans="1:58" ht="25.5" customHeight="1">
      <c r="A65" s="530"/>
      <c r="B65" s="297"/>
      <c r="C65" s="650" t="s">
        <v>476</v>
      </c>
      <c r="D65" s="650"/>
      <c r="E65" s="650"/>
      <c r="F65" s="650"/>
      <c r="G65" s="650"/>
      <c r="H65" s="650"/>
      <c r="I65" s="650"/>
      <c r="J65" s="650"/>
      <c r="K65" s="650"/>
      <c r="L65" s="650"/>
      <c r="M65" s="650"/>
      <c r="N65" s="650"/>
      <c r="O65" s="650"/>
      <c r="P65" s="650"/>
      <c r="Q65" s="650"/>
      <c r="R65" s="650"/>
      <c r="S65" s="650"/>
      <c r="T65" s="650"/>
      <c r="U65" s="650"/>
      <c r="V65" s="650"/>
      <c r="W65" s="650"/>
      <c r="X65" s="650"/>
      <c r="Y65" s="650"/>
      <c r="Z65" s="650"/>
      <c r="AA65" s="650"/>
      <c r="AB65" s="342"/>
      <c r="AC65" s="304"/>
      <c r="AD65" s="304"/>
      <c r="AE65" s="304"/>
      <c r="AF65" s="304"/>
      <c r="AG65" s="304"/>
      <c r="AH65" s="304"/>
      <c r="AI65" s="304"/>
      <c r="AJ65" s="304"/>
      <c r="AK65" s="304"/>
      <c r="AL65" s="303"/>
      <c r="AM65" s="303"/>
      <c r="AN65" s="303"/>
      <c r="AO65" s="303"/>
      <c r="AP65" s="308"/>
      <c r="AQ65" s="303"/>
      <c r="AR65" s="303"/>
      <c r="AS65" s="303"/>
      <c r="AT65" s="303"/>
      <c r="AU65" s="303"/>
      <c r="AV65" s="346"/>
      <c r="AW65" s="340"/>
      <c r="AX65" s="303"/>
      <c r="AY65" s="303"/>
      <c r="AZ65" s="303"/>
      <c r="BA65" s="308"/>
      <c r="BB65" s="321"/>
      <c r="BC65" s="303"/>
      <c r="BD65" s="303"/>
      <c r="BE65" s="303"/>
      <c r="BF65" s="303"/>
    </row>
    <row r="66" spans="1:58" ht="25.5" customHeight="1">
      <c r="A66" s="530"/>
      <c r="B66" s="297"/>
      <c r="C66" s="359" t="s">
        <v>447</v>
      </c>
      <c r="D66" s="299"/>
      <c r="E66" s="299"/>
      <c r="F66" s="299"/>
      <c r="G66" s="299"/>
      <c r="H66" s="299"/>
      <c r="I66" s="299"/>
      <c r="J66" s="299"/>
      <c r="K66" s="299"/>
      <c r="L66" s="299"/>
      <c r="M66" s="299"/>
      <c r="N66" s="299"/>
      <c r="O66" s="299"/>
      <c r="P66" s="299"/>
      <c r="Q66" s="299"/>
      <c r="R66" s="299"/>
      <c r="S66" s="299"/>
      <c r="T66" s="299"/>
      <c r="U66" s="299"/>
      <c r="V66" s="299"/>
      <c r="W66" s="299"/>
      <c r="X66" s="299"/>
      <c r="Y66" s="360">
        <f>+D66+G66+J66+M66+P66+S66+V66</f>
        <v>0</v>
      </c>
      <c r="Z66" s="360">
        <f>+E66+H66+K66+N66+Q66+T66+W66</f>
        <v>0</v>
      </c>
      <c r="AA66" s="360">
        <f>+F66+I66+L66+O66+R66+U66+X66</f>
        <v>0</v>
      </c>
      <c r="AB66" s="342"/>
      <c r="AC66" s="304">
        <f>+AC6+AC16+AC26+AC36+AC46+AC56</f>
        <v>14824986.859999999</v>
      </c>
      <c r="AD66" s="304">
        <f t="shared" ref="AD66:AF66" si="146">+AD6+AD16+AD26+AD36+AD46+AD56</f>
        <v>15413776.48</v>
      </c>
      <c r="AE66" s="304">
        <f t="shared" si="146"/>
        <v>290420.19</v>
      </c>
      <c r="AF66" s="304">
        <f t="shared" si="146"/>
        <v>34032219.379999995</v>
      </c>
      <c r="AG66" s="304">
        <f>+AG6+AG16+AG26+AG36+AG46+AG56</f>
        <v>64561402.909999996</v>
      </c>
      <c r="AH66" s="304"/>
      <c r="AI66" s="304"/>
      <c r="AJ66" s="304"/>
      <c r="AK66" s="304"/>
      <c r="AL66" s="304">
        <f>+AL6+AL16+AL26+AL36+AL46+AL56</f>
        <v>1913164.4</v>
      </c>
      <c r="AM66" s="304">
        <f t="shared" ref="AM66:AO66" si="147">+AM6+AM16+AM26+AM36+AM46+AM56</f>
        <v>802896</v>
      </c>
      <c r="AN66" s="304">
        <f t="shared" si="147"/>
        <v>0</v>
      </c>
      <c r="AO66" s="304">
        <f t="shared" si="147"/>
        <v>0</v>
      </c>
      <c r="AP66" s="298">
        <f>+AP6+AP16+AP26+AP36+AP46+AP56</f>
        <v>2716060.4</v>
      </c>
      <c r="AQ66" s="304">
        <f>+AQ6+AQ16+AQ26+AQ36+AQ46+AQ56</f>
        <v>4217437.7</v>
      </c>
      <c r="AR66" s="304">
        <f>+AC66+AL66</f>
        <v>16738151.26</v>
      </c>
      <c r="AS66" s="304">
        <f>+AD66+AM66</f>
        <v>16216672.48</v>
      </c>
      <c r="AT66" s="304">
        <f>+AE66+AN66+AQ66</f>
        <v>4507857.8900000006</v>
      </c>
      <c r="AU66" s="304">
        <f>+AK66+AO66</f>
        <v>0</v>
      </c>
      <c r="AV66" s="347">
        <f>SUM(AR66:AU66)</f>
        <v>37462681.630000003</v>
      </c>
      <c r="AW66" s="342">
        <f>+AW6+AW16+AW26+AW36+AW46+AW56</f>
        <v>3013779.2677215356</v>
      </c>
      <c r="AX66" s="298">
        <f t="shared" ref="AX66:AZ66" si="148">+AX6+AX16+AX26+AX36+AX46+AX56</f>
        <v>4915813.7837456865</v>
      </c>
      <c r="AY66" s="298">
        <f t="shared" si="148"/>
        <v>0</v>
      </c>
      <c r="AZ66" s="298">
        <f t="shared" si="148"/>
        <v>0</v>
      </c>
      <c r="BA66" s="298">
        <f t="shared" ref="BA66:BA74" si="149">SUM(AW66:AZ66)</f>
        <v>7929593.0514672222</v>
      </c>
      <c r="BB66" s="298">
        <f>+BB6+BB16+BB26+BB36+BB46+BB56</f>
        <v>19751930.527721532</v>
      </c>
      <c r="BC66" s="298">
        <f t="shared" ref="BC66:BE66" si="150">+BC6+BC16+BC26+BC36+BC46+BC56</f>
        <v>21132486.263745688</v>
      </c>
      <c r="BD66" s="298">
        <f t="shared" si="150"/>
        <v>4507857.8900000006</v>
      </c>
      <c r="BE66" s="298">
        <f t="shared" si="150"/>
        <v>17274140.239724409</v>
      </c>
      <c r="BF66" s="304">
        <f t="shared" ref="BF66:BF74" si="151">SUM(BB66:BE66)</f>
        <v>62666414.921191633</v>
      </c>
    </row>
    <row r="67" spans="1:58" ht="25.5" customHeight="1">
      <c r="A67" s="530"/>
      <c r="B67" s="297"/>
      <c r="C67" s="359" t="s">
        <v>448</v>
      </c>
      <c r="D67" s="299"/>
      <c r="E67" s="299"/>
      <c r="F67" s="299">
        <v>34557.24</v>
      </c>
      <c r="G67" s="299">
        <v>145885</v>
      </c>
      <c r="H67" s="299"/>
      <c r="I67" s="299"/>
      <c r="J67" s="299">
        <v>37277</v>
      </c>
      <c r="K67" s="299"/>
      <c r="L67" s="299"/>
      <c r="M67" s="299">
        <f>2957533.24+1572589.56</f>
        <v>4530122.8000000007</v>
      </c>
      <c r="N67" s="299">
        <f>250895.01+9500+7000</f>
        <v>267395.01</v>
      </c>
      <c r="O67" s="299"/>
      <c r="P67" s="299">
        <v>10724009.9</v>
      </c>
      <c r="Q67" s="299">
        <v>1191147.6499999999</v>
      </c>
      <c r="R67" s="299"/>
      <c r="S67" s="299"/>
      <c r="T67" s="299"/>
      <c r="U67" s="299"/>
      <c r="V67" s="299">
        <f>1215642+85400</f>
        <v>1301042</v>
      </c>
      <c r="W67" s="299">
        <f>165350+9700+217050</f>
        <v>392100</v>
      </c>
      <c r="X67" s="299"/>
      <c r="Y67" s="360">
        <f t="shared" ref="Y67:Y73" si="152">+D67+G67+J67+M67+P67+S67+V67</f>
        <v>16738336.700000001</v>
      </c>
      <c r="Z67" s="360">
        <f t="shared" ref="Z67:Z73" si="153">+E67+H67+K67+N67+Q67+T67+W67</f>
        <v>1850642.66</v>
      </c>
      <c r="AA67" s="360">
        <f t="shared" ref="AA67:AA73" si="154">+F67+I67+L67+O67+R67+U67+X67</f>
        <v>34557.24</v>
      </c>
      <c r="AB67" s="342"/>
      <c r="AC67" s="304">
        <f t="shared" ref="AC67:AG67" si="155">+AC7+AC17+AC27+AC37+AC47+AC57</f>
        <v>23203763.950000003</v>
      </c>
      <c r="AD67" s="304">
        <f t="shared" si="155"/>
        <v>17496426.290000003</v>
      </c>
      <c r="AE67" s="304">
        <f t="shared" si="155"/>
        <v>311267.3</v>
      </c>
      <c r="AF67" s="304">
        <f t="shared" si="155"/>
        <v>61492411.760000005</v>
      </c>
      <c r="AG67" s="304">
        <f t="shared" si="155"/>
        <v>102503869.30000001</v>
      </c>
      <c r="AH67" s="304"/>
      <c r="AI67" s="304"/>
      <c r="AJ67" s="304"/>
      <c r="AK67" s="304"/>
      <c r="AL67" s="304">
        <f t="shared" ref="AL67:AP73" si="156">+AL7+AL17+AL27+AL37+AL47+AL57</f>
        <v>8732339.5299999975</v>
      </c>
      <c r="AM67" s="304">
        <f t="shared" si="156"/>
        <v>4648335</v>
      </c>
      <c r="AN67" s="304">
        <f t="shared" si="156"/>
        <v>0</v>
      </c>
      <c r="AO67" s="304">
        <f t="shared" si="156"/>
        <v>0</v>
      </c>
      <c r="AP67" s="298">
        <f t="shared" si="156"/>
        <v>13380674.529999997</v>
      </c>
      <c r="AQ67" s="304">
        <f t="shared" ref="AQ67" si="157">+AQ7+AQ17+AQ27+AQ37+AQ47+AQ57</f>
        <v>4520176.21</v>
      </c>
      <c r="AR67" s="304">
        <f t="shared" ref="AR67:AR73" si="158">+AC67+AL67</f>
        <v>31936103.48</v>
      </c>
      <c r="AS67" s="304">
        <f t="shared" ref="AS67:AS73" si="159">+AD67+AM67</f>
        <v>22144761.290000003</v>
      </c>
      <c r="AT67" s="304">
        <f t="shared" ref="AT67:AT73" si="160">+AE67+AN67+AQ67</f>
        <v>4831443.51</v>
      </c>
      <c r="AU67" s="304">
        <f t="shared" ref="AU67:AU73" si="161">+AK67+AO67</f>
        <v>0</v>
      </c>
      <c r="AV67" s="347">
        <f t="shared" ref="AV67:AV73" si="162">SUM(AR67:AU67)</f>
        <v>58912308.280000001</v>
      </c>
      <c r="AW67" s="342">
        <f t="shared" ref="AW67:AZ73" si="163">+AW7+AW17+AW27+AW37+AW47+AW57</f>
        <v>40873802.820159532</v>
      </c>
      <c r="AX67" s="298">
        <f t="shared" si="163"/>
        <v>20634165.489900671</v>
      </c>
      <c r="AY67" s="298">
        <f t="shared" si="163"/>
        <v>0</v>
      </c>
      <c r="AZ67" s="298">
        <f t="shared" si="163"/>
        <v>30601327.441579558</v>
      </c>
      <c r="BA67" s="298">
        <f t="shared" si="149"/>
        <v>92109295.751639754</v>
      </c>
      <c r="BB67" s="298">
        <f t="shared" ref="BB67:BE73" si="164">+BB7+BB17+BB27+BB37+BB47+BB57</f>
        <v>72809906.300159529</v>
      </c>
      <c r="BC67" s="298">
        <f t="shared" si="164"/>
        <v>42778926.77990067</v>
      </c>
      <c r="BD67" s="298">
        <f t="shared" si="164"/>
        <v>4831443.5100000007</v>
      </c>
      <c r="BE67" s="298">
        <f t="shared" si="164"/>
        <v>55400884.123571374</v>
      </c>
      <c r="BF67" s="304">
        <f t="shared" si="151"/>
        <v>175821160.71363157</v>
      </c>
    </row>
    <row r="68" spans="1:58" ht="25.5" customHeight="1">
      <c r="A68" s="530"/>
      <c r="B68" s="297"/>
      <c r="C68" s="359" t="s">
        <v>449</v>
      </c>
      <c r="D68" s="299"/>
      <c r="E68" s="299"/>
      <c r="F68" s="299"/>
      <c r="G68" s="299"/>
      <c r="H68" s="299"/>
      <c r="I68" s="299"/>
      <c r="J68" s="299"/>
      <c r="K68" s="299"/>
      <c r="L68" s="299"/>
      <c r="M68" s="299"/>
      <c r="N68" s="299"/>
      <c r="O68" s="299"/>
      <c r="P68" s="299"/>
      <c r="Q68" s="299"/>
      <c r="R68" s="299"/>
      <c r="S68" s="299"/>
      <c r="T68" s="299"/>
      <c r="U68" s="299"/>
      <c r="V68" s="299">
        <v>72700</v>
      </c>
      <c r="W68" s="299"/>
      <c r="X68" s="299"/>
      <c r="Y68" s="360">
        <f t="shared" si="152"/>
        <v>72700</v>
      </c>
      <c r="Z68" s="360">
        <f t="shared" si="153"/>
        <v>0</v>
      </c>
      <c r="AA68" s="360">
        <f t="shared" si="154"/>
        <v>0</v>
      </c>
      <c r="AB68" s="342"/>
      <c r="AC68" s="304">
        <f t="shared" ref="AC68:AG68" si="165">+AC8+AC18+AC28+AC38+AC48+AC58</f>
        <v>4222525.01</v>
      </c>
      <c r="AD68" s="304">
        <f t="shared" si="165"/>
        <v>0</v>
      </c>
      <c r="AE68" s="304">
        <f t="shared" si="165"/>
        <v>0</v>
      </c>
      <c r="AF68" s="304">
        <f t="shared" si="165"/>
        <v>0</v>
      </c>
      <c r="AG68" s="304">
        <f t="shared" si="165"/>
        <v>4222525.01</v>
      </c>
      <c r="AH68" s="304"/>
      <c r="AI68" s="304"/>
      <c r="AJ68" s="304"/>
      <c r="AK68" s="304"/>
      <c r="AL68" s="304">
        <f t="shared" si="156"/>
        <v>0</v>
      </c>
      <c r="AM68" s="304">
        <f t="shared" si="156"/>
        <v>0</v>
      </c>
      <c r="AN68" s="304">
        <f t="shared" si="156"/>
        <v>0</v>
      </c>
      <c r="AO68" s="304">
        <f t="shared" si="156"/>
        <v>0</v>
      </c>
      <c r="AP68" s="298">
        <f t="shared" si="156"/>
        <v>0</v>
      </c>
      <c r="AQ68" s="304">
        <f t="shared" ref="AQ68" si="166">+AQ8+AQ18+AQ28+AQ38+AQ48+AQ58</f>
        <v>0</v>
      </c>
      <c r="AR68" s="304">
        <f t="shared" si="158"/>
        <v>4222525.01</v>
      </c>
      <c r="AS68" s="304">
        <f t="shared" si="159"/>
        <v>0</v>
      </c>
      <c r="AT68" s="304">
        <f t="shared" si="160"/>
        <v>0</v>
      </c>
      <c r="AU68" s="304">
        <f t="shared" si="161"/>
        <v>0</v>
      </c>
      <c r="AV68" s="347">
        <f t="shared" si="162"/>
        <v>4222525.01</v>
      </c>
      <c r="AW68" s="342">
        <f t="shared" si="163"/>
        <v>4654867.9930335749</v>
      </c>
      <c r="AX68" s="298">
        <f t="shared" si="163"/>
        <v>0</v>
      </c>
      <c r="AY68" s="298">
        <f t="shared" si="163"/>
        <v>0</v>
      </c>
      <c r="AZ68" s="298">
        <f t="shared" si="163"/>
        <v>0</v>
      </c>
      <c r="BA68" s="298">
        <f t="shared" si="149"/>
        <v>4654867.9930335749</v>
      </c>
      <c r="BB68" s="298">
        <f t="shared" si="164"/>
        <v>8877393.0030335747</v>
      </c>
      <c r="BC68" s="298">
        <f t="shared" si="164"/>
        <v>0</v>
      </c>
      <c r="BD68" s="298">
        <f t="shared" si="164"/>
        <v>0</v>
      </c>
      <c r="BE68" s="298">
        <f t="shared" si="164"/>
        <v>1776561.6462729527</v>
      </c>
      <c r="BF68" s="304">
        <f t="shared" si="151"/>
        <v>10653954.649306528</v>
      </c>
    </row>
    <row r="69" spans="1:58" ht="25.5" customHeight="1">
      <c r="A69" s="530"/>
      <c r="B69" s="297"/>
      <c r="C69" s="359" t="s">
        <v>450</v>
      </c>
      <c r="D69" s="299"/>
      <c r="E69" s="299"/>
      <c r="F69" s="299"/>
      <c r="G69" s="299"/>
      <c r="H69" s="299"/>
      <c r="I69" s="299"/>
      <c r="J69" s="299"/>
      <c r="K69" s="299"/>
      <c r="L69" s="299"/>
      <c r="M69" s="299"/>
      <c r="N69" s="299"/>
      <c r="O69" s="299"/>
      <c r="P69" s="299"/>
      <c r="Q69" s="299"/>
      <c r="R69" s="299"/>
      <c r="S69" s="299"/>
      <c r="T69" s="299"/>
      <c r="U69" s="299"/>
      <c r="V69" s="299">
        <v>601643.80000000005</v>
      </c>
      <c r="W69" s="299">
        <v>117595</v>
      </c>
      <c r="X69" s="299"/>
      <c r="Y69" s="360">
        <f t="shared" si="152"/>
        <v>601643.80000000005</v>
      </c>
      <c r="Z69" s="360">
        <f t="shared" si="153"/>
        <v>117595</v>
      </c>
      <c r="AA69" s="360">
        <f t="shared" si="154"/>
        <v>0</v>
      </c>
      <c r="AB69" s="342"/>
      <c r="AC69" s="304">
        <f t="shared" ref="AC69:AG69" si="167">+AC9+AC19+AC29+AC39+AC49+AC59</f>
        <v>1741641.8</v>
      </c>
      <c r="AD69" s="304">
        <f t="shared" si="167"/>
        <v>817195</v>
      </c>
      <c r="AE69" s="304">
        <f t="shared" si="167"/>
        <v>0</v>
      </c>
      <c r="AF69" s="304">
        <f t="shared" si="167"/>
        <v>0</v>
      </c>
      <c r="AG69" s="304">
        <f t="shared" si="167"/>
        <v>2558836.7999999998</v>
      </c>
      <c r="AH69" s="304"/>
      <c r="AI69" s="304"/>
      <c r="AJ69" s="304"/>
      <c r="AK69" s="304"/>
      <c r="AL69" s="304">
        <f t="shared" si="156"/>
        <v>0</v>
      </c>
      <c r="AM69" s="304">
        <f t="shared" si="156"/>
        <v>0</v>
      </c>
      <c r="AN69" s="304">
        <f t="shared" si="156"/>
        <v>0</v>
      </c>
      <c r="AO69" s="304">
        <f t="shared" si="156"/>
        <v>0</v>
      </c>
      <c r="AP69" s="298">
        <f t="shared" si="156"/>
        <v>0</v>
      </c>
      <c r="AQ69" s="304">
        <f t="shared" ref="AQ69" si="168">+AQ9+AQ19+AQ29+AQ39+AQ49+AQ59</f>
        <v>0</v>
      </c>
      <c r="AR69" s="304">
        <f t="shared" si="158"/>
        <v>1741641.8</v>
      </c>
      <c r="AS69" s="304">
        <f t="shared" si="159"/>
        <v>817195</v>
      </c>
      <c r="AT69" s="304">
        <f t="shared" si="160"/>
        <v>0</v>
      </c>
      <c r="AU69" s="304">
        <f t="shared" si="161"/>
        <v>0</v>
      </c>
      <c r="AV69" s="347">
        <f t="shared" si="162"/>
        <v>2558836.7999999998</v>
      </c>
      <c r="AW69" s="342">
        <f t="shared" si="163"/>
        <v>3054713.4432898108</v>
      </c>
      <c r="AX69" s="298">
        <f t="shared" si="163"/>
        <v>0</v>
      </c>
      <c r="AY69" s="298">
        <f t="shared" si="163"/>
        <v>0</v>
      </c>
      <c r="AZ69" s="298">
        <f t="shared" si="163"/>
        <v>0</v>
      </c>
      <c r="BA69" s="298">
        <f t="shared" si="149"/>
        <v>3054713.4432898108</v>
      </c>
      <c r="BB69" s="298">
        <f t="shared" si="164"/>
        <v>4796355.2432898106</v>
      </c>
      <c r="BC69" s="298">
        <f t="shared" si="164"/>
        <v>817195</v>
      </c>
      <c r="BD69" s="298">
        <f t="shared" si="164"/>
        <v>0</v>
      </c>
      <c r="BE69" s="298">
        <f t="shared" si="164"/>
        <v>1570473.4166979014</v>
      </c>
      <c r="BF69" s="304">
        <f t="shared" si="151"/>
        <v>7184023.6599877123</v>
      </c>
    </row>
    <row r="70" spans="1:58" ht="25.5" customHeight="1">
      <c r="A70" s="530"/>
      <c r="B70" s="297"/>
      <c r="C70" s="359" t="s">
        <v>451</v>
      </c>
      <c r="D70" s="299">
        <v>6000000</v>
      </c>
      <c r="E70" s="299">
        <v>2123543.7000000002</v>
      </c>
      <c r="F70" s="299"/>
      <c r="G70" s="299"/>
      <c r="H70" s="299"/>
      <c r="I70" s="299"/>
      <c r="J70" s="299"/>
      <c r="K70" s="299"/>
      <c r="L70" s="299"/>
      <c r="M70" s="299"/>
      <c r="N70" s="299"/>
      <c r="O70" s="299"/>
      <c r="P70" s="299"/>
      <c r="Q70" s="299"/>
      <c r="R70" s="299"/>
      <c r="S70" s="299"/>
      <c r="T70" s="299"/>
      <c r="U70" s="299"/>
      <c r="V70" s="299"/>
      <c r="W70" s="299"/>
      <c r="X70" s="299"/>
      <c r="Y70" s="360">
        <f t="shared" si="152"/>
        <v>6000000</v>
      </c>
      <c r="Z70" s="360">
        <f t="shared" si="153"/>
        <v>2123543.7000000002</v>
      </c>
      <c r="AA70" s="360">
        <f t="shared" si="154"/>
        <v>0</v>
      </c>
      <c r="AB70" s="342"/>
      <c r="AC70" s="304">
        <f t="shared" ref="AC70:AG70" si="169">+AC10+AC20+AC30+AC40+AC50+AC60</f>
        <v>51134360</v>
      </c>
      <c r="AD70" s="304">
        <f t="shared" si="169"/>
        <v>21519590.309999999</v>
      </c>
      <c r="AE70" s="304">
        <f t="shared" si="169"/>
        <v>0</v>
      </c>
      <c r="AF70" s="304">
        <f t="shared" si="169"/>
        <v>0</v>
      </c>
      <c r="AG70" s="304">
        <f t="shared" si="169"/>
        <v>72653950.310000002</v>
      </c>
      <c r="AH70" s="304"/>
      <c r="AI70" s="304"/>
      <c r="AJ70" s="304"/>
      <c r="AK70" s="304"/>
      <c r="AL70" s="304">
        <f t="shared" si="156"/>
        <v>0</v>
      </c>
      <c r="AM70" s="304">
        <f t="shared" si="156"/>
        <v>1687900.0000000005</v>
      </c>
      <c r="AN70" s="304">
        <f t="shared" si="156"/>
        <v>0</v>
      </c>
      <c r="AO70" s="304">
        <f t="shared" si="156"/>
        <v>0</v>
      </c>
      <c r="AP70" s="298">
        <f t="shared" si="156"/>
        <v>1687900.0000000005</v>
      </c>
      <c r="AQ70" s="304">
        <f t="shared" ref="AQ70" si="170">+AQ10+AQ20+AQ30+AQ40+AQ50+AQ60</f>
        <v>0</v>
      </c>
      <c r="AR70" s="304">
        <f t="shared" si="158"/>
        <v>51134360</v>
      </c>
      <c r="AS70" s="304">
        <f t="shared" si="159"/>
        <v>23207490.309999999</v>
      </c>
      <c r="AT70" s="304">
        <f t="shared" si="160"/>
        <v>0</v>
      </c>
      <c r="AU70" s="304">
        <f t="shared" si="161"/>
        <v>0</v>
      </c>
      <c r="AV70" s="347">
        <f t="shared" si="162"/>
        <v>74341850.310000002</v>
      </c>
      <c r="AW70" s="342">
        <f t="shared" si="163"/>
        <v>182990358.69146827</v>
      </c>
      <c r="AX70" s="298">
        <f t="shared" si="163"/>
        <v>7870379.4681509314</v>
      </c>
      <c r="AY70" s="298">
        <f t="shared" si="163"/>
        <v>0</v>
      </c>
      <c r="AZ70" s="298">
        <f t="shared" si="163"/>
        <v>0</v>
      </c>
      <c r="BA70" s="298">
        <f t="shared" si="149"/>
        <v>190860738.15961921</v>
      </c>
      <c r="BB70" s="298">
        <f t="shared" si="164"/>
        <v>234124718.69146827</v>
      </c>
      <c r="BC70" s="298">
        <f t="shared" si="164"/>
        <v>31077869.778150931</v>
      </c>
      <c r="BD70" s="298">
        <f t="shared" si="164"/>
        <v>0</v>
      </c>
      <c r="BE70" s="298">
        <f t="shared" si="164"/>
        <v>41371413.473073289</v>
      </c>
      <c r="BF70" s="304">
        <f t="shared" si="151"/>
        <v>306574001.94269252</v>
      </c>
    </row>
    <row r="71" spans="1:58" ht="25.5" customHeight="1">
      <c r="A71" s="530"/>
      <c r="B71" s="297"/>
      <c r="C71" s="359" t="s">
        <v>452</v>
      </c>
      <c r="D71" s="299"/>
      <c r="E71" s="299"/>
      <c r="F71" s="299"/>
      <c r="G71" s="299"/>
      <c r="H71" s="299"/>
      <c r="I71" s="299"/>
      <c r="J71" s="299"/>
      <c r="K71" s="299"/>
      <c r="L71" s="299"/>
      <c r="M71" s="299"/>
      <c r="N71" s="299"/>
      <c r="O71" s="299"/>
      <c r="P71" s="299"/>
      <c r="Q71" s="299"/>
      <c r="R71" s="299"/>
      <c r="S71" s="299"/>
      <c r="T71" s="299"/>
      <c r="U71" s="299"/>
      <c r="V71" s="299"/>
      <c r="W71" s="299"/>
      <c r="X71" s="299"/>
      <c r="Y71" s="360">
        <f t="shared" si="152"/>
        <v>0</v>
      </c>
      <c r="Z71" s="360">
        <f t="shared" si="153"/>
        <v>0</v>
      </c>
      <c r="AA71" s="360">
        <f t="shared" si="154"/>
        <v>0</v>
      </c>
      <c r="AB71" s="342"/>
      <c r="AC71" s="304">
        <f t="shared" ref="AC71:AG71" si="171">+AC11+AC21+AC31+AC41+AC51+AC61</f>
        <v>3967000</v>
      </c>
      <c r="AD71" s="304">
        <f t="shared" si="171"/>
        <v>1452000</v>
      </c>
      <c r="AE71" s="304">
        <f t="shared" si="171"/>
        <v>0</v>
      </c>
      <c r="AF71" s="304">
        <f t="shared" si="171"/>
        <v>0</v>
      </c>
      <c r="AG71" s="304">
        <f t="shared" si="171"/>
        <v>5419000</v>
      </c>
      <c r="AH71" s="304"/>
      <c r="AI71" s="304"/>
      <c r="AJ71" s="304"/>
      <c r="AK71" s="304"/>
      <c r="AL71" s="304">
        <f t="shared" si="156"/>
        <v>0</v>
      </c>
      <c r="AM71" s="304">
        <f t="shared" si="156"/>
        <v>0</v>
      </c>
      <c r="AN71" s="304">
        <f t="shared" si="156"/>
        <v>0</v>
      </c>
      <c r="AO71" s="304">
        <f t="shared" si="156"/>
        <v>0</v>
      </c>
      <c r="AP71" s="298">
        <f t="shared" si="156"/>
        <v>0</v>
      </c>
      <c r="AQ71" s="304">
        <f t="shared" ref="AQ71" si="172">+AQ11+AQ21+AQ31+AQ41+AQ51+AQ61</f>
        <v>0</v>
      </c>
      <c r="AR71" s="304">
        <f t="shared" si="158"/>
        <v>3967000</v>
      </c>
      <c r="AS71" s="304">
        <f t="shared" si="159"/>
        <v>1452000</v>
      </c>
      <c r="AT71" s="304">
        <f t="shared" si="160"/>
        <v>0</v>
      </c>
      <c r="AU71" s="304">
        <f t="shared" si="161"/>
        <v>0</v>
      </c>
      <c r="AV71" s="347">
        <f t="shared" si="162"/>
        <v>5419000</v>
      </c>
      <c r="AW71" s="342">
        <f t="shared" si="163"/>
        <v>0</v>
      </c>
      <c r="AX71" s="298">
        <f t="shared" si="163"/>
        <v>0</v>
      </c>
      <c r="AY71" s="298">
        <f t="shared" si="163"/>
        <v>0</v>
      </c>
      <c r="AZ71" s="298">
        <f t="shared" si="163"/>
        <v>0</v>
      </c>
      <c r="BA71" s="298">
        <f t="shared" si="149"/>
        <v>0</v>
      </c>
      <c r="BB71" s="298">
        <f t="shared" si="164"/>
        <v>3967000</v>
      </c>
      <c r="BC71" s="298">
        <f t="shared" si="164"/>
        <v>1452000</v>
      </c>
      <c r="BD71" s="298">
        <f t="shared" si="164"/>
        <v>0</v>
      </c>
      <c r="BE71" s="298">
        <f t="shared" si="164"/>
        <v>3341257.1914508408</v>
      </c>
      <c r="BF71" s="304">
        <f t="shared" si="151"/>
        <v>8760257.1914508417</v>
      </c>
    </row>
    <row r="72" spans="1:58" ht="25.5" customHeight="1">
      <c r="A72" s="530"/>
      <c r="B72" s="297"/>
      <c r="C72" s="359" t="s">
        <v>453</v>
      </c>
      <c r="D72" s="299"/>
      <c r="E72" s="299"/>
      <c r="F72" s="299"/>
      <c r="G72" s="299"/>
      <c r="H72" s="299"/>
      <c r="I72" s="299"/>
      <c r="J72" s="299"/>
      <c r="K72" s="299"/>
      <c r="L72" s="299"/>
      <c r="M72" s="299"/>
      <c r="N72" s="299"/>
      <c r="O72" s="299"/>
      <c r="P72" s="299"/>
      <c r="Q72" s="299"/>
      <c r="R72" s="299"/>
      <c r="S72" s="299">
        <v>1575700</v>
      </c>
      <c r="T72" s="299"/>
      <c r="U72" s="299"/>
      <c r="V72" s="299"/>
      <c r="W72" s="299"/>
      <c r="X72" s="299"/>
      <c r="Y72" s="360">
        <f t="shared" si="152"/>
        <v>1575700</v>
      </c>
      <c r="Z72" s="360">
        <f t="shared" si="153"/>
        <v>0</v>
      </c>
      <c r="AA72" s="360">
        <f t="shared" si="154"/>
        <v>0</v>
      </c>
      <c r="AB72" s="342"/>
      <c r="AC72" s="304">
        <f t="shared" ref="AC72:AG72" si="173">+AC12+AC22+AC32+AC42+AC52+AC62</f>
        <v>6172400</v>
      </c>
      <c r="AD72" s="304">
        <f t="shared" si="173"/>
        <v>0</v>
      </c>
      <c r="AE72" s="304">
        <f t="shared" si="173"/>
        <v>0</v>
      </c>
      <c r="AF72" s="304">
        <f t="shared" si="173"/>
        <v>0</v>
      </c>
      <c r="AG72" s="304">
        <f t="shared" si="173"/>
        <v>6172400</v>
      </c>
      <c r="AH72" s="304"/>
      <c r="AI72" s="304"/>
      <c r="AJ72" s="304"/>
      <c r="AK72" s="304"/>
      <c r="AL72" s="304">
        <f t="shared" si="156"/>
        <v>0</v>
      </c>
      <c r="AM72" s="304">
        <f t="shared" si="156"/>
        <v>0</v>
      </c>
      <c r="AN72" s="304">
        <f t="shared" si="156"/>
        <v>0</v>
      </c>
      <c r="AO72" s="304">
        <f t="shared" si="156"/>
        <v>0</v>
      </c>
      <c r="AP72" s="298">
        <f t="shared" si="156"/>
        <v>0</v>
      </c>
      <c r="AQ72" s="304">
        <f t="shared" ref="AQ72" si="174">+AQ12+AQ22+AQ32+AQ42+AQ52+AQ62</f>
        <v>0</v>
      </c>
      <c r="AR72" s="304">
        <f t="shared" si="158"/>
        <v>6172400</v>
      </c>
      <c r="AS72" s="304">
        <f t="shared" si="159"/>
        <v>0</v>
      </c>
      <c r="AT72" s="304">
        <f t="shared" si="160"/>
        <v>0</v>
      </c>
      <c r="AU72" s="304">
        <f t="shared" si="161"/>
        <v>0</v>
      </c>
      <c r="AV72" s="347">
        <f t="shared" si="162"/>
        <v>6172400</v>
      </c>
      <c r="AW72" s="342">
        <f t="shared" si="163"/>
        <v>0</v>
      </c>
      <c r="AX72" s="298">
        <f t="shared" si="163"/>
        <v>0</v>
      </c>
      <c r="AY72" s="298">
        <f t="shared" si="163"/>
        <v>0</v>
      </c>
      <c r="AZ72" s="298">
        <f t="shared" si="163"/>
        <v>0</v>
      </c>
      <c r="BA72" s="298">
        <f t="shared" si="149"/>
        <v>0</v>
      </c>
      <c r="BB72" s="298">
        <f t="shared" si="164"/>
        <v>6172400</v>
      </c>
      <c r="BC72" s="298">
        <f t="shared" si="164"/>
        <v>0</v>
      </c>
      <c r="BD72" s="298">
        <f t="shared" si="164"/>
        <v>0</v>
      </c>
      <c r="BE72" s="298">
        <f t="shared" si="164"/>
        <v>3932295.5767865013</v>
      </c>
      <c r="BF72" s="304">
        <f t="shared" si="151"/>
        <v>10104695.576786501</v>
      </c>
    </row>
    <row r="73" spans="1:58" ht="25.5" customHeight="1">
      <c r="A73" s="530"/>
      <c r="B73" s="297"/>
      <c r="C73" s="359" t="s">
        <v>454</v>
      </c>
      <c r="D73" s="299"/>
      <c r="E73" s="299"/>
      <c r="F73" s="299"/>
      <c r="G73" s="299"/>
      <c r="H73" s="299"/>
      <c r="I73" s="299"/>
      <c r="J73" s="299"/>
      <c r="K73" s="299"/>
      <c r="L73" s="299"/>
      <c r="M73" s="299"/>
      <c r="N73" s="299"/>
      <c r="O73" s="299"/>
      <c r="P73" s="299"/>
      <c r="Q73" s="299"/>
      <c r="R73" s="299"/>
      <c r="S73" s="299">
        <v>300000</v>
      </c>
      <c r="T73" s="299"/>
      <c r="U73" s="299"/>
      <c r="V73" s="299"/>
      <c r="W73" s="299"/>
      <c r="X73" s="299"/>
      <c r="Y73" s="360">
        <f t="shared" si="152"/>
        <v>300000</v>
      </c>
      <c r="Z73" s="360">
        <f t="shared" si="153"/>
        <v>0</v>
      </c>
      <c r="AA73" s="360">
        <f t="shared" si="154"/>
        <v>0</v>
      </c>
      <c r="AB73" s="342"/>
      <c r="AC73" s="304">
        <f t="shared" ref="AC73:AG73" si="175">+AC13+AC23+AC33+AC43+AC53+AC63</f>
        <v>2302200</v>
      </c>
      <c r="AD73" s="304">
        <f t="shared" si="175"/>
        <v>0</v>
      </c>
      <c r="AE73" s="304">
        <f t="shared" si="175"/>
        <v>0</v>
      </c>
      <c r="AF73" s="304">
        <f t="shared" si="175"/>
        <v>0</v>
      </c>
      <c r="AG73" s="304">
        <f t="shared" si="175"/>
        <v>2302200</v>
      </c>
      <c r="AH73" s="304"/>
      <c r="AI73" s="304"/>
      <c r="AJ73" s="304"/>
      <c r="AK73" s="304"/>
      <c r="AL73" s="304">
        <f t="shared" si="156"/>
        <v>0</v>
      </c>
      <c r="AM73" s="304">
        <f t="shared" si="156"/>
        <v>0</v>
      </c>
      <c r="AN73" s="304">
        <f t="shared" si="156"/>
        <v>0</v>
      </c>
      <c r="AO73" s="304">
        <f t="shared" si="156"/>
        <v>0</v>
      </c>
      <c r="AP73" s="298">
        <f t="shared" si="156"/>
        <v>0</v>
      </c>
      <c r="AQ73" s="304">
        <f t="shared" ref="AQ73" si="176">+AQ13+AQ23+AQ33+AQ43+AQ53+AQ63</f>
        <v>0</v>
      </c>
      <c r="AR73" s="304">
        <f t="shared" si="158"/>
        <v>2302200</v>
      </c>
      <c r="AS73" s="304">
        <f t="shared" si="159"/>
        <v>0</v>
      </c>
      <c r="AT73" s="304">
        <f t="shared" si="160"/>
        <v>0</v>
      </c>
      <c r="AU73" s="304">
        <f t="shared" si="161"/>
        <v>0</v>
      </c>
      <c r="AV73" s="347">
        <f t="shared" si="162"/>
        <v>2302200</v>
      </c>
      <c r="AW73" s="342">
        <f t="shared" si="163"/>
        <v>0</v>
      </c>
      <c r="AX73" s="298">
        <f t="shared" si="163"/>
        <v>0</v>
      </c>
      <c r="AY73" s="298">
        <f t="shared" si="163"/>
        <v>0</v>
      </c>
      <c r="AZ73" s="298">
        <f t="shared" si="163"/>
        <v>0</v>
      </c>
      <c r="BA73" s="298">
        <f t="shared" si="149"/>
        <v>0</v>
      </c>
      <c r="BB73" s="298">
        <f t="shared" si="164"/>
        <v>2302200</v>
      </c>
      <c r="BC73" s="298">
        <f t="shared" si="164"/>
        <v>0</v>
      </c>
      <c r="BD73" s="298">
        <f t="shared" si="164"/>
        <v>0</v>
      </c>
      <c r="BE73" s="298">
        <f t="shared" si="164"/>
        <v>1458932.9140023002</v>
      </c>
      <c r="BF73" s="304">
        <f t="shared" si="151"/>
        <v>3761132.9140023002</v>
      </c>
    </row>
    <row r="74" spans="1:58" ht="25.5" customHeight="1">
      <c r="A74" s="530"/>
      <c r="B74" s="297"/>
      <c r="C74" s="338" t="s">
        <v>455</v>
      </c>
      <c r="D74" s="299">
        <f>SUM(D66:D73)</f>
        <v>6000000</v>
      </c>
      <c r="E74" s="299">
        <f t="shared" ref="E74:AA74" si="177">SUM(E66:E73)</f>
        <v>2123543.7000000002</v>
      </c>
      <c r="F74" s="299">
        <f t="shared" si="177"/>
        <v>34557.24</v>
      </c>
      <c r="G74" s="299">
        <f t="shared" si="177"/>
        <v>145885</v>
      </c>
      <c r="H74" s="299">
        <f t="shared" si="177"/>
        <v>0</v>
      </c>
      <c r="I74" s="299">
        <f t="shared" si="177"/>
        <v>0</v>
      </c>
      <c r="J74" s="299">
        <f t="shared" si="177"/>
        <v>37277</v>
      </c>
      <c r="K74" s="299">
        <f t="shared" si="177"/>
        <v>0</v>
      </c>
      <c r="L74" s="299">
        <f t="shared" si="177"/>
        <v>0</v>
      </c>
      <c r="M74" s="299">
        <f t="shared" si="177"/>
        <v>4530122.8000000007</v>
      </c>
      <c r="N74" s="299">
        <f t="shared" si="177"/>
        <v>267395.01</v>
      </c>
      <c r="O74" s="299">
        <f t="shared" si="177"/>
        <v>0</v>
      </c>
      <c r="P74" s="299">
        <f t="shared" si="177"/>
        <v>10724009.9</v>
      </c>
      <c r="Q74" s="299">
        <f t="shared" si="177"/>
        <v>1191147.6499999999</v>
      </c>
      <c r="R74" s="299">
        <f t="shared" si="177"/>
        <v>0</v>
      </c>
      <c r="S74" s="299">
        <f t="shared" si="177"/>
        <v>1875700</v>
      </c>
      <c r="T74" s="299">
        <f t="shared" si="177"/>
        <v>0</v>
      </c>
      <c r="U74" s="299">
        <f t="shared" si="177"/>
        <v>0</v>
      </c>
      <c r="V74" s="299">
        <f t="shared" si="177"/>
        <v>1975385.8</v>
      </c>
      <c r="W74" s="299">
        <f t="shared" si="177"/>
        <v>509695</v>
      </c>
      <c r="X74" s="299">
        <f t="shared" si="177"/>
        <v>0</v>
      </c>
      <c r="Y74" s="299">
        <f t="shared" si="177"/>
        <v>25288380.500000004</v>
      </c>
      <c r="Z74" s="299">
        <f t="shared" si="177"/>
        <v>4091781.3600000003</v>
      </c>
      <c r="AA74" s="299">
        <f t="shared" si="177"/>
        <v>34557.24</v>
      </c>
      <c r="AB74" s="342"/>
      <c r="AC74" s="304">
        <f>SUM(AC66:AC73)</f>
        <v>107568877.62</v>
      </c>
      <c r="AD74" s="304">
        <f>SUM(AD66:AD73)</f>
        <v>56698988.079999998</v>
      </c>
      <c r="AE74" s="304">
        <f>SUM(AE66:AE73)</f>
        <v>601687.49</v>
      </c>
      <c r="AF74" s="304">
        <f>SUM(AF66:AF73)</f>
        <v>95524631.140000001</v>
      </c>
      <c r="AG74" s="304">
        <f>SUM(AG66:AG73)</f>
        <v>260394184.33000001</v>
      </c>
      <c r="AH74" s="304"/>
      <c r="AI74" s="304"/>
      <c r="AJ74" s="304"/>
      <c r="AK74" s="304"/>
      <c r="AL74" s="304">
        <f>SUM(AL66:AL73)</f>
        <v>10645503.929999998</v>
      </c>
      <c r="AM74" s="304">
        <f t="shared" ref="AM74:AO74" si="178">SUM(AM66:AM73)</f>
        <v>7139131</v>
      </c>
      <c r="AN74" s="304">
        <f t="shared" si="178"/>
        <v>0</v>
      </c>
      <c r="AO74" s="304">
        <f t="shared" si="178"/>
        <v>0</v>
      </c>
      <c r="AP74" s="298">
        <f>SUM(AP66:AP73)</f>
        <v>17784634.93</v>
      </c>
      <c r="AQ74" s="304">
        <f>SUM(AQ66:AQ73)</f>
        <v>8737613.9100000001</v>
      </c>
      <c r="AR74" s="304">
        <f>SUM(AR66:AR73)</f>
        <v>118214381.55</v>
      </c>
      <c r="AS74" s="304">
        <f>SUM(AS66:AS73)</f>
        <v>63838119.079999998</v>
      </c>
      <c r="AT74" s="304">
        <f t="shared" ref="AT74" si="179">SUM(AT66:AT73)</f>
        <v>9339301.4000000004</v>
      </c>
      <c r="AU74" s="304">
        <f t="shared" ref="AU74" si="180">SUM(AU66:AU73)</f>
        <v>0</v>
      </c>
      <c r="AV74" s="347">
        <f>SUM(AR74:AU74)</f>
        <v>191391802.03</v>
      </c>
      <c r="AW74" s="341">
        <f>SUM(AW66:AW73)</f>
        <v>234587522.21567273</v>
      </c>
      <c r="AX74" s="304">
        <f>SUM(AX66:AX73)</f>
        <v>33420358.741797291</v>
      </c>
      <c r="AY74" s="304">
        <f>SUM(AY66:AY73)</f>
        <v>0</v>
      </c>
      <c r="AZ74" s="304">
        <f>SUM(AZ66:AZ73)</f>
        <v>30601327.441579558</v>
      </c>
      <c r="BA74" s="298">
        <f t="shared" si="149"/>
        <v>298609208.39904958</v>
      </c>
      <c r="BB74" s="336">
        <f>SUM(BB66:BB73)</f>
        <v>352801903.76567274</v>
      </c>
      <c r="BC74" s="304">
        <f>SUM(BC66:BC73)</f>
        <v>97258477.821797282</v>
      </c>
      <c r="BD74" s="304">
        <f>SUM(BD66:BD73)</f>
        <v>9339301.4000000022</v>
      </c>
      <c r="BE74" s="304">
        <f>SUM(BE66:BE73)</f>
        <v>126125958.58157957</v>
      </c>
      <c r="BF74" s="304">
        <f t="shared" si="151"/>
        <v>585525641.5690496</v>
      </c>
    </row>
    <row r="75" spans="1:58" s="294" customFormat="1" ht="25.5" customHeight="1">
      <c r="A75" s="529">
        <v>7</v>
      </c>
      <c r="B75" s="299" t="s">
        <v>162</v>
      </c>
      <c r="C75" s="627" t="s">
        <v>456</v>
      </c>
      <c r="D75" s="627"/>
      <c r="E75" s="627"/>
      <c r="F75" s="627"/>
      <c r="G75" s="627"/>
      <c r="H75" s="627"/>
      <c r="I75" s="627"/>
      <c r="J75" s="627"/>
      <c r="K75" s="627"/>
      <c r="L75" s="627"/>
      <c r="M75" s="627"/>
      <c r="N75" s="627"/>
      <c r="O75" s="627"/>
      <c r="P75" s="627"/>
      <c r="Q75" s="627"/>
      <c r="R75" s="627"/>
      <c r="S75" s="627"/>
      <c r="T75" s="627"/>
      <c r="U75" s="627"/>
      <c r="V75" s="627"/>
      <c r="W75" s="627"/>
      <c r="X75" s="627"/>
      <c r="Y75" s="627"/>
      <c r="Z75" s="627"/>
      <c r="AA75" s="627"/>
      <c r="AB75" s="342">
        <f t="shared" si="24"/>
        <v>0</v>
      </c>
      <c r="AC75" s="304">
        <f t="shared" si="31"/>
        <v>0</v>
      </c>
      <c r="AD75" s="304">
        <f t="shared" si="32"/>
        <v>0</v>
      </c>
      <c r="AE75" s="304">
        <f t="shared" si="33"/>
        <v>0</v>
      </c>
      <c r="AF75" s="304">
        <f t="shared" si="34"/>
        <v>0</v>
      </c>
      <c r="AG75" s="304">
        <f t="shared" si="35"/>
        <v>0</v>
      </c>
      <c r="AH75" s="304">
        <f t="shared" si="12"/>
        <v>0</v>
      </c>
      <c r="AI75" s="304">
        <f t="shared" si="13"/>
        <v>0</v>
      </c>
      <c r="AJ75" s="299"/>
      <c r="AK75" s="299"/>
      <c r="AL75" s="299"/>
      <c r="AM75" s="299"/>
      <c r="AN75" s="299"/>
      <c r="AO75" s="299"/>
      <c r="AP75" s="300"/>
      <c r="AQ75" s="299"/>
      <c r="AR75" s="299"/>
      <c r="AS75" s="299"/>
      <c r="AT75" s="299"/>
      <c r="AU75" s="299"/>
      <c r="AV75" s="348"/>
      <c r="AW75" s="343"/>
      <c r="AX75" s="299"/>
      <c r="AY75" s="299"/>
      <c r="AZ75" s="299"/>
      <c r="BA75" s="300"/>
      <c r="BB75" s="322"/>
      <c r="BC75" s="299"/>
      <c r="BD75" s="299"/>
      <c r="BE75" s="299"/>
      <c r="BF75" s="299"/>
    </row>
    <row r="76" spans="1:58" s="294" customFormat="1" ht="25.5" customHeight="1">
      <c r="A76" s="529"/>
      <c r="B76" s="299"/>
      <c r="C76" s="359" t="s">
        <v>447</v>
      </c>
      <c r="D76" s="360"/>
      <c r="E76" s="360"/>
      <c r="F76" s="360"/>
      <c r="G76" s="360"/>
      <c r="H76" s="360"/>
      <c r="I76" s="360"/>
      <c r="J76" s="360"/>
      <c r="K76" s="360"/>
      <c r="L76" s="360"/>
      <c r="M76" s="360"/>
      <c r="N76" s="360"/>
      <c r="O76" s="360"/>
      <c r="P76" s="360"/>
      <c r="Q76" s="360"/>
      <c r="R76" s="360"/>
      <c r="S76" s="360"/>
      <c r="T76" s="360"/>
      <c r="U76" s="360"/>
      <c r="V76" s="360"/>
      <c r="W76" s="360"/>
      <c r="X76" s="360"/>
      <c r="Y76" s="360">
        <f>D76+G76+J76+M76+P76+S76+V76</f>
        <v>0</v>
      </c>
      <c r="Z76" s="360">
        <f>E76+H76+K76+N76+Q76+T76+W76</f>
        <v>0</v>
      </c>
      <c r="AA76" s="360">
        <f>F76+I76+L76+O76+R76+U76+X76</f>
        <v>0</v>
      </c>
      <c r="AB76" s="342">
        <f t="shared" si="24"/>
        <v>0</v>
      </c>
      <c r="AC76" s="304">
        <f t="shared" si="31"/>
        <v>0</v>
      </c>
      <c r="AD76" s="304">
        <f t="shared" si="32"/>
        <v>0</v>
      </c>
      <c r="AE76" s="304">
        <f t="shared" si="33"/>
        <v>0</v>
      </c>
      <c r="AF76" s="304">
        <f t="shared" si="34"/>
        <v>0</v>
      </c>
      <c r="AG76" s="304">
        <f t="shared" si="35"/>
        <v>0</v>
      </c>
      <c r="AH76" s="304">
        <f t="shared" si="12"/>
        <v>0</v>
      </c>
      <c r="AI76" s="304">
        <f t="shared" si="13"/>
        <v>0</v>
      </c>
      <c r="AJ76" s="304">
        <f>+AI76*100/AI84</f>
        <v>0</v>
      </c>
      <c r="AK76" s="304">
        <f>+AH77*AJ76/100</f>
        <v>0</v>
      </c>
      <c r="AL76" s="299"/>
      <c r="AM76" s="299"/>
      <c r="AN76" s="299"/>
      <c r="AO76" s="299"/>
      <c r="AP76" s="300"/>
      <c r="AQ76" s="299"/>
      <c r="AR76" s="304">
        <f>+AC76+AL76</f>
        <v>0</v>
      </c>
      <c r="AS76" s="304">
        <f>+AD76+AM76</f>
        <v>0</v>
      </c>
      <c r="AT76" s="304">
        <f>+AE76+AN76+AQ76</f>
        <v>0</v>
      </c>
      <c r="AU76" s="304">
        <f>+AK76+AO76</f>
        <v>0</v>
      </c>
      <c r="AV76" s="347">
        <f>SUM(AR76:AU76)</f>
        <v>0</v>
      </c>
      <c r="AW76" s="341">
        <f t="shared" ref="AW76:AZ77" si="181">+AC274*AR76/AR187</f>
        <v>0</v>
      </c>
      <c r="AX76" s="304">
        <f t="shared" si="181"/>
        <v>0</v>
      </c>
      <c r="AY76" s="304">
        <f t="shared" si="181"/>
        <v>0</v>
      </c>
      <c r="AZ76" s="304">
        <f t="shared" si="181"/>
        <v>0</v>
      </c>
      <c r="BA76" s="298">
        <f t="shared" ref="BA76:BA84" si="182">SUM(AW76:AZ76)</f>
        <v>0</v>
      </c>
      <c r="BB76" s="304">
        <f>+AR76+AW76</f>
        <v>0</v>
      </c>
      <c r="BC76" s="304">
        <f t="shared" ref="BC76:BC83" si="183">+AS76+AX76</f>
        <v>0</v>
      </c>
      <c r="BD76" s="304">
        <f t="shared" ref="BD76:BD83" si="184">+AT76+AY76</f>
        <v>0</v>
      </c>
      <c r="BE76" s="304">
        <f>+AU76+AZ76</f>
        <v>0</v>
      </c>
      <c r="BF76" s="304">
        <f t="shared" ref="BF76:BF84" si="185">SUM(BB76:BE76)</f>
        <v>0</v>
      </c>
    </row>
    <row r="77" spans="1:58" s="294" customFormat="1" ht="25.5" customHeight="1">
      <c r="A77" s="529"/>
      <c r="B77" s="299"/>
      <c r="C77" s="359" t="s">
        <v>448</v>
      </c>
      <c r="D77" s="360"/>
      <c r="E77" s="360"/>
      <c r="F77" s="360"/>
      <c r="G77" s="360">
        <v>20000</v>
      </c>
      <c r="H77" s="360"/>
      <c r="I77" s="360"/>
      <c r="J77" s="301">
        <v>114117.2</v>
      </c>
      <c r="K77" s="360"/>
      <c r="L77" s="360"/>
      <c r="M77" s="301">
        <v>499713.21</v>
      </c>
      <c r="N77" s="301">
        <v>3068.21</v>
      </c>
      <c r="O77" s="360"/>
      <c r="P77" s="360">
        <v>1505335.58</v>
      </c>
      <c r="Q77" s="360">
        <v>246487.90000000002</v>
      </c>
      <c r="R77" s="360"/>
      <c r="S77" s="302"/>
      <c r="T77" s="302"/>
      <c r="U77" s="360"/>
      <c r="V77" s="360"/>
      <c r="W77" s="301">
        <v>11220</v>
      </c>
      <c r="X77" s="360"/>
      <c r="Y77" s="360">
        <f t="shared" ref="Y77:AA83" si="186">D77+G77+J77+M77+P77+S77+V77</f>
        <v>2139165.9900000002</v>
      </c>
      <c r="Z77" s="360">
        <f t="shared" si="186"/>
        <v>260776.11000000002</v>
      </c>
      <c r="AA77" s="360">
        <f t="shared" si="186"/>
        <v>0</v>
      </c>
      <c r="AB77" s="342">
        <f t="shared" si="24"/>
        <v>2399942.1</v>
      </c>
      <c r="AC77" s="304">
        <f t="shared" si="31"/>
        <v>633830.41</v>
      </c>
      <c r="AD77" s="304">
        <f t="shared" si="32"/>
        <v>14288.21</v>
      </c>
      <c r="AE77" s="304">
        <f t="shared" si="33"/>
        <v>0</v>
      </c>
      <c r="AF77" s="304">
        <f t="shared" si="34"/>
        <v>1751823.48</v>
      </c>
      <c r="AG77" s="304">
        <f t="shared" si="35"/>
        <v>2399942.1</v>
      </c>
      <c r="AH77" s="304">
        <f t="shared" si="12"/>
        <v>1751823.48</v>
      </c>
      <c r="AI77" s="304">
        <f t="shared" si="13"/>
        <v>648118.62</v>
      </c>
      <c r="AJ77" s="304">
        <f>+AI77*100/AI84</f>
        <v>45.048323625644045</v>
      </c>
      <c r="AK77" s="304">
        <f>+AH77*AJ77/100</f>
        <v>789167.11062041973</v>
      </c>
      <c r="AL77" s="299"/>
      <c r="AM77" s="299"/>
      <c r="AN77" s="299"/>
      <c r="AO77" s="299"/>
      <c r="AP77" s="300"/>
      <c r="AQ77" s="299">
        <v>21531.91</v>
      </c>
      <c r="AR77" s="304">
        <f t="shared" ref="AR77:AR83" si="187">+AC77+AL77</f>
        <v>633830.41</v>
      </c>
      <c r="AS77" s="304">
        <f t="shared" ref="AS77:AS83" si="188">+AD77+AM77</f>
        <v>14288.21</v>
      </c>
      <c r="AT77" s="304">
        <f t="shared" ref="AT77:AT83" si="189">+AE77+AN77+AQ77</f>
        <v>21531.91</v>
      </c>
      <c r="AU77" s="304">
        <f t="shared" ref="AU77:AU83" si="190">+AK77+AO77</f>
        <v>789167.11062041973</v>
      </c>
      <c r="AV77" s="347">
        <f t="shared" ref="AV77:AV83" si="191">SUM(AR77:AU77)</f>
        <v>1458817.6406204198</v>
      </c>
      <c r="AW77" s="341">
        <f t="shared" si="181"/>
        <v>811215.40753978258</v>
      </c>
      <c r="AX77" s="304">
        <f t="shared" si="181"/>
        <v>13313.545620723809</v>
      </c>
      <c r="AY77" s="304">
        <f t="shared" si="181"/>
        <v>0</v>
      </c>
      <c r="AZ77" s="304">
        <f t="shared" si="181"/>
        <v>973790.03455158125</v>
      </c>
      <c r="BA77" s="298">
        <f t="shared" si="182"/>
        <v>1798318.9877120876</v>
      </c>
      <c r="BB77" s="304">
        <f t="shared" ref="BB77:BB83" si="192">+AR77+AW77</f>
        <v>1445045.8175397827</v>
      </c>
      <c r="BC77" s="304">
        <f t="shared" si="183"/>
        <v>27601.755620723809</v>
      </c>
      <c r="BD77" s="304">
        <f t="shared" si="184"/>
        <v>21531.91</v>
      </c>
      <c r="BE77" s="304">
        <f t="shared" ref="BE77:BE83" si="193">+AU77+AZ77</f>
        <v>1762957.1451720009</v>
      </c>
      <c r="BF77" s="304">
        <f t="shared" si="185"/>
        <v>3257136.6283325073</v>
      </c>
    </row>
    <row r="78" spans="1:58" s="294" customFormat="1" ht="25.5" customHeight="1">
      <c r="A78" s="529"/>
      <c r="B78" s="299"/>
      <c r="C78" s="359" t="s">
        <v>449</v>
      </c>
      <c r="D78" s="360"/>
      <c r="E78" s="360"/>
      <c r="F78" s="360"/>
      <c r="G78" s="360"/>
      <c r="H78" s="360"/>
      <c r="I78" s="360"/>
      <c r="J78" s="360"/>
      <c r="K78" s="360"/>
      <c r="L78" s="360"/>
      <c r="M78" s="360"/>
      <c r="N78" s="360"/>
      <c r="O78" s="360"/>
      <c r="P78" s="360"/>
      <c r="Q78" s="360"/>
      <c r="R78" s="360"/>
      <c r="S78" s="360"/>
      <c r="T78" s="360"/>
      <c r="U78" s="360"/>
      <c r="V78" s="360"/>
      <c r="W78" s="360"/>
      <c r="X78" s="360"/>
      <c r="Y78" s="360">
        <f t="shared" si="186"/>
        <v>0</v>
      </c>
      <c r="Z78" s="360">
        <f t="shared" si="186"/>
        <v>0</v>
      </c>
      <c r="AA78" s="360">
        <f t="shared" si="186"/>
        <v>0</v>
      </c>
      <c r="AB78" s="342">
        <f t="shared" si="24"/>
        <v>0</v>
      </c>
      <c r="AC78" s="304">
        <f t="shared" si="31"/>
        <v>0</v>
      </c>
      <c r="AD78" s="304">
        <f t="shared" si="32"/>
        <v>0</v>
      </c>
      <c r="AE78" s="304">
        <f t="shared" si="33"/>
        <v>0</v>
      </c>
      <c r="AF78" s="304">
        <f t="shared" si="34"/>
        <v>0</v>
      </c>
      <c r="AG78" s="304">
        <f t="shared" si="35"/>
        <v>0</v>
      </c>
      <c r="AH78" s="304">
        <f t="shared" si="12"/>
        <v>0</v>
      </c>
      <c r="AI78" s="304">
        <f t="shared" si="13"/>
        <v>0</v>
      </c>
      <c r="AJ78" s="304">
        <f>+AI78*100/AI84</f>
        <v>0</v>
      </c>
      <c r="AK78" s="304">
        <f>+AH77*AJ78/100</f>
        <v>0</v>
      </c>
      <c r="AL78" s="299"/>
      <c r="AM78" s="299"/>
      <c r="AN78" s="299"/>
      <c r="AO78" s="299"/>
      <c r="AP78" s="300"/>
      <c r="AQ78" s="299"/>
      <c r="AR78" s="304">
        <f t="shared" si="187"/>
        <v>0</v>
      </c>
      <c r="AS78" s="304">
        <f t="shared" si="188"/>
        <v>0</v>
      </c>
      <c r="AT78" s="304">
        <f t="shared" si="189"/>
        <v>0</v>
      </c>
      <c r="AU78" s="304">
        <f t="shared" si="190"/>
        <v>0</v>
      </c>
      <c r="AV78" s="347">
        <f t="shared" si="191"/>
        <v>0</v>
      </c>
      <c r="AW78" s="341">
        <f t="shared" ref="AW78:AX82" si="194">+AC276*AR78/AR189</f>
        <v>0</v>
      </c>
      <c r="AX78" s="304">
        <f t="shared" si="194"/>
        <v>0</v>
      </c>
      <c r="AY78" s="304">
        <v>0</v>
      </c>
      <c r="AZ78" s="304">
        <f t="shared" ref="AZ78:AZ83" si="195">+AF276*AU78/AU189</f>
        <v>0</v>
      </c>
      <c r="BA78" s="298">
        <f t="shared" si="182"/>
        <v>0</v>
      </c>
      <c r="BB78" s="304">
        <f t="shared" si="192"/>
        <v>0</v>
      </c>
      <c r="BC78" s="304">
        <f t="shared" si="183"/>
        <v>0</v>
      </c>
      <c r="BD78" s="304">
        <f t="shared" si="184"/>
        <v>0</v>
      </c>
      <c r="BE78" s="304">
        <f t="shared" si="193"/>
        <v>0</v>
      </c>
      <c r="BF78" s="304">
        <f t="shared" si="185"/>
        <v>0</v>
      </c>
    </row>
    <row r="79" spans="1:58" s="294" customFormat="1" ht="25.5" customHeight="1">
      <c r="A79" s="529"/>
      <c r="B79" s="299"/>
      <c r="C79" s="359" t="s">
        <v>450</v>
      </c>
      <c r="D79" s="360"/>
      <c r="E79" s="360"/>
      <c r="F79" s="360"/>
      <c r="G79" s="360"/>
      <c r="H79" s="360"/>
      <c r="I79" s="360"/>
      <c r="J79" s="360"/>
      <c r="K79" s="360"/>
      <c r="L79" s="360"/>
      <c r="M79" s="360"/>
      <c r="N79" s="360"/>
      <c r="O79" s="360"/>
      <c r="P79" s="360"/>
      <c r="Q79" s="360"/>
      <c r="R79" s="360"/>
      <c r="S79" s="360"/>
      <c r="T79" s="360"/>
      <c r="U79" s="360"/>
      <c r="V79" s="360"/>
      <c r="W79" s="360"/>
      <c r="X79" s="360"/>
      <c r="Y79" s="360">
        <f t="shared" si="186"/>
        <v>0</v>
      </c>
      <c r="Z79" s="360">
        <f t="shared" si="186"/>
        <v>0</v>
      </c>
      <c r="AA79" s="360">
        <f t="shared" si="186"/>
        <v>0</v>
      </c>
      <c r="AB79" s="342">
        <f t="shared" si="24"/>
        <v>0</v>
      </c>
      <c r="AC79" s="304">
        <f t="shared" si="31"/>
        <v>0</v>
      </c>
      <c r="AD79" s="304">
        <f t="shared" si="32"/>
        <v>0</v>
      </c>
      <c r="AE79" s="304">
        <f t="shared" si="33"/>
        <v>0</v>
      </c>
      <c r="AF79" s="304">
        <f t="shared" si="34"/>
        <v>0</v>
      </c>
      <c r="AG79" s="304">
        <f t="shared" si="35"/>
        <v>0</v>
      </c>
      <c r="AH79" s="304">
        <f t="shared" si="12"/>
        <v>0</v>
      </c>
      <c r="AI79" s="304">
        <f t="shared" si="13"/>
        <v>0</v>
      </c>
      <c r="AJ79" s="304">
        <f>+AI79*100/AI84</f>
        <v>0</v>
      </c>
      <c r="AK79" s="304">
        <f>+AH77*AJ79/100</f>
        <v>0</v>
      </c>
      <c r="AL79" s="299"/>
      <c r="AM79" s="299"/>
      <c r="AN79" s="299"/>
      <c r="AO79" s="299"/>
      <c r="AP79" s="300"/>
      <c r="AQ79" s="299"/>
      <c r="AR79" s="304">
        <f t="shared" si="187"/>
        <v>0</v>
      </c>
      <c r="AS79" s="304">
        <f t="shared" si="188"/>
        <v>0</v>
      </c>
      <c r="AT79" s="304">
        <f t="shared" si="189"/>
        <v>0</v>
      </c>
      <c r="AU79" s="304">
        <f t="shared" si="190"/>
        <v>0</v>
      </c>
      <c r="AV79" s="347">
        <f t="shared" si="191"/>
        <v>0</v>
      </c>
      <c r="AW79" s="341">
        <f t="shared" si="194"/>
        <v>0</v>
      </c>
      <c r="AX79" s="304">
        <f t="shared" si="194"/>
        <v>0</v>
      </c>
      <c r="AY79" s="304">
        <v>0</v>
      </c>
      <c r="AZ79" s="304">
        <f t="shared" si="195"/>
        <v>0</v>
      </c>
      <c r="BA79" s="298">
        <f t="shared" si="182"/>
        <v>0</v>
      </c>
      <c r="BB79" s="304">
        <f t="shared" si="192"/>
        <v>0</v>
      </c>
      <c r="BC79" s="304">
        <f t="shared" si="183"/>
        <v>0</v>
      </c>
      <c r="BD79" s="304">
        <f t="shared" si="184"/>
        <v>0</v>
      </c>
      <c r="BE79" s="304">
        <f t="shared" si="193"/>
        <v>0</v>
      </c>
      <c r="BF79" s="304">
        <f t="shared" si="185"/>
        <v>0</v>
      </c>
    </row>
    <row r="80" spans="1:58" s="294" customFormat="1" ht="25.5" customHeight="1">
      <c r="A80" s="529"/>
      <c r="B80" s="299"/>
      <c r="C80" s="359" t="s">
        <v>451</v>
      </c>
      <c r="D80" s="360"/>
      <c r="E80" s="360"/>
      <c r="F80" s="360"/>
      <c r="G80" s="360"/>
      <c r="H80" s="360"/>
      <c r="I80" s="360"/>
      <c r="J80" s="360"/>
      <c r="K80" s="360"/>
      <c r="L80" s="360"/>
      <c r="M80" s="360"/>
      <c r="N80" s="360"/>
      <c r="O80" s="360"/>
      <c r="P80" s="360"/>
      <c r="Q80" s="360"/>
      <c r="R80" s="360"/>
      <c r="S80" s="360"/>
      <c r="T80" s="360"/>
      <c r="U80" s="360"/>
      <c r="V80" s="360"/>
      <c r="W80" s="360"/>
      <c r="X80" s="360"/>
      <c r="Y80" s="360">
        <f t="shared" si="186"/>
        <v>0</v>
      </c>
      <c r="Z80" s="360">
        <f t="shared" si="186"/>
        <v>0</v>
      </c>
      <c r="AA80" s="360">
        <f t="shared" si="186"/>
        <v>0</v>
      </c>
      <c r="AB80" s="342">
        <f t="shared" si="24"/>
        <v>0</v>
      </c>
      <c r="AC80" s="304">
        <f t="shared" si="31"/>
        <v>0</v>
      </c>
      <c r="AD80" s="304">
        <f t="shared" si="32"/>
        <v>0</v>
      </c>
      <c r="AE80" s="304">
        <f t="shared" si="33"/>
        <v>0</v>
      </c>
      <c r="AF80" s="304">
        <f t="shared" si="34"/>
        <v>0</v>
      </c>
      <c r="AG80" s="304">
        <f t="shared" si="35"/>
        <v>0</v>
      </c>
      <c r="AH80" s="304">
        <f t="shared" si="12"/>
        <v>0</v>
      </c>
      <c r="AI80" s="304">
        <f t="shared" si="13"/>
        <v>0</v>
      </c>
      <c r="AJ80" s="304">
        <f>+AI80*100/AI84</f>
        <v>0</v>
      </c>
      <c r="AK80" s="304">
        <f>+AH77*AJ80/100</f>
        <v>0</v>
      </c>
      <c r="AL80" s="299"/>
      <c r="AM80" s="299"/>
      <c r="AN80" s="299"/>
      <c r="AO80" s="299"/>
      <c r="AP80" s="300"/>
      <c r="AQ80" s="299"/>
      <c r="AR80" s="304">
        <f t="shared" si="187"/>
        <v>0</v>
      </c>
      <c r="AS80" s="304">
        <f t="shared" si="188"/>
        <v>0</v>
      </c>
      <c r="AT80" s="304">
        <f t="shared" si="189"/>
        <v>0</v>
      </c>
      <c r="AU80" s="304">
        <f t="shared" si="190"/>
        <v>0</v>
      </c>
      <c r="AV80" s="347">
        <f t="shared" si="191"/>
        <v>0</v>
      </c>
      <c r="AW80" s="341">
        <f t="shared" si="194"/>
        <v>0</v>
      </c>
      <c r="AX80" s="304">
        <f t="shared" si="194"/>
        <v>0</v>
      </c>
      <c r="AY80" s="304">
        <f>+AE278*AT80/AT191</f>
        <v>0</v>
      </c>
      <c r="AZ80" s="304">
        <f t="shared" si="195"/>
        <v>0</v>
      </c>
      <c r="BA80" s="298">
        <f t="shared" si="182"/>
        <v>0</v>
      </c>
      <c r="BB80" s="304">
        <f t="shared" si="192"/>
        <v>0</v>
      </c>
      <c r="BC80" s="304">
        <f t="shared" si="183"/>
        <v>0</v>
      </c>
      <c r="BD80" s="304">
        <f t="shared" si="184"/>
        <v>0</v>
      </c>
      <c r="BE80" s="304">
        <f t="shared" si="193"/>
        <v>0</v>
      </c>
      <c r="BF80" s="304">
        <f t="shared" si="185"/>
        <v>0</v>
      </c>
    </row>
    <row r="81" spans="1:58" s="294" customFormat="1" ht="25.5" customHeight="1">
      <c r="A81" s="529"/>
      <c r="B81" s="299"/>
      <c r="C81" s="359" t="s">
        <v>452</v>
      </c>
      <c r="D81" s="360"/>
      <c r="E81" s="360"/>
      <c r="F81" s="360"/>
      <c r="G81" s="360"/>
      <c r="H81" s="360"/>
      <c r="I81" s="360"/>
      <c r="J81" s="360"/>
      <c r="K81" s="360"/>
      <c r="L81" s="360"/>
      <c r="M81" s="360"/>
      <c r="N81" s="360"/>
      <c r="O81" s="360"/>
      <c r="P81" s="360"/>
      <c r="Q81" s="360"/>
      <c r="R81" s="360"/>
      <c r="S81" s="360"/>
      <c r="T81" s="360"/>
      <c r="U81" s="360"/>
      <c r="V81" s="360"/>
      <c r="W81" s="360"/>
      <c r="X81" s="360"/>
      <c r="Y81" s="360">
        <f t="shared" si="186"/>
        <v>0</v>
      </c>
      <c r="Z81" s="360">
        <f t="shared" si="186"/>
        <v>0</v>
      </c>
      <c r="AA81" s="360">
        <f t="shared" si="186"/>
        <v>0</v>
      </c>
      <c r="AB81" s="342">
        <f t="shared" si="24"/>
        <v>0</v>
      </c>
      <c r="AC81" s="304">
        <f t="shared" si="31"/>
        <v>0</v>
      </c>
      <c r="AD81" s="304">
        <f t="shared" si="32"/>
        <v>0</v>
      </c>
      <c r="AE81" s="304">
        <f t="shared" si="33"/>
        <v>0</v>
      </c>
      <c r="AF81" s="304">
        <f t="shared" si="34"/>
        <v>0</v>
      </c>
      <c r="AG81" s="304">
        <f t="shared" si="35"/>
        <v>0</v>
      </c>
      <c r="AH81" s="304">
        <f t="shared" ref="AH81:AH144" si="196">+AF81</f>
        <v>0</v>
      </c>
      <c r="AI81" s="304">
        <f t="shared" ref="AI81:AI144" si="197">+AC81+AD81</f>
        <v>0</v>
      </c>
      <c r="AJ81" s="304">
        <f>+AI81*100/AI84</f>
        <v>0</v>
      </c>
      <c r="AK81" s="304">
        <f>+AH77*AJ81/100</f>
        <v>0</v>
      </c>
      <c r="AL81" s="299"/>
      <c r="AM81" s="299"/>
      <c r="AN81" s="299"/>
      <c r="AO81" s="299"/>
      <c r="AP81" s="300"/>
      <c r="AQ81" s="299"/>
      <c r="AR81" s="304">
        <f t="shared" si="187"/>
        <v>0</v>
      </c>
      <c r="AS81" s="304">
        <f t="shared" si="188"/>
        <v>0</v>
      </c>
      <c r="AT81" s="304">
        <f t="shared" si="189"/>
        <v>0</v>
      </c>
      <c r="AU81" s="304">
        <f t="shared" si="190"/>
        <v>0</v>
      </c>
      <c r="AV81" s="347">
        <f t="shared" si="191"/>
        <v>0</v>
      </c>
      <c r="AW81" s="341">
        <f t="shared" si="194"/>
        <v>0</v>
      </c>
      <c r="AX81" s="304">
        <f t="shared" si="194"/>
        <v>0</v>
      </c>
      <c r="AY81" s="304">
        <v>0</v>
      </c>
      <c r="AZ81" s="304">
        <f t="shared" si="195"/>
        <v>0</v>
      </c>
      <c r="BA81" s="298">
        <f t="shared" si="182"/>
        <v>0</v>
      </c>
      <c r="BB81" s="304">
        <f t="shared" si="192"/>
        <v>0</v>
      </c>
      <c r="BC81" s="304">
        <f t="shared" si="183"/>
        <v>0</v>
      </c>
      <c r="BD81" s="304">
        <f t="shared" si="184"/>
        <v>0</v>
      </c>
      <c r="BE81" s="304">
        <f t="shared" si="193"/>
        <v>0</v>
      </c>
      <c r="BF81" s="304">
        <f t="shared" si="185"/>
        <v>0</v>
      </c>
    </row>
    <row r="82" spans="1:58" s="294" customFormat="1" ht="25.5" customHeight="1">
      <c r="A82" s="529"/>
      <c r="B82" s="299"/>
      <c r="C82" s="359" t="s">
        <v>453</v>
      </c>
      <c r="D82" s="360"/>
      <c r="E82" s="360"/>
      <c r="F82" s="360"/>
      <c r="G82" s="360"/>
      <c r="H82" s="360"/>
      <c r="I82" s="360"/>
      <c r="J82" s="360"/>
      <c r="K82" s="360"/>
      <c r="L82" s="360"/>
      <c r="M82" s="360"/>
      <c r="N82" s="360"/>
      <c r="O82" s="360"/>
      <c r="P82" s="360"/>
      <c r="Q82" s="360"/>
      <c r="R82" s="360"/>
      <c r="S82" s="360">
        <v>298000</v>
      </c>
      <c r="T82" s="360">
        <v>105000</v>
      </c>
      <c r="U82" s="360"/>
      <c r="V82" s="360"/>
      <c r="W82" s="360"/>
      <c r="X82" s="360"/>
      <c r="Y82" s="360">
        <f t="shared" si="186"/>
        <v>298000</v>
      </c>
      <c r="Z82" s="360">
        <f t="shared" si="186"/>
        <v>105000</v>
      </c>
      <c r="AA82" s="360">
        <f t="shared" si="186"/>
        <v>0</v>
      </c>
      <c r="AB82" s="342">
        <f t="shared" ref="AB82:AB145" si="198">+Y82+Z82+AA82</f>
        <v>403000</v>
      </c>
      <c r="AC82" s="304">
        <f t="shared" si="31"/>
        <v>298000</v>
      </c>
      <c r="AD82" s="304">
        <f t="shared" si="32"/>
        <v>105000</v>
      </c>
      <c r="AE82" s="304">
        <f t="shared" si="33"/>
        <v>0</v>
      </c>
      <c r="AF82" s="304">
        <f t="shared" si="34"/>
        <v>0</v>
      </c>
      <c r="AG82" s="304">
        <f t="shared" si="35"/>
        <v>403000</v>
      </c>
      <c r="AH82" s="304">
        <f t="shared" si="196"/>
        <v>0</v>
      </c>
      <c r="AI82" s="304">
        <f t="shared" si="197"/>
        <v>403000</v>
      </c>
      <c r="AJ82" s="304">
        <f>+AI82*100/AI84</f>
        <v>28.011036654269475</v>
      </c>
      <c r="AK82" s="304">
        <f>+AH77*AJ82/100</f>
        <v>490703.9171008991</v>
      </c>
      <c r="AL82" s="299"/>
      <c r="AM82" s="299"/>
      <c r="AN82" s="299"/>
      <c r="AO82" s="299"/>
      <c r="AP82" s="300"/>
      <c r="AQ82" s="299"/>
      <c r="AR82" s="304">
        <f t="shared" si="187"/>
        <v>298000</v>
      </c>
      <c r="AS82" s="304">
        <f t="shared" si="188"/>
        <v>105000</v>
      </c>
      <c r="AT82" s="304">
        <f t="shared" si="189"/>
        <v>0</v>
      </c>
      <c r="AU82" s="304">
        <f t="shared" si="190"/>
        <v>490703.9171008991</v>
      </c>
      <c r="AV82" s="347">
        <f t="shared" si="191"/>
        <v>893703.91710089915</v>
      </c>
      <c r="AW82" s="341">
        <f t="shared" si="194"/>
        <v>0</v>
      </c>
      <c r="AX82" s="304">
        <f t="shared" si="194"/>
        <v>0</v>
      </c>
      <c r="AY82" s="304">
        <v>0</v>
      </c>
      <c r="AZ82" s="304">
        <f t="shared" si="195"/>
        <v>0</v>
      </c>
      <c r="BA82" s="298">
        <f t="shared" si="182"/>
        <v>0</v>
      </c>
      <c r="BB82" s="304">
        <f t="shared" si="192"/>
        <v>298000</v>
      </c>
      <c r="BC82" s="304">
        <f t="shared" si="183"/>
        <v>105000</v>
      </c>
      <c r="BD82" s="304">
        <f t="shared" si="184"/>
        <v>0</v>
      </c>
      <c r="BE82" s="304">
        <f t="shared" si="193"/>
        <v>490703.9171008991</v>
      </c>
      <c r="BF82" s="304">
        <f t="shared" si="185"/>
        <v>893703.91710089915</v>
      </c>
    </row>
    <row r="83" spans="1:58" s="294" customFormat="1" ht="25.5" customHeight="1">
      <c r="A83" s="529"/>
      <c r="B83" s="299"/>
      <c r="C83" s="359" t="s">
        <v>454</v>
      </c>
      <c r="D83" s="360"/>
      <c r="E83" s="360"/>
      <c r="F83" s="360"/>
      <c r="G83" s="360"/>
      <c r="H83" s="360"/>
      <c r="I83" s="360"/>
      <c r="J83" s="360"/>
      <c r="K83" s="360"/>
      <c r="L83" s="360"/>
      <c r="M83" s="360"/>
      <c r="N83" s="360"/>
      <c r="O83" s="360"/>
      <c r="P83" s="360"/>
      <c r="Q83" s="360"/>
      <c r="R83" s="360"/>
      <c r="S83" s="360">
        <v>387600</v>
      </c>
      <c r="T83" s="360"/>
      <c r="U83" s="360"/>
      <c r="V83" s="360"/>
      <c r="W83" s="360"/>
      <c r="X83" s="360"/>
      <c r="Y83" s="360">
        <f t="shared" si="186"/>
        <v>387600</v>
      </c>
      <c r="Z83" s="360">
        <f t="shared" si="186"/>
        <v>0</v>
      </c>
      <c r="AA83" s="360">
        <f t="shared" si="186"/>
        <v>0</v>
      </c>
      <c r="AB83" s="342">
        <f t="shared" si="198"/>
        <v>387600</v>
      </c>
      <c r="AC83" s="304">
        <f t="shared" si="31"/>
        <v>387600</v>
      </c>
      <c r="AD83" s="304">
        <f t="shared" si="32"/>
        <v>0</v>
      </c>
      <c r="AE83" s="304">
        <f t="shared" si="33"/>
        <v>0</v>
      </c>
      <c r="AF83" s="304">
        <f t="shared" si="34"/>
        <v>0</v>
      </c>
      <c r="AG83" s="304">
        <f t="shared" si="35"/>
        <v>387600</v>
      </c>
      <c r="AH83" s="304">
        <f t="shared" si="196"/>
        <v>0</v>
      </c>
      <c r="AI83" s="304">
        <f t="shared" si="197"/>
        <v>387600</v>
      </c>
      <c r="AJ83" s="304">
        <f>+AI83*100/AI84</f>
        <v>26.940639720086473</v>
      </c>
      <c r="AK83" s="304">
        <f>+AH77*AJ83/100</f>
        <v>471952.4522786811</v>
      </c>
      <c r="AL83" s="299"/>
      <c r="AM83" s="299"/>
      <c r="AN83" s="299"/>
      <c r="AO83" s="299"/>
      <c r="AP83" s="300"/>
      <c r="AQ83" s="299"/>
      <c r="AR83" s="304">
        <f t="shared" si="187"/>
        <v>387600</v>
      </c>
      <c r="AS83" s="304">
        <f t="shared" si="188"/>
        <v>0</v>
      </c>
      <c r="AT83" s="304">
        <f t="shared" si="189"/>
        <v>0</v>
      </c>
      <c r="AU83" s="304">
        <f t="shared" si="190"/>
        <v>471952.4522786811</v>
      </c>
      <c r="AV83" s="347">
        <f t="shared" si="191"/>
        <v>859552.4522786811</v>
      </c>
      <c r="AW83" s="341">
        <f>+AC281*AR83/AR194</f>
        <v>0</v>
      </c>
      <c r="AX83" s="304">
        <v>0</v>
      </c>
      <c r="AY83" s="304">
        <v>0</v>
      </c>
      <c r="AZ83" s="304">
        <f t="shared" si="195"/>
        <v>0</v>
      </c>
      <c r="BA83" s="298">
        <f t="shared" si="182"/>
        <v>0</v>
      </c>
      <c r="BB83" s="304">
        <f t="shared" si="192"/>
        <v>387600</v>
      </c>
      <c r="BC83" s="304">
        <f t="shared" si="183"/>
        <v>0</v>
      </c>
      <c r="BD83" s="304">
        <f t="shared" si="184"/>
        <v>0</v>
      </c>
      <c r="BE83" s="304">
        <f t="shared" si="193"/>
        <v>471952.4522786811</v>
      </c>
      <c r="BF83" s="304">
        <f t="shared" si="185"/>
        <v>859552.4522786811</v>
      </c>
    </row>
    <row r="84" spans="1:58" s="294" customFormat="1" ht="25.5" customHeight="1">
      <c r="A84" s="529"/>
      <c r="B84" s="299"/>
      <c r="C84" s="338" t="s">
        <v>455</v>
      </c>
      <c r="D84" s="360">
        <f>SUM(D76:D83)</f>
        <v>0</v>
      </c>
      <c r="E84" s="360">
        <f t="shared" ref="E84:AA84" si="199">SUM(E76:E83)</f>
        <v>0</v>
      </c>
      <c r="F84" s="360">
        <f t="shared" si="199"/>
        <v>0</v>
      </c>
      <c r="G84" s="360">
        <f t="shared" si="199"/>
        <v>20000</v>
      </c>
      <c r="H84" s="360">
        <f t="shared" si="199"/>
        <v>0</v>
      </c>
      <c r="I84" s="360">
        <f t="shared" si="199"/>
        <v>0</v>
      </c>
      <c r="J84" s="360">
        <f t="shared" si="199"/>
        <v>114117.2</v>
      </c>
      <c r="K84" s="360">
        <f t="shared" si="199"/>
        <v>0</v>
      </c>
      <c r="L84" s="360">
        <f t="shared" si="199"/>
        <v>0</v>
      </c>
      <c r="M84" s="360">
        <f t="shared" si="199"/>
        <v>499713.21</v>
      </c>
      <c r="N84" s="360">
        <f t="shared" si="199"/>
        <v>3068.21</v>
      </c>
      <c r="O84" s="360">
        <f t="shared" si="199"/>
        <v>0</v>
      </c>
      <c r="P84" s="360">
        <f t="shared" si="199"/>
        <v>1505335.58</v>
      </c>
      <c r="Q84" s="360">
        <f t="shared" si="199"/>
        <v>246487.90000000002</v>
      </c>
      <c r="R84" s="360">
        <f t="shared" si="199"/>
        <v>0</v>
      </c>
      <c r="S84" s="360">
        <f t="shared" si="199"/>
        <v>685600</v>
      </c>
      <c r="T84" s="360">
        <f t="shared" si="199"/>
        <v>105000</v>
      </c>
      <c r="U84" s="360">
        <f t="shared" si="199"/>
        <v>0</v>
      </c>
      <c r="V84" s="360">
        <f t="shared" si="199"/>
        <v>0</v>
      </c>
      <c r="W84" s="360">
        <f t="shared" si="199"/>
        <v>11220</v>
      </c>
      <c r="X84" s="360">
        <f t="shared" si="199"/>
        <v>0</v>
      </c>
      <c r="Y84" s="360">
        <f t="shared" si="199"/>
        <v>2824765.99</v>
      </c>
      <c r="Z84" s="360">
        <f t="shared" si="199"/>
        <v>365776.11</v>
      </c>
      <c r="AA84" s="360">
        <f t="shared" si="199"/>
        <v>0</v>
      </c>
      <c r="AB84" s="342">
        <f t="shared" si="198"/>
        <v>3190542.1</v>
      </c>
      <c r="AC84" s="304">
        <f t="shared" si="31"/>
        <v>1319430.4100000001</v>
      </c>
      <c r="AD84" s="304">
        <f t="shared" si="32"/>
        <v>119288.21</v>
      </c>
      <c r="AE84" s="304">
        <f t="shared" si="33"/>
        <v>0</v>
      </c>
      <c r="AF84" s="304">
        <f t="shared" si="34"/>
        <v>1751823.48</v>
      </c>
      <c r="AG84" s="304">
        <f t="shared" si="35"/>
        <v>3190542.1</v>
      </c>
      <c r="AH84" s="304">
        <f t="shared" si="196"/>
        <v>1751823.48</v>
      </c>
      <c r="AI84" s="304">
        <f t="shared" si="197"/>
        <v>1438718.62</v>
      </c>
      <c r="AJ84" s="304">
        <f>SUM(AJ76:AJ83)</f>
        <v>100</v>
      </c>
      <c r="AK84" s="304">
        <f>SUM(AK76:AK83)</f>
        <v>1751823.48</v>
      </c>
      <c r="AL84" s="299"/>
      <c r="AM84" s="299"/>
      <c r="AN84" s="299"/>
      <c r="AO84" s="299"/>
      <c r="AP84" s="300"/>
      <c r="AQ84" s="299">
        <f>SUM(AQ76:AQ83)</f>
        <v>21531.91</v>
      </c>
      <c r="AR84" s="304">
        <f>SUM(AR76:AR83)</f>
        <v>1319430.4100000001</v>
      </c>
      <c r="AS84" s="304">
        <f>SUM(AS76:AS83)</f>
        <v>119288.20999999999</v>
      </c>
      <c r="AT84" s="304">
        <f t="shared" ref="AT84" si="200">SUM(AT76:AT83)</f>
        <v>21531.91</v>
      </c>
      <c r="AU84" s="304">
        <f t="shared" ref="AU84" si="201">SUM(AU76:AU83)</f>
        <v>1751823.48</v>
      </c>
      <c r="AV84" s="347">
        <f>SUM(AR84:AU84)</f>
        <v>3212074.01</v>
      </c>
      <c r="AW84" s="341">
        <f>SUM(AW76:AW83)</f>
        <v>811215.40753978258</v>
      </c>
      <c r="AX84" s="304">
        <f>SUM(AX76:AX83)</f>
        <v>13313.545620723809</v>
      </c>
      <c r="AY84" s="304">
        <f>SUM(AY76:AY83)</f>
        <v>0</v>
      </c>
      <c r="AZ84" s="304">
        <f>SUM(AZ76:AZ83)</f>
        <v>973790.03455158125</v>
      </c>
      <c r="BA84" s="298">
        <f t="shared" si="182"/>
        <v>1798318.9877120876</v>
      </c>
      <c r="BB84" s="336">
        <f>SUM(BB76:BB83)</f>
        <v>2130645.8175397827</v>
      </c>
      <c r="BC84" s="304">
        <f>SUM(BC76:BC83)</f>
        <v>132601.75562072382</v>
      </c>
      <c r="BD84" s="304">
        <f>SUM(BD76:BD83)</f>
        <v>21531.91</v>
      </c>
      <c r="BE84" s="304">
        <f>SUM(BE76:BE83)</f>
        <v>2725613.5145515809</v>
      </c>
      <c r="BF84" s="304">
        <f t="shared" si="185"/>
        <v>5010392.9977120878</v>
      </c>
    </row>
    <row r="85" spans="1:58" ht="25.5" customHeight="1">
      <c r="A85" s="531">
        <v>7</v>
      </c>
      <c r="B85" s="303" t="s">
        <v>162</v>
      </c>
      <c r="C85" s="626" t="s">
        <v>457</v>
      </c>
      <c r="D85" s="626"/>
      <c r="E85" s="626"/>
      <c r="F85" s="626"/>
      <c r="G85" s="626"/>
      <c r="H85" s="626"/>
      <c r="I85" s="626"/>
      <c r="J85" s="626"/>
      <c r="K85" s="626"/>
      <c r="L85" s="626"/>
      <c r="M85" s="626"/>
      <c r="N85" s="626"/>
      <c r="O85" s="626"/>
      <c r="P85" s="626"/>
      <c r="Q85" s="626"/>
      <c r="R85" s="626"/>
      <c r="S85" s="626"/>
      <c r="T85" s="626"/>
      <c r="U85" s="626"/>
      <c r="V85" s="626"/>
      <c r="W85" s="626"/>
      <c r="X85" s="626"/>
      <c r="Y85" s="626"/>
      <c r="Z85" s="626"/>
      <c r="AA85" s="626"/>
      <c r="AB85" s="342">
        <f t="shared" si="198"/>
        <v>0</v>
      </c>
      <c r="AC85" s="304">
        <f t="shared" si="31"/>
        <v>0</v>
      </c>
      <c r="AD85" s="304">
        <f t="shared" si="32"/>
        <v>0</v>
      </c>
      <c r="AE85" s="304">
        <f t="shared" si="33"/>
        <v>0</v>
      </c>
      <c r="AF85" s="304">
        <f t="shared" si="34"/>
        <v>0</v>
      </c>
      <c r="AG85" s="304">
        <f t="shared" si="35"/>
        <v>0</v>
      </c>
      <c r="AH85" s="304">
        <f t="shared" si="196"/>
        <v>0</v>
      </c>
      <c r="AI85" s="304">
        <f t="shared" si="197"/>
        <v>0</v>
      </c>
      <c r="AJ85" s="303"/>
      <c r="AK85" s="303"/>
      <c r="AL85" s="303"/>
      <c r="AM85" s="303"/>
      <c r="AN85" s="303"/>
      <c r="AO85" s="303"/>
      <c r="AP85" s="308"/>
      <c r="AQ85" s="303"/>
      <c r="AR85" s="303"/>
      <c r="AS85" s="303"/>
      <c r="AT85" s="303"/>
      <c r="AU85" s="303"/>
      <c r="AV85" s="346"/>
      <c r="AW85" s="340"/>
      <c r="AX85" s="303"/>
      <c r="AY85" s="303"/>
      <c r="AZ85" s="303"/>
      <c r="BA85" s="308"/>
      <c r="BB85" s="321"/>
      <c r="BC85" s="303"/>
      <c r="BD85" s="303"/>
      <c r="BE85" s="303"/>
      <c r="BF85" s="303"/>
    </row>
    <row r="86" spans="1:58" ht="25.5" customHeight="1">
      <c r="A86" s="531"/>
      <c r="B86" s="303"/>
      <c r="C86" s="361" t="s">
        <v>447</v>
      </c>
      <c r="D86" s="360"/>
      <c r="E86" s="360"/>
      <c r="F86" s="360"/>
      <c r="G86" s="360"/>
      <c r="H86" s="360"/>
      <c r="I86" s="360"/>
      <c r="J86" s="360"/>
      <c r="K86" s="360"/>
      <c r="L86" s="360"/>
      <c r="M86" s="360"/>
      <c r="N86" s="360"/>
      <c r="O86" s="360"/>
      <c r="P86" s="360"/>
      <c r="Q86" s="360"/>
      <c r="R86" s="360"/>
      <c r="S86" s="360"/>
      <c r="T86" s="360"/>
      <c r="U86" s="360"/>
      <c r="V86" s="360"/>
      <c r="W86" s="360"/>
      <c r="X86" s="360"/>
      <c r="Y86" s="360">
        <f>+D86+G86+J86+M86+P86+S86+V86</f>
        <v>0</v>
      </c>
      <c r="Z86" s="360">
        <f>+E86+H86+K86+N86+Q86+T86+W86</f>
        <v>0</v>
      </c>
      <c r="AA86" s="360">
        <f>+F86+I86+L86+O86+R86+U86+X86</f>
        <v>0</v>
      </c>
      <c r="AB86" s="342">
        <f>+Y86+Z86+AA86</f>
        <v>0</v>
      </c>
      <c r="AC86" s="304">
        <f t="shared" si="31"/>
        <v>0</v>
      </c>
      <c r="AD86" s="304">
        <f t="shared" si="32"/>
        <v>0</v>
      </c>
      <c r="AE86" s="304">
        <f t="shared" si="33"/>
        <v>0</v>
      </c>
      <c r="AF86" s="304">
        <f t="shared" si="34"/>
        <v>0</v>
      </c>
      <c r="AG86" s="304">
        <f t="shared" si="35"/>
        <v>0</v>
      </c>
      <c r="AH86" s="304">
        <f t="shared" si="196"/>
        <v>0</v>
      </c>
      <c r="AI86" s="304">
        <f t="shared" si="197"/>
        <v>0</v>
      </c>
      <c r="AJ86" s="304">
        <f>+AI86*100/AI94</f>
        <v>0</v>
      </c>
      <c r="AK86" s="304">
        <f>+AH87*AJ86/100</f>
        <v>0</v>
      </c>
      <c r="AL86" s="303"/>
      <c r="AM86" s="303"/>
      <c r="AN86" s="303"/>
      <c r="AO86" s="303"/>
      <c r="AP86" s="308"/>
      <c r="AQ86" s="299"/>
      <c r="AR86" s="304">
        <f>+AC86+AL86</f>
        <v>0</v>
      </c>
      <c r="AS86" s="304">
        <f>+AD86+AM86</f>
        <v>0</v>
      </c>
      <c r="AT86" s="304">
        <f>+AE86+AN86+AQ86</f>
        <v>0</v>
      </c>
      <c r="AU86" s="304">
        <f>+AK86+AO86</f>
        <v>0</v>
      </c>
      <c r="AV86" s="347">
        <f>SUM(AR86:AU86)</f>
        <v>0</v>
      </c>
      <c r="AW86" s="341">
        <f t="shared" ref="AW86:AZ87" si="202">+AC274*AR86/AR187</f>
        <v>0</v>
      </c>
      <c r="AX86" s="304">
        <f t="shared" si="202"/>
        <v>0</v>
      </c>
      <c r="AY86" s="304">
        <f t="shared" si="202"/>
        <v>0</v>
      </c>
      <c r="AZ86" s="304">
        <f t="shared" si="202"/>
        <v>0</v>
      </c>
      <c r="BA86" s="298">
        <f t="shared" ref="BA86:BA94" si="203">SUM(AW86:AZ86)</f>
        <v>0</v>
      </c>
      <c r="BB86" s="304">
        <f>+AR86+AW86</f>
        <v>0</v>
      </c>
      <c r="BC86" s="304">
        <f t="shared" ref="BC86:BC93" si="204">+AS86+AX86</f>
        <v>0</v>
      </c>
      <c r="BD86" s="304">
        <f t="shared" ref="BD86:BD93" si="205">+AT86+AY86</f>
        <v>0</v>
      </c>
      <c r="BE86" s="304">
        <f>+AU86+AZ86</f>
        <v>0</v>
      </c>
      <c r="BF86" s="304">
        <f t="shared" ref="BF86:BF94" si="206">SUM(BB86:BE86)</f>
        <v>0</v>
      </c>
    </row>
    <row r="87" spans="1:58" ht="25.5" customHeight="1">
      <c r="A87" s="531"/>
      <c r="B87" s="303"/>
      <c r="C87" s="361" t="s">
        <v>448</v>
      </c>
      <c r="D87" s="360"/>
      <c r="E87" s="360"/>
      <c r="F87" s="360"/>
      <c r="G87" s="360">
        <v>282448</v>
      </c>
      <c r="H87" s="360">
        <v>169536</v>
      </c>
      <c r="I87" s="360"/>
      <c r="J87" s="360">
        <v>2897641.43</v>
      </c>
      <c r="K87" s="360">
        <v>288802.59999999998</v>
      </c>
      <c r="L87" s="360"/>
      <c r="M87" s="360">
        <f>5168074.03-2897641.43-282448+972021</f>
        <v>2960005.6</v>
      </c>
      <c r="N87" s="360">
        <f>406385+83798+66181.59+140347.6+6312304-169536-288802.6+226480+29085+10250</f>
        <v>6816492.5899999999</v>
      </c>
      <c r="O87" s="360"/>
      <c r="P87" s="360">
        <f>5834530.43+8160216.7</f>
        <v>13994747.129999999</v>
      </c>
      <c r="Q87" s="360">
        <v>1753038.31</v>
      </c>
      <c r="R87" s="360"/>
      <c r="S87" s="360"/>
      <c r="T87" s="360">
        <f>481428+102330</f>
        <v>583758</v>
      </c>
      <c r="U87" s="360"/>
      <c r="V87" s="360">
        <f>1271736+54501.6</f>
        <v>1326237.6000000001</v>
      </c>
      <c r="W87" s="360">
        <v>470682</v>
      </c>
      <c r="X87" s="360"/>
      <c r="Y87" s="360">
        <f t="shared" ref="Y87:AA93" si="207">+D87+G87+J87+M87+P87+S87+V87</f>
        <v>21461079.760000002</v>
      </c>
      <c r="Z87" s="360">
        <f t="shared" si="207"/>
        <v>10082309.5</v>
      </c>
      <c r="AA87" s="360">
        <f t="shared" si="207"/>
        <v>0</v>
      </c>
      <c r="AB87" s="342">
        <f t="shared" si="198"/>
        <v>31543389.260000002</v>
      </c>
      <c r="AC87" s="304">
        <f t="shared" si="31"/>
        <v>7466332.6300000008</v>
      </c>
      <c r="AD87" s="304">
        <f t="shared" si="32"/>
        <v>8329271.1899999995</v>
      </c>
      <c r="AE87" s="304">
        <f t="shared" si="33"/>
        <v>0</v>
      </c>
      <c r="AF87" s="304">
        <f t="shared" si="34"/>
        <v>15747785.439999999</v>
      </c>
      <c r="AG87" s="304">
        <f t="shared" si="35"/>
        <v>31543389.259999998</v>
      </c>
      <c r="AH87" s="304">
        <f t="shared" si="196"/>
        <v>15747785.439999999</v>
      </c>
      <c r="AI87" s="304">
        <f t="shared" si="197"/>
        <v>15795603.82</v>
      </c>
      <c r="AJ87" s="304">
        <f>+AI87*100/AI94</f>
        <v>41.14382426265275</v>
      </c>
      <c r="AK87" s="304">
        <f>+AH87*AJ87/100</f>
        <v>6479241.1666932162</v>
      </c>
      <c r="AL87" s="303"/>
      <c r="AM87" s="303"/>
      <c r="AN87" s="303"/>
      <c r="AO87" s="303"/>
      <c r="AP87" s="308"/>
      <c r="AQ87" s="299">
        <v>699120.99</v>
      </c>
      <c r="AR87" s="304">
        <f t="shared" ref="AR87:AR93" si="208">+AC87+AL87</f>
        <v>7466332.6300000008</v>
      </c>
      <c r="AS87" s="304">
        <f t="shared" ref="AS87:AS93" si="209">+AD87+AM87</f>
        <v>8329271.1899999995</v>
      </c>
      <c r="AT87" s="304">
        <f t="shared" ref="AT87:AT93" si="210">+AE87+AN87+AQ87</f>
        <v>699120.99</v>
      </c>
      <c r="AU87" s="304">
        <f t="shared" ref="AU87:AU93" si="211">+AK87+AO87</f>
        <v>6479241.1666932162</v>
      </c>
      <c r="AV87" s="347">
        <f t="shared" ref="AV87:AV93" si="212">SUM(AR87:AU87)</f>
        <v>22973965.976693217</v>
      </c>
      <c r="AW87" s="341">
        <f t="shared" si="202"/>
        <v>9555874.8392539695</v>
      </c>
      <c r="AX87" s="304">
        <f t="shared" si="202"/>
        <v>7761093.3752685254</v>
      </c>
      <c r="AY87" s="304">
        <f t="shared" si="202"/>
        <v>0</v>
      </c>
      <c r="AZ87" s="304">
        <f t="shared" si="202"/>
        <v>7995037.2926995596</v>
      </c>
      <c r="BA87" s="298">
        <f t="shared" si="203"/>
        <v>25312005.507222056</v>
      </c>
      <c r="BB87" s="304">
        <f t="shared" ref="BB87:BB93" si="213">+AR87+AW87</f>
        <v>17022207.469253972</v>
      </c>
      <c r="BC87" s="304">
        <f t="shared" si="204"/>
        <v>16090364.565268524</v>
      </c>
      <c r="BD87" s="304">
        <f t="shared" si="205"/>
        <v>699120.99</v>
      </c>
      <c r="BE87" s="304">
        <f t="shared" ref="BE87:BE93" si="214">+AU87+AZ87</f>
        <v>14474278.459392775</v>
      </c>
      <c r="BF87" s="304">
        <f t="shared" si="206"/>
        <v>48285971.483915269</v>
      </c>
    </row>
    <row r="88" spans="1:58" ht="25.5" customHeight="1">
      <c r="A88" s="531"/>
      <c r="B88" s="303"/>
      <c r="C88" s="361" t="s">
        <v>449</v>
      </c>
      <c r="D88" s="360"/>
      <c r="E88" s="360"/>
      <c r="F88" s="360"/>
      <c r="G88" s="360"/>
      <c r="H88" s="360"/>
      <c r="I88" s="360"/>
      <c r="J88" s="360"/>
      <c r="K88" s="360"/>
      <c r="L88" s="360"/>
      <c r="M88" s="360"/>
      <c r="N88" s="360"/>
      <c r="O88" s="360"/>
      <c r="P88" s="360"/>
      <c r="Q88" s="360"/>
      <c r="R88" s="360"/>
      <c r="S88" s="360"/>
      <c r="T88" s="360"/>
      <c r="U88" s="360"/>
      <c r="V88" s="360">
        <v>248440</v>
      </c>
      <c r="W88" s="360"/>
      <c r="X88" s="360"/>
      <c r="Y88" s="360">
        <f t="shared" si="207"/>
        <v>248440</v>
      </c>
      <c r="Z88" s="360">
        <f t="shared" si="207"/>
        <v>0</v>
      </c>
      <c r="AA88" s="360">
        <f t="shared" si="207"/>
        <v>0</v>
      </c>
      <c r="AB88" s="342">
        <f t="shared" si="198"/>
        <v>248440</v>
      </c>
      <c r="AC88" s="304">
        <f t="shared" si="31"/>
        <v>248440</v>
      </c>
      <c r="AD88" s="304">
        <f t="shared" si="32"/>
        <v>0</v>
      </c>
      <c r="AE88" s="304">
        <f t="shared" si="33"/>
        <v>0</v>
      </c>
      <c r="AF88" s="304">
        <f t="shared" si="34"/>
        <v>0</v>
      </c>
      <c r="AG88" s="304">
        <f t="shared" si="35"/>
        <v>248440</v>
      </c>
      <c r="AH88" s="304">
        <f t="shared" si="196"/>
        <v>0</v>
      </c>
      <c r="AI88" s="304">
        <f t="shared" si="197"/>
        <v>248440</v>
      </c>
      <c r="AJ88" s="304">
        <f>+AI88*100/AI94</f>
        <v>0.64712763223846481</v>
      </c>
      <c r="AK88" s="304">
        <f>+AH87*AJ88/100</f>
        <v>101908.27104786571</v>
      </c>
      <c r="AL88" s="303"/>
      <c r="AM88" s="303"/>
      <c r="AN88" s="303"/>
      <c r="AO88" s="303"/>
      <c r="AP88" s="308"/>
      <c r="AQ88" s="299"/>
      <c r="AR88" s="304">
        <f t="shared" si="208"/>
        <v>248440</v>
      </c>
      <c r="AS88" s="304">
        <f t="shared" si="209"/>
        <v>0</v>
      </c>
      <c r="AT88" s="304">
        <f t="shared" si="210"/>
        <v>0</v>
      </c>
      <c r="AU88" s="304">
        <f t="shared" si="211"/>
        <v>101908.27104786571</v>
      </c>
      <c r="AV88" s="347">
        <f t="shared" si="212"/>
        <v>350348.27104786574</v>
      </c>
      <c r="AW88" s="341">
        <f t="shared" ref="AW88:AX92" si="215">+AC276*AR88/AR189</f>
        <v>273877.69200904301</v>
      </c>
      <c r="AX88" s="304">
        <f t="shared" si="215"/>
        <v>0</v>
      </c>
      <c r="AY88" s="304">
        <v>0</v>
      </c>
      <c r="AZ88" s="304">
        <f t="shared" ref="AZ88:AZ93" si="216">+AF276*AU88/AU189</f>
        <v>0</v>
      </c>
      <c r="BA88" s="298">
        <f t="shared" si="203"/>
        <v>273877.69200904301</v>
      </c>
      <c r="BB88" s="304">
        <f t="shared" si="213"/>
        <v>522317.69200904301</v>
      </c>
      <c r="BC88" s="304">
        <f t="shared" si="204"/>
        <v>0</v>
      </c>
      <c r="BD88" s="304">
        <f t="shared" si="205"/>
        <v>0</v>
      </c>
      <c r="BE88" s="304">
        <f t="shared" si="214"/>
        <v>101908.27104786571</v>
      </c>
      <c r="BF88" s="304">
        <f t="shared" si="206"/>
        <v>624225.96305690869</v>
      </c>
    </row>
    <row r="89" spans="1:58" ht="25.5" customHeight="1">
      <c r="A89" s="531"/>
      <c r="B89" s="303"/>
      <c r="C89" s="361" t="s">
        <v>450</v>
      </c>
      <c r="D89" s="360"/>
      <c r="E89" s="360"/>
      <c r="F89" s="360"/>
      <c r="G89" s="360"/>
      <c r="H89" s="360"/>
      <c r="I89" s="360"/>
      <c r="J89" s="360"/>
      <c r="K89" s="360"/>
      <c r="L89" s="360"/>
      <c r="M89" s="360"/>
      <c r="N89" s="360"/>
      <c r="O89" s="360"/>
      <c r="P89" s="360"/>
      <c r="Q89" s="360"/>
      <c r="R89" s="360"/>
      <c r="S89" s="360"/>
      <c r="T89" s="360"/>
      <c r="U89" s="360"/>
      <c r="V89" s="360">
        <v>270000</v>
      </c>
      <c r="W89" s="360"/>
      <c r="X89" s="360"/>
      <c r="Y89" s="360">
        <f t="shared" si="207"/>
        <v>270000</v>
      </c>
      <c r="Z89" s="360">
        <f t="shared" si="207"/>
        <v>0</v>
      </c>
      <c r="AA89" s="360">
        <f t="shared" si="207"/>
        <v>0</v>
      </c>
      <c r="AB89" s="342">
        <f t="shared" si="198"/>
        <v>270000</v>
      </c>
      <c r="AC89" s="304">
        <f t="shared" ref="AC89:AC152" si="217">+D89+G89+J89+M89+S89+V89</f>
        <v>270000</v>
      </c>
      <c r="AD89" s="304">
        <f t="shared" ref="AD89:AD152" si="218">+E89+H89+K89+N89+T89+W89</f>
        <v>0</v>
      </c>
      <c r="AE89" s="304">
        <f t="shared" ref="AE89:AE152" si="219">+F89+I89+L89+O89+U89+X89</f>
        <v>0</v>
      </c>
      <c r="AF89" s="304">
        <f t="shared" ref="AF89:AF152" si="220">+P89+Q89</f>
        <v>0</v>
      </c>
      <c r="AG89" s="304">
        <f t="shared" ref="AG89:AG152" si="221">+AC89+AD89+AE89+AF89</f>
        <v>270000</v>
      </c>
      <c r="AH89" s="304">
        <f t="shared" si="196"/>
        <v>0</v>
      </c>
      <c r="AI89" s="304">
        <f t="shared" si="197"/>
        <v>270000</v>
      </c>
      <c r="AJ89" s="304">
        <f>+AI89*100/AI94</f>
        <v>0.70328634963929115</v>
      </c>
      <c r="AK89" s="304">
        <f>+AH87*AJ89/100</f>
        <v>110752.02537000379</v>
      </c>
      <c r="AL89" s="303"/>
      <c r="AM89" s="303"/>
      <c r="AN89" s="303"/>
      <c r="AO89" s="303"/>
      <c r="AP89" s="308"/>
      <c r="AQ89" s="299"/>
      <c r="AR89" s="304">
        <f t="shared" si="208"/>
        <v>270000</v>
      </c>
      <c r="AS89" s="304">
        <f t="shared" si="209"/>
        <v>0</v>
      </c>
      <c r="AT89" s="304">
        <f t="shared" si="210"/>
        <v>0</v>
      </c>
      <c r="AU89" s="304">
        <f t="shared" si="211"/>
        <v>110752.02537000379</v>
      </c>
      <c r="AV89" s="347">
        <f t="shared" si="212"/>
        <v>380752.02537000377</v>
      </c>
      <c r="AW89" s="341">
        <f t="shared" si="215"/>
        <v>473560.4242435206</v>
      </c>
      <c r="AX89" s="304">
        <f t="shared" si="215"/>
        <v>0</v>
      </c>
      <c r="AY89" s="304">
        <v>0</v>
      </c>
      <c r="AZ89" s="304">
        <f t="shared" si="216"/>
        <v>0</v>
      </c>
      <c r="BA89" s="298">
        <f t="shared" si="203"/>
        <v>473560.4242435206</v>
      </c>
      <c r="BB89" s="304">
        <f t="shared" si="213"/>
        <v>743560.4242435206</v>
      </c>
      <c r="BC89" s="304">
        <f t="shared" si="204"/>
        <v>0</v>
      </c>
      <c r="BD89" s="304">
        <f t="shared" si="205"/>
        <v>0</v>
      </c>
      <c r="BE89" s="304">
        <f t="shared" si="214"/>
        <v>110752.02537000379</v>
      </c>
      <c r="BF89" s="304">
        <f t="shared" si="206"/>
        <v>854312.44961352437</v>
      </c>
    </row>
    <row r="90" spans="1:58" ht="25.5" customHeight="1">
      <c r="A90" s="531"/>
      <c r="B90" s="303"/>
      <c r="C90" s="361" t="s">
        <v>451</v>
      </c>
      <c r="D90" s="360">
        <v>1134492</v>
      </c>
      <c r="E90" s="360">
        <v>2956633.36</v>
      </c>
      <c r="F90" s="360"/>
      <c r="G90" s="360"/>
      <c r="H90" s="360"/>
      <c r="I90" s="360"/>
      <c r="J90" s="360"/>
      <c r="K90" s="360"/>
      <c r="L90" s="360"/>
      <c r="M90" s="360">
        <v>35676</v>
      </c>
      <c r="N90" s="360">
        <f>292746.66+126483</f>
        <v>419229.66</v>
      </c>
      <c r="O90" s="360"/>
      <c r="P90" s="360"/>
      <c r="Q90" s="360"/>
      <c r="R90" s="360"/>
      <c r="S90" s="360">
        <v>13219215.34</v>
      </c>
      <c r="T90" s="360"/>
      <c r="U90" s="360"/>
      <c r="V90" s="360"/>
      <c r="W90" s="360"/>
      <c r="X90" s="360"/>
      <c r="Y90" s="360">
        <f t="shared" si="207"/>
        <v>14389383.34</v>
      </c>
      <c r="Z90" s="360">
        <f t="shared" si="207"/>
        <v>3375863.02</v>
      </c>
      <c r="AA90" s="360">
        <f t="shared" si="207"/>
        <v>0</v>
      </c>
      <c r="AB90" s="342">
        <f t="shared" si="198"/>
        <v>17765246.359999999</v>
      </c>
      <c r="AC90" s="304">
        <f t="shared" si="217"/>
        <v>14389383.34</v>
      </c>
      <c r="AD90" s="304">
        <f t="shared" si="218"/>
        <v>3375863.02</v>
      </c>
      <c r="AE90" s="304">
        <f t="shared" si="219"/>
        <v>0</v>
      </c>
      <c r="AF90" s="304">
        <f t="shared" si="220"/>
        <v>0</v>
      </c>
      <c r="AG90" s="304">
        <f t="shared" si="221"/>
        <v>17765246.359999999</v>
      </c>
      <c r="AH90" s="304">
        <f t="shared" si="196"/>
        <v>0</v>
      </c>
      <c r="AI90" s="304">
        <f t="shared" si="197"/>
        <v>17765246.359999999</v>
      </c>
      <c r="AJ90" s="304">
        <f>+AI90*100/AI94</f>
        <v>46.274278751730016</v>
      </c>
      <c r="AK90" s="304">
        <f>+AH87*AJ90/100</f>
        <v>7287174.131729953</v>
      </c>
      <c r="AL90" s="303"/>
      <c r="AM90" s="303"/>
      <c r="AN90" s="303"/>
      <c r="AO90" s="303"/>
      <c r="AP90" s="308"/>
      <c r="AQ90" s="299"/>
      <c r="AR90" s="304">
        <f t="shared" si="208"/>
        <v>14389383.34</v>
      </c>
      <c r="AS90" s="304">
        <f t="shared" si="209"/>
        <v>3375863.02</v>
      </c>
      <c r="AT90" s="304">
        <f t="shared" si="210"/>
        <v>0</v>
      </c>
      <c r="AU90" s="304">
        <f t="shared" si="211"/>
        <v>7287174.131729953</v>
      </c>
      <c r="AV90" s="347">
        <f t="shared" si="212"/>
        <v>25052420.491729952</v>
      </c>
      <c r="AW90" s="341">
        <f t="shared" si="215"/>
        <v>51494111.175648585</v>
      </c>
      <c r="AX90" s="304">
        <f t="shared" si="215"/>
        <v>1144859.8122843725</v>
      </c>
      <c r="AY90" s="304">
        <f>+AE278*AT90/AT191</f>
        <v>0</v>
      </c>
      <c r="AZ90" s="304">
        <f t="shared" si="216"/>
        <v>0</v>
      </c>
      <c r="BA90" s="298">
        <f t="shared" si="203"/>
        <v>52638970.987932958</v>
      </c>
      <c r="BB90" s="304">
        <f t="shared" si="213"/>
        <v>65883494.515648589</v>
      </c>
      <c r="BC90" s="304">
        <f t="shared" si="204"/>
        <v>4520722.8322843723</v>
      </c>
      <c r="BD90" s="304">
        <f t="shared" si="205"/>
        <v>0</v>
      </c>
      <c r="BE90" s="304">
        <f t="shared" si="214"/>
        <v>7287174.131729953</v>
      </c>
      <c r="BF90" s="304">
        <f t="shared" si="206"/>
        <v>77691391.479662925</v>
      </c>
    </row>
    <row r="91" spans="1:58" ht="25.5" customHeight="1">
      <c r="A91" s="531"/>
      <c r="B91" s="303"/>
      <c r="C91" s="361" t="s">
        <v>452</v>
      </c>
      <c r="D91" s="360"/>
      <c r="E91" s="360"/>
      <c r="F91" s="360"/>
      <c r="G91" s="360"/>
      <c r="H91" s="360"/>
      <c r="I91" s="360"/>
      <c r="J91" s="360"/>
      <c r="K91" s="360"/>
      <c r="L91" s="360"/>
      <c r="M91" s="360"/>
      <c r="N91" s="360"/>
      <c r="O91" s="360"/>
      <c r="P91" s="360"/>
      <c r="Q91" s="360"/>
      <c r="R91" s="360"/>
      <c r="S91" s="360">
        <v>378000</v>
      </c>
      <c r="T91" s="360">
        <v>366000</v>
      </c>
      <c r="U91" s="360"/>
      <c r="V91" s="360"/>
      <c r="W91" s="360"/>
      <c r="X91" s="360"/>
      <c r="Y91" s="360">
        <f t="shared" si="207"/>
        <v>378000</v>
      </c>
      <c r="Z91" s="360">
        <f t="shared" si="207"/>
        <v>366000</v>
      </c>
      <c r="AA91" s="360">
        <f t="shared" si="207"/>
        <v>0</v>
      </c>
      <c r="AB91" s="342">
        <f t="shared" si="198"/>
        <v>744000</v>
      </c>
      <c r="AC91" s="304">
        <f t="shared" si="217"/>
        <v>378000</v>
      </c>
      <c r="AD91" s="304">
        <f t="shared" si="218"/>
        <v>366000</v>
      </c>
      <c r="AE91" s="304">
        <f t="shared" si="219"/>
        <v>0</v>
      </c>
      <c r="AF91" s="304">
        <f t="shared" si="220"/>
        <v>0</v>
      </c>
      <c r="AG91" s="304">
        <f t="shared" si="221"/>
        <v>744000</v>
      </c>
      <c r="AH91" s="304">
        <f t="shared" si="196"/>
        <v>0</v>
      </c>
      <c r="AI91" s="304">
        <f t="shared" si="197"/>
        <v>744000</v>
      </c>
      <c r="AJ91" s="304">
        <f>+AI91*100/AI94</f>
        <v>1.9379446078949356</v>
      </c>
      <c r="AK91" s="304">
        <f>+AH87*AJ91/100</f>
        <v>305183.35879734374</v>
      </c>
      <c r="AL91" s="303"/>
      <c r="AM91" s="303"/>
      <c r="AN91" s="303"/>
      <c r="AO91" s="303"/>
      <c r="AP91" s="308"/>
      <c r="AQ91" s="299"/>
      <c r="AR91" s="304">
        <f t="shared" si="208"/>
        <v>378000</v>
      </c>
      <c r="AS91" s="304">
        <f t="shared" si="209"/>
        <v>366000</v>
      </c>
      <c r="AT91" s="304">
        <f t="shared" si="210"/>
        <v>0</v>
      </c>
      <c r="AU91" s="304">
        <f t="shared" si="211"/>
        <v>305183.35879734374</v>
      </c>
      <c r="AV91" s="347">
        <f t="shared" si="212"/>
        <v>1049183.3587973437</v>
      </c>
      <c r="AW91" s="341">
        <f t="shared" si="215"/>
        <v>0</v>
      </c>
      <c r="AX91" s="304">
        <f t="shared" si="215"/>
        <v>0</v>
      </c>
      <c r="AY91" s="304">
        <v>0</v>
      </c>
      <c r="AZ91" s="304">
        <f t="shared" si="216"/>
        <v>0</v>
      </c>
      <c r="BA91" s="298">
        <f t="shared" si="203"/>
        <v>0</v>
      </c>
      <c r="BB91" s="304">
        <f t="shared" si="213"/>
        <v>378000</v>
      </c>
      <c r="BC91" s="304">
        <f t="shared" si="204"/>
        <v>366000</v>
      </c>
      <c r="BD91" s="304">
        <f t="shared" si="205"/>
        <v>0</v>
      </c>
      <c r="BE91" s="304">
        <f t="shared" si="214"/>
        <v>305183.35879734374</v>
      </c>
      <c r="BF91" s="304">
        <f t="shared" si="206"/>
        <v>1049183.3587973437</v>
      </c>
    </row>
    <row r="92" spans="1:58" ht="25.5" customHeight="1">
      <c r="A92" s="531"/>
      <c r="B92" s="303"/>
      <c r="C92" s="361" t="s">
        <v>453</v>
      </c>
      <c r="D92" s="360"/>
      <c r="E92" s="360"/>
      <c r="F92" s="360"/>
      <c r="G92" s="360"/>
      <c r="H92" s="360"/>
      <c r="I92" s="360"/>
      <c r="J92" s="360"/>
      <c r="K92" s="360"/>
      <c r="L92" s="360"/>
      <c r="M92" s="360"/>
      <c r="N92" s="360"/>
      <c r="O92" s="360"/>
      <c r="P92" s="360"/>
      <c r="Q92" s="360"/>
      <c r="R92" s="360"/>
      <c r="S92" s="360">
        <v>1972900</v>
      </c>
      <c r="T92" s="360"/>
      <c r="U92" s="360"/>
      <c r="V92" s="360"/>
      <c r="W92" s="360"/>
      <c r="X92" s="360"/>
      <c r="Y92" s="360">
        <f t="shared" si="207"/>
        <v>1972900</v>
      </c>
      <c r="Z92" s="360">
        <f t="shared" si="207"/>
        <v>0</v>
      </c>
      <c r="AA92" s="360">
        <f t="shared" si="207"/>
        <v>0</v>
      </c>
      <c r="AB92" s="342">
        <f t="shared" si="198"/>
        <v>1972900</v>
      </c>
      <c r="AC92" s="304">
        <f t="shared" si="217"/>
        <v>1972900</v>
      </c>
      <c r="AD92" s="304">
        <f t="shared" si="218"/>
        <v>0</v>
      </c>
      <c r="AE92" s="304">
        <f t="shared" si="219"/>
        <v>0</v>
      </c>
      <c r="AF92" s="304">
        <f t="shared" si="220"/>
        <v>0</v>
      </c>
      <c r="AG92" s="304">
        <f t="shared" si="221"/>
        <v>1972900</v>
      </c>
      <c r="AH92" s="304">
        <f t="shared" si="196"/>
        <v>0</v>
      </c>
      <c r="AI92" s="304">
        <f t="shared" si="197"/>
        <v>1972900</v>
      </c>
      <c r="AJ92" s="304">
        <f>+AI92*100/AI94</f>
        <v>5.1389394044568792</v>
      </c>
      <c r="AK92" s="304">
        <f>+AH87*AJ92/100</f>
        <v>809269.15130548319</v>
      </c>
      <c r="AL92" s="303"/>
      <c r="AM92" s="303"/>
      <c r="AN92" s="303"/>
      <c r="AO92" s="303"/>
      <c r="AP92" s="308"/>
      <c r="AQ92" s="299"/>
      <c r="AR92" s="304">
        <f t="shared" si="208"/>
        <v>1972900</v>
      </c>
      <c r="AS92" s="304">
        <f t="shared" si="209"/>
        <v>0</v>
      </c>
      <c r="AT92" s="304">
        <f t="shared" si="210"/>
        <v>0</v>
      </c>
      <c r="AU92" s="304">
        <f t="shared" si="211"/>
        <v>809269.15130548319</v>
      </c>
      <c r="AV92" s="347">
        <f t="shared" si="212"/>
        <v>2782169.1513054832</v>
      </c>
      <c r="AW92" s="341">
        <f t="shared" si="215"/>
        <v>0</v>
      </c>
      <c r="AX92" s="304">
        <f t="shared" si="215"/>
        <v>0</v>
      </c>
      <c r="AY92" s="304">
        <v>0</v>
      </c>
      <c r="AZ92" s="304">
        <f t="shared" si="216"/>
        <v>0</v>
      </c>
      <c r="BA92" s="298">
        <f t="shared" si="203"/>
        <v>0</v>
      </c>
      <c r="BB92" s="304">
        <f t="shared" si="213"/>
        <v>1972900</v>
      </c>
      <c r="BC92" s="304">
        <f t="shared" si="204"/>
        <v>0</v>
      </c>
      <c r="BD92" s="304">
        <f t="shared" si="205"/>
        <v>0</v>
      </c>
      <c r="BE92" s="304">
        <f t="shared" si="214"/>
        <v>809269.15130548319</v>
      </c>
      <c r="BF92" s="304">
        <f t="shared" si="206"/>
        <v>2782169.1513054832</v>
      </c>
    </row>
    <row r="93" spans="1:58" ht="25.5" customHeight="1">
      <c r="A93" s="531"/>
      <c r="B93" s="303"/>
      <c r="C93" s="361" t="s">
        <v>454</v>
      </c>
      <c r="D93" s="360"/>
      <c r="E93" s="360"/>
      <c r="F93" s="360"/>
      <c r="G93" s="360"/>
      <c r="H93" s="360"/>
      <c r="I93" s="360"/>
      <c r="J93" s="360"/>
      <c r="K93" s="360"/>
      <c r="L93" s="360"/>
      <c r="M93" s="360"/>
      <c r="N93" s="360"/>
      <c r="O93" s="360"/>
      <c r="P93" s="360"/>
      <c r="Q93" s="360"/>
      <c r="R93" s="360"/>
      <c r="S93" s="360">
        <v>1595000</v>
      </c>
      <c r="T93" s="360"/>
      <c r="U93" s="360"/>
      <c r="V93" s="360"/>
      <c r="W93" s="360"/>
      <c r="X93" s="360"/>
      <c r="Y93" s="360">
        <f t="shared" si="207"/>
        <v>1595000</v>
      </c>
      <c r="Z93" s="360">
        <f t="shared" si="207"/>
        <v>0</v>
      </c>
      <c r="AA93" s="360">
        <f t="shared" si="207"/>
        <v>0</v>
      </c>
      <c r="AB93" s="342">
        <f t="shared" si="198"/>
        <v>1595000</v>
      </c>
      <c r="AC93" s="304">
        <f t="shared" si="217"/>
        <v>1595000</v>
      </c>
      <c r="AD93" s="304">
        <f t="shared" si="218"/>
        <v>0</v>
      </c>
      <c r="AE93" s="304">
        <f t="shared" si="219"/>
        <v>0</v>
      </c>
      <c r="AF93" s="304">
        <f t="shared" si="220"/>
        <v>0</v>
      </c>
      <c r="AG93" s="304">
        <f t="shared" si="221"/>
        <v>1595000</v>
      </c>
      <c r="AH93" s="304">
        <f t="shared" si="196"/>
        <v>0</v>
      </c>
      <c r="AI93" s="304">
        <f t="shared" si="197"/>
        <v>1595000</v>
      </c>
      <c r="AJ93" s="304">
        <f>+AI93*100/AI94</f>
        <v>4.1545989913876644</v>
      </c>
      <c r="AK93" s="304">
        <f>+AH87*AJ93/100</f>
        <v>654257.33505613345</v>
      </c>
      <c r="AL93" s="303"/>
      <c r="AM93" s="303"/>
      <c r="AN93" s="303"/>
      <c r="AO93" s="303"/>
      <c r="AP93" s="308"/>
      <c r="AQ93" s="299"/>
      <c r="AR93" s="304">
        <f t="shared" si="208"/>
        <v>1595000</v>
      </c>
      <c r="AS93" s="304">
        <f t="shared" si="209"/>
        <v>0</v>
      </c>
      <c r="AT93" s="304">
        <f t="shared" si="210"/>
        <v>0</v>
      </c>
      <c r="AU93" s="304">
        <f t="shared" si="211"/>
        <v>654257.33505613345</v>
      </c>
      <c r="AV93" s="347">
        <f t="shared" si="212"/>
        <v>2249257.3350561336</v>
      </c>
      <c r="AW93" s="341">
        <f>+AC281*AR93/AR194</f>
        <v>0</v>
      </c>
      <c r="AX93" s="304">
        <v>0</v>
      </c>
      <c r="AY93" s="304">
        <v>0</v>
      </c>
      <c r="AZ93" s="304">
        <f t="shared" si="216"/>
        <v>0</v>
      </c>
      <c r="BA93" s="298">
        <f t="shared" si="203"/>
        <v>0</v>
      </c>
      <c r="BB93" s="304">
        <f t="shared" si="213"/>
        <v>1595000</v>
      </c>
      <c r="BC93" s="304">
        <f t="shared" si="204"/>
        <v>0</v>
      </c>
      <c r="BD93" s="304">
        <f t="shared" si="205"/>
        <v>0</v>
      </c>
      <c r="BE93" s="304">
        <f t="shared" si="214"/>
        <v>654257.33505613345</v>
      </c>
      <c r="BF93" s="304">
        <f t="shared" si="206"/>
        <v>2249257.3350561336</v>
      </c>
    </row>
    <row r="94" spans="1:58" ht="25.5" customHeight="1">
      <c r="A94" s="531"/>
      <c r="B94" s="303"/>
      <c r="C94" s="334" t="s">
        <v>455</v>
      </c>
      <c r="D94" s="360">
        <f>SUM(D86:D93)</f>
        <v>1134492</v>
      </c>
      <c r="E94" s="360">
        <f t="shared" ref="E94:AA94" si="222">SUM(E86:E93)</f>
        <v>2956633.36</v>
      </c>
      <c r="F94" s="360">
        <f t="shared" si="222"/>
        <v>0</v>
      </c>
      <c r="G94" s="360">
        <f t="shared" si="222"/>
        <v>282448</v>
      </c>
      <c r="H94" s="360">
        <f t="shared" si="222"/>
        <v>169536</v>
      </c>
      <c r="I94" s="360">
        <f t="shared" si="222"/>
        <v>0</v>
      </c>
      <c r="J94" s="360">
        <f t="shared" si="222"/>
        <v>2897641.43</v>
      </c>
      <c r="K94" s="360">
        <f t="shared" si="222"/>
        <v>288802.59999999998</v>
      </c>
      <c r="L94" s="360">
        <f t="shared" si="222"/>
        <v>0</v>
      </c>
      <c r="M94" s="360">
        <f t="shared" si="222"/>
        <v>2995681.6</v>
      </c>
      <c r="N94" s="360">
        <f t="shared" si="222"/>
        <v>7235722.25</v>
      </c>
      <c r="O94" s="360">
        <f t="shared" si="222"/>
        <v>0</v>
      </c>
      <c r="P94" s="360">
        <f t="shared" si="222"/>
        <v>13994747.129999999</v>
      </c>
      <c r="Q94" s="360">
        <f t="shared" si="222"/>
        <v>1753038.31</v>
      </c>
      <c r="R94" s="360">
        <f t="shared" si="222"/>
        <v>0</v>
      </c>
      <c r="S94" s="360">
        <f t="shared" si="222"/>
        <v>17165115.34</v>
      </c>
      <c r="T94" s="360">
        <f t="shared" si="222"/>
        <v>949758</v>
      </c>
      <c r="U94" s="360">
        <f t="shared" si="222"/>
        <v>0</v>
      </c>
      <c r="V94" s="360">
        <f t="shared" si="222"/>
        <v>1844677.6</v>
      </c>
      <c r="W94" s="360">
        <f t="shared" si="222"/>
        <v>470682</v>
      </c>
      <c r="X94" s="360">
        <f t="shared" si="222"/>
        <v>0</v>
      </c>
      <c r="Y94" s="360">
        <f>SUM(Y86:Y93)</f>
        <v>40314803.100000001</v>
      </c>
      <c r="Z94" s="360">
        <f t="shared" si="222"/>
        <v>13824172.52</v>
      </c>
      <c r="AA94" s="360">
        <f t="shared" si="222"/>
        <v>0</v>
      </c>
      <c r="AB94" s="342">
        <f t="shared" si="198"/>
        <v>54138975.620000005</v>
      </c>
      <c r="AC94" s="304">
        <f t="shared" si="217"/>
        <v>26320055.969999999</v>
      </c>
      <c r="AD94" s="304">
        <f t="shared" si="218"/>
        <v>12071134.210000001</v>
      </c>
      <c r="AE94" s="304">
        <f t="shared" si="219"/>
        <v>0</v>
      </c>
      <c r="AF94" s="304">
        <f t="shared" si="220"/>
        <v>15747785.439999999</v>
      </c>
      <c r="AG94" s="304">
        <f t="shared" si="221"/>
        <v>54138975.619999997</v>
      </c>
      <c r="AH94" s="304">
        <f t="shared" si="196"/>
        <v>15747785.439999999</v>
      </c>
      <c r="AI94" s="304">
        <f t="shared" si="197"/>
        <v>38391190.18</v>
      </c>
      <c r="AJ94" s="304">
        <f>SUM(AJ86:AJ93)</f>
        <v>100</v>
      </c>
      <c r="AK94" s="304">
        <f>SUM(AK86:AK93)</f>
        <v>15747785.439999999</v>
      </c>
      <c r="AL94" s="303"/>
      <c r="AM94" s="303"/>
      <c r="AN94" s="303"/>
      <c r="AO94" s="303"/>
      <c r="AP94" s="308"/>
      <c r="AQ94" s="299">
        <f>SUM(AQ86:AQ93)</f>
        <v>699120.99</v>
      </c>
      <c r="AR94" s="304">
        <f>SUM(AR86:AR93)</f>
        <v>26320055.969999999</v>
      </c>
      <c r="AS94" s="304">
        <f>SUM(AS86:AS93)</f>
        <v>12071134.209999999</v>
      </c>
      <c r="AT94" s="304">
        <f t="shared" ref="AT94" si="223">SUM(AT86:AT93)</f>
        <v>699120.99</v>
      </c>
      <c r="AU94" s="304">
        <f t="shared" ref="AU94" si="224">SUM(AU86:AU93)</f>
        <v>15747785.439999999</v>
      </c>
      <c r="AV94" s="347">
        <f>SUM(AR94:AU94)</f>
        <v>54838096.609999999</v>
      </c>
      <c r="AW94" s="341">
        <f>SUM(AW86:AW93)</f>
        <v>61797424.131155118</v>
      </c>
      <c r="AX94" s="304">
        <f>SUM(AX86:AX93)</f>
        <v>8905953.1875528973</v>
      </c>
      <c r="AY94" s="304">
        <f>SUM(AY86:AY93)</f>
        <v>0</v>
      </c>
      <c r="AZ94" s="304">
        <f>SUM(AZ86:AZ93)</f>
        <v>7995037.2926995596</v>
      </c>
      <c r="BA94" s="298">
        <f t="shared" si="203"/>
        <v>78698414.611407578</v>
      </c>
      <c r="BB94" s="336">
        <f>SUM(BB86:BB93)</f>
        <v>88117480.101155132</v>
      </c>
      <c r="BC94" s="304">
        <f>SUM(BC86:BC93)</f>
        <v>20977087.397552896</v>
      </c>
      <c r="BD94" s="304">
        <f>SUM(BD86:BD93)</f>
        <v>699120.99</v>
      </c>
      <c r="BE94" s="304">
        <f>SUM(BE86:BE93)</f>
        <v>23742822.732699558</v>
      </c>
      <c r="BF94" s="304">
        <f t="shared" si="206"/>
        <v>133536511.22140758</v>
      </c>
    </row>
    <row r="95" spans="1:58" s="294" customFormat="1" ht="25.5" customHeight="1">
      <c r="A95" s="529">
        <v>8</v>
      </c>
      <c r="B95" s="299" t="s">
        <v>162</v>
      </c>
      <c r="C95" s="627" t="s">
        <v>458</v>
      </c>
      <c r="D95" s="627"/>
      <c r="E95" s="627"/>
      <c r="F95" s="627"/>
      <c r="G95" s="627"/>
      <c r="H95" s="627"/>
      <c r="I95" s="627"/>
      <c r="J95" s="627"/>
      <c r="K95" s="627"/>
      <c r="L95" s="627"/>
      <c r="M95" s="627"/>
      <c r="N95" s="627"/>
      <c r="O95" s="627"/>
      <c r="P95" s="627"/>
      <c r="Q95" s="627"/>
      <c r="R95" s="627"/>
      <c r="S95" s="627"/>
      <c r="T95" s="627"/>
      <c r="U95" s="627"/>
      <c r="V95" s="627"/>
      <c r="W95" s="627"/>
      <c r="X95" s="627"/>
      <c r="Y95" s="627"/>
      <c r="Z95" s="627"/>
      <c r="AA95" s="627"/>
      <c r="AB95" s="342">
        <f t="shared" si="198"/>
        <v>0</v>
      </c>
      <c r="AC95" s="304">
        <f t="shared" si="217"/>
        <v>0</v>
      </c>
      <c r="AD95" s="304">
        <f t="shared" si="218"/>
        <v>0</v>
      </c>
      <c r="AE95" s="304">
        <f t="shared" si="219"/>
        <v>0</v>
      </c>
      <c r="AF95" s="304">
        <f t="shared" si="220"/>
        <v>0</v>
      </c>
      <c r="AG95" s="304">
        <f t="shared" si="221"/>
        <v>0</v>
      </c>
      <c r="AH95" s="304">
        <f t="shared" si="196"/>
        <v>0</v>
      </c>
      <c r="AI95" s="304">
        <f t="shared" si="197"/>
        <v>0</v>
      </c>
      <c r="AJ95" s="299"/>
      <c r="AK95" s="299"/>
      <c r="AL95" s="299"/>
      <c r="AM95" s="299"/>
      <c r="AN95" s="299"/>
      <c r="AO95" s="299"/>
      <c r="AP95" s="300"/>
      <c r="AQ95" s="299"/>
      <c r="AR95" s="299"/>
      <c r="AS95" s="299"/>
      <c r="AT95" s="299"/>
      <c r="AU95" s="299"/>
      <c r="AV95" s="348"/>
      <c r="AW95" s="343"/>
      <c r="AX95" s="299"/>
      <c r="AY95" s="299"/>
      <c r="AZ95" s="299"/>
      <c r="BA95" s="300"/>
      <c r="BB95" s="322"/>
      <c r="BC95" s="299"/>
      <c r="BD95" s="299"/>
      <c r="BE95" s="299"/>
      <c r="BF95" s="299"/>
    </row>
    <row r="96" spans="1:58" s="294" customFormat="1" ht="25.5" customHeight="1">
      <c r="A96" s="529"/>
      <c r="B96" s="299"/>
      <c r="C96" s="359" t="s">
        <v>447</v>
      </c>
      <c r="D96" s="360">
        <v>0</v>
      </c>
      <c r="E96" s="360"/>
      <c r="F96" s="360"/>
      <c r="G96" s="360"/>
      <c r="H96" s="360"/>
      <c r="I96" s="360"/>
      <c r="J96" s="360"/>
      <c r="K96" s="360"/>
      <c r="L96" s="360"/>
      <c r="M96" s="360"/>
      <c r="N96" s="360"/>
      <c r="O96" s="360"/>
      <c r="P96" s="360"/>
      <c r="Q96" s="360"/>
      <c r="R96" s="360"/>
      <c r="S96" s="360"/>
      <c r="T96" s="360"/>
      <c r="U96" s="360"/>
      <c r="V96" s="360"/>
      <c r="W96" s="360"/>
      <c r="X96" s="360"/>
      <c r="Y96" s="360">
        <f>D96+G96+J96+M96+P96+S96+V96</f>
        <v>0</v>
      </c>
      <c r="Z96" s="360">
        <f t="shared" ref="Z96:AA103" si="225">E96+H96+K96+N96+Q96+T96+W96</f>
        <v>0</v>
      </c>
      <c r="AA96" s="360">
        <f t="shared" si="225"/>
        <v>0</v>
      </c>
      <c r="AB96" s="342">
        <f t="shared" si="198"/>
        <v>0</v>
      </c>
      <c r="AC96" s="304">
        <f t="shared" si="217"/>
        <v>0</v>
      </c>
      <c r="AD96" s="304">
        <f t="shared" si="218"/>
        <v>0</v>
      </c>
      <c r="AE96" s="304">
        <f t="shared" si="219"/>
        <v>0</v>
      </c>
      <c r="AF96" s="304">
        <f t="shared" si="220"/>
        <v>0</v>
      </c>
      <c r="AG96" s="304">
        <f t="shared" si="221"/>
        <v>0</v>
      </c>
      <c r="AH96" s="304">
        <f t="shared" si="196"/>
        <v>0</v>
      </c>
      <c r="AI96" s="304">
        <f t="shared" si="197"/>
        <v>0</v>
      </c>
      <c r="AJ96" s="304">
        <f>+AI96*100/AI104</f>
        <v>0</v>
      </c>
      <c r="AK96" s="304">
        <f>+AH97*AJ96/100</f>
        <v>0</v>
      </c>
      <c r="AL96" s="299"/>
      <c r="AM96" s="299"/>
      <c r="AN96" s="299"/>
      <c r="AO96" s="299"/>
      <c r="AP96" s="300"/>
      <c r="AQ96" s="299"/>
      <c r="AR96" s="304">
        <f>+AC96+AL96</f>
        <v>0</v>
      </c>
      <c r="AS96" s="304">
        <f>+AD96+AM96</f>
        <v>0</v>
      </c>
      <c r="AT96" s="304">
        <f>+AE96+AN96+AQ96</f>
        <v>0</v>
      </c>
      <c r="AU96" s="304">
        <f>+AK96+AO96</f>
        <v>0</v>
      </c>
      <c r="AV96" s="347">
        <f>SUM(AR96:AU96)</f>
        <v>0</v>
      </c>
      <c r="AW96" s="341">
        <f t="shared" ref="AW96:AZ97" si="226">+AC274*AR96/AR187</f>
        <v>0</v>
      </c>
      <c r="AX96" s="304">
        <f t="shared" si="226"/>
        <v>0</v>
      </c>
      <c r="AY96" s="304">
        <f t="shared" si="226"/>
        <v>0</v>
      </c>
      <c r="AZ96" s="304">
        <f t="shared" si="226"/>
        <v>0</v>
      </c>
      <c r="BA96" s="298">
        <f t="shared" ref="BA96:BA104" si="227">SUM(AW96:AZ96)</f>
        <v>0</v>
      </c>
      <c r="BB96" s="304">
        <f>+AR96+AW96</f>
        <v>0</v>
      </c>
      <c r="BC96" s="304">
        <f t="shared" ref="BC96:BC103" si="228">+AS96+AX96</f>
        <v>0</v>
      </c>
      <c r="BD96" s="304">
        <f t="shared" ref="BD96:BD103" si="229">+AT96+AY96</f>
        <v>0</v>
      </c>
      <c r="BE96" s="304">
        <f>+AU96+AZ96</f>
        <v>0</v>
      </c>
      <c r="BF96" s="304">
        <f t="shared" ref="BF96:BF104" si="230">SUM(BB96:BE96)</f>
        <v>0</v>
      </c>
    </row>
    <row r="97" spans="1:58" s="294" customFormat="1" ht="25.5" customHeight="1">
      <c r="A97" s="529"/>
      <c r="B97" s="299"/>
      <c r="C97" s="359" t="s">
        <v>448</v>
      </c>
      <c r="D97" s="301">
        <v>37200</v>
      </c>
      <c r="E97" s="301"/>
      <c r="F97" s="360"/>
      <c r="G97" s="301">
        <v>10800</v>
      </c>
      <c r="H97" s="301">
        <v>78780</v>
      </c>
      <c r="I97" s="360"/>
      <c r="J97" s="301">
        <v>425271.28</v>
      </c>
      <c r="K97" s="301">
        <v>32974</v>
      </c>
      <c r="L97" s="360"/>
      <c r="M97" s="301">
        <v>3613300.13</v>
      </c>
      <c r="N97" s="301">
        <v>367504.96</v>
      </c>
      <c r="O97" s="360"/>
      <c r="P97" s="360">
        <v>8773958.6799999997</v>
      </c>
      <c r="Q97" s="360">
        <v>880786.95999999985</v>
      </c>
      <c r="R97" s="360"/>
      <c r="S97" s="302"/>
      <c r="T97" s="302">
        <v>41110</v>
      </c>
      <c r="U97" s="360"/>
      <c r="V97" s="360"/>
      <c r="W97" s="360">
        <v>1430294.54</v>
      </c>
      <c r="X97" s="360"/>
      <c r="Y97" s="360">
        <f t="shared" ref="Y97:Y103" si="231">D97+G97+J97+M97+P97+S97+V97</f>
        <v>12860530.09</v>
      </c>
      <c r="Z97" s="360">
        <f t="shared" si="225"/>
        <v>2831450.46</v>
      </c>
      <c r="AA97" s="360">
        <f t="shared" si="225"/>
        <v>0</v>
      </c>
      <c r="AB97" s="342">
        <f t="shared" si="198"/>
        <v>15691980.550000001</v>
      </c>
      <c r="AC97" s="304">
        <f t="shared" si="217"/>
        <v>4086571.41</v>
      </c>
      <c r="AD97" s="304">
        <f t="shared" si="218"/>
        <v>1950663.5</v>
      </c>
      <c r="AE97" s="304">
        <f t="shared" si="219"/>
        <v>0</v>
      </c>
      <c r="AF97" s="304">
        <f t="shared" si="220"/>
        <v>9654745.6399999987</v>
      </c>
      <c r="AG97" s="304">
        <f t="shared" si="221"/>
        <v>15691980.549999999</v>
      </c>
      <c r="AH97" s="304">
        <f t="shared" si="196"/>
        <v>9654745.6399999987</v>
      </c>
      <c r="AI97" s="304">
        <f t="shared" si="197"/>
        <v>6037234.9100000001</v>
      </c>
      <c r="AJ97" s="304">
        <f>+AI97*100/AI104</f>
        <v>36.256305153726508</v>
      </c>
      <c r="AK97" s="304">
        <f>+AH97*AJ97/100</f>
        <v>3500454.0410545049</v>
      </c>
      <c r="AL97" s="299"/>
      <c r="AM97" s="299"/>
      <c r="AN97" s="299"/>
      <c r="AO97" s="299"/>
      <c r="AP97" s="300"/>
      <c r="AQ97" s="299">
        <v>194997.57</v>
      </c>
      <c r="AR97" s="304">
        <f t="shared" ref="AR97:AR103" si="232">+AC97+AL97</f>
        <v>4086571.41</v>
      </c>
      <c r="AS97" s="304">
        <f t="shared" ref="AS97:AS103" si="233">+AD97+AM97</f>
        <v>1950663.5</v>
      </c>
      <c r="AT97" s="304">
        <f t="shared" ref="AT97:AT103" si="234">+AE97+AN97+AQ97</f>
        <v>194997.57</v>
      </c>
      <c r="AU97" s="304">
        <f t="shared" ref="AU97:AU103" si="235">+AK97+AO97</f>
        <v>3500454.0410545049</v>
      </c>
      <c r="AV97" s="347">
        <f t="shared" ref="AV97:AV103" si="236">SUM(AR97:AU97)</f>
        <v>9732686.5210545063</v>
      </c>
      <c r="AW97" s="341">
        <f t="shared" si="226"/>
        <v>5230247.1441904688</v>
      </c>
      <c r="AX97" s="304">
        <f t="shared" si="226"/>
        <v>1817599.7901718116</v>
      </c>
      <c r="AY97" s="304">
        <f t="shared" si="226"/>
        <v>0</v>
      </c>
      <c r="AZ97" s="304">
        <f t="shared" si="226"/>
        <v>4319373.1919527976</v>
      </c>
      <c r="BA97" s="298">
        <f t="shared" si="227"/>
        <v>11367220.126315078</v>
      </c>
      <c r="BB97" s="304">
        <f t="shared" ref="BB97:BB103" si="237">+AR97+AW97</f>
        <v>9316818.554190468</v>
      </c>
      <c r="BC97" s="304">
        <f t="shared" si="228"/>
        <v>3768263.2901718114</v>
      </c>
      <c r="BD97" s="304">
        <f t="shared" si="229"/>
        <v>194997.57</v>
      </c>
      <c r="BE97" s="304">
        <f t="shared" ref="BE97:BE103" si="238">+AU97+AZ97</f>
        <v>7819827.2330073025</v>
      </c>
      <c r="BF97" s="304">
        <f t="shared" si="230"/>
        <v>21099906.647369582</v>
      </c>
    </row>
    <row r="98" spans="1:58" s="294" customFormat="1" ht="25.5" customHeight="1">
      <c r="A98" s="529"/>
      <c r="B98" s="299"/>
      <c r="C98" s="359" t="s">
        <v>449</v>
      </c>
      <c r="D98" s="360"/>
      <c r="E98" s="360"/>
      <c r="F98" s="360"/>
      <c r="G98" s="360">
        <v>13800</v>
      </c>
      <c r="H98" s="360"/>
      <c r="I98" s="360"/>
      <c r="J98" s="360"/>
      <c r="K98" s="360"/>
      <c r="L98" s="360"/>
      <c r="M98" s="360"/>
      <c r="N98" s="360"/>
      <c r="O98" s="360"/>
      <c r="P98" s="360"/>
      <c r="Q98" s="360"/>
      <c r="R98" s="360"/>
      <c r="S98" s="360"/>
      <c r="T98" s="360"/>
      <c r="U98" s="360"/>
      <c r="V98" s="360"/>
      <c r="W98" s="360"/>
      <c r="X98" s="360"/>
      <c r="Y98" s="360">
        <f t="shared" si="231"/>
        <v>13800</v>
      </c>
      <c r="Z98" s="360">
        <f t="shared" si="225"/>
        <v>0</v>
      </c>
      <c r="AA98" s="360">
        <f t="shared" si="225"/>
        <v>0</v>
      </c>
      <c r="AB98" s="342">
        <f t="shared" si="198"/>
        <v>13800</v>
      </c>
      <c r="AC98" s="304">
        <f t="shared" si="217"/>
        <v>13800</v>
      </c>
      <c r="AD98" s="304">
        <f t="shared" si="218"/>
        <v>0</v>
      </c>
      <c r="AE98" s="304">
        <f t="shared" si="219"/>
        <v>0</v>
      </c>
      <c r="AF98" s="304">
        <f t="shared" si="220"/>
        <v>0</v>
      </c>
      <c r="AG98" s="304">
        <f t="shared" si="221"/>
        <v>13800</v>
      </c>
      <c r="AH98" s="304">
        <f t="shared" si="196"/>
        <v>0</v>
      </c>
      <c r="AI98" s="304">
        <f t="shared" si="197"/>
        <v>13800</v>
      </c>
      <c r="AJ98" s="304">
        <f>+AI98*100/AI104</f>
        <v>8.2875193458626886E-2</v>
      </c>
      <c r="AK98" s="304">
        <f>+AH97*AJ98/100</f>
        <v>8001.3891270883441</v>
      </c>
      <c r="AL98" s="299"/>
      <c r="AM98" s="299"/>
      <c r="AN98" s="299"/>
      <c r="AO98" s="299"/>
      <c r="AP98" s="300"/>
      <c r="AQ98" s="299"/>
      <c r="AR98" s="304">
        <f t="shared" si="232"/>
        <v>13800</v>
      </c>
      <c r="AS98" s="304">
        <f t="shared" si="233"/>
        <v>0</v>
      </c>
      <c r="AT98" s="304">
        <f t="shared" si="234"/>
        <v>0</v>
      </c>
      <c r="AU98" s="304">
        <f t="shared" si="235"/>
        <v>8001.3891270883441</v>
      </c>
      <c r="AV98" s="347">
        <f t="shared" si="236"/>
        <v>21801.389127088343</v>
      </c>
      <c r="AW98" s="341">
        <f t="shared" ref="AW98:AX102" si="239">+AC276*AR98/AR189</f>
        <v>15212.977578992084</v>
      </c>
      <c r="AX98" s="304">
        <f t="shared" si="239"/>
        <v>0</v>
      </c>
      <c r="AY98" s="304">
        <v>0</v>
      </c>
      <c r="AZ98" s="304">
        <f t="shared" ref="AZ98:AZ103" si="240">+AF276*AU98/AU189</f>
        <v>0</v>
      </c>
      <c r="BA98" s="298">
        <f t="shared" si="227"/>
        <v>15212.977578992084</v>
      </c>
      <c r="BB98" s="304">
        <f t="shared" si="237"/>
        <v>29012.977578992082</v>
      </c>
      <c r="BC98" s="304">
        <f t="shared" si="228"/>
        <v>0</v>
      </c>
      <c r="BD98" s="304">
        <f t="shared" si="229"/>
        <v>0</v>
      </c>
      <c r="BE98" s="304">
        <f t="shared" si="238"/>
        <v>8001.3891270883441</v>
      </c>
      <c r="BF98" s="304">
        <f t="shared" si="230"/>
        <v>37014.366706080429</v>
      </c>
    </row>
    <row r="99" spans="1:58" s="294" customFormat="1" ht="25.5" customHeight="1">
      <c r="A99" s="529"/>
      <c r="B99" s="299"/>
      <c r="C99" s="359" t="s">
        <v>450</v>
      </c>
      <c r="D99" s="360"/>
      <c r="E99" s="360"/>
      <c r="F99" s="360"/>
      <c r="G99" s="360"/>
      <c r="H99" s="360">
        <v>30000</v>
      </c>
      <c r="I99" s="360"/>
      <c r="J99" s="360"/>
      <c r="K99" s="360"/>
      <c r="L99" s="360"/>
      <c r="M99" s="360"/>
      <c r="N99" s="360"/>
      <c r="O99" s="360"/>
      <c r="P99" s="360"/>
      <c r="Q99" s="360"/>
      <c r="R99" s="360"/>
      <c r="S99" s="360"/>
      <c r="T99" s="360"/>
      <c r="U99" s="360"/>
      <c r="V99" s="360"/>
      <c r="W99" s="360"/>
      <c r="X99" s="360"/>
      <c r="Y99" s="360">
        <f t="shared" si="231"/>
        <v>0</v>
      </c>
      <c r="Z99" s="360">
        <f t="shared" si="225"/>
        <v>30000</v>
      </c>
      <c r="AA99" s="360">
        <f t="shared" si="225"/>
        <v>0</v>
      </c>
      <c r="AB99" s="342">
        <f t="shared" si="198"/>
        <v>30000</v>
      </c>
      <c r="AC99" s="304">
        <f t="shared" si="217"/>
        <v>0</v>
      </c>
      <c r="AD99" s="304">
        <f t="shared" si="218"/>
        <v>30000</v>
      </c>
      <c r="AE99" s="304">
        <f t="shared" si="219"/>
        <v>0</v>
      </c>
      <c r="AF99" s="304">
        <f t="shared" si="220"/>
        <v>0</v>
      </c>
      <c r="AG99" s="304">
        <f t="shared" si="221"/>
        <v>30000</v>
      </c>
      <c r="AH99" s="304">
        <f t="shared" si="196"/>
        <v>0</v>
      </c>
      <c r="AI99" s="304">
        <f t="shared" si="197"/>
        <v>30000</v>
      </c>
      <c r="AJ99" s="304">
        <f>+AI99*100/AI104</f>
        <v>0.18016346404049322</v>
      </c>
      <c r="AK99" s="304">
        <f>+AH97*AJ99/100</f>
        <v>17394.324189322484</v>
      </c>
      <c r="AL99" s="299"/>
      <c r="AM99" s="299"/>
      <c r="AN99" s="299"/>
      <c r="AO99" s="299"/>
      <c r="AP99" s="300"/>
      <c r="AQ99" s="299"/>
      <c r="AR99" s="304">
        <f t="shared" si="232"/>
        <v>0</v>
      </c>
      <c r="AS99" s="304">
        <f t="shared" si="233"/>
        <v>30000</v>
      </c>
      <c r="AT99" s="304">
        <f t="shared" si="234"/>
        <v>0</v>
      </c>
      <c r="AU99" s="304">
        <f t="shared" si="235"/>
        <v>17394.324189322484</v>
      </c>
      <c r="AV99" s="347">
        <f t="shared" si="236"/>
        <v>47394.324189322484</v>
      </c>
      <c r="AW99" s="341">
        <f t="shared" si="239"/>
        <v>0</v>
      </c>
      <c r="AX99" s="304">
        <f t="shared" si="239"/>
        <v>0</v>
      </c>
      <c r="AY99" s="304">
        <v>0</v>
      </c>
      <c r="AZ99" s="304">
        <f t="shared" si="240"/>
        <v>0</v>
      </c>
      <c r="BA99" s="298">
        <f t="shared" si="227"/>
        <v>0</v>
      </c>
      <c r="BB99" s="304">
        <f t="shared" si="237"/>
        <v>0</v>
      </c>
      <c r="BC99" s="304">
        <f t="shared" si="228"/>
        <v>30000</v>
      </c>
      <c r="BD99" s="304">
        <f t="shared" si="229"/>
        <v>0</v>
      </c>
      <c r="BE99" s="304">
        <f t="shared" si="238"/>
        <v>17394.324189322484</v>
      </c>
      <c r="BF99" s="304">
        <f t="shared" si="230"/>
        <v>47394.324189322484</v>
      </c>
    </row>
    <row r="100" spans="1:58" s="294" customFormat="1" ht="25.5" customHeight="1">
      <c r="A100" s="529"/>
      <c r="B100" s="299"/>
      <c r="C100" s="359" t="s">
        <v>451</v>
      </c>
      <c r="D100" s="301">
        <v>8352364.7400000002</v>
      </c>
      <c r="E100" s="301">
        <v>506745.19</v>
      </c>
      <c r="F100" s="360"/>
      <c r="G100" s="360"/>
      <c r="H100" s="360"/>
      <c r="I100" s="360"/>
      <c r="J100" s="360"/>
      <c r="K100" s="360"/>
      <c r="L100" s="360"/>
      <c r="M100" s="360"/>
      <c r="N100" s="360"/>
      <c r="O100" s="360"/>
      <c r="P100" s="360"/>
      <c r="Q100" s="360"/>
      <c r="R100" s="360"/>
      <c r="S100" s="360"/>
      <c r="T100" s="360"/>
      <c r="U100" s="360"/>
      <c r="V100" s="360"/>
      <c r="W100" s="360"/>
      <c r="X100" s="360"/>
      <c r="Y100" s="360">
        <f t="shared" si="231"/>
        <v>8352364.7400000002</v>
      </c>
      <c r="Z100" s="360">
        <f t="shared" si="225"/>
        <v>506745.19</v>
      </c>
      <c r="AA100" s="360">
        <f t="shared" si="225"/>
        <v>0</v>
      </c>
      <c r="AB100" s="342">
        <f t="shared" si="198"/>
        <v>8859109.9299999997</v>
      </c>
      <c r="AC100" s="304">
        <f t="shared" si="217"/>
        <v>8352364.7400000002</v>
      </c>
      <c r="AD100" s="304">
        <f t="shared" si="218"/>
        <v>506745.19</v>
      </c>
      <c r="AE100" s="304">
        <f t="shared" si="219"/>
        <v>0</v>
      </c>
      <c r="AF100" s="304">
        <f t="shared" si="220"/>
        <v>0</v>
      </c>
      <c r="AG100" s="304">
        <f t="shared" si="221"/>
        <v>8859109.9299999997</v>
      </c>
      <c r="AH100" s="304">
        <f t="shared" si="196"/>
        <v>0</v>
      </c>
      <c r="AI100" s="304">
        <f t="shared" si="197"/>
        <v>8859109.9299999997</v>
      </c>
      <c r="AJ100" s="304">
        <f>+AI100*100/AI104</f>
        <v>53.202931110144377</v>
      </c>
      <c r="AK100" s="304">
        <f>+AH97*AJ100/100</f>
        <v>5136607.671708867</v>
      </c>
      <c r="AL100" s="299"/>
      <c r="AM100" s="299"/>
      <c r="AN100" s="299"/>
      <c r="AO100" s="299"/>
      <c r="AP100" s="300"/>
      <c r="AQ100" s="299"/>
      <c r="AR100" s="304">
        <f t="shared" si="232"/>
        <v>8352364.7400000002</v>
      </c>
      <c r="AS100" s="304">
        <f t="shared" si="233"/>
        <v>506745.19</v>
      </c>
      <c r="AT100" s="304">
        <f t="shared" si="234"/>
        <v>0</v>
      </c>
      <c r="AU100" s="304">
        <f t="shared" si="235"/>
        <v>5136607.671708867</v>
      </c>
      <c r="AV100" s="347">
        <f t="shared" si="236"/>
        <v>13995717.601708867</v>
      </c>
      <c r="AW100" s="341">
        <f t="shared" si="239"/>
        <v>29889925.672181528</v>
      </c>
      <c r="AX100" s="304">
        <f t="shared" si="239"/>
        <v>171853.0045983349</v>
      </c>
      <c r="AY100" s="304">
        <f>+AE278*AT100/AT191</f>
        <v>0</v>
      </c>
      <c r="AZ100" s="304">
        <f t="shared" si="240"/>
        <v>0</v>
      </c>
      <c r="BA100" s="298">
        <f t="shared" si="227"/>
        <v>30061778.676779862</v>
      </c>
      <c r="BB100" s="304">
        <f t="shared" si="237"/>
        <v>38242290.412181526</v>
      </c>
      <c r="BC100" s="304">
        <f t="shared" si="228"/>
        <v>678598.19459833484</v>
      </c>
      <c r="BD100" s="304">
        <f t="shared" si="229"/>
        <v>0</v>
      </c>
      <c r="BE100" s="304">
        <f t="shared" si="238"/>
        <v>5136607.671708867</v>
      </c>
      <c r="BF100" s="304">
        <f t="shared" si="230"/>
        <v>44057496.278488725</v>
      </c>
    </row>
    <row r="101" spans="1:58" s="294" customFormat="1" ht="25.5" customHeight="1">
      <c r="A101" s="529"/>
      <c r="B101" s="299"/>
      <c r="C101" s="359" t="s">
        <v>452</v>
      </c>
      <c r="D101" s="360"/>
      <c r="E101" s="360"/>
      <c r="F101" s="360"/>
      <c r="G101" s="360"/>
      <c r="H101" s="360"/>
      <c r="I101" s="360"/>
      <c r="J101" s="360"/>
      <c r="K101" s="360"/>
      <c r="L101" s="360"/>
      <c r="M101" s="360"/>
      <c r="N101" s="360"/>
      <c r="O101" s="360"/>
      <c r="P101" s="360"/>
      <c r="Q101" s="360"/>
      <c r="R101" s="360"/>
      <c r="S101" s="360"/>
      <c r="T101" s="360"/>
      <c r="U101" s="360"/>
      <c r="V101" s="360"/>
      <c r="W101" s="360"/>
      <c r="X101" s="360"/>
      <c r="Y101" s="360">
        <f t="shared" si="231"/>
        <v>0</v>
      </c>
      <c r="Z101" s="360">
        <f t="shared" si="225"/>
        <v>0</v>
      </c>
      <c r="AA101" s="360">
        <f t="shared" si="225"/>
        <v>0</v>
      </c>
      <c r="AB101" s="342">
        <f t="shared" si="198"/>
        <v>0</v>
      </c>
      <c r="AC101" s="304">
        <f t="shared" si="217"/>
        <v>0</v>
      </c>
      <c r="AD101" s="304">
        <f t="shared" si="218"/>
        <v>0</v>
      </c>
      <c r="AE101" s="304">
        <f t="shared" si="219"/>
        <v>0</v>
      </c>
      <c r="AF101" s="304">
        <f t="shared" si="220"/>
        <v>0</v>
      </c>
      <c r="AG101" s="304">
        <f t="shared" si="221"/>
        <v>0</v>
      </c>
      <c r="AH101" s="304">
        <f t="shared" si="196"/>
        <v>0</v>
      </c>
      <c r="AI101" s="304">
        <f t="shared" si="197"/>
        <v>0</v>
      </c>
      <c r="AJ101" s="304">
        <f>+AI101*100/AI104</f>
        <v>0</v>
      </c>
      <c r="AK101" s="304">
        <f>+AH97*AJ101/100</f>
        <v>0</v>
      </c>
      <c r="AL101" s="299"/>
      <c r="AM101" s="299"/>
      <c r="AN101" s="299"/>
      <c r="AO101" s="299"/>
      <c r="AP101" s="300"/>
      <c r="AQ101" s="299"/>
      <c r="AR101" s="304">
        <f t="shared" si="232"/>
        <v>0</v>
      </c>
      <c r="AS101" s="304">
        <f t="shared" si="233"/>
        <v>0</v>
      </c>
      <c r="AT101" s="304">
        <f t="shared" si="234"/>
        <v>0</v>
      </c>
      <c r="AU101" s="304">
        <f t="shared" si="235"/>
        <v>0</v>
      </c>
      <c r="AV101" s="347">
        <f t="shared" si="236"/>
        <v>0</v>
      </c>
      <c r="AW101" s="341">
        <f t="shared" si="239"/>
        <v>0</v>
      </c>
      <c r="AX101" s="304">
        <f t="shared" si="239"/>
        <v>0</v>
      </c>
      <c r="AY101" s="304">
        <v>0</v>
      </c>
      <c r="AZ101" s="304">
        <f t="shared" si="240"/>
        <v>0</v>
      </c>
      <c r="BA101" s="298">
        <f t="shared" si="227"/>
        <v>0</v>
      </c>
      <c r="BB101" s="304">
        <f t="shared" si="237"/>
        <v>0</v>
      </c>
      <c r="BC101" s="304">
        <f t="shared" si="228"/>
        <v>0</v>
      </c>
      <c r="BD101" s="304">
        <f t="shared" si="229"/>
        <v>0</v>
      </c>
      <c r="BE101" s="304">
        <f t="shared" si="238"/>
        <v>0</v>
      </c>
      <c r="BF101" s="304">
        <f t="shared" si="230"/>
        <v>0</v>
      </c>
    </row>
    <row r="102" spans="1:58" s="294" customFormat="1" ht="25.5" customHeight="1">
      <c r="A102" s="529"/>
      <c r="B102" s="299"/>
      <c r="C102" s="359" t="s">
        <v>453</v>
      </c>
      <c r="D102" s="360"/>
      <c r="E102" s="360"/>
      <c r="F102" s="360"/>
      <c r="G102" s="360"/>
      <c r="H102" s="360"/>
      <c r="I102" s="360"/>
      <c r="J102" s="360"/>
      <c r="K102" s="360"/>
      <c r="L102" s="360"/>
      <c r="M102" s="360"/>
      <c r="N102" s="360"/>
      <c r="O102" s="360"/>
      <c r="P102" s="360"/>
      <c r="Q102" s="360"/>
      <c r="R102" s="360"/>
      <c r="S102" s="360">
        <v>833200</v>
      </c>
      <c r="T102" s="360">
        <v>96000</v>
      </c>
      <c r="U102" s="360"/>
      <c r="V102" s="360"/>
      <c r="W102" s="360"/>
      <c r="X102" s="360"/>
      <c r="Y102" s="360">
        <f t="shared" si="231"/>
        <v>833200</v>
      </c>
      <c r="Z102" s="360">
        <f t="shared" si="225"/>
        <v>96000</v>
      </c>
      <c r="AA102" s="360">
        <f t="shared" si="225"/>
        <v>0</v>
      </c>
      <c r="AB102" s="342">
        <f t="shared" si="198"/>
        <v>929200</v>
      </c>
      <c r="AC102" s="304">
        <f t="shared" si="217"/>
        <v>833200</v>
      </c>
      <c r="AD102" s="304">
        <f t="shared" si="218"/>
        <v>96000</v>
      </c>
      <c r="AE102" s="304">
        <f t="shared" si="219"/>
        <v>0</v>
      </c>
      <c r="AF102" s="304">
        <f t="shared" si="220"/>
        <v>0</v>
      </c>
      <c r="AG102" s="304">
        <f t="shared" si="221"/>
        <v>929200</v>
      </c>
      <c r="AH102" s="304">
        <f t="shared" si="196"/>
        <v>0</v>
      </c>
      <c r="AI102" s="304">
        <f t="shared" si="197"/>
        <v>929200</v>
      </c>
      <c r="AJ102" s="304">
        <f>+AI102*100/AI104</f>
        <v>5.5802630262142099</v>
      </c>
      <c r="AK102" s="304">
        <f>+AH97*AJ102/100</f>
        <v>538760.2012239485</v>
      </c>
      <c r="AL102" s="299"/>
      <c r="AM102" s="299"/>
      <c r="AN102" s="299"/>
      <c r="AO102" s="299"/>
      <c r="AP102" s="300"/>
      <c r="AQ102" s="299"/>
      <c r="AR102" s="304">
        <f t="shared" si="232"/>
        <v>833200</v>
      </c>
      <c r="AS102" s="304">
        <f t="shared" si="233"/>
        <v>96000</v>
      </c>
      <c r="AT102" s="304">
        <f t="shared" si="234"/>
        <v>0</v>
      </c>
      <c r="AU102" s="304">
        <f t="shared" si="235"/>
        <v>538760.2012239485</v>
      </c>
      <c r="AV102" s="347">
        <f t="shared" si="236"/>
        <v>1467960.2012239485</v>
      </c>
      <c r="AW102" s="341">
        <f t="shared" si="239"/>
        <v>0</v>
      </c>
      <c r="AX102" s="304">
        <f t="shared" si="239"/>
        <v>0</v>
      </c>
      <c r="AY102" s="304">
        <v>0</v>
      </c>
      <c r="AZ102" s="304">
        <f t="shared" si="240"/>
        <v>0</v>
      </c>
      <c r="BA102" s="298">
        <f t="shared" si="227"/>
        <v>0</v>
      </c>
      <c r="BB102" s="304">
        <f t="shared" si="237"/>
        <v>833200</v>
      </c>
      <c r="BC102" s="304">
        <f t="shared" si="228"/>
        <v>96000</v>
      </c>
      <c r="BD102" s="304">
        <f t="shared" si="229"/>
        <v>0</v>
      </c>
      <c r="BE102" s="304">
        <f t="shared" si="238"/>
        <v>538760.2012239485</v>
      </c>
      <c r="BF102" s="304">
        <f t="shared" si="230"/>
        <v>1467960.2012239485</v>
      </c>
    </row>
    <row r="103" spans="1:58" s="294" customFormat="1" ht="25.5" customHeight="1">
      <c r="A103" s="529"/>
      <c r="B103" s="299"/>
      <c r="C103" s="359" t="s">
        <v>454</v>
      </c>
      <c r="D103" s="360"/>
      <c r="E103" s="360"/>
      <c r="F103" s="360"/>
      <c r="G103" s="360"/>
      <c r="H103" s="360"/>
      <c r="I103" s="360"/>
      <c r="J103" s="360"/>
      <c r="K103" s="360"/>
      <c r="L103" s="360"/>
      <c r="M103" s="360"/>
      <c r="N103" s="360"/>
      <c r="O103" s="360"/>
      <c r="P103" s="360"/>
      <c r="Q103" s="360"/>
      <c r="R103" s="360"/>
      <c r="S103" s="360">
        <v>782200</v>
      </c>
      <c r="T103" s="360"/>
      <c r="U103" s="360"/>
      <c r="V103" s="360"/>
      <c r="W103" s="360"/>
      <c r="X103" s="360"/>
      <c r="Y103" s="360">
        <f t="shared" si="231"/>
        <v>782200</v>
      </c>
      <c r="Z103" s="360">
        <f t="shared" si="225"/>
        <v>0</v>
      </c>
      <c r="AA103" s="360">
        <f t="shared" si="225"/>
        <v>0</v>
      </c>
      <c r="AB103" s="342">
        <f t="shared" si="198"/>
        <v>782200</v>
      </c>
      <c r="AC103" s="304">
        <f t="shared" si="217"/>
        <v>782200</v>
      </c>
      <c r="AD103" s="304">
        <f t="shared" si="218"/>
        <v>0</v>
      </c>
      <c r="AE103" s="304">
        <f t="shared" si="219"/>
        <v>0</v>
      </c>
      <c r="AF103" s="304">
        <f t="shared" si="220"/>
        <v>0</v>
      </c>
      <c r="AG103" s="304">
        <f t="shared" si="221"/>
        <v>782200</v>
      </c>
      <c r="AH103" s="304">
        <f t="shared" si="196"/>
        <v>0</v>
      </c>
      <c r="AI103" s="304">
        <f t="shared" si="197"/>
        <v>782200</v>
      </c>
      <c r="AJ103" s="304">
        <f>+AI103*100/AI104</f>
        <v>4.6974620524157933</v>
      </c>
      <c r="AK103" s="304">
        <f>+AH97*AJ103/100</f>
        <v>453528.01269626827</v>
      </c>
      <c r="AL103" s="299"/>
      <c r="AM103" s="299"/>
      <c r="AN103" s="299"/>
      <c r="AO103" s="299"/>
      <c r="AP103" s="300"/>
      <c r="AQ103" s="299"/>
      <c r="AR103" s="304">
        <f t="shared" si="232"/>
        <v>782200</v>
      </c>
      <c r="AS103" s="304">
        <f t="shared" si="233"/>
        <v>0</v>
      </c>
      <c r="AT103" s="304">
        <f t="shared" si="234"/>
        <v>0</v>
      </c>
      <c r="AU103" s="304">
        <f t="shared" si="235"/>
        <v>453528.01269626827</v>
      </c>
      <c r="AV103" s="347">
        <f t="shared" si="236"/>
        <v>1235728.0126962683</v>
      </c>
      <c r="AW103" s="341">
        <f>+AC281*AR103/AR194</f>
        <v>0</v>
      </c>
      <c r="AX103" s="304">
        <v>0</v>
      </c>
      <c r="AY103" s="304">
        <v>0</v>
      </c>
      <c r="AZ103" s="304">
        <f t="shared" si="240"/>
        <v>0</v>
      </c>
      <c r="BA103" s="298">
        <f t="shared" si="227"/>
        <v>0</v>
      </c>
      <c r="BB103" s="304">
        <f t="shared" si="237"/>
        <v>782200</v>
      </c>
      <c r="BC103" s="304">
        <f t="shared" si="228"/>
        <v>0</v>
      </c>
      <c r="BD103" s="304">
        <f t="shared" si="229"/>
        <v>0</v>
      </c>
      <c r="BE103" s="304">
        <f t="shared" si="238"/>
        <v>453528.01269626827</v>
      </c>
      <c r="BF103" s="304">
        <f t="shared" si="230"/>
        <v>1235728.0126962683</v>
      </c>
    </row>
    <row r="104" spans="1:58" s="294" customFormat="1" ht="25.5" customHeight="1">
      <c r="A104" s="529"/>
      <c r="B104" s="299"/>
      <c r="C104" s="338" t="s">
        <v>455</v>
      </c>
      <c r="D104" s="360">
        <f>SUM(D96:D103)</f>
        <v>8389564.7400000002</v>
      </c>
      <c r="E104" s="360">
        <f t="shared" ref="E104:AA104" si="241">SUM(E96:E103)</f>
        <v>506745.19</v>
      </c>
      <c r="F104" s="360">
        <f t="shared" si="241"/>
        <v>0</v>
      </c>
      <c r="G104" s="360">
        <f t="shared" si="241"/>
        <v>24600</v>
      </c>
      <c r="H104" s="360">
        <f t="shared" si="241"/>
        <v>108780</v>
      </c>
      <c r="I104" s="360">
        <f t="shared" si="241"/>
        <v>0</v>
      </c>
      <c r="J104" s="360">
        <f t="shared" si="241"/>
        <v>425271.28</v>
      </c>
      <c r="K104" s="360">
        <f t="shared" si="241"/>
        <v>32974</v>
      </c>
      <c r="L104" s="360">
        <f t="shared" si="241"/>
        <v>0</v>
      </c>
      <c r="M104" s="360">
        <f t="shared" si="241"/>
        <v>3613300.13</v>
      </c>
      <c r="N104" s="360">
        <f t="shared" si="241"/>
        <v>367504.96</v>
      </c>
      <c r="O104" s="360">
        <f t="shared" si="241"/>
        <v>0</v>
      </c>
      <c r="P104" s="360">
        <f t="shared" si="241"/>
        <v>8773958.6799999997</v>
      </c>
      <c r="Q104" s="360">
        <f t="shared" si="241"/>
        <v>880786.95999999985</v>
      </c>
      <c r="R104" s="360">
        <f t="shared" si="241"/>
        <v>0</v>
      </c>
      <c r="S104" s="360">
        <f t="shared" si="241"/>
        <v>1615400</v>
      </c>
      <c r="T104" s="360">
        <f t="shared" si="241"/>
        <v>137110</v>
      </c>
      <c r="U104" s="360">
        <f t="shared" si="241"/>
        <v>0</v>
      </c>
      <c r="V104" s="360">
        <f t="shared" si="241"/>
        <v>0</v>
      </c>
      <c r="W104" s="360">
        <f t="shared" si="241"/>
        <v>1430294.54</v>
      </c>
      <c r="X104" s="360">
        <f t="shared" si="241"/>
        <v>0</v>
      </c>
      <c r="Y104" s="360">
        <f t="shared" si="241"/>
        <v>22842094.829999998</v>
      </c>
      <c r="Z104" s="360">
        <f t="shared" si="241"/>
        <v>3464195.65</v>
      </c>
      <c r="AA104" s="360">
        <f t="shared" si="241"/>
        <v>0</v>
      </c>
      <c r="AB104" s="342">
        <f t="shared" si="198"/>
        <v>26306290.479999997</v>
      </c>
      <c r="AC104" s="304">
        <f t="shared" si="217"/>
        <v>14068136.149999999</v>
      </c>
      <c r="AD104" s="304">
        <f t="shared" si="218"/>
        <v>2583408.69</v>
      </c>
      <c r="AE104" s="304">
        <f t="shared" si="219"/>
        <v>0</v>
      </c>
      <c r="AF104" s="304">
        <f t="shared" si="220"/>
        <v>9654745.6399999987</v>
      </c>
      <c r="AG104" s="304">
        <f t="shared" si="221"/>
        <v>26306290.479999997</v>
      </c>
      <c r="AH104" s="304">
        <f t="shared" si="196"/>
        <v>9654745.6399999987</v>
      </c>
      <c r="AI104" s="304">
        <f t="shared" si="197"/>
        <v>16651544.839999998</v>
      </c>
      <c r="AJ104" s="304">
        <f>SUM(AJ96:AJ103)</f>
        <v>100</v>
      </c>
      <c r="AK104" s="304">
        <f>SUM(AK96:AK103)</f>
        <v>9654745.6400000006</v>
      </c>
      <c r="AL104" s="299"/>
      <c r="AM104" s="299"/>
      <c r="AN104" s="299"/>
      <c r="AO104" s="299"/>
      <c r="AP104" s="300"/>
      <c r="AQ104" s="299">
        <f>SUM(AQ96:AQ103)</f>
        <v>194997.57</v>
      </c>
      <c r="AR104" s="304">
        <f>SUM(AR96:AR103)</f>
        <v>14068136.15</v>
      </c>
      <c r="AS104" s="304">
        <f>SUM(AS96:AS103)</f>
        <v>2583408.69</v>
      </c>
      <c r="AT104" s="304">
        <f t="shared" ref="AT104" si="242">SUM(AT96:AT103)</f>
        <v>194997.57</v>
      </c>
      <c r="AU104" s="304">
        <f t="shared" ref="AU104" si="243">SUM(AU96:AU103)</f>
        <v>9654745.6400000006</v>
      </c>
      <c r="AV104" s="347">
        <f>SUM(AR104:AU104)</f>
        <v>26501288.050000001</v>
      </c>
      <c r="AW104" s="341">
        <f>SUM(AW96:AW103)</f>
        <v>35135385.79395099</v>
      </c>
      <c r="AX104" s="304">
        <f>SUM(AX96:AX103)</f>
        <v>1989452.7947701465</v>
      </c>
      <c r="AY104" s="304">
        <f>SUM(AY96:AY103)</f>
        <v>0</v>
      </c>
      <c r="AZ104" s="304">
        <f>SUM(AZ96:AZ103)</f>
        <v>4319373.1919527976</v>
      </c>
      <c r="BA104" s="298">
        <f t="shared" si="227"/>
        <v>41444211.780673929</v>
      </c>
      <c r="BB104" s="336">
        <f>SUM(BB96:BB103)</f>
        <v>49203521.943950988</v>
      </c>
      <c r="BC104" s="304">
        <f>SUM(BC96:BC103)</f>
        <v>4572861.4847701462</v>
      </c>
      <c r="BD104" s="304">
        <f>SUM(BD96:BD103)</f>
        <v>194997.57</v>
      </c>
      <c r="BE104" s="304">
        <f>SUM(BE96:BE103)</f>
        <v>13974118.831952797</v>
      </c>
      <c r="BF104" s="304">
        <f t="shared" si="230"/>
        <v>67945499.830673933</v>
      </c>
    </row>
    <row r="105" spans="1:58" ht="25.5" customHeight="1">
      <c r="A105" s="531">
        <v>8</v>
      </c>
      <c r="B105" s="303" t="s">
        <v>162</v>
      </c>
      <c r="C105" s="626" t="s">
        <v>459</v>
      </c>
      <c r="D105" s="626"/>
      <c r="E105" s="626"/>
      <c r="F105" s="626"/>
      <c r="G105" s="626"/>
      <c r="H105" s="626"/>
      <c r="I105" s="626"/>
      <c r="J105" s="626"/>
      <c r="K105" s="626"/>
      <c r="L105" s="626"/>
      <c r="M105" s="626"/>
      <c r="N105" s="626"/>
      <c r="O105" s="626"/>
      <c r="P105" s="626"/>
      <c r="Q105" s="626"/>
      <c r="R105" s="626"/>
      <c r="S105" s="626"/>
      <c r="T105" s="626"/>
      <c r="U105" s="626"/>
      <c r="V105" s="626"/>
      <c r="W105" s="626"/>
      <c r="X105" s="626"/>
      <c r="Y105" s="626"/>
      <c r="Z105" s="626"/>
      <c r="AA105" s="626"/>
      <c r="AB105" s="342">
        <f t="shared" si="198"/>
        <v>0</v>
      </c>
      <c r="AC105" s="304">
        <f t="shared" si="217"/>
        <v>0</v>
      </c>
      <c r="AD105" s="304">
        <f t="shared" si="218"/>
        <v>0</v>
      </c>
      <c r="AE105" s="304">
        <f t="shared" si="219"/>
        <v>0</v>
      </c>
      <c r="AF105" s="304">
        <f t="shared" si="220"/>
        <v>0</v>
      </c>
      <c r="AG105" s="304">
        <f t="shared" si="221"/>
        <v>0</v>
      </c>
      <c r="AH105" s="304">
        <f t="shared" si="196"/>
        <v>0</v>
      </c>
      <c r="AI105" s="304">
        <f t="shared" si="197"/>
        <v>0</v>
      </c>
      <c r="AJ105" s="303"/>
      <c r="AK105" s="303"/>
      <c r="AL105" s="303"/>
      <c r="AM105" s="303"/>
      <c r="AN105" s="303"/>
      <c r="AO105" s="303"/>
      <c r="AP105" s="308"/>
      <c r="AQ105" s="303"/>
      <c r="AR105" s="303"/>
      <c r="AS105" s="303"/>
      <c r="AT105" s="303"/>
      <c r="AU105" s="303"/>
      <c r="AV105" s="346"/>
      <c r="AW105" s="340"/>
      <c r="AX105" s="303"/>
      <c r="AY105" s="303"/>
      <c r="AZ105" s="303"/>
      <c r="BA105" s="308"/>
      <c r="BB105" s="321"/>
      <c r="BC105" s="303"/>
      <c r="BD105" s="303"/>
      <c r="BE105" s="303"/>
      <c r="BF105" s="303"/>
    </row>
    <row r="106" spans="1:58" ht="25.5" customHeight="1">
      <c r="A106" s="531"/>
      <c r="B106" s="303"/>
      <c r="C106" s="361" t="s">
        <v>447</v>
      </c>
      <c r="D106" s="360"/>
      <c r="E106" s="360"/>
      <c r="F106" s="360"/>
      <c r="G106" s="360"/>
      <c r="H106" s="360"/>
      <c r="I106" s="360"/>
      <c r="J106" s="360"/>
      <c r="K106" s="360"/>
      <c r="L106" s="360"/>
      <c r="M106" s="360"/>
      <c r="N106" s="360"/>
      <c r="O106" s="360"/>
      <c r="P106" s="360"/>
      <c r="Q106" s="360"/>
      <c r="R106" s="360"/>
      <c r="S106" s="360"/>
      <c r="T106" s="360"/>
      <c r="U106" s="360"/>
      <c r="V106" s="360"/>
      <c r="W106" s="360"/>
      <c r="X106" s="360"/>
      <c r="Y106" s="360">
        <f>+D106+G106+J106+M106+P106+S106+V106</f>
        <v>0</v>
      </c>
      <c r="Z106" s="360">
        <f>+E106+H106+K106+N106+Q106+T106+W106</f>
        <v>0</v>
      </c>
      <c r="AA106" s="360">
        <f>+F106+I106+L106+O106+R106+U106+X106</f>
        <v>0</v>
      </c>
      <c r="AB106" s="342">
        <f t="shared" si="198"/>
        <v>0</v>
      </c>
      <c r="AC106" s="304">
        <f t="shared" si="217"/>
        <v>0</v>
      </c>
      <c r="AD106" s="304">
        <f t="shared" si="218"/>
        <v>0</v>
      </c>
      <c r="AE106" s="304">
        <f t="shared" si="219"/>
        <v>0</v>
      </c>
      <c r="AF106" s="304">
        <f t="shared" si="220"/>
        <v>0</v>
      </c>
      <c r="AG106" s="304">
        <f t="shared" si="221"/>
        <v>0</v>
      </c>
      <c r="AH106" s="304">
        <f t="shared" si="196"/>
        <v>0</v>
      </c>
      <c r="AI106" s="304">
        <f t="shared" si="197"/>
        <v>0</v>
      </c>
      <c r="AJ106" s="304">
        <f>+AI106*100/AI114</f>
        <v>0</v>
      </c>
      <c r="AK106" s="304">
        <f>+AH107*AJ106/100</f>
        <v>0</v>
      </c>
      <c r="AL106" s="303"/>
      <c r="AM106" s="303"/>
      <c r="AN106" s="303"/>
      <c r="AO106" s="303"/>
      <c r="AP106" s="308"/>
      <c r="AQ106" s="299"/>
      <c r="AR106" s="304">
        <f>+AC106+AL106</f>
        <v>0</v>
      </c>
      <c r="AS106" s="304">
        <f>+AD106+AM106</f>
        <v>0</v>
      </c>
      <c r="AT106" s="304">
        <f>+AE106+AN106+AQ106</f>
        <v>0</v>
      </c>
      <c r="AU106" s="304">
        <f>+AK106+AO106</f>
        <v>0</v>
      </c>
      <c r="AV106" s="347">
        <f>SUM(AR106:AU106)</f>
        <v>0</v>
      </c>
      <c r="AW106" s="341">
        <f t="shared" ref="AW106:AZ107" si="244">+AC274*AR106/AR187</f>
        <v>0</v>
      </c>
      <c r="AX106" s="304">
        <f t="shared" si="244"/>
        <v>0</v>
      </c>
      <c r="AY106" s="304">
        <f t="shared" si="244"/>
        <v>0</v>
      </c>
      <c r="AZ106" s="304">
        <f t="shared" si="244"/>
        <v>0</v>
      </c>
      <c r="BA106" s="298">
        <f t="shared" ref="BA106:BA114" si="245">SUM(AW106:AZ106)</f>
        <v>0</v>
      </c>
      <c r="BB106" s="304">
        <f>+AR106+AW106</f>
        <v>0</v>
      </c>
      <c r="BC106" s="304">
        <f t="shared" ref="BC106:BC113" si="246">+AS106+AX106</f>
        <v>0</v>
      </c>
      <c r="BD106" s="304">
        <f t="shared" ref="BD106:BD113" si="247">+AT106+AY106</f>
        <v>0</v>
      </c>
      <c r="BE106" s="304">
        <f>+AU106+AZ106</f>
        <v>0</v>
      </c>
      <c r="BF106" s="304">
        <f t="shared" ref="BF106:BF114" si="248">SUM(BB106:BE106)</f>
        <v>0</v>
      </c>
    </row>
    <row r="107" spans="1:58" ht="25.5" customHeight="1">
      <c r="A107" s="531"/>
      <c r="B107" s="303"/>
      <c r="C107" s="361" t="s">
        <v>448</v>
      </c>
      <c r="D107" s="360"/>
      <c r="E107" s="360"/>
      <c r="F107" s="360"/>
      <c r="G107" s="360">
        <v>112560</v>
      </c>
      <c r="H107" s="360">
        <v>7514</v>
      </c>
      <c r="I107" s="360"/>
      <c r="J107" s="360">
        <v>452350</v>
      </c>
      <c r="K107" s="360">
        <v>816928.6</v>
      </c>
      <c r="L107" s="360"/>
      <c r="M107" s="360">
        <f>2339864.68-452350-112560</f>
        <v>1774954.6800000002</v>
      </c>
      <c r="N107" s="360">
        <f>376387.1+902209.95+38500+391.34+313647.5+1885548-7514-816928.6+21000+25600+71389</f>
        <v>2810230.2899999996</v>
      </c>
      <c r="O107" s="360"/>
      <c r="P107" s="360">
        <f>2213089.78+1085321.33</f>
        <v>3298411.11</v>
      </c>
      <c r="Q107" s="360">
        <v>1355642.81</v>
      </c>
      <c r="R107" s="360"/>
      <c r="S107" s="360"/>
      <c r="T107" s="360">
        <v>341240</v>
      </c>
      <c r="U107" s="360"/>
      <c r="V107" s="360">
        <v>789392</v>
      </c>
      <c r="W107" s="360">
        <v>471200</v>
      </c>
      <c r="X107" s="360"/>
      <c r="Y107" s="360">
        <f t="shared" ref="Y107:AA112" si="249">+D107+G107+J107+M107+P107+S107+V107</f>
        <v>6427667.79</v>
      </c>
      <c r="Z107" s="360">
        <f t="shared" si="249"/>
        <v>5802755.6999999993</v>
      </c>
      <c r="AA107" s="360">
        <f t="shared" si="249"/>
        <v>0</v>
      </c>
      <c r="AB107" s="342">
        <f t="shared" si="198"/>
        <v>12230423.489999998</v>
      </c>
      <c r="AC107" s="304">
        <f t="shared" si="217"/>
        <v>3129256.68</v>
      </c>
      <c r="AD107" s="304">
        <f t="shared" si="218"/>
        <v>4447112.8899999997</v>
      </c>
      <c r="AE107" s="304">
        <f t="shared" si="219"/>
        <v>0</v>
      </c>
      <c r="AF107" s="304">
        <f t="shared" si="220"/>
        <v>4654053.92</v>
      </c>
      <c r="AG107" s="304">
        <f t="shared" si="221"/>
        <v>12230423.49</v>
      </c>
      <c r="AH107" s="304">
        <f t="shared" si="196"/>
        <v>4654053.92</v>
      </c>
      <c r="AI107" s="304">
        <f t="shared" si="197"/>
        <v>7576369.5700000003</v>
      </c>
      <c r="AJ107" s="304">
        <f>+AI107*100/AI114</f>
        <v>33.023811602382047</v>
      </c>
      <c r="AK107" s="304">
        <f>+AH107*AJ107/100</f>
        <v>1536945.9984140766</v>
      </c>
      <c r="AL107" s="303"/>
      <c r="AM107" s="303"/>
      <c r="AN107" s="303"/>
      <c r="AO107" s="303"/>
      <c r="AP107" s="308"/>
      <c r="AQ107" s="299">
        <v>678880.79</v>
      </c>
      <c r="AR107" s="304">
        <f t="shared" ref="AR107:AR113" si="250">+AC107+AL107</f>
        <v>3129256.68</v>
      </c>
      <c r="AS107" s="304">
        <f t="shared" ref="AS107:AS113" si="251">+AD107+AM107</f>
        <v>4447112.8899999997</v>
      </c>
      <c r="AT107" s="304">
        <f t="shared" ref="AT107:AT113" si="252">+AE107+AN107+AQ107</f>
        <v>678880.79</v>
      </c>
      <c r="AU107" s="304">
        <f t="shared" ref="AU107:AU113" si="253">+AK107+AO107</f>
        <v>1536945.9984140766</v>
      </c>
      <c r="AV107" s="347">
        <f t="shared" ref="AV107:AV113" si="254">SUM(AR107:AU107)</f>
        <v>9792196.3584140763</v>
      </c>
      <c r="AW107" s="341">
        <f t="shared" si="244"/>
        <v>4005016.4727230221</v>
      </c>
      <c r="AX107" s="304">
        <f t="shared" si="244"/>
        <v>4143754.9099239097</v>
      </c>
      <c r="AY107" s="304">
        <f t="shared" si="244"/>
        <v>0</v>
      </c>
      <c r="AZ107" s="304">
        <f t="shared" si="244"/>
        <v>1896509.2142815308</v>
      </c>
      <c r="BA107" s="298">
        <f t="shared" si="245"/>
        <v>10045280.596928462</v>
      </c>
      <c r="BB107" s="304">
        <f t="shared" ref="BB107:BB113" si="255">+AR107+AW107</f>
        <v>7134273.1527230218</v>
      </c>
      <c r="BC107" s="304">
        <f t="shared" si="246"/>
        <v>8590867.7999239098</v>
      </c>
      <c r="BD107" s="304">
        <f t="shared" si="247"/>
        <v>678880.79</v>
      </c>
      <c r="BE107" s="304">
        <f t="shared" ref="BE107:BE113" si="256">+AU107+AZ107</f>
        <v>3433455.2126956074</v>
      </c>
      <c r="BF107" s="304">
        <f t="shared" si="248"/>
        <v>19837476.955342539</v>
      </c>
    </row>
    <row r="108" spans="1:58" ht="25.5" customHeight="1">
      <c r="A108" s="531"/>
      <c r="B108" s="303"/>
      <c r="C108" s="361" t="s">
        <v>449</v>
      </c>
      <c r="D108" s="360"/>
      <c r="E108" s="360"/>
      <c r="F108" s="360"/>
      <c r="G108" s="360"/>
      <c r="H108" s="360"/>
      <c r="I108" s="360"/>
      <c r="J108" s="360"/>
      <c r="K108" s="360"/>
      <c r="L108" s="360"/>
      <c r="M108" s="360"/>
      <c r="N108" s="360"/>
      <c r="O108" s="360"/>
      <c r="P108" s="360"/>
      <c r="Q108" s="360"/>
      <c r="R108" s="360"/>
      <c r="S108" s="360"/>
      <c r="T108" s="360"/>
      <c r="U108" s="360"/>
      <c r="V108" s="360">
        <v>288248</v>
      </c>
      <c r="W108" s="360"/>
      <c r="X108" s="360"/>
      <c r="Y108" s="360">
        <f t="shared" si="249"/>
        <v>288248</v>
      </c>
      <c r="Z108" s="360">
        <f t="shared" si="249"/>
        <v>0</v>
      </c>
      <c r="AA108" s="360">
        <f t="shared" si="249"/>
        <v>0</v>
      </c>
      <c r="AB108" s="342">
        <f t="shared" si="198"/>
        <v>288248</v>
      </c>
      <c r="AC108" s="304">
        <f t="shared" si="217"/>
        <v>288248</v>
      </c>
      <c r="AD108" s="304">
        <f t="shared" si="218"/>
        <v>0</v>
      </c>
      <c r="AE108" s="304">
        <f t="shared" si="219"/>
        <v>0</v>
      </c>
      <c r="AF108" s="304">
        <f t="shared" si="220"/>
        <v>0</v>
      </c>
      <c r="AG108" s="304">
        <f t="shared" si="221"/>
        <v>288248</v>
      </c>
      <c r="AH108" s="304">
        <f t="shared" si="196"/>
        <v>0</v>
      </c>
      <c r="AI108" s="304">
        <f t="shared" si="197"/>
        <v>288248</v>
      </c>
      <c r="AJ108" s="304">
        <f>+AI108*100/AI114</f>
        <v>1.2564127922766339</v>
      </c>
      <c r="AK108" s="304">
        <f>+AH107*AJ108/100</f>
        <v>58474.128810332135</v>
      </c>
      <c r="AL108" s="303"/>
      <c r="AM108" s="303"/>
      <c r="AN108" s="303"/>
      <c r="AO108" s="303"/>
      <c r="AP108" s="308"/>
      <c r="AQ108" s="299"/>
      <c r="AR108" s="304">
        <f t="shared" si="250"/>
        <v>288248</v>
      </c>
      <c r="AS108" s="304">
        <f t="shared" si="251"/>
        <v>0</v>
      </c>
      <c r="AT108" s="304">
        <f t="shared" si="252"/>
        <v>0</v>
      </c>
      <c r="AU108" s="304">
        <f t="shared" si="253"/>
        <v>58474.128810332135</v>
      </c>
      <c r="AV108" s="347">
        <f t="shared" si="254"/>
        <v>346722.12881033216</v>
      </c>
      <c r="AW108" s="341">
        <f t="shared" ref="AW108:AX112" si="257">+AC276*AR108/AR189</f>
        <v>317761.62037603697</v>
      </c>
      <c r="AX108" s="304">
        <f t="shared" si="257"/>
        <v>0</v>
      </c>
      <c r="AY108" s="304">
        <v>0</v>
      </c>
      <c r="AZ108" s="304">
        <f t="shared" ref="AZ108:AZ113" si="258">+AF276*AU108/AU189</f>
        <v>0</v>
      </c>
      <c r="BA108" s="298">
        <f t="shared" si="245"/>
        <v>317761.62037603697</v>
      </c>
      <c r="BB108" s="304">
        <f t="shared" si="255"/>
        <v>606009.62037603697</v>
      </c>
      <c r="BC108" s="304">
        <f t="shared" si="246"/>
        <v>0</v>
      </c>
      <c r="BD108" s="304">
        <f t="shared" si="247"/>
        <v>0</v>
      </c>
      <c r="BE108" s="304">
        <f t="shared" si="256"/>
        <v>58474.128810332135</v>
      </c>
      <c r="BF108" s="304">
        <f t="shared" si="248"/>
        <v>664483.74918636912</v>
      </c>
    </row>
    <row r="109" spans="1:58" ht="25.5" customHeight="1">
      <c r="A109" s="531"/>
      <c r="B109" s="303"/>
      <c r="C109" s="361" t="s">
        <v>450</v>
      </c>
      <c r="D109" s="360"/>
      <c r="E109" s="360"/>
      <c r="F109" s="360"/>
      <c r="G109" s="360"/>
      <c r="H109" s="360"/>
      <c r="I109" s="360"/>
      <c r="J109" s="360"/>
      <c r="K109" s="360"/>
      <c r="L109" s="360"/>
      <c r="M109" s="360"/>
      <c r="N109" s="360"/>
      <c r="O109" s="360"/>
      <c r="P109" s="360"/>
      <c r="Q109" s="360"/>
      <c r="R109" s="360"/>
      <c r="S109" s="360"/>
      <c r="T109" s="360"/>
      <c r="U109" s="360"/>
      <c r="V109" s="360">
        <v>29150</v>
      </c>
      <c r="W109" s="360">
        <v>130000</v>
      </c>
      <c r="X109" s="360"/>
      <c r="Y109" s="360">
        <f t="shared" si="249"/>
        <v>29150</v>
      </c>
      <c r="Z109" s="360">
        <f t="shared" si="249"/>
        <v>130000</v>
      </c>
      <c r="AA109" s="360">
        <f t="shared" si="249"/>
        <v>0</v>
      </c>
      <c r="AB109" s="342">
        <f t="shared" si="198"/>
        <v>159150</v>
      </c>
      <c r="AC109" s="304">
        <f t="shared" si="217"/>
        <v>29150</v>
      </c>
      <c r="AD109" s="304">
        <f t="shared" si="218"/>
        <v>130000</v>
      </c>
      <c r="AE109" s="304">
        <f t="shared" si="219"/>
        <v>0</v>
      </c>
      <c r="AF109" s="304">
        <f t="shared" si="220"/>
        <v>0</v>
      </c>
      <c r="AG109" s="304">
        <f t="shared" si="221"/>
        <v>159150</v>
      </c>
      <c r="AH109" s="304">
        <f t="shared" si="196"/>
        <v>0</v>
      </c>
      <c r="AI109" s="304">
        <f t="shared" si="197"/>
        <v>159150</v>
      </c>
      <c r="AJ109" s="304">
        <f>+AI109*100/AI114</f>
        <v>0.69370158991849473</v>
      </c>
      <c r="AK109" s="304">
        <f>+AH107*AJ109/100</f>
        <v>32285.24603870403</v>
      </c>
      <c r="AL109" s="303"/>
      <c r="AM109" s="303"/>
      <c r="AN109" s="303"/>
      <c r="AO109" s="303"/>
      <c r="AP109" s="308"/>
      <c r="AQ109" s="299"/>
      <c r="AR109" s="304">
        <f t="shared" si="250"/>
        <v>29150</v>
      </c>
      <c r="AS109" s="304">
        <f t="shared" si="251"/>
        <v>130000</v>
      </c>
      <c r="AT109" s="304">
        <f t="shared" si="252"/>
        <v>0</v>
      </c>
      <c r="AU109" s="304">
        <f t="shared" si="253"/>
        <v>32285.24603870403</v>
      </c>
      <c r="AV109" s="347">
        <f t="shared" si="254"/>
        <v>191435.24603870403</v>
      </c>
      <c r="AW109" s="341">
        <f t="shared" si="257"/>
        <v>51126.986543328239</v>
      </c>
      <c r="AX109" s="304">
        <f t="shared" si="257"/>
        <v>0</v>
      </c>
      <c r="AY109" s="304">
        <v>0</v>
      </c>
      <c r="AZ109" s="304">
        <f t="shared" si="258"/>
        <v>0</v>
      </c>
      <c r="BA109" s="298">
        <f t="shared" si="245"/>
        <v>51126.986543328239</v>
      </c>
      <c r="BB109" s="304">
        <f t="shared" si="255"/>
        <v>80276.986543328239</v>
      </c>
      <c r="BC109" s="304">
        <f t="shared" si="246"/>
        <v>130000</v>
      </c>
      <c r="BD109" s="304">
        <f t="shared" si="247"/>
        <v>0</v>
      </c>
      <c r="BE109" s="304">
        <f t="shared" si="256"/>
        <v>32285.24603870403</v>
      </c>
      <c r="BF109" s="304">
        <f t="shared" si="248"/>
        <v>242562.23258203227</v>
      </c>
    </row>
    <row r="110" spans="1:58" ht="25.5" customHeight="1">
      <c r="A110" s="531"/>
      <c r="B110" s="303"/>
      <c r="C110" s="361" t="s">
        <v>451</v>
      </c>
      <c r="D110" s="360"/>
      <c r="E110" s="360">
        <v>2247041.88</v>
      </c>
      <c r="F110" s="360"/>
      <c r="G110" s="360"/>
      <c r="H110" s="360"/>
      <c r="I110" s="360"/>
      <c r="J110" s="360"/>
      <c r="K110" s="360"/>
      <c r="L110" s="360"/>
      <c r="M110" s="360"/>
      <c r="N110" s="360">
        <f>177000+108912</f>
        <v>285912</v>
      </c>
      <c r="O110" s="360"/>
      <c r="P110" s="360"/>
      <c r="Q110" s="360"/>
      <c r="R110" s="360"/>
      <c r="S110" s="360"/>
      <c r="T110" s="360"/>
      <c r="U110" s="360"/>
      <c r="V110" s="360"/>
      <c r="W110" s="360"/>
      <c r="X110" s="360"/>
      <c r="Y110" s="360">
        <f t="shared" si="249"/>
        <v>0</v>
      </c>
      <c r="Z110" s="360">
        <f t="shared" si="249"/>
        <v>2532953.88</v>
      </c>
      <c r="AA110" s="360">
        <f t="shared" si="249"/>
        <v>0</v>
      </c>
      <c r="AB110" s="342">
        <f t="shared" si="198"/>
        <v>2532953.88</v>
      </c>
      <c r="AC110" s="304">
        <f t="shared" si="217"/>
        <v>0</v>
      </c>
      <c r="AD110" s="304">
        <f t="shared" si="218"/>
        <v>2532953.88</v>
      </c>
      <c r="AE110" s="304">
        <f t="shared" si="219"/>
        <v>0</v>
      </c>
      <c r="AF110" s="304">
        <f t="shared" si="220"/>
        <v>0</v>
      </c>
      <c r="AG110" s="304">
        <f t="shared" si="221"/>
        <v>2532953.88</v>
      </c>
      <c r="AH110" s="304">
        <f t="shared" si="196"/>
        <v>0</v>
      </c>
      <c r="AI110" s="304">
        <f t="shared" si="197"/>
        <v>2532953.88</v>
      </c>
      <c r="AJ110" s="304">
        <f>+AI110*100/AI114</f>
        <v>11.040616611663337</v>
      </c>
      <c r="AK110" s="304">
        <f>+AH107*AJ110/100</f>
        <v>513836.25020728871</v>
      </c>
      <c r="AL110" s="303"/>
      <c r="AM110" s="303"/>
      <c r="AN110" s="303"/>
      <c r="AO110" s="303"/>
      <c r="AP110" s="308"/>
      <c r="AQ110" s="299"/>
      <c r="AR110" s="304">
        <f t="shared" si="250"/>
        <v>0</v>
      </c>
      <c r="AS110" s="304">
        <f t="shared" si="251"/>
        <v>2532953.88</v>
      </c>
      <c r="AT110" s="304">
        <f t="shared" si="252"/>
        <v>0</v>
      </c>
      <c r="AU110" s="304">
        <f t="shared" si="253"/>
        <v>513836.25020728871</v>
      </c>
      <c r="AV110" s="347">
        <f t="shared" si="254"/>
        <v>3046790.1302072885</v>
      </c>
      <c r="AW110" s="341">
        <f t="shared" si="257"/>
        <v>0</v>
      </c>
      <c r="AX110" s="304">
        <f t="shared" si="257"/>
        <v>859003.1901181147</v>
      </c>
      <c r="AY110" s="304">
        <f>+AE278*AT110/AT191</f>
        <v>0</v>
      </c>
      <c r="AZ110" s="304">
        <f t="shared" si="258"/>
        <v>0</v>
      </c>
      <c r="BA110" s="298">
        <f t="shared" si="245"/>
        <v>859003.1901181147</v>
      </c>
      <c r="BB110" s="304">
        <f t="shared" si="255"/>
        <v>0</v>
      </c>
      <c r="BC110" s="304">
        <f t="shared" si="246"/>
        <v>3391957.0701181144</v>
      </c>
      <c r="BD110" s="304">
        <f t="shared" si="247"/>
        <v>0</v>
      </c>
      <c r="BE110" s="304">
        <f t="shared" si="256"/>
        <v>513836.25020728871</v>
      </c>
      <c r="BF110" s="304">
        <f t="shared" si="248"/>
        <v>3905793.320325403</v>
      </c>
    </row>
    <row r="111" spans="1:58" ht="25.5" customHeight="1">
      <c r="A111" s="531"/>
      <c r="B111" s="303"/>
      <c r="C111" s="361" t="s">
        <v>452</v>
      </c>
      <c r="D111" s="360"/>
      <c r="E111" s="360"/>
      <c r="F111" s="360"/>
      <c r="G111" s="360"/>
      <c r="H111" s="360"/>
      <c r="I111" s="360"/>
      <c r="J111" s="360"/>
      <c r="K111" s="360"/>
      <c r="L111" s="360"/>
      <c r="M111" s="360"/>
      <c r="N111" s="360"/>
      <c r="O111" s="360"/>
      <c r="P111" s="360"/>
      <c r="Q111" s="360"/>
      <c r="R111" s="360"/>
      <c r="S111" s="360">
        <v>626300</v>
      </c>
      <c r="T111" s="360">
        <v>321920</v>
      </c>
      <c r="U111" s="360"/>
      <c r="V111" s="360"/>
      <c r="W111" s="360"/>
      <c r="X111" s="360"/>
      <c r="Y111" s="360">
        <f t="shared" si="249"/>
        <v>626300</v>
      </c>
      <c r="Z111" s="360">
        <f t="shared" si="249"/>
        <v>321920</v>
      </c>
      <c r="AA111" s="360">
        <f t="shared" si="249"/>
        <v>0</v>
      </c>
      <c r="AB111" s="342">
        <f t="shared" si="198"/>
        <v>948220</v>
      </c>
      <c r="AC111" s="304">
        <f t="shared" si="217"/>
        <v>626300</v>
      </c>
      <c r="AD111" s="304">
        <f t="shared" si="218"/>
        <v>321920</v>
      </c>
      <c r="AE111" s="304">
        <f t="shared" si="219"/>
        <v>0</v>
      </c>
      <c r="AF111" s="304">
        <f t="shared" si="220"/>
        <v>0</v>
      </c>
      <c r="AG111" s="304">
        <f t="shared" si="221"/>
        <v>948220</v>
      </c>
      <c r="AH111" s="304">
        <f t="shared" si="196"/>
        <v>0</v>
      </c>
      <c r="AI111" s="304">
        <f t="shared" si="197"/>
        <v>948220</v>
      </c>
      <c r="AJ111" s="304">
        <f>+AI111*100/AI114</f>
        <v>4.1330928155357531</v>
      </c>
      <c r="AK111" s="304">
        <f>+AH107*AJ111/100</f>
        <v>192356.36819868011</v>
      </c>
      <c r="AL111" s="303"/>
      <c r="AM111" s="303"/>
      <c r="AN111" s="303"/>
      <c r="AO111" s="303"/>
      <c r="AP111" s="308"/>
      <c r="AQ111" s="299"/>
      <c r="AR111" s="304">
        <f t="shared" si="250"/>
        <v>626300</v>
      </c>
      <c r="AS111" s="304">
        <f t="shared" si="251"/>
        <v>321920</v>
      </c>
      <c r="AT111" s="304">
        <f t="shared" si="252"/>
        <v>0</v>
      </c>
      <c r="AU111" s="304">
        <f t="shared" si="253"/>
        <v>192356.36819868011</v>
      </c>
      <c r="AV111" s="347">
        <f t="shared" si="254"/>
        <v>1140576.3681986802</v>
      </c>
      <c r="AW111" s="341">
        <f t="shared" si="257"/>
        <v>0</v>
      </c>
      <c r="AX111" s="304">
        <f t="shared" si="257"/>
        <v>0</v>
      </c>
      <c r="AY111" s="304">
        <v>0</v>
      </c>
      <c r="AZ111" s="304">
        <f t="shared" si="258"/>
        <v>0</v>
      </c>
      <c r="BA111" s="298">
        <f t="shared" si="245"/>
        <v>0</v>
      </c>
      <c r="BB111" s="304">
        <f t="shared" si="255"/>
        <v>626300</v>
      </c>
      <c r="BC111" s="304">
        <f t="shared" si="246"/>
        <v>321920</v>
      </c>
      <c r="BD111" s="304">
        <f t="shared" si="247"/>
        <v>0</v>
      </c>
      <c r="BE111" s="304">
        <f t="shared" si="256"/>
        <v>192356.36819868011</v>
      </c>
      <c r="BF111" s="304">
        <f t="shared" si="248"/>
        <v>1140576.3681986802</v>
      </c>
    </row>
    <row r="112" spans="1:58" ht="25.5" customHeight="1">
      <c r="A112" s="531"/>
      <c r="B112" s="303"/>
      <c r="C112" s="361" t="s">
        <v>453</v>
      </c>
      <c r="D112" s="360"/>
      <c r="E112" s="360"/>
      <c r="F112" s="360"/>
      <c r="G112" s="360"/>
      <c r="H112" s="360"/>
      <c r="I112" s="360"/>
      <c r="J112" s="360"/>
      <c r="K112" s="360"/>
      <c r="L112" s="360"/>
      <c r="M112" s="360"/>
      <c r="N112" s="360"/>
      <c r="O112" s="360"/>
      <c r="P112" s="360"/>
      <c r="Q112" s="360"/>
      <c r="R112" s="360"/>
      <c r="S112" s="360">
        <v>1624100</v>
      </c>
      <c r="T112" s="360"/>
      <c r="U112" s="360"/>
      <c r="V112" s="360"/>
      <c r="W112" s="360"/>
      <c r="X112" s="360"/>
      <c r="Y112" s="360">
        <f t="shared" si="249"/>
        <v>1624100</v>
      </c>
      <c r="Z112" s="360">
        <f t="shared" si="249"/>
        <v>0</v>
      </c>
      <c r="AA112" s="360">
        <f t="shared" si="249"/>
        <v>0</v>
      </c>
      <c r="AB112" s="342">
        <f t="shared" si="198"/>
        <v>1624100</v>
      </c>
      <c r="AC112" s="304">
        <f t="shared" si="217"/>
        <v>1624100</v>
      </c>
      <c r="AD112" s="304">
        <f t="shared" si="218"/>
        <v>0</v>
      </c>
      <c r="AE112" s="304">
        <f t="shared" si="219"/>
        <v>0</v>
      </c>
      <c r="AF112" s="304">
        <f t="shared" si="220"/>
        <v>0</v>
      </c>
      <c r="AG112" s="304">
        <f t="shared" si="221"/>
        <v>1624100</v>
      </c>
      <c r="AH112" s="304">
        <f t="shared" si="196"/>
        <v>0</v>
      </c>
      <c r="AI112" s="304">
        <f t="shared" si="197"/>
        <v>1624100</v>
      </c>
      <c r="AJ112" s="304">
        <f>+AI112*100/AI114</f>
        <v>7.0791124862496222</v>
      </c>
      <c r="AK112" s="304">
        <f>+AH107*AJ112/100</f>
        <v>329465.71216751001</v>
      </c>
      <c r="AL112" s="303"/>
      <c r="AM112" s="303"/>
      <c r="AN112" s="303"/>
      <c r="AO112" s="303"/>
      <c r="AP112" s="308"/>
      <c r="AQ112" s="299"/>
      <c r="AR112" s="304">
        <f t="shared" si="250"/>
        <v>1624100</v>
      </c>
      <c r="AS112" s="304">
        <f t="shared" si="251"/>
        <v>0</v>
      </c>
      <c r="AT112" s="304">
        <f t="shared" si="252"/>
        <v>0</v>
      </c>
      <c r="AU112" s="304">
        <f t="shared" si="253"/>
        <v>329465.71216751001</v>
      </c>
      <c r="AV112" s="347">
        <f t="shared" si="254"/>
        <v>1953565.7121675101</v>
      </c>
      <c r="AW112" s="341">
        <f t="shared" si="257"/>
        <v>0</v>
      </c>
      <c r="AX112" s="304">
        <f t="shared" si="257"/>
        <v>0</v>
      </c>
      <c r="AY112" s="304">
        <v>0</v>
      </c>
      <c r="AZ112" s="304">
        <f t="shared" si="258"/>
        <v>0</v>
      </c>
      <c r="BA112" s="298">
        <f t="shared" si="245"/>
        <v>0</v>
      </c>
      <c r="BB112" s="304">
        <f t="shared" si="255"/>
        <v>1624100</v>
      </c>
      <c r="BC112" s="304">
        <f t="shared" si="246"/>
        <v>0</v>
      </c>
      <c r="BD112" s="304">
        <f t="shared" si="247"/>
        <v>0</v>
      </c>
      <c r="BE112" s="304">
        <f t="shared" si="256"/>
        <v>329465.71216751001</v>
      </c>
      <c r="BF112" s="304">
        <f t="shared" si="248"/>
        <v>1953565.7121675101</v>
      </c>
    </row>
    <row r="113" spans="1:58" ht="25.5" customHeight="1">
      <c r="A113" s="531"/>
      <c r="B113" s="303"/>
      <c r="C113" s="361" t="s">
        <v>454</v>
      </c>
      <c r="D113" s="360"/>
      <c r="E113" s="360"/>
      <c r="F113" s="360"/>
      <c r="G113" s="360"/>
      <c r="H113" s="360"/>
      <c r="I113" s="360"/>
      <c r="J113" s="360"/>
      <c r="K113" s="360"/>
      <c r="L113" s="360"/>
      <c r="M113" s="360"/>
      <c r="N113" s="360"/>
      <c r="O113" s="360"/>
      <c r="P113" s="360"/>
      <c r="Q113" s="360"/>
      <c r="R113" s="360"/>
      <c r="S113" s="360">
        <v>9813100</v>
      </c>
      <c r="T113" s="360"/>
      <c r="U113" s="360"/>
      <c r="V113" s="360"/>
      <c r="W113" s="360"/>
      <c r="X113" s="360"/>
      <c r="Y113" s="360">
        <f>+D113+G113+J113+M113+P113+S113+V113</f>
        <v>9813100</v>
      </c>
      <c r="Z113" s="360">
        <f>+E113+H113+K113+N113+Q113+T113+W113</f>
        <v>0</v>
      </c>
      <c r="AA113" s="360">
        <f>+F113+I113+L113+O113+R113+U113+X113</f>
        <v>0</v>
      </c>
      <c r="AB113" s="342">
        <f t="shared" si="198"/>
        <v>9813100</v>
      </c>
      <c r="AC113" s="304">
        <f t="shared" si="217"/>
        <v>9813100</v>
      </c>
      <c r="AD113" s="304">
        <f t="shared" si="218"/>
        <v>0</v>
      </c>
      <c r="AE113" s="304">
        <f t="shared" si="219"/>
        <v>0</v>
      </c>
      <c r="AF113" s="304">
        <f t="shared" si="220"/>
        <v>0</v>
      </c>
      <c r="AG113" s="304">
        <f t="shared" si="221"/>
        <v>9813100</v>
      </c>
      <c r="AH113" s="304">
        <f t="shared" si="196"/>
        <v>0</v>
      </c>
      <c r="AI113" s="304">
        <f t="shared" si="197"/>
        <v>9813100</v>
      </c>
      <c r="AJ113" s="304">
        <f>+AI113*100/AI114</f>
        <v>42.773252101974116</v>
      </c>
      <c r="AK113" s="304">
        <f>+AH107*AJ113/100</f>
        <v>1990690.2161634087</v>
      </c>
      <c r="AL113" s="303"/>
      <c r="AM113" s="303"/>
      <c r="AN113" s="303"/>
      <c r="AO113" s="303"/>
      <c r="AP113" s="308"/>
      <c r="AQ113" s="299"/>
      <c r="AR113" s="304">
        <f t="shared" si="250"/>
        <v>9813100</v>
      </c>
      <c r="AS113" s="304">
        <f t="shared" si="251"/>
        <v>0</v>
      </c>
      <c r="AT113" s="304">
        <f t="shared" si="252"/>
        <v>0</v>
      </c>
      <c r="AU113" s="304">
        <f t="shared" si="253"/>
        <v>1990690.2161634087</v>
      </c>
      <c r="AV113" s="347">
        <f t="shared" si="254"/>
        <v>11803790.216163408</v>
      </c>
      <c r="AW113" s="341">
        <f>+AC281*AR113/AR194</f>
        <v>0</v>
      </c>
      <c r="AX113" s="304">
        <v>0</v>
      </c>
      <c r="AY113" s="304">
        <v>0</v>
      </c>
      <c r="AZ113" s="304">
        <f t="shared" si="258"/>
        <v>0</v>
      </c>
      <c r="BA113" s="298">
        <f t="shared" si="245"/>
        <v>0</v>
      </c>
      <c r="BB113" s="304">
        <f t="shared" si="255"/>
        <v>9813100</v>
      </c>
      <c r="BC113" s="304">
        <f t="shared" si="246"/>
        <v>0</v>
      </c>
      <c r="BD113" s="304">
        <f t="shared" si="247"/>
        <v>0</v>
      </c>
      <c r="BE113" s="304">
        <f t="shared" si="256"/>
        <v>1990690.2161634087</v>
      </c>
      <c r="BF113" s="304">
        <f t="shared" si="248"/>
        <v>11803790.216163408</v>
      </c>
    </row>
    <row r="114" spans="1:58" ht="25.5" customHeight="1">
      <c r="A114" s="531"/>
      <c r="B114" s="303"/>
      <c r="C114" s="334" t="s">
        <v>455</v>
      </c>
      <c r="D114" s="360">
        <f>SUM(D106:D113)</f>
        <v>0</v>
      </c>
      <c r="E114" s="360">
        <f t="shared" ref="E114:AA114" si="259">SUM(E106:E113)</f>
        <v>2247041.88</v>
      </c>
      <c r="F114" s="360">
        <f t="shared" si="259"/>
        <v>0</v>
      </c>
      <c r="G114" s="360">
        <f t="shared" si="259"/>
        <v>112560</v>
      </c>
      <c r="H114" s="360">
        <f t="shared" si="259"/>
        <v>7514</v>
      </c>
      <c r="I114" s="360">
        <f t="shared" si="259"/>
        <v>0</v>
      </c>
      <c r="J114" s="360">
        <f t="shared" si="259"/>
        <v>452350</v>
      </c>
      <c r="K114" s="360">
        <f t="shared" si="259"/>
        <v>816928.6</v>
      </c>
      <c r="L114" s="360">
        <f t="shared" si="259"/>
        <v>0</v>
      </c>
      <c r="M114" s="360">
        <f t="shared" si="259"/>
        <v>1774954.6800000002</v>
      </c>
      <c r="N114" s="360">
        <f t="shared" si="259"/>
        <v>3096142.2899999996</v>
      </c>
      <c r="O114" s="360">
        <f t="shared" si="259"/>
        <v>0</v>
      </c>
      <c r="P114" s="360">
        <f t="shared" si="259"/>
        <v>3298411.11</v>
      </c>
      <c r="Q114" s="360">
        <f t="shared" si="259"/>
        <v>1355642.81</v>
      </c>
      <c r="R114" s="360">
        <f t="shared" si="259"/>
        <v>0</v>
      </c>
      <c r="S114" s="360">
        <f t="shared" si="259"/>
        <v>12063500</v>
      </c>
      <c r="T114" s="360">
        <f t="shared" si="259"/>
        <v>663160</v>
      </c>
      <c r="U114" s="360">
        <f t="shared" si="259"/>
        <v>0</v>
      </c>
      <c r="V114" s="360">
        <f t="shared" si="259"/>
        <v>1106790</v>
      </c>
      <c r="W114" s="360">
        <f t="shared" si="259"/>
        <v>601200</v>
      </c>
      <c r="X114" s="360">
        <f t="shared" si="259"/>
        <v>0</v>
      </c>
      <c r="Y114" s="360">
        <f t="shared" si="259"/>
        <v>18808565.789999999</v>
      </c>
      <c r="Z114" s="360">
        <f t="shared" si="259"/>
        <v>8787629.5799999982</v>
      </c>
      <c r="AA114" s="360">
        <f t="shared" si="259"/>
        <v>0</v>
      </c>
      <c r="AB114" s="342">
        <f t="shared" si="198"/>
        <v>27596195.369999997</v>
      </c>
      <c r="AC114" s="304">
        <f t="shared" si="217"/>
        <v>15510154.68</v>
      </c>
      <c r="AD114" s="304">
        <f t="shared" si="218"/>
        <v>7431986.7699999996</v>
      </c>
      <c r="AE114" s="304">
        <f t="shared" si="219"/>
        <v>0</v>
      </c>
      <c r="AF114" s="304">
        <f t="shared" si="220"/>
        <v>4654053.92</v>
      </c>
      <c r="AG114" s="304">
        <f t="shared" si="221"/>
        <v>27596195.369999997</v>
      </c>
      <c r="AH114" s="304">
        <f t="shared" si="196"/>
        <v>4654053.92</v>
      </c>
      <c r="AI114" s="304">
        <f t="shared" si="197"/>
        <v>22942141.449999999</v>
      </c>
      <c r="AJ114" s="304">
        <f>SUM(AJ106:AJ113)</f>
        <v>100</v>
      </c>
      <c r="AK114" s="304">
        <f>SUM(AK106:AK113)</f>
        <v>4654053.92</v>
      </c>
      <c r="AL114" s="303"/>
      <c r="AM114" s="303"/>
      <c r="AN114" s="303"/>
      <c r="AO114" s="303"/>
      <c r="AP114" s="308"/>
      <c r="AQ114" s="299">
        <f>SUM(AQ106:AQ113)</f>
        <v>678880.79</v>
      </c>
      <c r="AR114" s="304">
        <f>SUM(AR106:AR113)</f>
        <v>15510154.68</v>
      </c>
      <c r="AS114" s="304">
        <f>SUM(AS106:AS113)</f>
        <v>7431986.7699999996</v>
      </c>
      <c r="AT114" s="304">
        <f t="shared" ref="AT114" si="260">SUM(AT106:AT113)</f>
        <v>678880.79</v>
      </c>
      <c r="AU114" s="304">
        <f t="shared" ref="AU114" si="261">SUM(AU106:AU113)</f>
        <v>4654053.92</v>
      </c>
      <c r="AV114" s="347">
        <f>SUM(AR114:AU114)</f>
        <v>28275076.159999996</v>
      </c>
      <c r="AW114" s="341">
        <f>SUM(AW106:AW113)</f>
        <v>4373905.079642388</v>
      </c>
      <c r="AX114" s="304">
        <f>SUM(AX106:AX113)</f>
        <v>5002758.1000420246</v>
      </c>
      <c r="AY114" s="304">
        <f>SUM(AY106:AY113)</f>
        <v>0</v>
      </c>
      <c r="AZ114" s="304">
        <f>SUM(AZ106:AZ113)</f>
        <v>1896509.2142815308</v>
      </c>
      <c r="BA114" s="298">
        <f t="shared" si="245"/>
        <v>11273172.393965943</v>
      </c>
      <c r="BB114" s="336">
        <f>SUM(BB106:BB113)</f>
        <v>19884059.759642389</v>
      </c>
      <c r="BC114" s="304">
        <f>SUM(BC106:BC113)</f>
        <v>12434744.870042024</v>
      </c>
      <c r="BD114" s="304">
        <f>SUM(BD106:BD113)</f>
        <v>678880.79</v>
      </c>
      <c r="BE114" s="304">
        <f>SUM(BE106:BE113)</f>
        <v>6550563.134281531</v>
      </c>
      <c r="BF114" s="304">
        <f t="shared" si="248"/>
        <v>39548248.553965941</v>
      </c>
    </row>
    <row r="115" spans="1:58" s="294" customFormat="1" ht="25.5" customHeight="1">
      <c r="A115" s="529">
        <v>9</v>
      </c>
      <c r="B115" s="299" t="s">
        <v>162</v>
      </c>
      <c r="C115" s="627" t="s">
        <v>460</v>
      </c>
      <c r="D115" s="627"/>
      <c r="E115" s="627"/>
      <c r="F115" s="627"/>
      <c r="G115" s="627"/>
      <c r="H115" s="627"/>
      <c r="I115" s="627"/>
      <c r="J115" s="627"/>
      <c r="K115" s="627"/>
      <c r="L115" s="627"/>
      <c r="M115" s="627"/>
      <c r="N115" s="627"/>
      <c r="O115" s="627"/>
      <c r="P115" s="627"/>
      <c r="Q115" s="627"/>
      <c r="R115" s="627"/>
      <c r="S115" s="627"/>
      <c r="T115" s="627"/>
      <c r="U115" s="627"/>
      <c r="V115" s="627"/>
      <c r="W115" s="627"/>
      <c r="X115" s="627"/>
      <c r="Y115" s="627"/>
      <c r="Z115" s="627"/>
      <c r="AA115" s="627"/>
      <c r="AB115" s="342">
        <f t="shared" si="198"/>
        <v>0</v>
      </c>
      <c r="AC115" s="304">
        <f t="shared" si="217"/>
        <v>0</v>
      </c>
      <c r="AD115" s="304">
        <f t="shared" si="218"/>
        <v>0</v>
      </c>
      <c r="AE115" s="304">
        <f t="shared" si="219"/>
        <v>0</v>
      </c>
      <c r="AF115" s="304">
        <f t="shared" si="220"/>
        <v>0</v>
      </c>
      <c r="AG115" s="304">
        <f t="shared" si="221"/>
        <v>0</v>
      </c>
      <c r="AH115" s="304">
        <f t="shared" si="196"/>
        <v>0</v>
      </c>
      <c r="AI115" s="304">
        <f t="shared" si="197"/>
        <v>0</v>
      </c>
      <c r="AJ115" s="299"/>
      <c r="AK115" s="299"/>
      <c r="AL115" s="299"/>
      <c r="AM115" s="299"/>
      <c r="AN115" s="299"/>
      <c r="AO115" s="299"/>
      <c r="AP115" s="300"/>
      <c r="AQ115" s="299"/>
      <c r="AR115" s="299"/>
      <c r="AS115" s="299"/>
      <c r="AT115" s="299"/>
      <c r="AU115" s="299"/>
      <c r="AV115" s="348"/>
      <c r="AW115" s="343"/>
      <c r="AX115" s="299"/>
      <c r="AY115" s="299"/>
      <c r="AZ115" s="299"/>
      <c r="BA115" s="300"/>
      <c r="BB115" s="322"/>
      <c r="BC115" s="299"/>
      <c r="BD115" s="299"/>
      <c r="BE115" s="299"/>
      <c r="BF115" s="299"/>
    </row>
    <row r="116" spans="1:58" s="294" customFormat="1" ht="25.5" customHeight="1">
      <c r="A116" s="529"/>
      <c r="B116" s="299"/>
      <c r="C116" s="359" t="s">
        <v>447</v>
      </c>
      <c r="D116" s="360"/>
      <c r="E116" s="360"/>
      <c r="F116" s="360"/>
      <c r="G116" s="360"/>
      <c r="H116" s="360"/>
      <c r="I116" s="360"/>
      <c r="J116" s="360"/>
      <c r="K116" s="360"/>
      <c r="L116" s="360"/>
      <c r="M116" s="360"/>
      <c r="N116" s="360"/>
      <c r="O116" s="360"/>
      <c r="P116" s="360"/>
      <c r="Q116" s="360"/>
      <c r="R116" s="360"/>
      <c r="S116" s="360"/>
      <c r="T116" s="360"/>
      <c r="U116" s="360"/>
      <c r="V116" s="360"/>
      <c r="W116" s="360"/>
      <c r="X116" s="360"/>
      <c r="Y116" s="360">
        <f>D116+G116+J116+M116+P116+S116+V116</f>
        <v>0</v>
      </c>
      <c r="Z116" s="360">
        <f t="shared" ref="Z116:AA123" si="262">E116+H116+K116+N116+Q116+T116+W116</f>
        <v>0</v>
      </c>
      <c r="AA116" s="360">
        <f t="shared" si="262"/>
        <v>0</v>
      </c>
      <c r="AB116" s="342">
        <f t="shared" si="198"/>
        <v>0</v>
      </c>
      <c r="AC116" s="304">
        <f t="shared" si="217"/>
        <v>0</v>
      </c>
      <c r="AD116" s="304">
        <f t="shared" si="218"/>
        <v>0</v>
      </c>
      <c r="AE116" s="304">
        <f t="shared" si="219"/>
        <v>0</v>
      </c>
      <c r="AF116" s="304">
        <f t="shared" si="220"/>
        <v>0</v>
      </c>
      <c r="AG116" s="304">
        <f t="shared" si="221"/>
        <v>0</v>
      </c>
      <c r="AH116" s="304">
        <f t="shared" si="196"/>
        <v>0</v>
      </c>
      <c r="AI116" s="304">
        <f t="shared" si="197"/>
        <v>0</v>
      </c>
      <c r="AJ116" s="304">
        <f>+AI116*100/AI124</f>
        <v>0</v>
      </c>
      <c r="AK116" s="304">
        <f>+AH117*AJ116/100</f>
        <v>0</v>
      </c>
      <c r="AL116" s="299"/>
      <c r="AM116" s="299"/>
      <c r="AN116" s="299"/>
      <c r="AO116" s="299"/>
      <c r="AP116" s="300"/>
      <c r="AQ116" s="299"/>
      <c r="AR116" s="304">
        <f>+AC116+AL116</f>
        <v>0</v>
      </c>
      <c r="AS116" s="304">
        <f>+AD116+AM116</f>
        <v>0</v>
      </c>
      <c r="AT116" s="304">
        <f>+AE116+AN116+AQ116</f>
        <v>0</v>
      </c>
      <c r="AU116" s="304">
        <f>+AK116+AO116</f>
        <v>0</v>
      </c>
      <c r="AV116" s="347">
        <f>SUM(AR116:AU116)</f>
        <v>0</v>
      </c>
      <c r="AW116" s="341">
        <f t="shared" ref="AW116:AZ117" si="263">+AC274*AR116/AR187</f>
        <v>0</v>
      </c>
      <c r="AX116" s="304">
        <f t="shared" si="263"/>
        <v>0</v>
      </c>
      <c r="AY116" s="304">
        <f t="shared" si="263"/>
        <v>0</v>
      </c>
      <c r="AZ116" s="304">
        <f t="shared" si="263"/>
        <v>0</v>
      </c>
      <c r="BA116" s="298">
        <f t="shared" ref="BA116:BA124" si="264">SUM(AW116:AZ116)</f>
        <v>0</v>
      </c>
      <c r="BB116" s="304">
        <f>+AR116+AW116</f>
        <v>0</v>
      </c>
      <c r="BC116" s="304">
        <f t="shared" ref="BC116:BC123" si="265">+AS116+AX116</f>
        <v>0</v>
      </c>
      <c r="BD116" s="304">
        <f t="shared" ref="BD116:BD123" si="266">+AT116+AY116</f>
        <v>0</v>
      </c>
      <c r="BE116" s="304">
        <f>+AU116+AZ116</f>
        <v>0</v>
      </c>
      <c r="BF116" s="304">
        <f t="shared" ref="BF116:BF124" si="267">SUM(BB116:BE116)</f>
        <v>0</v>
      </c>
    </row>
    <row r="117" spans="1:58" s="294" customFormat="1" ht="25.5" customHeight="1">
      <c r="A117" s="529"/>
      <c r="B117" s="299"/>
      <c r="C117" s="359" t="s">
        <v>448</v>
      </c>
      <c r="D117" s="301"/>
      <c r="E117" s="301"/>
      <c r="F117" s="360"/>
      <c r="G117" s="301">
        <v>593535</v>
      </c>
      <c r="H117" s="301">
        <v>10800</v>
      </c>
      <c r="I117" s="360"/>
      <c r="J117" s="301">
        <v>340563.99</v>
      </c>
      <c r="K117" s="360"/>
      <c r="L117" s="360"/>
      <c r="M117" s="360">
        <v>2140085.29</v>
      </c>
      <c r="N117" s="360">
        <v>184025</v>
      </c>
      <c r="O117" s="360"/>
      <c r="P117" s="301">
        <v>3974412.0200000005</v>
      </c>
      <c r="Q117" s="301">
        <v>99047.84</v>
      </c>
      <c r="R117" s="360"/>
      <c r="S117" s="302"/>
      <c r="T117" s="302">
        <v>26350</v>
      </c>
      <c r="U117" s="360"/>
      <c r="V117" s="360"/>
      <c r="W117" s="360">
        <v>592003.96</v>
      </c>
      <c r="X117" s="360"/>
      <c r="Y117" s="360">
        <f t="shared" ref="Y117:Y123" si="268">D117+G117+J117+M117+P117+S117+V117</f>
        <v>7048596.3000000007</v>
      </c>
      <c r="Z117" s="360">
        <f t="shared" si="262"/>
        <v>912226.79999999993</v>
      </c>
      <c r="AA117" s="360">
        <f t="shared" si="262"/>
        <v>0</v>
      </c>
      <c r="AB117" s="342">
        <f t="shared" si="198"/>
        <v>7960823.1000000006</v>
      </c>
      <c r="AC117" s="304">
        <f t="shared" si="217"/>
        <v>3074184.2800000003</v>
      </c>
      <c r="AD117" s="304">
        <f t="shared" si="218"/>
        <v>813178.96</v>
      </c>
      <c r="AE117" s="304">
        <f t="shared" si="219"/>
        <v>0</v>
      </c>
      <c r="AF117" s="304">
        <f t="shared" si="220"/>
        <v>4073459.8600000003</v>
      </c>
      <c r="AG117" s="304">
        <f t="shared" si="221"/>
        <v>7960823.1000000006</v>
      </c>
      <c r="AH117" s="304">
        <f t="shared" si="196"/>
        <v>4073459.8600000003</v>
      </c>
      <c r="AI117" s="304">
        <f t="shared" si="197"/>
        <v>3887363.24</v>
      </c>
      <c r="AJ117" s="304">
        <f>+AI117*100/AI124</f>
        <v>45.190532142682564</v>
      </c>
      <c r="AK117" s="304">
        <f>+AH117*AJ117/100</f>
        <v>1840818.1873525723</v>
      </c>
      <c r="AL117" s="299"/>
      <c r="AM117" s="299"/>
      <c r="AN117" s="299"/>
      <c r="AO117" s="299"/>
      <c r="AP117" s="300"/>
      <c r="AQ117" s="299">
        <v>74675.16</v>
      </c>
      <c r="AR117" s="304">
        <f t="shared" ref="AR117:AR123" si="269">+AC117+AL117</f>
        <v>3074184.2800000003</v>
      </c>
      <c r="AS117" s="304">
        <f t="shared" ref="AS117:AS123" si="270">+AD117+AM117</f>
        <v>813178.96</v>
      </c>
      <c r="AT117" s="304">
        <f t="shared" ref="AT117:AT123" si="271">+AE117+AN117+AQ117</f>
        <v>74675.16</v>
      </c>
      <c r="AU117" s="304">
        <f t="shared" ref="AU117:AU123" si="272">+AK117+AO117</f>
        <v>1840818.1873525723</v>
      </c>
      <c r="AV117" s="347">
        <f t="shared" ref="AV117:AV123" si="273">SUM(AR117:AU117)</f>
        <v>5802856.5873525729</v>
      </c>
      <c r="AW117" s="341">
        <f t="shared" si="263"/>
        <v>3934531.40494252</v>
      </c>
      <c r="AX117" s="304">
        <f t="shared" si="263"/>
        <v>757708.29108563927</v>
      </c>
      <c r="AY117" s="304">
        <f t="shared" si="263"/>
        <v>0</v>
      </c>
      <c r="AZ117" s="304">
        <f t="shared" si="263"/>
        <v>2271471.2538589891</v>
      </c>
      <c r="BA117" s="298">
        <f t="shared" si="264"/>
        <v>6963710.9498871481</v>
      </c>
      <c r="BB117" s="304">
        <f t="shared" ref="BB117:BB123" si="274">+AR117+AW117</f>
        <v>7008715.6849425202</v>
      </c>
      <c r="BC117" s="304">
        <f t="shared" si="265"/>
        <v>1570887.2510856392</v>
      </c>
      <c r="BD117" s="304">
        <f t="shared" si="266"/>
        <v>74675.16</v>
      </c>
      <c r="BE117" s="304">
        <f t="shared" ref="BE117:BE123" si="275">+AU117+AZ117</f>
        <v>4112289.4412115617</v>
      </c>
      <c r="BF117" s="304">
        <f t="shared" si="267"/>
        <v>12766567.537239723</v>
      </c>
    </row>
    <row r="118" spans="1:58" s="294" customFormat="1" ht="25.5" customHeight="1">
      <c r="A118" s="529"/>
      <c r="B118" s="299"/>
      <c r="C118" s="359" t="s">
        <v>449</v>
      </c>
      <c r="D118" s="360"/>
      <c r="E118" s="360"/>
      <c r="F118" s="360"/>
      <c r="G118" s="360">
        <v>223963.74</v>
      </c>
      <c r="H118" s="360"/>
      <c r="I118" s="360"/>
      <c r="J118" s="360"/>
      <c r="K118" s="360"/>
      <c r="L118" s="360"/>
      <c r="M118" s="360"/>
      <c r="N118" s="360"/>
      <c r="O118" s="360"/>
      <c r="P118" s="301"/>
      <c r="Q118" s="301"/>
      <c r="R118" s="360"/>
      <c r="S118" s="360"/>
      <c r="T118" s="360"/>
      <c r="U118" s="360"/>
      <c r="V118" s="360"/>
      <c r="W118" s="360"/>
      <c r="X118" s="360"/>
      <c r="Y118" s="360">
        <f t="shared" si="268"/>
        <v>223963.74</v>
      </c>
      <c r="Z118" s="360">
        <f t="shared" si="262"/>
        <v>0</v>
      </c>
      <c r="AA118" s="360">
        <f t="shared" si="262"/>
        <v>0</v>
      </c>
      <c r="AB118" s="342">
        <f t="shared" si="198"/>
        <v>223963.74</v>
      </c>
      <c r="AC118" s="304">
        <f t="shared" si="217"/>
        <v>223963.74</v>
      </c>
      <c r="AD118" s="304">
        <f t="shared" si="218"/>
        <v>0</v>
      </c>
      <c r="AE118" s="304">
        <f t="shared" si="219"/>
        <v>0</v>
      </c>
      <c r="AF118" s="304">
        <f t="shared" si="220"/>
        <v>0</v>
      </c>
      <c r="AG118" s="304">
        <f t="shared" si="221"/>
        <v>223963.74</v>
      </c>
      <c r="AH118" s="304">
        <f t="shared" si="196"/>
        <v>0</v>
      </c>
      <c r="AI118" s="304">
        <f t="shared" si="197"/>
        <v>223963.74</v>
      </c>
      <c r="AJ118" s="304">
        <f>+AI118*100/AI124</f>
        <v>2.6035747025444942</v>
      </c>
      <c r="AK118" s="304">
        <f>+AH117*AJ118/100</f>
        <v>106055.57043326438</v>
      </c>
      <c r="AL118" s="299"/>
      <c r="AM118" s="299"/>
      <c r="AN118" s="299"/>
      <c r="AO118" s="299"/>
      <c r="AP118" s="300"/>
      <c r="AQ118" s="299"/>
      <c r="AR118" s="304">
        <f t="shared" si="269"/>
        <v>223963.74</v>
      </c>
      <c r="AS118" s="304">
        <f t="shared" si="270"/>
        <v>0</v>
      </c>
      <c r="AT118" s="304">
        <f t="shared" si="271"/>
        <v>0</v>
      </c>
      <c r="AU118" s="304">
        <f t="shared" si="272"/>
        <v>106055.57043326438</v>
      </c>
      <c r="AV118" s="347">
        <f t="shared" si="273"/>
        <v>330019.31043326436</v>
      </c>
      <c r="AW118" s="341">
        <f t="shared" ref="AW118:AX122" si="276">+AC276*AR118/AR189</f>
        <v>246895.31558892847</v>
      </c>
      <c r="AX118" s="304">
        <f t="shared" si="276"/>
        <v>0</v>
      </c>
      <c r="AY118" s="304">
        <v>0</v>
      </c>
      <c r="AZ118" s="304">
        <f t="shared" ref="AZ118:AZ123" si="277">+AF276*AU118/AU189</f>
        <v>0</v>
      </c>
      <c r="BA118" s="298">
        <f t="shared" si="264"/>
        <v>246895.31558892847</v>
      </c>
      <c r="BB118" s="304">
        <f t="shared" si="274"/>
        <v>470859.05558892846</v>
      </c>
      <c r="BC118" s="304">
        <f t="shared" si="265"/>
        <v>0</v>
      </c>
      <c r="BD118" s="304">
        <f t="shared" si="266"/>
        <v>0</v>
      </c>
      <c r="BE118" s="304">
        <f t="shared" si="275"/>
        <v>106055.57043326438</v>
      </c>
      <c r="BF118" s="304">
        <f t="shared" si="267"/>
        <v>576914.62602219288</v>
      </c>
    </row>
    <row r="119" spans="1:58" s="294" customFormat="1" ht="25.5" customHeight="1">
      <c r="A119" s="529"/>
      <c r="B119" s="299"/>
      <c r="C119" s="359" t="s">
        <v>450</v>
      </c>
      <c r="D119" s="360"/>
      <c r="E119" s="360"/>
      <c r="F119" s="360"/>
      <c r="G119" s="360">
        <v>129376</v>
      </c>
      <c r="H119" s="360">
        <v>12040</v>
      </c>
      <c r="I119" s="360"/>
      <c r="J119" s="360"/>
      <c r="K119" s="360"/>
      <c r="L119" s="360"/>
      <c r="M119" s="360"/>
      <c r="N119" s="360"/>
      <c r="O119" s="360"/>
      <c r="P119" s="360"/>
      <c r="Q119" s="360"/>
      <c r="R119" s="360"/>
      <c r="S119" s="360"/>
      <c r="T119" s="360"/>
      <c r="U119" s="360"/>
      <c r="V119" s="360"/>
      <c r="W119" s="360"/>
      <c r="X119" s="360"/>
      <c r="Y119" s="360">
        <f t="shared" si="268"/>
        <v>129376</v>
      </c>
      <c r="Z119" s="360">
        <f t="shared" si="262"/>
        <v>12040</v>
      </c>
      <c r="AA119" s="360">
        <f t="shared" si="262"/>
        <v>0</v>
      </c>
      <c r="AB119" s="342">
        <f t="shared" si="198"/>
        <v>141416</v>
      </c>
      <c r="AC119" s="304">
        <f t="shared" si="217"/>
        <v>129376</v>
      </c>
      <c r="AD119" s="304">
        <f t="shared" si="218"/>
        <v>12040</v>
      </c>
      <c r="AE119" s="304">
        <f t="shared" si="219"/>
        <v>0</v>
      </c>
      <c r="AF119" s="304">
        <f t="shared" si="220"/>
        <v>0</v>
      </c>
      <c r="AG119" s="304">
        <f t="shared" si="221"/>
        <v>141416</v>
      </c>
      <c r="AH119" s="304">
        <f t="shared" si="196"/>
        <v>0</v>
      </c>
      <c r="AI119" s="304">
        <f t="shared" si="197"/>
        <v>141416</v>
      </c>
      <c r="AJ119" s="304">
        <f>+AI119*100/AI124</f>
        <v>1.6439586164038527</v>
      </c>
      <c r="AK119" s="304">
        <f>+AH117*AJ119/100</f>
        <v>66965.994354222319</v>
      </c>
      <c r="AL119" s="299"/>
      <c r="AM119" s="299"/>
      <c r="AN119" s="299"/>
      <c r="AO119" s="299"/>
      <c r="AP119" s="300"/>
      <c r="AQ119" s="299"/>
      <c r="AR119" s="304">
        <f t="shared" si="269"/>
        <v>129376</v>
      </c>
      <c r="AS119" s="304">
        <f t="shared" si="270"/>
        <v>12040</v>
      </c>
      <c r="AT119" s="304">
        <f t="shared" si="271"/>
        <v>0</v>
      </c>
      <c r="AU119" s="304">
        <f t="shared" si="272"/>
        <v>66965.994354222319</v>
      </c>
      <c r="AV119" s="347">
        <f t="shared" si="273"/>
        <v>208381.99435422232</v>
      </c>
      <c r="AW119" s="341">
        <f t="shared" si="276"/>
        <v>226916.12387751747</v>
      </c>
      <c r="AX119" s="304">
        <f t="shared" si="276"/>
        <v>0</v>
      </c>
      <c r="AY119" s="304">
        <v>0</v>
      </c>
      <c r="AZ119" s="304">
        <f t="shared" si="277"/>
        <v>0</v>
      </c>
      <c r="BA119" s="298">
        <f t="shared" si="264"/>
        <v>226916.12387751747</v>
      </c>
      <c r="BB119" s="304">
        <f t="shared" si="274"/>
        <v>356292.12387751747</v>
      </c>
      <c r="BC119" s="304">
        <f t="shared" si="265"/>
        <v>12040</v>
      </c>
      <c r="BD119" s="304">
        <f t="shared" si="266"/>
        <v>0</v>
      </c>
      <c r="BE119" s="304">
        <f t="shared" si="275"/>
        <v>66965.994354222319</v>
      </c>
      <c r="BF119" s="304">
        <f t="shared" si="267"/>
        <v>435298.11823173979</v>
      </c>
    </row>
    <row r="120" spans="1:58" s="294" customFormat="1" ht="25.5" customHeight="1">
      <c r="A120" s="529"/>
      <c r="B120" s="299"/>
      <c r="C120" s="359" t="s">
        <v>451</v>
      </c>
      <c r="D120" s="301">
        <v>2490398.87</v>
      </c>
      <c r="E120" s="301">
        <v>432721.16</v>
      </c>
      <c r="F120" s="360"/>
      <c r="G120" s="360"/>
      <c r="H120" s="360"/>
      <c r="I120" s="360"/>
      <c r="J120" s="360"/>
      <c r="K120" s="360"/>
      <c r="L120" s="360"/>
      <c r="M120" s="360"/>
      <c r="N120" s="360"/>
      <c r="O120" s="360"/>
      <c r="P120" s="360"/>
      <c r="Q120" s="360"/>
      <c r="R120" s="360"/>
      <c r="S120" s="360"/>
      <c r="T120" s="360"/>
      <c r="U120" s="360"/>
      <c r="V120" s="360"/>
      <c r="W120" s="360"/>
      <c r="X120" s="360"/>
      <c r="Y120" s="360">
        <f t="shared" si="268"/>
        <v>2490398.87</v>
      </c>
      <c r="Z120" s="360">
        <f t="shared" si="262"/>
        <v>432721.16</v>
      </c>
      <c r="AA120" s="360">
        <f t="shared" si="262"/>
        <v>0</v>
      </c>
      <c r="AB120" s="342">
        <f t="shared" si="198"/>
        <v>2923120.0300000003</v>
      </c>
      <c r="AC120" s="304">
        <f t="shared" si="217"/>
        <v>2490398.87</v>
      </c>
      <c r="AD120" s="304">
        <f t="shared" si="218"/>
        <v>432721.16</v>
      </c>
      <c r="AE120" s="304">
        <f t="shared" si="219"/>
        <v>0</v>
      </c>
      <c r="AF120" s="304">
        <f t="shared" si="220"/>
        <v>0</v>
      </c>
      <c r="AG120" s="304">
        <f t="shared" si="221"/>
        <v>2923120.0300000003</v>
      </c>
      <c r="AH120" s="304">
        <f t="shared" si="196"/>
        <v>0</v>
      </c>
      <c r="AI120" s="304">
        <f t="shared" si="197"/>
        <v>2923120.0300000003</v>
      </c>
      <c r="AJ120" s="304">
        <f>+AI120*100/AI124</f>
        <v>33.981221078952792</v>
      </c>
      <c r="AK120" s="304">
        <f>+AH117*AJ120/100</f>
        <v>1384211.4005890009</v>
      </c>
      <c r="AL120" s="299"/>
      <c r="AM120" s="299"/>
      <c r="AN120" s="299"/>
      <c r="AO120" s="299"/>
      <c r="AP120" s="300"/>
      <c r="AQ120" s="299"/>
      <c r="AR120" s="304">
        <f t="shared" si="269"/>
        <v>2490398.87</v>
      </c>
      <c r="AS120" s="304">
        <f t="shared" si="270"/>
        <v>432721.16</v>
      </c>
      <c r="AT120" s="304">
        <f t="shared" si="271"/>
        <v>0</v>
      </c>
      <c r="AU120" s="304">
        <f t="shared" si="272"/>
        <v>1384211.4005890009</v>
      </c>
      <c r="AV120" s="347">
        <f t="shared" si="273"/>
        <v>4307331.4305890016</v>
      </c>
      <c r="AW120" s="341">
        <f t="shared" si="276"/>
        <v>8912187.0794144552</v>
      </c>
      <c r="AX120" s="304">
        <f t="shared" si="276"/>
        <v>146749.16105129052</v>
      </c>
      <c r="AY120" s="304">
        <f>+AE278*AT120/AT191</f>
        <v>0</v>
      </c>
      <c r="AZ120" s="304">
        <f t="shared" si="277"/>
        <v>0</v>
      </c>
      <c r="BA120" s="298">
        <f t="shared" si="264"/>
        <v>9058936.2404657453</v>
      </c>
      <c r="BB120" s="304">
        <f t="shared" si="274"/>
        <v>11402585.949414454</v>
      </c>
      <c r="BC120" s="304">
        <f t="shared" si="265"/>
        <v>579470.32105129049</v>
      </c>
      <c r="BD120" s="304">
        <f t="shared" si="266"/>
        <v>0</v>
      </c>
      <c r="BE120" s="304">
        <f t="shared" si="275"/>
        <v>1384211.4005890009</v>
      </c>
      <c r="BF120" s="304">
        <f t="shared" si="267"/>
        <v>13366267.671054745</v>
      </c>
    </row>
    <row r="121" spans="1:58" s="294" customFormat="1" ht="25.5" customHeight="1">
      <c r="A121" s="529"/>
      <c r="B121" s="299"/>
      <c r="C121" s="359" t="s">
        <v>452</v>
      </c>
      <c r="D121" s="360"/>
      <c r="E121" s="360"/>
      <c r="F121" s="360"/>
      <c r="G121" s="360"/>
      <c r="H121" s="360"/>
      <c r="I121" s="360"/>
      <c r="J121" s="360"/>
      <c r="K121" s="360"/>
      <c r="L121" s="360"/>
      <c r="M121" s="360"/>
      <c r="N121" s="360"/>
      <c r="O121" s="360"/>
      <c r="P121" s="360"/>
      <c r="Q121" s="360"/>
      <c r="R121" s="360"/>
      <c r="S121" s="360"/>
      <c r="T121" s="360"/>
      <c r="U121" s="360"/>
      <c r="V121" s="360"/>
      <c r="W121" s="360"/>
      <c r="X121" s="360"/>
      <c r="Y121" s="360">
        <f t="shared" si="268"/>
        <v>0</v>
      </c>
      <c r="Z121" s="360">
        <f t="shared" si="262"/>
        <v>0</v>
      </c>
      <c r="AA121" s="360">
        <f t="shared" si="262"/>
        <v>0</v>
      </c>
      <c r="AB121" s="342">
        <f t="shared" si="198"/>
        <v>0</v>
      </c>
      <c r="AC121" s="304">
        <f t="shared" si="217"/>
        <v>0</v>
      </c>
      <c r="AD121" s="304">
        <f t="shared" si="218"/>
        <v>0</v>
      </c>
      <c r="AE121" s="304">
        <f t="shared" si="219"/>
        <v>0</v>
      </c>
      <c r="AF121" s="304">
        <f t="shared" si="220"/>
        <v>0</v>
      </c>
      <c r="AG121" s="304">
        <f t="shared" si="221"/>
        <v>0</v>
      </c>
      <c r="AH121" s="304">
        <f t="shared" si="196"/>
        <v>0</v>
      </c>
      <c r="AI121" s="304">
        <f t="shared" si="197"/>
        <v>0</v>
      </c>
      <c r="AJ121" s="304">
        <f>+AI121*100/AI124</f>
        <v>0</v>
      </c>
      <c r="AK121" s="304">
        <f>+AH117*AJ121/100</f>
        <v>0</v>
      </c>
      <c r="AL121" s="299"/>
      <c r="AM121" s="299"/>
      <c r="AN121" s="299"/>
      <c r="AO121" s="299"/>
      <c r="AP121" s="300"/>
      <c r="AQ121" s="299"/>
      <c r="AR121" s="304">
        <f t="shared" si="269"/>
        <v>0</v>
      </c>
      <c r="AS121" s="304">
        <f t="shared" si="270"/>
        <v>0</v>
      </c>
      <c r="AT121" s="304">
        <f t="shared" si="271"/>
        <v>0</v>
      </c>
      <c r="AU121" s="304">
        <f t="shared" si="272"/>
        <v>0</v>
      </c>
      <c r="AV121" s="347">
        <f t="shared" si="273"/>
        <v>0</v>
      </c>
      <c r="AW121" s="341">
        <f t="shared" si="276"/>
        <v>0</v>
      </c>
      <c r="AX121" s="304">
        <f t="shared" si="276"/>
        <v>0</v>
      </c>
      <c r="AY121" s="304">
        <v>0</v>
      </c>
      <c r="AZ121" s="304">
        <f t="shared" si="277"/>
        <v>0</v>
      </c>
      <c r="BA121" s="298">
        <f t="shared" si="264"/>
        <v>0</v>
      </c>
      <c r="BB121" s="304">
        <f t="shared" si="274"/>
        <v>0</v>
      </c>
      <c r="BC121" s="304">
        <f t="shared" si="265"/>
        <v>0</v>
      </c>
      <c r="BD121" s="304">
        <f t="shared" si="266"/>
        <v>0</v>
      </c>
      <c r="BE121" s="304">
        <f t="shared" si="275"/>
        <v>0</v>
      </c>
      <c r="BF121" s="304">
        <f t="shared" si="267"/>
        <v>0</v>
      </c>
    </row>
    <row r="122" spans="1:58" s="294" customFormat="1" ht="25.5" customHeight="1">
      <c r="A122" s="529"/>
      <c r="B122" s="299"/>
      <c r="C122" s="359" t="s">
        <v>453</v>
      </c>
      <c r="D122" s="360"/>
      <c r="E122" s="360"/>
      <c r="F122" s="360"/>
      <c r="G122" s="360"/>
      <c r="H122" s="360"/>
      <c r="I122" s="360"/>
      <c r="J122" s="360"/>
      <c r="K122" s="360"/>
      <c r="L122" s="360"/>
      <c r="M122" s="360"/>
      <c r="N122" s="360"/>
      <c r="O122" s="360"/>
      <c r="P122" s="360"/>
      <c r="Q122" s="360"/>
      <c r="R122" s="360"/>
      <c r="S122" s="360">
        <v>735600</v>
      </c>
      <c r="T122" s="360">
        <v>135000</v>
      </c>
      <c r="U122" s="360"/>
      <c r="V122" s="360"/>
      <c r="W122" s="360"/>
      <c r="X122" s="360"/>
      <c r="Y122" s="360">
        <f t="shared" si="268"/>
        <v>735600</v>
      </c>
      <c r="Z122" s="360">
        <f t="shared" si="262"/>
        <v>135000</v>
      </c>
      <c r="AA122" s="360">
        <f t="shared" si="262"/>
        <v>0</v>
      </c>
      <c r="AB122" s="342">
        <f t="shared" si="198"/>
        <v>870600</v>
      </c>
      <c r="AC122" s="304">
        <f t="shared" si="217"/>
        <v>735600</v>
      </c>
      <c r="AD122" s="304">
        <f t="shared" si="218"/>
        <v>135000</v>
      </c>
      <c r="AE122" s="304">
        <f t="shared" si="219"/>
        <v>0</v>
      </c>
      <c r="AF122" s="304">
        <f t="shared" si="220"/>
        <v>0</v>
      </c>
      <c r="AG122" s="304">
        <f t="shared" si="221"/>
        <v>870600</v>
      </c>
      <c r="AH122" s="304">
        <f t="shared" si="196"/>
        <v>0</v>
      </c>
      <c r="AI122" s="304">
        <f t="shared" si="197"/>
        <v>870600</v>
      </c>
      <c r="AJ122" s="304">
        <f>+AI122*100/AI124</f>
        <v>10.12071032585559</v>
      </c>
      <c r="AK122" s="304">
        <f>+AH117*AJ122/100</f>
        <v>412263.07267060271</v>
      </c>
      <c r="AL122" s="299"/>
      <c r="AM122" s="299"/>
      <c r="AN122" s="299"/>
      <c r="AO122" s="299"/>
      <c r="AP122" s="300"/>
      <c r="AQ122" s="299"/>
      <c r="AR122" s="304">
        <f t="shared" si="269"/>
        <v>735600</v>
      </c>
      <c r="AS122" s="304">
        <f t="shared" si="270"/>
        <v>135000</v>
      </c>
      <c r="AT122" s="304">
        <f t="shared" si="271"/>
        <v>0</v>
      </c>
      <c r="AU122" s="304">
        <f t="shared" si="272"/>
        <v>412263.07267060271</v>
      </c>
      <c r="AV122" s="347">
        <f t="shared" si="273"/>
        <v>1282863.0726706027</v>
      </c>
      <c r="AW122" s="341">
        <f t="shared" si="276"/>
        <v>0</v>
      </c>
      <c r="AX122" s="304">
        <f t="shared" si="276"/>
        <v>0</v>
      </c>
      <c r="AY122" s="304">
        <v>0</v>
      </c>
      <c r="AZ122" s="304">
        <f t="shared" si="277"/>
        <v>0</v>
      </c>
      <c r="BA122" s="298">
        <f t="shared" si="264"/>
        <v>0</v>
      </c>
      <c r="BB122" s="304">
        <f t="shared" si="274"/>
        <v>735600</v>
      </c>
      <c r="BC122" s="304">
        <f t="shared" si="265"/>
        <v>135000</v>
      </c>
      <c r="BD122" s="304">
        <f t="shared" si="266"/>
        <v>0</v>
      </c>
      <c r="BE122" s="304">
        <f t="shared" si="275"/>
        <v>412263.07267060271</v>
      </c>
      <c r="BF122" s="304">
        <f t="shared" si="267"/>
        <v>1282863.0726706027</v>
      </c>
    </row>
    <row r="123" spans="1:58" s="294" customFormat="1" ht="25.5" customHeight="1">
      <c r="A123" s="529"/>
      <c r="B123" s="299"/>
      <c r="C123" s="359" t="s">
        <v>454</v>
      </c>
      <c r="D123" s="360"/>
      <c r="E123" s="360"/>
      <c r="F123" s="360"/>
      <c r="G123" s="360"/>
      <c r="H123" s="360"/>
      <c r="I123" s="360"/>
      <c r="J123" s="360"/>
      <c r="K123" s="360"/>
      <c r="L123" s="360"/>
      <c r="M123" s="360"/>
      <c r="N123" s="360"/>
      <c r="O123" s="360"/>
      <c r="P123" s="360"/>
      <c r="Q123" s="360"/>
      <c r="R123" s="360"/>
      <c r="S123" s="360">
        <v>555700</v>
      </c>
      <c r="T123" s="360"/>
      <c r="U123" s="360"/>
      <c r="V123" s="360"/>
      <c r="W123" s="360"/>
      <c r="X123" s="360"/>
      <c r="Y123" s="360">
        <f t="shared" si="268"/>
        <v>555700</v>
      </c>
      <c r="Z123" s="360">
        <f t="shared" si="262"/>
        <v>0</v>
      </c>
      <c r="AA123" s="360">
        <f t="shared" si="262"/>
        <v>0</v>
      </c>
      <c r="AB123" s="342">
        <f t="shared" si="198"/>
        <v>555700</v>
      </c>
      <c r="AC123" s="304">
        <f t="shared" si="217"/>
        <v>555700</v>
      </c>
      <c r="AD123" s="304">
        <f t="shared" si="218"/>
        <v>0</v>
      </c>
      <c r="AE123" s="304">
        <f t="shared" si="219"/>
        <v>0</v>
      </c>
      <c r="AF123" s="304">
        <f t="shared" si="220"/>
        <v>0</v>
      </c>
      <c r="AG123" s="304">
        <f t="shared" si="221"/>
        <v>555700</v>
      </c>
      <c r="AH123" s="304">
        <f t="shared" si="196"/>
        <v>0</v>
      </c>
      <c r="AI123" s="304">
        <f t="shared" si="197"/>
        <v>555700</v>
      </c>
      <c r="AJ123" s="304">
        <f>+AI123*100/AI124</f>
        <v>6.4600031335607069</v>
      </c>
      <c r="AK123" s="304">
        <f>+AH117*AJ123/100</f>
        <v>263145.63460033759</v>
      </c>
      <c r="AL123" s="299"/>
      <c r="AM123" s="299"/>
      <c r="AN123" s="299"/>
      <c r="AO123" s="299"/>
      <c r="AP123" s="300"/>
      <c r="AQ123" s="299"/>
      <c r="AR123" s="304">
        <f t="shared" si="269"/>
        <v>555700</v>
      </c>
      <c r="AS123" s="304">
        <f t="shared" si="270"/>
        <v>0</v>
      </c>
      <c r="AT123" s="304">
        <f t="shared" si="271"/>
        <v>0</v>
      </c>
      <c r="AU123" s="304">
        <f t="shared" si="272"/>
        <v>263145.63460033759</v>
      </c>
      <c r="AV123" s="347">
        <f t="shared" si="273"/>
        <v>818845.63460033759</v>
      </c>
      <c r="AW123" s="341">
        <f>+AC281*AR123/AR194</f>
        <v>0</v>
      </c>
      <c r="AX123" s="304">
        <v>0</v>
      </c>
      <c r="AY123" s="304">
        <v>0</v>
      </c>
      <c r="AZ123" s="304">
        <f t="shared" si="277"/>
        <v>0</v>
      </c>
      <c r="BA123" s="298">
        <f t="shared" si="264"/>
        <v>0</v>
      </c>
      <c r="BB123" s="304">
        <f t="shared" si="274"/>
        <v>555700</v>
      </c>
      <c r="BC123" s="304">
        <f t="shared" si="265"/>
        <v>0</v>
      </c>
      <c r="BD123" s="304">
        <f t="shared" si="266"/>
        <v>0</v>
      </c>
      <c r="BE123" s="304">
        <f t="shared" si="275"/>
        <v>263145.63460033759</v>
      </c>
      <c r="BF123" s="304">
        <f t="shared" si="267"/>
        <v>818845.63460033759</v>
      </c>
    </row>
    <row r="124" spans="1:58" s="294" customFormat="1" ht="25.5" customHeight="1">
      <c r="A124" s="529"/>
      <c r="B124" s="299"/>
      <c r="C124" s="338" t="s">
        <v>455</v>
      </c>
      <c r="D124" s="360">
        <f>SUM(D116:D123)</f>
        <v>2490398.87</v>
      </c>
      <c r="E124" s="360">
        <f t="shared" ref="E124:AA124" si="278">SUM(E116:E123)</f>
        <v>432721.16</v>
      </c>
      <c r="F124" s="360">
        <f t="shared" si="278"/>
        <v>0</v>
      </c>
      <c r="G124" s="360">
        <f t="shared" si="278"/>
        <v>946874.74</v>
      </c>
      <c r="H124" s="360">
        <f t="shared" si="278"/>
        <v>22840</v>
      </c>
      <c r="I124" s="360">
        <f t="shared" si="278"/>
        <v>0</v>
      </c>
      <c r="J124" s="360">
        <f t="shared" si="278"/>
        <v>340563.99</v>
      </c>
      <c r="K124" s="360">
        <f t="shared" si="278"/>
        <v>0</v>
      </c>
      <c r="L124" s="360">
        <f t="shared" si="278"/>
        <v>0</v>
      </c>
      <c r="M124" s="360">
        <f t="shared" si="278"/>
        <v>2140085.29</v>
      </c>
      <c r="N124" s="360">
        <f t="shared" si="278"/>
        <v>184025</v>
      </c>
      <c r="O124" s="360">
        <f t="shared" si="278"/>
        <v>0</v>
      </c>
      <c r="P124" s="360">
        <f t="shared" si="278"/>
        <v>3974412.0200000005</v>
      </c>
      <c r="Q124" s="360">
        <f t="shared" si="278"/>
        <v>99047.84</v>
      </c>
      <c r="R124" s="360">
        <f t="shared" si="278"/>
        <v>0</v>
      </c>
      <c r="S124" s="360">
        <f t="shared" si="278"/>
        <v>1291300</v>
      </c>
      <c r="T124" s="360">
        <f t="shared" si="278"/>
        <v>161350</v>
      </c>
      <c r="U124" s="360">
        <f t="shared" si="278"/>
        <v>0</v>
      </c>
      <c r="V124" s="360">
        <f t="shared" si="278"/>
        <v>0</v>
      </c>
      <c r="W124" s="360">
        <f t="shared" si="278"/>
        <v>592003.96</v>
      </c>
      <c r="X124" s="360">
        <f t="shared" si="278"/>
        <v>0</v>
      </c>
      <c r="Y124" s="360">
        <f t="shared" si="278"/>
        <v>11183634.91</v>
      </c>
      <c r="Z124" s="360">
        <f t="shared" si="278"/>
        <v>1491987.96</v>
      </c>
      <c r="AA124" s="360">
        <f t="shared" si="278"/>
        <v>0</v>
      </c>
      <c r="AB124" s="342">
        <f t="shared" si="198"/>
        <v>12675622.870000001</v>
      </c>
      <c r="AC124" s="304">
        <f t="shared" si="217"/>
        <v>7209222.8900000006</v>
      </c>
      <c r="AD124" s="304">
        <f t="shared" si="218"/>
        <v>1392940.1199999999</v>
      </c>
      <c r="AE124" s="304">
        <f t="shared" si="219"/>
        <v>0</v>
      </c>
      <c r="AF124" s="304">
        <f t="shared" si="220"/>
        <v>4073459.8600000003</v>
      </c>
      <c r="AG124" s="304">
        <f t="shared" si="221"/>
        <v>12675622.870000001</v>
      </c>
      <c r="AH124" s="304">
        <f t="shared" si="196"/>
        <v>4073459.8600000003</v>
      </c>
      <c r="AI124" s="304">
        <f t="shared" si="197"/>
        <v>8602163.0099999998</v>
      </c>
      <c r="AJ124" s="304">
        <f>SUM(AJ116:AJ123)</f>
        <v>99.999999999999986</v>
      </c>
      <c r="AK124" s="304">
        <f>SUM(AK116:AK123)</f>
        <v>4073459.8600000003</v>
      </c>
      <c r="AL124" s="299"/>
      <c r="AM124" s="299"/>
      <c r="AN124" s="299"/>
      <c r="AO124" s="299"/>
      <c r="AP124" s="300"/>
      <c r="AQ124" s="299">
        <f>SUM(AQ116:AQ123)</f>
        <v>74675.16</v>
      </c>
      <c r="AR124" s="304">
        <f>SUM(AR116:AR123)</f>
        <v>7209222.8900000006</v>
      </c>
      <c r="AS124" s="304">
        <f>SUM(AS116:AS123)</f>
        <v>1392940.1199999999</v>
      </c>
      <c r="AT124" s="304">
        <f t="shared" ref="AT124" si="279">SUM(AT116:AT123)</f>
        <v>74675.16</v>
      </c>
      <c r="AU124" s="304">
        <f t="shared" ref="AU124" si="280">SUM(AU116:AU123)</f>
        <v>4073459.8600000003</v>
      </c>
      <c r="AV124" s="347">
        <f>SUM(AR124:AU124)</f>
        <v>12750298.030000001</v>
      </c>
      <c r="AW124" s="341">
        <f>SUM(AW116:AW123)</f>
        <v>13320529.92382342</v>
      </c>
      <c r="AX124" s="304">
        <f>SUM(AX116:AX123)</f>
        <v>904457.45213692985</v>
      </c>
      <c r="AY124" s="304">
        <f>SUM(AY116:AY123)</f>
        <v>0</v>
      </c>
      <c r="AZ124" s="304">
        <f>SUM(AZ116:AZ123)</f>
        <v>2271471.2538589891</v>
      </c>
      <c r="BA124" s="298">
        <f t="shared" si="264"/>
        <v>16496458.629819339</v>
      </c>
      <c r="BB124" s="336">
        <f>SUM(BB116:BB123)</f>
        <v>20529752.813823421</v>
      </c>
      <c r="BC124" s="304">
        <f>SUM(BC116:BC123)</f>
        <v>2297397.5721369297</v>
      </c>
      <c r="BD124" s="304">
        <f>SUM(BD116:BD123)</f>
        <v>74675.16</v>
      </c>
      <c r="BE124" s="304">
        <f>SUM(BE116:BE123)</f>
        <v>6344931.1138589904</v>
      </c>
      <c r="BF124" s="304">
        <f t="shared" si="267"/>
        <v>29246756.659819342</v>
      </c>
    </row>
    <row r="125" spans="1:58" s="294" customFormat="1" ht="25.5" customHeight="1">
      <c r="A125" s="529">
        <v>10</v>
      </c>
      <c r="B125" s="299" t="s">
        <v>162</v>
      </c>
      <c r="C125" s="627" t="s">
        <v>461</v>
      </c>
      <c r="D125" s="627"/>
      <c r="E125" s="627"/>
      <c r="F125" s="627"/>
      <c r="G125" s="627"/>
      <c r="H125" s="627"/>
      <c r="I125" s="627"/>
      <c r="J125" s="627"/>
      <c r="K125" s="627"/>
      <c r="L125" s="627"/>
      <c r="M125" s="627"/>
      <c r="N125" s="627"/>
      <c r="O125" s="627"/>
      <c r="P125" s="627"/>
      <c r="Q125" s="627"/>
      <c r="R125" s="627"/>
      <c r="S125" s="627"/>
      <c r="T125" s="627"/>
      <c r="U125" s="627"/>
      <c r="V125" s="627"/>
      <c r="W125" s="627"/>
      <c r="X125" s="627"/>
      <c r="Y125" s="627"/>
      <c r="Z125" s="627"/>
      <c r="AA125" s="627"/>
      <c r="AB125" s="342">
        <f t="shared" si="198"/>
        <v>0</v>
      </c>
      <c r="AC125" s="304">
        <f t="shared" si="217"/>
        <v>0</v>
      </c>
      <c r="AD125" s="304">
        <f t="shared" si="218"/>
        <v>0</v>
      </c>
      <c r="AE125" s="304">
        <f t="shared" si="219"/>
        <v>0</v>
      </c>
      <c r="AF125" s="304">
        <f t="shared" si="220"/>
        <v>0</v>
      </c>
      <c r="AG125" s="304">
        <f t="shared" si="221"/>
        <v>0</v>
      </c>
      <c r="AH125" s="304">
        <f t="shared" si="196"/>
        <v>0</v>
      </c>
      <c r="AI125" s="304">
        <f t="shared" si="197"/>
        <v>0</v>
      </c>
      <c r="AJ125" s="299"/>
      <c r="AK125" s="299"/>
      <c r="AL125" s="299"/>
      <c r="AM125" s="299"/>
      <c r="AN125" s="299"/>
      <c r="AO125" s="299"/>
      <c r="AP125" s="300"/>
      <c r="AQ125" s="299"/>
      <c r="AR125" s="299"/>
      <c r="AS125" s="299"/>
      <c r="AT125" s="299"/>
      <c r="AU125" s="299"/>
      <c r="AV125" s="348"/>
      <c r="AW125" s="343"/>
      <c r="AX125" s="299"/>
      <c r="AY125" s="299"/>
      <c r="AZ125" s="299"/>
      <c r="BA125" s="300"/>
      <c r="BB125" s="322"/>
      <c r="BC125" s="299"/>
      <c r="BD125" s="299"/>
      <c r="BE125" s="299"/>
      <c r="BF125" s="299"/>
    </row>
    <row r="126" spans="1:58" s="294" customFormat="1" ht="25.5" customHeight="1">
      <c r="A126" s="529"/>
      <c r="B126" s="299"/>
      <c r="C126" s="359" t="s">
        <v>447</v>
      </c>
      <c r="D126" s="360"/>
      <c r="E126" s="360"/>
      <c r="F126" s="360"/>
      <c r="G126" s="360"/>
      <c r="H126" s="360"/>
      <c r="I126" s="360"/>
      <c r="J126" s="360"/>
      <c r="K126" s="360"/>
      <c r="L126" s="360"/>
      <c r="M126" s="360"/>
      <c r="N126" s="360"/>
      <c r="O126" s="360"/>
      <c r="P126" s="360"/>
      <c r="Q126" s="360"/>
      <c r="R126" s="360"/>
      <c r="S126" s="360"/>
      <c r="T126" s="360"/>
      <c r="U126" s="360"/>
      <c r="V126" s="360"/>
      <c r="W126" s="360"/>
      <c r="X126" s="360"/>
      <c r="Y126" s="360">
        <f>D126+G126+J126+M126+P126+S126+V126</f>
        <v>0</v>
      </c>
      <c r="Z126" s="360">
        <f t="shared" ref="Z126:AA133" si="281">E126+H126+K126+N126+Q126+T126+W126</f>
        <v>0</v>
      </c>
      <c r="AA126" s="360">
        <f t="shared" si="281"/>
        <v>0</v>
      </c>
      <c r="AB126" s="342">
        <f t="shared" si="198"/>
        <v>0</v>
      </c>
      <c r="AC126" s="304">
        <f t="shared" si="217"/>
        <v>0</v>
      </c>
      <c r="AD126" s="304">
        <f t="shared" si="218"/>
        <v>0</v>
      </c>
      <c r="AE126" s="304">
        <f t="shared" si="219"/>
        <v>0</v>
      </c>
      <c r="AF126" s="304">
        <f t="shared" si="220"/>
        <v>0</v>
      </c>
      <c r="AG126" s="304">
        <f t="shared" si="221"/>
        <v>0</v>
      </c>
      <c r="AH126" s="304">
        <f t="shared" si="196"/>
        <v>0</v>
      </c>
      <c r="AI126" s="304">
        <f t="shared" si="197"/>
        <v>0</v>
      </c>
      <c r="AJ126" s="304">
        <f>+AI126*100/AI134</f>
        <v>0</v>
      </c>
      <c r="AK126" s="304">
        <f>+AH127*AJ126/100</f>
        <v>0</v>
      </c>
      <c r="AL126" s="299"/>
      <c r="AM126" s="299"/>
      <c r="AN126" s="299"/>
      <c r="AO126" s="299"/>
      <c r="AP126" s="300"/>
      <c r="AQ126" s="299"/>
      <c r="AR126" s="304">
        <f>+AC126+AL126</f>
        <v>0</v>
      </c>
      <c r="AS126" s="304">
        <f>+AD126+AM126</f>
        <v>0</v>
      </c>
      <c r="AT126" s="304">
        <f>+AE126+AN126+AQ126</f>
        <v>0</v>
      </c>
      <c r="AU126" s="304">
        <f>+AK126+AO126</f>
        <v>0</v>
      </c>
      <c r="AV126" s="347">
        <f>SUM(AR126:AU126)</f>
        <v>0</v>
      </c>
      <c r="AW126" s="341">
        <f t="shared" ref="AW126:AZ127" si="282">+AC274*AR126/AR187</f>
        <v>0</v>
      </c>
      <c r="AX126" s="304">
        <f t="shared" si="282"/>
        <v>0</v>
      </c>
      <c r="AY126" s="304">
        <f t="shared" si="282"/>
        <v>0</v>
      </c>
      <c r="AZ126" s="304">
        <f t="shared" si="282"/>
        <v>0</v>
      </c>
      <c r="BA126" s="298">
        <f t="shared" ref="BA126:BA134" si="283">SUM(AW126:AZ126)</f>
        <v>0</v>
      </c>
      <c r="BB126" s="304">
        <f>+AR126+AW126</f>
        <v>0</v>
      </c>
      <c r="BC126" s="304">
        <f t="shared" ref="BC126:BC133" si="284">+AS126+AX126</f>
        <v>0</v>
      </c>
      <c r="BD126" s="304">
        <f t="shared" ref="BD126:BD133" si="285">+AT126+AY126</f>
        <v>0</v>
      </c>
      <c r="BE126" s="304">
        <f>+AU126+AZ126</f>
        <v>0</v>
      </c>
      <c r="BF126" s="304">
        <f t="shared" ref="BF126:BF134" si="286">SUM(BB126:BE126)</f>
        <v>0</v>
      </c>
    </row>
    <row r="127" spans="1:58" s="294" customFormat="1" ht="25.5" customHeight="1">
      <c r="A127" s="529"/>
      <c r="B127" s="299"/>
      <c r="C127" s="359" t="s">
        <v>448</v>
      </c>
      <c r="D127" s="301"/>
      <c r="E127" s="301">
        <v>13600</v>
      </c>
      <c r="F127" s="360"/>
      <c r="G127" s="301">
        <v>683201</v>
      </c>
      <c r="H127" s="301">
        <v>6400</v>
      </c>
      <c r="I127" s="360"/>
      <c r="J127" s="301">
        <v>514609</v>
      </c>
      <c r="K127" s="301">
        <v>106146</v>
      </c>
      <c r="L127" s="301"/>
      <c r="M127" s="360">
        <v>4374390.46</v>
      </c>
      <c r="N127" s="360">
        <v>826721.21</v>
      </c>
      <c r="O127" s="301"/>
      <c r="P127" s="360">
        <v>16583259.640000001</v>
      </c>
      <c r="Q127" s="360">
        <v>2643647.35</v>
      </c>
      <c r="R127" s="360"/>
      <c r="S127" s="302"/>
      <c r="T127" s="302">
        <v>98220</v>
      </c>
      <c r="U127" s="360"/>
      <c r="V127" s="360"/>
      <c r="W127" s="360">
        <v>3311544.26</v>
      </c>
      <c r="X127" s="360"/>
      <c r="Y127" s="360">
        <f t="shared" ref="Y127:Y133" si="287">D127+G127+J127+M127+P127+S127+V127</f>
        <v>22155460.100000001</v>
      </c>
      <c r="Z127" s="360">
        <f t="shared" si="281"/>
        <v>7006278.8200000003</v>
      </c>
      <c r="AA127" s="360">
        <f t="shared" si="281"/>
        <v>0</v>
      </c>
      <c r="AB127" s="342">
        <f t="shared" si="198"/>
        <v>29161738.920000002</v>
      </c>
      <c r="AC127" s="304">
        <f t="shared" si="217"/>
        <v>5572200.46</v>
      </c>
      <c r="AD127" s="304">
        <f t="shared" si="218"/>
        <v>4362631.47</v>
      </c>
      <c r="AE127" s="304">
        <f t="shared" si="219"/>
        <v>0</v>
      </c>
      <c r="AF127" s="304">
        <f t="shared" si="220"/>
        <v>19226906.990000002</v>
      </c>
      <c r="AG127" s="304">
        <f t="shared" si="221"/>
        <v>29161738.920000002</v>
      </c>
      <c r="AH127" s="304">
        <f t="shared" si="196"/>
        <v>19226906.990000002</v>
      </c>
      <c r="AI127" s="304">
        <f t="shared" si="197"/>
        <v>9934831.9299999997</v>
      </c>
      <c r="AJ127" s="304">
        <f>+AI127*100/AI134</f>
        <v>38.927125546445097</v>
      </c>
      <c r="AK127" s="304">
        <f>+AH127*AJ127/100</f>
        <v>7484482.2226955295</v>
      </c>
      <c r="AL127" s="299"/>
      <c r="AM127" s="299"/>
      <c r="AN127" s="299"/>
      <c r="AO127" s="299"/>
      <c r="AP127" s="300"/>
      <c r="AQ127" s="299">
        <v>230453.52</v>
      </c>
      <c r="AR127" s="304">
        <f t="shared" ref="AR127:AR133" si="288">+AC127+AL127</f>
        <v>5572200.46</v>
      </c>
      <c r="AS127" s="304">
        <f t="shared" ref="AS127:AS133" si="289">+AD127+AM127</f>
        <v>4362631.47</v>
      </c>
      <c r="AT127" s="304">
        <f t="shared" ref="AT127:AT133" si="290">+AE127+AN127+AQ127</f>
        <v>230453.52</v>
      </c>
      <c r="AU127" s="304">
        <f t="shared" ref="AU127:AU133" si="291">+AK127+AO127</f>
        <v>7484482.2226955295</v>
      </c>
      <c r="AV127" s="347">
        <f t="shared" ref="AV127:AV133" si="292">SUM(AR127:AU127)</f>
        <v>17649767.672695529</v>
      </c>
      <c r="AW127" s="341">
        <f t="shared" si="282"/>
        <v>7131647.1973193334</v>
      </c>
      <c r="AX127" s="304">
        <f t="shared" si="282"/>
        <v>4065036.3553062547</v>
      </c>
      <c r="AY127" s="304">
        <f t="shared" si="282"/>
        <v>0</v>
      </c>
      <c r="AZ127" s="304">
        <f t="shared" si="282"/>
        <v>9235451.0269814953</v>
      </c>
      <c r="BA127" s="298">
        <f t="shared" si="283"/>
        <v>20432134.579607084</v>
      </c>
      <c r="BB127" s="304">
        <f t="shared" ref="BB127:BB133" si="293">+AR127+AW127</f>
        <v>12703847.657319333</v>
      </c>
      <c r="BC127" s="304">
        <f t="shared" si="284"/>
        <v>8427667.8253062554</v>
      </c>
      <c r="BD127" s="304">
        <f t="shared" si="285"/>
        <v>230453.52</v>
      </c>
      <c r="BE127" s="304">
        <f t="shared" ref="BE127:BE133" si="294">+AU127+AZ127</f>
        <v>16719933.249677025</v>
      </c>
      <c r="BF127" s="304">
        <f t="shared" si="286"/>
        <v>38081902.252302617</v>
      </c>
    </row>
    <row r="128" spans="1:58" s="294" customFormat="1" ht="25.5" customHeight="1">
      <c r="A128" s="529"/>
      <c r="B128" s="299"/>
      <c r="C128" s="359" t="s">
        <v>449</v>
      </c>
      <c r="D128" s="360"/>
      <c r="E128" s="360"/>
      <c r="F128" s="360"/>
      <c r="G128" s="360">
        <v>272989</v>
      </c>
      <c r="H128" s="360"/>
      <c r="I128" s="360"/>
      <c r="J128" s="360"/>
      <c r="K128" s="360"/>
      <c r="L128" s="360"/>
      <c r="M128" s="360"/>
      <c r="N128" s="360">
        <v>50000</v>
      </c>
      <c r="O128" s="360"/>
      <c r="P128" s="360"/>
      <c r="Q128" s="360"/>
      <c r="R128" s="360"/>
      <c r="S128" s="360"/>
      <c r="T128" s="360"/>
      <c r="U128" s="360"/>
      <c r="V128" s="360"/>
      <c r="W128" s="360"/>
      <c r="X128" s="360"/>
      <c r="Y128" s="360">
        <f t="shared" si="287"/>
        <v>272989</v>
      </c>
      <c r="Z128" s="360">
        <f t="shared" si="281"/>
        <v>50000</v>
      </c>
      <c r="AA128" s="360">
        <f t="shared" si="281"/>
        <v>0</v>
      </c>
      <c r="AB128" s="342">
        <f t="shared" si="198"/>
        <v>322989</v>
      </c>
      <c r="AC128" s="304">
        <f t="shared" si="217"/>
        <v>272989</v>
      </c>
      <c r="AD128" s="304">
        <f t="shared" si="218"/>
        <v>50000</v>
      </c>
      <c r="AE128" s="304">
        <f t="shared" si="219"/>
        <v>0</v>
      </c>
      <c r="AF128" s="304">
        <f t="shared" si="220"/>
        <v>0</v>
      </c>
      <c r="AG128" s="304">
        <f t="shared" si="221"/>
        <v>322989</v>
      </c>
      <c r="AH128" s="304">
        <f t="shared" si="196"/>
        <v>0</v>
      </c>
      <c r="AI128" s="304">
        <f t="shared" si="197"/>
        <v>322989</v>
      </c>
      <c r="AJ128" s="304">
        <f>+AI128*100/AI134</f>
        <v>1.265550684874118</v>
      </c>
      <c r="AK128" s="304">
        <f>+AH127*AJ128/100</f>
        <v>243326.25309205469</v>
      </c>
      <c r="AL128" s="299"/>
      <c r="AM128" s="299"/>
      <c r="AN128" s="299"/>
      <c r="AO128" s="299"/>
      <c r="AP128" s="300"/>
      <c r="AQ128" s="299"/>
      <c r="AR128" s="304">
        <f t="shared" si="288"/>
        <v>272989</v>
      </c>
      <c r="AS128" s="304">
        <f t="shared" si="289"/>
        <v>50000</v>
      </c>
      <c r="AT128" s="304">
        <f t="shared" si="290"/>
        <v>0</v>
      </c>
      <c r="AU128" s="304">
        <f t="shared" si="291"/>
        <v>243326.25309205469</v>
      </c>
      <c r="AV128" s="347">
        <f t="shared" si="292"/>
        <v>566315.25309205474</v>
      </c>
      <c r="AW128" s="341">
        <f t="shared" ref="AW128:AX132" si="295">+AC276*AR128/AR189</f>
        <v>300940.25625445438</v>
      </c>
      <c r="AX128" s="304">
        <f t="shared" si="295"/>
        <v>0</v>
      </c>
      <c r="AY128" s="304">
        <v>0</v>
      </c>
      <c r="AZ128" s="304">
        <f t="shared" ref="AZ128:AZ133" si="296">+AF276*AU128/AU189</f>
        <v>0</v>
      </c>
      <c r="BA128" s="298">
        <f t="shared" si="283"/>
        <v>300940.25625445438</v>
      </c>
      <c r="BB128" s="304">
        <f t="shared" si="293"/>
        <v>573929.25625445438</v>
      </c>
      <c r="BC128" s="304">
        <f t="shared" si="284"/>
        <v>50000</v>
      </c>
      <c r="BD128" s="304">
        <f t="shared" si="285"/>
        <v>0</v>
      </c>
      <c r="BE128" s="304">
        <f t="shared" si="294"/>
        <v>243326.25309205469</v>
      </c>
      <c r="BF128" s="304">
        <f t="shared" si="286"/>
        <v>867255.50934650912</v>
      </c>
    </row>
    <row r="129" spans="1:58" s="294" customFormat="1" ht="25.5" customHeight="1">
      <c r="A129" s="529"/>
      <c r="B129" s="299"/>
      <c r="C129" s="359" t="s">
        <v>450</v>
      </c>
      <c r="D129" s="360"/>
      <c r="E129" s="360"/>
      <c r="F129" s="360"/>
      <c r="G129" s="360">
        <v>40000</v>
      </c>
      <c r="H129" s="360"/>
      <c r="I129" s="360"/>
      <c r="J129" s="360"/>
      <c r="K129" s="360"/>
      <c r="L129" s="360"/>
      <c r="M129" s="360"/>
      <c r="N129" s="360"/>
      <c r="O129" s="360"/>
      <c r="P129" s="360"/>
      <c r="Q129" s="360"/>
      <c r="R129" s="360"/>
      <c r="S129" s="360"/>
      <c r="T129" s="360"/>
      <c r="U129" s="360"/>
      <c r="V129" s="360"/>
      <c r="W129" s="360"/>
      <c r="X129" s="360"/>
      <c r="Y129" s="360">
        <f t="shared" si="287"/>
        <v>40000</v>
      </c>
      <c r="Z129" s="360">
        <f t="shared" si="281"/>
        <v>0</v>
      </c>
      <c r="AA129" s="360">
        <f t="shared" si="281"/>
        <v>0</v>
      </c>
      <c r="AB129" s="342">
        <f t="shared" si="198"/>
        <v>40000</v>
      </c>
      <c r="AC129" s="304">
        <f t="shared" si="217"/>
        <v>40000</v>
      </c>
      <c r="AD129" s="304">
        <f t="shared" si="218"/>
        <v>0</v>
      </c>
      <c r="AE129" s="304">
        <f t="shared" si="219"/>
        <v>0</v>
      </c>
      <c r="AF129" s="304">
        <f t="shared" si="220"/>
        <v>0</v>
      </c>
      <c r="AG129" s="304">
        <f t="shared" si="221"/>
        <v>40000</v>
      </c>
      <c r="AH129" s="304">
        <f t="shared" si="196"/>
        <v>0</v>
      </c>
      <c r="AI129" s="304">
        <f t="shared" si="197"/>
        <v>40000</v>
      </c>
      <c r="AJ129" s="304">
        <f>+AI129*100/AI134</f>
        <v>0.15672988056857887</v>
      </c>
      <c r="AK129" s="304">
        <f>+AH127*AJ129/100</f>
        <v>30134.308362458745</v>
      </c>
      <c r="AL129" s="299"/>
      <c r="AM129" s="299"/>
      <c r="AN129" s="299"/>
      <c r="AO129" s="299"/>
      <c r="AP129" s="300"/>
      <c r="AQ129" s="299"/>
      <c r="AR129" s="304">
        <f t="shared" si="288"/>
        <v>40000</v>
      </c>
      <c r="AS129" s="304">
        <f t="shared" si="289"/>
        <v>0</v>
      </c>
      <c r="AT129" s="304">
        <f t="shared" si="290"/>
        <v>0</v>
      </c>
      <c r="AU129" s="304">
        <f t="shared" si="291"/>
        <v>30134.308362458745</v>
      </c>
      <c r="AV129" s="347">
        <f t="shared" si="292"/>
        <v>70134.308362458745</v>
      </c>
      <c r="AW129" s="341">
        <f t="shared" si="295"/>
        <v>70157.099887928969</v>
      </c>
      <c r="AX129" s="304">
        <f t="shared" si="295"/>
        <v>0</v>
      </c>
      <c r="AY129" s="304">
        <v>0</v>
      </c>
      <c r="AZ129" s="304">
        <f t="shared" si="296"/>
        <v>0</v>
      </c>
      <c r="BA129" s="298">
        <f t="shared" si="283"/>
        <v>70157.099887928969</v>
      </c>
      <c r="BB129" s="304">
        <f t="shared" si="293"/>
        <v>110157.09988792897</v>
      </c>
      <c r="BC129" s="304">
        <f t="shared" si="284"/>
        <v>0</v>
      </c>
      <c r="BD129" s="304">
        <f t="shared" si="285"/>
        <v>0</v>
      </c>
      <c r="BE129" s="304">
        <f t="shared" si="294"/>
        <v>30134.308362458745</v>
      </c>
      <c r="BF129" s="304">
        <f t="shared" si="286"/>
        <v>140291.4082503877</v>
      </c>
    </row>
    <row r="130" spans="1:58" s="294" customFormat="1" ht="25.5" customHeight="1">
      <c r="A130" s="529"/>
      <c r="B130" s="299"/>
      <c r="C130" s="359" t="s">
        <v>451</v>
      </c>
      <c r="D130" s="301">
        <v>9725636.5099999998</v>
      </c>
      <c r="E130" s="301">
        <v>3118159.66</v>
      </c>
      <c r="F130" s="360"/>
      <c r="G130" s="360"/>
      <c r="H130" s="360"/>
      <c r="I130" s="360"/>
      <c r="J130" s="360"/>
      <c r="K130" s="360"/>
      <c r="L130" s="360"/>
      <c r="M130" s="360"/>
      <c r="N130" s="360"/>
      <c r="O130" s="360"/>
      <c r="P130" s="360"/>
      <c r="Q130" s="360"/>
      <c r="R130" s="360"/>
      <c r="S130" s="360"/>
      <c r="T130" s="360"/>
      <c r="U130" s="360"/>
      <c r="V130" s="360"/>
      <c r="W130" s="360"/>
      <c r="X130" s="360"/>
      <c r="Y130" s="360">
        <f t="shared" si="287"/>
        <v>9725636.5099999998</v>
      </c>
      <c r="Z130" s="360">
        <f t="shared" si="281"/>
        <v>3118159.66</v>
      </c>
      <c r="AA130" s="360">
        <f t="shared" si="281"/>
        <v>0</v>
      </c>
      <c r="AB130" s="342">
        <f t="shared" si="198"/>
        <v>12843796.17</v>
      </c>
      <c r="AC130" s="304">
        <f t="shared" si="217"/>
        <v>9725636.5099999998</v>
      </c>
      <c r="AD130" s="304">
        <f t="shared" si="218"/>
        <v>3118159.66</v>
      </c>
      <c r="AE130" s="304">
        <f t="shared" si="219"/>
        <v>0</v>
      </c>
      <c r="AF130" s="304">
        <f t="shared" si="220"/>
        <v>0</v>
      </c>
      <c r="AG130" s="304">
        <f t="shared" si="221"/>
        <v>12843796.17</v>
      </c>
      <c r="AH130" s="304">
        <f t="shared" si="196"/>
        <v>0</v>
      </c>
      <c r="AI130" s="304">
        <f t="shared" si="197"/>
        <v>12843796.17</v>
      </c>
      <c r="AJ130" s="304">
        <f>+AI130*100/AI134</f>
        <v>50.325165994281768</v>
      </c>
      <c r="AK130" s="304">
        <f>+AH127*AJ130/100</f>
        <v>9675972.858283665</v>
      </c>
      <c r="AL130" s="299"/>
      <c r="AM130" s="299"/>
      <c r="AN130" s="299"/>
      <c r="AO130" s="299"/>
      <c r="AP130" s="300"/>
      <c r="AQ130" s="299"/>
      <c r="AR130" s="304">
        <f t="shared" si="288"/>
        <v>9725636.5099999998</v>
      </c>
      <c r="AS130" s="304">
        <f t="shared" si="289"/>
        <v>3118159.66</v>
      </c>
      <c r="AT130" s="304">
        <f t="shared" si="290"/>
        <v>0</v>
      </c>
      <c r="AU130" s="304">
        <f t="shared" si="291"/>
        <v>9675972.858283665</v>
      </c>
      <c r="AV130" s="347">
        <f t="shared" si="292"/>
        <v>22519769.028283663</v>
      </c>
      <c r="AW130" s="341">
        <f t="shared" si="295"/>
        <v>34804341.219245531</v>
      </c>
      <c r="AX130" s="304">
        <f t="shared" si="295"/>
        <v>1057464.6133065859</v>
      </c>
      <c r="AY130" s="304">
        <f>+AE278*AT130/AT191</f>
        <v>0</v>
      </c>
      <c r="AZ130" s="304">
        <f t="shared" si="296"/>
        <v>0</v>
      </c>
      <c r="BA130" s="298">
        <f t="shared" si="283"/>
        <v>35861805.83255212</v>
      </c>
      <c r="BB130" s="304">
        <f t="shared" si="293"/>
        <v>44529977.729245529</v>
      </c>
      <c r="BC130" s="304">
        <f t="shared" si="284"/>
        <v>4175624.2733065858</v>
      </c>
      <c r="BD130" s="304">
        <f t="shared" si="285"/>
        <v>0</v>
      </c>
      <c r="BE130" s="304">
        <f t="shared" si="294"/>
        <v>9675972.858283665</v>
      </c>
      <c r="BF130" s="304">
        <f t="shared" si="286"/>
        <v>58381574.860835776</v>
      </c>
    </row>
    <row r="131" spans="1:58" s="294" customFormat="1" ht="25.5" customHeight="1">
      <c r="A131" s="529"/>
      <c r="B131" s="299"/>
      <c r="C131" s="359" t="s">
        <v>452</v>
      </c>
      <c r="D131" s="360"/>
      <c r="E131" s="360"/>
      <c r="F131" s="360"/>
      <c r="G131" s="360"/>
      <c r="H131" s="360"/>
      <c r="I131" s="360"/>
      <c r="J131" s="360"/>
      <c r="K131" s="360"/>
      <c r="L131" s="360"/>
      <c r="M131" s="360"/>
      <c r="N131" s="360"/>
      <c r="O131" s="360"/>
      <c r="P131" s="360"/>
      <c r="Q131" s="360"/>
      <c r="R131" s="360"/>
      <c r="S131" s="360"/>
      <c r="T131" s="360"/>
      <c r="U131" s="360"/>
      <c r="V131" s="360"/>
      <c r="W131" s="360"/>
      <c r="X131" s="360"/>
      <c r="Y131" s="360">
        <f t="shared" si="287"/>
        <v>0</v>
      </c>
      <c r="Z131" s="360">
        <f t="shared" si="281"/>
        <v>0</v>
      </c>
      <c r="AA131" s="360">
        <f t="shared" si="281"/>
        <v>0</v>
      </c>
      <c r="AB131" s="342">
        <f t="shared" si="198"/>
        <v>0</v>
      </c>
      <c r="AC131" s="304">
        <f t="shared" si="217"/>
        <v>0</v>
      </c>
      <c r="AD131" s="304">
        <f t="shared" si="218"/>
        <v>0</v>
      </c>
      <c r="AE131" s="304">
        <f t="shared" si="219"/>
        <v>0</v>
      </c>
      <c r="AF131" s="304">
        <f t="shared" si="220"/>
        <v>0</v>
      </c>
      <c r="AG131" s="304">
        <f t="shared" si="221"/>
        <v>0</v>
      </c>
      <c r="AH131" s="304">
        <f t="shared" si="196"/>
        <v>0</v>
      </c>
      <c r="AI131" s="304">
        <f t="shared" si="197"/>
        <v>0</v>
      </c>
      <c r="AJ131" s="304">
        <f>+AI131*100/AI134</f>
        <v>0</v>
      </c>
      <c r="AK131" s="304">
        <f>+AH127*AJ131/100</f>
        <v>0</v>
      </c>
      <c r="AL131" s="299"/>
      <c r="AM131" s="299"/>
      <c r="AN131" s="299"/>
      <c r="AO131" s="299"/>
      <c r="AP131" s="300"/>
      <c r="AQ131" s="299"/>
      <c r="AR131" s="304">
        <f t="shared" si="288"/>
        <v>0</v>
      </c>
      <c r="AS131" s="304">
        <f t="shared" si="289"/>
        <v>0</v>
      </c>
      <c r="AT131" s="304">
        <f t="shared" si="290"/>
        <v>0</v>
      </c>
      <c r="AU131" s="304">
        <f t="shared" si="291"/>
        <v>0</v>
      </c>
      <c r="AV131" s="347">
        <f t="shared" si="292"/>
        <v>0</v>
      </c>
      <c r="AW131" s="341">
        <f t="shared" si="295"/>
        <v>0</v>
      </c>
      <c r="AX131" s="304">
        <f t="shared" si="295"/>
        <v>0</v>
      </c>
      <c r="AY131" s="304">
        <v>0</v>
      </c>
      <c r="AZ131" s="304">
        <f t="shared" si="296"/>
        <v>0</v>
      </c>
      <c r="BA131" s="298">
        <f t="shared" si="283"/>
        <v>0</v>
      </c>
      <c r="BB131" s="304">
        <f t="shared" si="293"/>
        <v>0</v>
      </c>
      <c r="BC131" s="304">
        <f t="shared" si="284"/>
        <v>0</v>
      </c>
      <c r="BD131" s="304">
        <f t="shared" si="285"/>
        <v>0</v>
      </c>
      <c r="BE131" s="304">
        <f t="shared" si="294"/>
        <v>0</v>
      </c>
      <c r="BF131" s="304">
        <f t="shared" si="286"/>
        <v>0</v>
      </c>
    </row>
    <row r="132" spans="1:58" s="294" customFormat="1" ht="25.5" customHeight="1">
      <c r="A132" s="529"/>
      <c r="B132" s="299"/>
      <c r="C132" s="359" t="s">
        <v>453</v>
      </c>
      <c r="D132" s="360"/>
      <c r="E132" s="360"/>
      <c r="F132" s="360"/>
      <c r="G132" s="360"/>
      <c r="H132" s="360"/>
      <c r="I132" s="360"/>
      <c r="J132" s="360"/>
      <c r="K132" s="360"/>
      <c r="L132" s="360"/>
      <c r="M132" s="360"/>
      <c r="N132" s="360"/>
      <c r="O132" s="360"/>
      <c r="P132" s="360"/>
      <c r="Q132" s="360"/>
      <c r="R132" s="360"/>
      <c r="S132" s="360">
        <v>1153000</v>
      </c>
      <c r="T132" s="360">
        <v>427000</v>
      </c>
      <c r="U132" s="360"/>
      <c r="V132" s="360"/>
      <c r="W132" s="360"/>
      <c r="X132" s="360"/>
      <c r="Y132" s="360">
        <f t="shared" si="287"/>
        <v>1153000</v>
      </c>
      <c r="Z132" s="360">
        <f t="shared" si="281"/>
        <v>427000</v>
      </c>
      <c r="AA132" s="360">
        <f t="shared" si="281"/>
        <v>0</v>
      </c>
      <c r="AB132" s="342">
        <f t="shared" si="198"/>
        <v>1580000</v>
      </c>
      <c r="AC132" s="304">
        <f t="shared" si="217"/>
        <v>1153000</v>
      </c>
      <c r="AD132" s="304">
        <f t="shared" si="218"/>
        <v>427000</v>
      </c>
      <c r="AE132" s="304">
        <f t="shared" si="219"/>
        <v>0</v>
      </c>
      <c r="AF132" s="304">
        <f t="shared" si="220"/>
        <v>0</v>
      </c>
      <c r="AG132" s="304">
        <f t="shared" si="221"/>
        <v>1580000</v>
      </c>
      <c r="AH132" s="304">
        <f t="shared" si="196"/>
        <v>0</v>
      </c>
      <c r="AI132" s="304">
        <f t="shared" si="197"/>
        <v>1580000</v>
      </c>
      <c r="AJ132" s="304">
        <f>+AI132*100/AI134</f>
        <v>6.1908302824588652</v>
      </c>
      <c r="AK132" s="304">
        <f>+AH127*AJ132/100</f>
        <v>1190305.1803171204</v>
      </c>
      <c r="AL132" s="299"/>
      <c r="AM132" s="299"/>
      <c r="AN132" s="299"/>
      <c r="AO132" s="299"/>
      <c r="AP132" s="300"/>
      <c r="AQ132" s="299"/>
      <c r="AR132" s="304">
        <f t="shared" si="288"/>
        <v>1153000</v>
      </c>
      <c r="AS132" s="304">
        <f t="shared" si="289"/>
        <v>427000</v>
      </c>
      <c r="AT132" s="304">
        <f t="shared" si="290"/>
        <v>0</v>
      </c>
      <c r="AU132" s="304">
        <f t="shared" si="291"/>
        <v>1190305.1803171204</v>
      </c>
      <c r="AV132" s="347">
        <f t="shared" si="292"/>
        <v>2770305.1803171206</v>
      </c>
      <c r="AW132" s="341">
        <f t="shared" si="295"/>
        <v>0</v>
      </c>
      <c r="AX132" s="304">
        <f t="shared" si="295"/>
        <v>0</v>
      </c>
      <c r="AY132" s="304">
        <v>0</v>
      </c>
      <c r="AZ132" s="304">
        <f t="shared" si="296"/>
        <v>0</v>
      </c>
      <c r="BA132" s="298">
        <f t="shared" si="283"/>
        <v>0</v>
      </c>
      <c r="BB132" s="304">
        <f t="shared" si="293"/>
        <v>1153000</v>
      </c>
      <c r="BC132" s="304">
        <f t="shared" si="284"/>
        <v>427000</v>
      </c>
      <c r="BD132" s="304">
        <f t="shared" si="285"/>
        <v>0</v>
      </c>
      <c r="BE132" s="304">
        <f t="shared" si="294"/>
        <v>1190305.1803171204</v>
      </c>
      <c r="BF132" s="304">
        <f t="shared" si="286"/>
        <v>2770305.1803171206</v>
      </c>
    </row>
    <row r="133" spans="1:58" s="294" customFormat="1" ht="25.5" customHeight="1">
      <c r="A133" s="529"/>
      <c r="B133" s="299"/>
      <c r="C133" s="359" t="s">
        <v>454</v>
      </c>
      <c r="D133" s="360"/>
      <c r="E133" s="360"/>
      <c r="F133" s="360"/>
      <c r="G133" s="360"/>
      <c r="H133" s="360"/>
      <c r="I133" s="360"/>
      <c r="J133" s="360"/>
      <c r="K133" s="360"/>
      <c r="L133" s="360"/>
      <c r="M133" s="360"/>
      <c r="N133" s="360"/>
      <c r="O133" s="360"/>
      <c r="P133" s="360"/>
      <c r="Q133" s="360"/>
      <c r="R133" s="360"/>
      <c r="S133" s="360">
        <v>800000</v>
      </c>
      <c r="T133" s="360"/>
      <c r="U133" s="360"/>
      <c r="V133" s="360"/>
      <c r="W133" s="360"/>
      <c r="X133" s="360"/>
      <c r="Y133" s="360">
        <f t="shared" si="287"/>
        <v>800000</v>
      </c>
      <c r="Z133" s="360">
        <f t="shared" si="281"/>
        <v>0</v>
      </c>
      <c r="AA133" s="360">
        <f t="shared" si="281"/>
        <v>0</v>
      </c>
      <c r="AB133" s="342">
        <f t="shared" si="198"/>
        <v>800000</v>
      </c>
      <c r="AC133" s="304">
        <f t="shared" si="217"/>
        <v>800000</v>
      </c>
      <c r="AD133" s="304">
        <f t="shared" si="218"/>
        <v>0</v>
      </c>
      <c r="AE133" s="304">
        <f t="shared" si="219"/>
        <v>0</v>
      </c>
      <c r="AF133" s="304">
        <f t="shared" si="220"/>
        <v>0</v>
      </c>
      <c r="AG133" s="304">
        <f t="shared" si="221"/>
        <v>800000</v>
      </c>
      <c r="AH133" s="304">
        <f t="shared" si="196"/>
        <v>0</v>
      </c>
      <c r="AI133" s="304">
        <f t="shared" si="197"/>
        <v>800000</v>
      </c>
      <c r="AJ133" s="304">
        <f>+AI133*100/AI134</f>
        <v>3.1345976113715777</v>
      </c>
      <c r="AK133" s="304">
        <f>+AH127*AJ133/100</f>
        <v>602686.16724917491</v>
      </c>
      <c r="AL133" s="299"/>
      <c r="AM133" s="299"/>
      <c r="AN133" s="299"/>
      <c r="AO133" s="299"/>
      <c r="AP133" s="300"/>
      <c r="AQ133" s="299"/>
      <c r="AR133" s="304">
        <f t="shared" si="288"/>
        <v>800000</v>
      </c>
      <c r="AS133" s="304">
        <f t="shared" si="289"/>
        <v>0</v>
      </c>
      <c r="AT133" s="304">
        <f t="shared" si="290"/>
        <v>0</v>
      </c>
      <c r="AU133" s="304">
        <f t="shared" si="291"/>
        <v>602686.16724917491</v>
      </c>
      <c r="AV133" s="347">
        <f t="shared" si="292"/>
        <v>1402686.1672491748</v>
      </c>
      <c r="AW133" s="341">
        <f>+AC281*AR133/AR194</f>
        <v>0</v>
      </c>
      <c r="AX133" s="304">
        <v>0</v>
      </c>
      <c r="AY133" s="304">
        <v>0</v>
      </c>
      <c r="AZ133" s="304">
        <f t="shared" si="296"/>
        <v>0</v>
      </c>
      <c r="BA133" s="298">
        <f t="shared" si="283"/>
        <v>0</v>
      </c>
      <c r="BB133" s="304">
        <f t="shared" si="293"/>
        <v>800000</v>
      </c>
      <c r="BC133" s="304">
        <f t="shared" si="284"/>
        <v>0</v>
      </c>
      <c r="BD133" s="304">
        <f t="shared" si="285"/>
        <v>0</v>
      </c>
      <c r="BE133" s="304">
        <f t="shared" si="294"/>
        <v>602686.16724917491</v>
      </c>
      <c r="BF133" s="304">
        <f t="shared" si="286"/>
        <v>1402686.1672491748</v>
      </c>
    </row>
    <row r="134" spans="1:58" s="294" customFormat="1" ht="25.5" customHeight="1">
      <c r="A134" s="529"/>
      <c r="B134" s="299"/>
      <c r="C134" s="338" t="s">
        <v>455</v>
      </c>
      <c r="D134" s="360">
        <f>SUM(D126:D133)</f>
        <v>9725636.5099999998</v>
      </c>
      <c r="E134" s="360">
        <f t="shared" ref="E134:AA134" si="297">SUM(E126:E133)</f>
        <v>3131759.66</v>
      </c>
      <c r="F134" s="360">
        <f t="shared" si="297"/>
        <v>0</v>
      </c>
      <c r="G134" s="360">
        <f t="shared" si="297"/>
        <v>996190</v>
      </c>
      <c r="H134" s="360">
        <f t="shared" si="297"/>
        <v>6400</v>
      </c>
      <c r="I134" s="360">
        <f t="shared" si="297"/>
        <v>0</v>
      </c>
      <c r="J134" s="360">
        <f t="shared" si="297"/>
        <v>514609</v>
      </c>
      <c r="K134" s="360">
        <f t="shared" si="297"/>
        <v>106146</v>
      </c>
      <c r="L134" s="360">
        <f t="shared" si="297"/>
        <v>0</v>
      </c>
      <c r="M134" s="360">
        <f t="shared" si="297"/>
        <v>4374390.46</v>
      </c>
      <c r="N134" s="360">
        <f t="shared" si="297"/>
        <v>876721.21</v>
      </c>
      <c r="O134" s="360">
        <f t="shared" si="297"/>
        <v>0</v>
      </c>
      <c r="P134" s="360">
        <f t="shared" si="297"/>
        <v>16583259.640000001</v>
      </c>
      <c r="Q134" s="360">
        <f t="shared" si="297"/>
        <v>2643647.35</v>
      </c>
      <c r="R134" s="360">
        <f t="shared" si="297"/>
        <v>0</v>
      </c>
      <c r="S134" s="360">
        <f t="shared" si="297"/>
        <v>1953000</v>
      </c>
      <c r="T134" s="360">
        <f t="shared" si="297"/>
        <v>525220</v>
      </c>
      <c r="U134" s="360">
        <f t="shared" si="297"/>
        <v>0</v>
      </c>
      <c r="V134" s="360">
        <f t="shared" si="297"/>
        <v>0</v>
      </c>
      <c r="W134" s="360">
        <f t="shared" si="297"/>
        <v>3311544.26</v>
      </c>
      <c r="X134" s="360">
        <f t="shared" si="297"/>
        <v>0</v>
      </c>
      <c r="Y134" s="360">
        <f t="shared" si="297"/>
        <v>34147085.609999999</v>
      </c>
      <c r="Z134" s="360">
        <f t="shared" si="297"/>
        <v>10601438.48</v>
      </c>
      <c r="AA134" s="360">
        <f t="shared" si="297"/>
        <v>0</v>
      </c>
      <c r="AB134" s="342">
        <f t="shared" si="198"/>
        <v>44748524.090000004</v>
      </c>
      <c r="AC134" s="304">
        <f t="shared" si="217"/>
        <v>17563825.969999999</v>
      </c>
      <c r="AD134" s="304">
        <f t="shared" si="218"/>
        <v>7957791.1299999999</v>
      </c>
      <c r="AE134" s="304">
        <f t="shared" si="219"/>
        <v>0</v>
      </c>
      <c r="AF134" s="304">
        <f t="shared" si="220"/>
        <v>19226906.990000002</v>
      </c>
      <c r="AG134" s="304">
        <f t="shared" si="221"/>
        <v>44748524.090000004</v>
      </c>
      <c r="AH134" s="304">
        <f t="shared" si="196"/>
        <v>19226906.990000002</v>
      </c>
      <c r="AI134" s="304">
        <f t="shared" si="197"/>
        <v>25521617.099999998</v>
      </c>
      <c r="AJ134" s="304">
        <f>SUM(AJ126:AJ133)</f>
        <v>100</v>
      </c>
      <c r="AK134" s="304">
        <f>SUM(AK126:AK133)</f>
        <v>19226906.990000002</v>
      </c>
      <c r="AL134" s="299"/>
      <c r="AM134" s="299"/>
      <c r="AN134" s="299"/>
      <c r="AO134" s="299"/>
      <c r="AP134" s="300"/>
      <c r="AQ134" s="299">
        <f>SUM(AQ126:AQ133)</f>
        <v>230453.52</v>
      </c>
      <c r="AR134" s="304">
        <f>SUM(AR126:AR133)</f>
        <v>17563825.969999999</v>
      </c>
      <c r="AS134" s="304">
        <f>SUM(AS126:AS133)</f>
        <v>7957791.1299999999</v>
      </c>
      <c r="AT134" s="304">
        <f t="shared" ref="AT134" si="298">SUM(AT126:AT133)</f>
        <v>230453.52</v>
      </c>
      <c r="AU134" s="304">
        <f t="shared" ref="AU134" si="299">SUM(AU126:AU133)</f>
        <v>19226906.990000002</v>
      </c>
      <c r="AV134" s="347">
        <f>SUM(AR134:AU134)</f>
        <v>44978977.609999999</v>
      </c>
      <c r="AW134" s="341">
        <f>SUM(AW126:AW133)</f>
        <v>42307085.772707246</v>
      </c>
      <c r="AX134" s="304">
        <f>SUM(AX126:AX133)</f>
        <v>5122500.9686128404</v>
      </c>
      <c r="AY134" s="304">
        <f>SUM(AY126:AY133)</f>
        <v>0</v>
      </c>
      <c r="AZ134" s="304">
        <f>SUM(AZ126:AZ133)</f>
        <v>9235451.0269814953</v>
      </c>
      <c r="BA134" s="298">
        <f t="shared" si="283"/>
        <v>56665037.768301584</v>
      </c>
      <c r="BB134" s="336">
        <f>SUM(BB126:BB133)</f>
        <v>59870911.742707245</v>
      </c>
      <c r="BC134" s="304">
        <f>SUM(BC126:BC133)</f>
        <v>13080292.098612841</v>
      </c>
      <c r="BD134" s="304">
        <f>SUM(BD126:BD133)</f>
        <v>230453.52</v>
      </c>
      <c r="BE134" s="304">
        <f>SUM(BE126:BE133)</f>
        <v>28462358.016981497</v>
      </c>
      <c r="BF134" s="304">
        <f t="shared" si="286"/>
        <v>101644015.37830158</v>
      </c>
    </row>
    <row r="135" spans="1:58" ht="25.5" customHeight="1">
      <c r="A135" s="531">
        <v>11</v>
      </c>
      <c r="B135" s="303" t="s">
        <v>165</v>
      </c>
      <c r="C135" s="626" t="s">
        <v>462</v>
      </c>
      <c r="D135" s="626"/>
      <c r="E135" s="626"/>
      <c r="F135" s="626"/>
      <c r="G135" s="626"/>
      <c r="H135" s="626"/>
      <c r="I135" s="626"/>
      <c r="J135" s="626"/>
      <c r="K135" s="626"/>
      <c r="L135" s="626"/>
      <c r="M135" s="626"/>
      <c r="N135" s="626"/>
      <c r="O135" s="626"/>
      <c r="P135" s="626"/>
      <c r="Q135" s="626"/>
      <c r="R135" s="626"/>
      <c r="S135" s="626"/>
      <c r="T135" s="626"/>
      <c r="U135" s="626"/>
      <c r="V135" s="626"/>
      <c r="W135" s="626"/>
      <c r="X135" s="626"/>
      <c r="Y135" s="626"/>
      <c r="Z135" s="626"/>
      <c r="AA135" s="626"/>
      <c r="AB135" s="342">
        <f t="shared" si="198"/>
        <v>0</v>
      </c>
      <c r="AC135" s="304">
        <f t="shared" si="217"/>
        <v>0</v>
      </c>
      <c r="AD135" s="304">
        <f t="shared" si="218"/>
        <v>0</v>
      </c>
      <c r="AE135" s="304">
        <f t="shared" si="219"/>
        <v>0</v>
      </c>
      <c r="AF135" s="304">
        <f t="shared" si="220"/>
        <v>0</v>
      </c>
      <c r="AG135" s="304">
        <f t="shared" si="221"/>
        <v>0</v>
      </c>
      <c r="AH135" s="304">
        <f t="shared" si="196"/>
        <v>0</v>
      </c>
      <c r="AI135" s="304">
        <f t="shared" si="197"/>
        <v>0</v>
      </c>
      <c r="AJ135" s="303"/>
      <c r="AK135" s="303"/>
      <c r="AL135" s="303"/>
      <c r="AM135" s="303"/>
      <c r="AN135" s="303"/>
      <c r="AO135" s="303"/>
      <c r="AP135" s="308"/>
      <c r="AQ135" s="303"/>
      <c r="AR135" s="303"/>
      <c r="AS135" s="303"/>
      <c r="AT135" s="303"/>
      <c r="AU135" s="303"/>
      <c r="AV135" s="346"/>
      <c r="AW135" s="340"/>
      <c r="AX135" s="303"/>
      <c r="AY135" s="303"/>
      <c r="AZ135" s="303"/>
      <c r="BA135" s="308"/>
      <c r="BB135" s="321"/>
      <c r="BC135" s="303"/>
      <c r="BD135" s="303"/>
      <c r="BE135" s="303"/>
      <c r="BF135" s="303"/>
    </row>
    <row r="136" spans="1:58" ht="25.5" customHeight="1">
      <c r="A136" s="531"/>
      <c r="B136" s="303"/>
      <c r="C136" s="361" t="s">
        <v>447</v>
      </c>
      <c r="D136" s="360"/>
      <c r="E136" s="360"/>
      <c r="F136" s="360"/>
      <c r="G136" s="360">
        <v>119678</v>
      </c>
      <c r="H136" s="360">
        <v>17160.060000000001</v>
      </c>
      <c r="I136" s="360"/>
      <c r="J136" s="360">
        <v>632783.72</v>
      </c>
      <c r="K136" s="360">
        <v>461375.46</v>
      </c>
      <c r="L136" s="360"/>
      <c r="M136" s="360">
        <f>3230876.34-119678-632783.72+1462998.19</f>
        <v>3941412.81</v>
      </c>
      <c r="N136" s="360">
        <f>636840+109698.9+68381.94+301935.62+737200-17160.06-461375.46+317100+33600</f>
        <v>1726220.94</v>
      </c>
      <c r="O136" s="360"/>
      <c r="P136" s="360">
        <v>8335709.0599999996</v>
      </c>
      <c r="Q136" s="360">
        <v>2913514.84</v>
      </c>
      <c r="R136" s="360"/>
      <c r="S136" s="360"/>
      <c r="T136" s="360">
        <f>896140+133030</f>
        <v>1029170</v>
      </c>
      <c r="U136" s="360"/>
      <c r="V136" s="360">
        <f>716326+196075</f>
        <v>912401</v>
      </c>
      <c r="W136" s="360">
        <v>830540.23</v>
      </c>
      <c r="X136" s="360"/>
      <c r="Y136" s="360">
        <f t="shared" ref="Y136:AA144" si="300">+D136+G136+J136+M136+P136+S136+V136</f>
        <v>13941984.59</v>
      </c>
      <c r="Z136" s="360">
        <f t="shared" si="300"/>
        <v>6977981.5299999993</v>
      </c>
      <c r="AA136" s="360">
        <f t="shared" si="300"/>
        <v>0</v>
      </c>
      <c r="AB136" s="342">
        <f t="shared" si="198"/>
        <v>20919966.119999997</v>
      </c>
      <c r="AC136" s="304">
        <f t="shared" si="217"/>
        <v>5606275.5300000003</v>
      </c>
      <c r="AD136" s="304">
        <f t="shared" si="218"/>
        <v>4064466.69</v>
      </c>
      <c r="AE136" s="304">
        <f t="shared" si="219"/>
        <v>0</v>
      </c>
      <c r="AF136" s="304">
        <f t="shared" si="220"/>
        <v>11249223.899999999</v>
      </c>
      <c r="AG136" s="304">
        <f t="shared" si="221"/>
        <v>20919966.119999997</v>
      </c>
      <c r="AH136" s="304">
        <f t="shared" si="196"/>
        <v>11249223.899999999</v>
      </c>
      <c r="AI136" s="304">
        <f t="shared" si="197"/>
        <v>9670742.2200000007</v>
      </c>
      <c r="AJ136" s="304">
        <f>+AI136*100/AI144</f>
        <v>32.697020044497627</v>
      </c>
      <c r="AK136" s="304">
        <f>+AH136*AJ136/100</f>
        <v>3678160.9934334173</v>
      </c>
      <c r="AL136" s="303"/>
      <c r="AM136" s="303"/>
      <c r="AN136" s="303"/>
      <c r="AO136" s="303"/>
      <c r="AP136" s="308"/>
      <c r="AQ136" s="299">
        <v>1232282.5</v>
      </c>
      <c r="AR136" s="304">
        <f>+AC136+AL136</f>
        <v>5606275.5300000003</v>
      </c>
      <c r="AS136" s="304">
        <f>+AD136+AM136</f>
        <v>4064466.69</v>
      </c>
      <c r="AT136" s="304">
        <f>+AE136+AN136+AQ136</f>
        <v>1232282.5</v>
      </c>
      <c r="AU136" s="304">
        <f>+AK136+AO136</f>
        <v>3678160.9934334173</v>
      </c>
      <c r="AV136" s="347">
        <f>SUM(AR136:AU136)</f>
        <v>14581185.713433418</v>
      </c>
      <c r="AW136" s="341">
        <f t="shared" ref="AW136:AZ137" si="301">+AC274*AR136/AR187</f>
        <v>1009435.0743397791</v>
      </c>
      <c r="AX136" s="304">
        <f t="shared" si="301"/>
        <v>1232075.2856616369</v>
      </c>
      <c r="AY136" s="304">
        <f t="shared" si="301"/>
        <v>0</v>
      </c>
      <c r="AZ136" s="304">
        <f t="shared" si="301"/>
        <v>0</v>
      </c>
      <c r="BA136" s="298">
        <f t="shared" ref="BA136:BA144" si="302">SUM(AW136:AZ136)</f>
        <v>2241510.3600014159</v>
      </c>
      <c r="BB136" s="304">
        <f>+AR136+AW136</f>
        <v>6615710.6043397794</v>
      </c>
      <c r="BC136" s="304">
        <f t="shared" ref="BC136:BC143" si="303">+AS136+AX136</f>
        <v>5296541.9756616373</v>
      </c>
      <c r="BD136" s="304">
        <f t="shared" ref="BD136:BD143" si="304">+AT136+AY136</f>
        <v>1232282.5</v>
      </c>
      <c r="BE136" s="304">
        <f>+AU136+AZ136</f>
        <v>3678160.9934334173</v>
      </c>
      <c r="BF136" s="304">
        <f t="shared" ref="BF136:BF144" si="305">SUM(BB136:BE136)</f>
        <v>16822696.073434833</v>
      </c>
    </row>
    <row r="137" spans="1:58" ht="25.5" customHeight="1">
      <c r="A137" s="531"/>
      <c r="B137" s="303"/>
      <c r="C137" s="361" t="s">
        <v>448</v>
      </c>
      <c r="D137" s="360"/>
      <c r="E137" s="360"/>
      <c r="F137" s="360"/>
      <c r="G137" s="360"/>
      <c r="H137" s="360"/>
      <c r="I137" s="360"/>
      <c r="J137" s="360"/>
      <c r="K137" s="360"/>
      <c r="L137" s="360"/>
      <c r="M137" s="360"/>
      <c r="N137" s="360"/>
      <c r="O137" s="360"/>
      <c r="P137" s="360"/>
      <c r="Q137" s="360"/>
      <c r="R137" s="360"/>
      <c r="S137" s="360"/>
      <c r="T137" s="360"/>
      <c r="U137" s="360"/>
      <c r="V137" s="360"/>
      <c r="W137" s="360"/>
      <c r="X137" s="360"/>
      <c r="Y137" s="360">
        <f t="shared" si="300"/>
        <v>0</v>
      </c>
      <c r="Z137" s="360">
        <f t="shared" si="300"/>
        <v>0</v>
      </c>
      <c r="AA137" s="360">
        <f t="shared" si="300"/>
        <v>0</v>
      </c>
      <c r="AB137" s="342">
        <f t="shared" si="198"/>
        <v>0</v>
      </c>
      <c r="AC137" s="304">
        <f t="shared" si="217"/>
        <v>0</v>
      </c>
      <c r="AD137" s="304">
        <f t="shared" si="218"/>
        <v>0</v>
      </c>
      <c r="AE137" s="304">
        <f t="shared" si="219"/>
        <v>0</v>
      </c>
      <c r="AF137" s="304">
        <f t="shared" si="220"/>
        <v>0</v>
      </c>
      <c r="AG137" s="304">
        <f t="shared" si="221"/>
        <v>0</v>
      </c>
      <c r="AH137" s="304">
        <f t="shared" si="196"/>
        <v>0</v>
      </c>
      <c r="AI137" s="304">
        <f t="shared" si="197"/>
        <v>0</v>
      </c>
      <c r="AJ137" s="304">
        <f>+AI137*100/AI144</f>
        <v>0</v>
      </c>
      <c r="AK137" s="304">
        <f>+AH136*AJ137/100</f>
        <v>0</v>
      </c>
      <c r="AL137" s="303"/>
      <c r="AM137" s="303"/>
      <c r="AN137" s="303"/>
      <c r="AO137" s="303"/>
      <c r="AP137" s="308"/>
      <c r="AQ137" s="303"/>
      <c r="AR137" s="304">
        <f t="shared" ref="AR137:AR143" si="306">+AC137+AL137</f>
        <v>0</v>
      </c>
      <c r="AS137" s="304">
        <f t="shared" ref="AS137:AS143" si="307">+AD137+AM137</f>
        <v>0</v>
      </c>
      <c r="AT137" s="304">
        <f t="shared" ref="AT137:AT143" si="308">+AE137+AN137+AQ137</f>
        <v>0</v>
      </c>
      <c r="AU137" s="304">
        <f t="shared" ref="AU137:AU143" si="309">+AK137+AO137</f>
        <v>0</v>
      </c>
      <c r="AV137" s="347">
        <f t="shared" ref="AV137:AV143" si="310">SUM(AR137:AU137)</f>
        <v>0</v>
      </c>
      <c r="AW137" s="341">
        <f t="shared" si="301"/>
        <v>0</v>
      </c>
      <c r="AX137" s="304">
        <f t="shared" si="301"/>
        <v>0</v>
      </c>
      <c r="AY137" s="304">
        <f t="shared" si="301"/>
        <v>0</v>
      </c>
      <c r="AZ137" s="304">
        <f t="shared" si="301"/>
        <v>0</v>
      </c>
      <c r="BA137" s="298">
        <f t="shared" si="302"/>
        <v>0</v>
      </c>
      <c r="BB137" s="304">
        <f t="shared" ref="BB137:BB143" si="311">+AR137+AW137</f>
        <v>0</v>
      </c>
      <c r="BC137" s="304">
        <f t="shared" si="303"/>
        <v>0</v>
      </c>
      <c r="BD137" s="304">
        <f t="shared" si="304"/>
        <v>0</v>
      </c>
      <c r="BE137" s="304">
        <f t="shared" ref="BE137:BE143" si="312">+AU137+AZ137</f>
        <v>0</v>
      </c>
      <c r="BF137" s="304">
        <f t="shared" si="305"/>
        <v>0</v>
      </c>
    </row>
    <row r="138" spans="1:58" ht="25.5" customHeight="1">
      <c r="A138" s="531"/>
      <c r="B138" s="303"/>
      <c r="C138" s="361" t="s">
        <v>449</v>
      </c>
      <c r="D138" s="360"/>
      <c r="E138" s="360"/>
      <c r="F138" s="360"/>
      <c r="G138" s="360"/>
      <c r="H138" s="360"/>
      <c r="I138" s="360"/>
      <c r="J138" s="360"/>
      <c r="K138" s="360"/>
      <c r="L138" s="360"/>
      <c r="M138" s="360"/>
      <c r="N138" s="360"/>
      <c r="O138" s="360"/>
      <c r="P138" s="360"/>
      <c r="Q138" s="360"/>
      <c r="R138" s="360"/>
      <c r="S138" s="360">
        <v>348422</v>
      </c>
      <c r="T138" s="360"/>
      <c r="U138" s="360"/>
      <c r="V138" s="360"/>
      <c r="W138" s="360"/>
      <c r="X138" s="360"/>
      <c r="Y138" s="360">
        <f t="shared" si="300"/>
        <v>348422</v>
      </c>
      <c r="Z138" s="360">
        <f t="shared" si="300"/>
        <v>0</v>
      </c>
      <c r="AA138" s="360">
        <f t="shared" si="300"/>
        <v>0</v>
      </c>
      <c r="AB138" s="342">
        <f t="shared" si="198"/>
        <v>348422</v>
      </c>
      <c r="AC138" s="304">
        <f t="shared" si="217"/>
        <v>348422</v>
      </c>
      <c r="AD138" s="304">
        <f t="shared" si="218"/>
        <v>0</v>
      </c>
      <c r="AE138" s="304">
        <f t="shared" si="219"/>
        <v>0</v>
      </c>
      <c r="AF138" s="304">
        <f t="shared" si="220"/>
        <v>0</v>
      </c>
      <c r="AG138" s="304">
        <f t="shared" si="221"/>
        <v>348422</v>
      </c>
      <c r="AH138" s="304">
        <f t="shared" si="196"/>
        <v>0</v>
      </c>
      <c r="AI138" s="304">
        <f t="shared" si="197"/>
        <v>348422</v>
      </c>
      <c r="AJ138" s="304">
        <f>+AI138*100/AI144</f>
        <v>1.1780234504010956</v>
      </c>
      <c r="AK138" s="304">
        <f>+AH136*AJ138/100</f>
        <v>132518.49553012467</v>
      </c>
      <c r="AL138" s="303"/>
      <c r="AM138" s="303"/>
      <c r="AN138" s="303"/>
      <c r="AO138" s="303"/>
      <c r="AP138" s="308"/>
      <c r="AQ138" s="303"/>
      <c r="AR138" s="304">
        <f t="shared" si="306"/>
        <v>348422</v>
      </c>
      <c r="AS138" s="304">
        <f t="shared" si="307"/>
        <v>0</v>
      </c>
      <c r="AT138" s="304">
        <f t="shared" si="308"/>
        <v>0</v>
      </c>
      <c r="AU138" s="304">
        <f t="shared" si="309"/>
        <v>132518.49553012467</v>
      </c>
      <c r="AV138" s="347">
        <f t="shared" si="310"/>
        <v>480940.49553012464</v>
      </c>
      <c r="AW138" s="341">
        <f t="shared" ref="AW138:AX142" si="313">+AC276*AR138/AR189</f>
        <v>384096.81695852033</v>
      </c>
      <c r="AX138" s="304">
        <f t="shared" si="313"/>
        <v>0</v>
      </c>
      <c r="AY138" s="304">
        <v>0</v>
      </c>
      <c r="AZ138" s="304">
        <f t="shared" ref="AZ138:AZ143" si="314">+AF276*AU138/AU189</f>
        <v>0</v>
      </c>
      <c r="BA138" s="298">
        <f t="shared" si="302"/>
        <v>384096.81695852033</v>
      </c>
      <c r="BB138" s="304">
        <f t="shared" si="311"/>
        <v>732518.81695852033</v>
      </c>
      <c r="BC138" s="304">
        <f t="shared" si="303"/>
        <v>0</v>
      </c>
      <c r="BD138" s="304">
        <f t="shared" si="304"/>
        <v>0</v>
      </c>
      <c r="BE138" s="304">
        <f t="shared" si="312"/>
        <v>132518.49553012467</v>
      </c>
      <c r="BF138" s="304">
        <f t="shared" si="305"/>
        <v>865037.31248864497</v>
      </c>
    </row>
    <row r="139" spans="1:58" ht="25.5" customHeight="1">
      <c r="A139" s="531"/>
      <c r="B139" s="303"/>
      <c r="C139" s="361" t="s">
        <v>450</v>
      </c>
      <c r="D139" s="360"/>
      <c r="E139" s="360"/>
      <c r="F139" s="360"/>
      <c r="G139" s="360"/>
      <c r="H139" s="360"/>
      <c r="I139" s="360"/>
      <c r="J139" s="360"/>
      <c r="K139" s="360"/>
      <c r="L139" s="360"/>
      <c r="M139" s="360"/>
      <c r="N139" s="360"/>
      <c r="O139" s="360"/>
      <c r="P139" s="360"/>
      <c r="Q139" s="360"/>
      <c r="R139" s="360"/>
      <c r="S139" s="360"/>
      <c r="T139" s="360"/>
      <c r="U139" s="360"/>
      <c r="V139" s="360">
        <v>50000</v>
      </c>
      <c r="W139" s="360">
        <v>200000</v>
      </c>
      <c r="X139" s="360"/>
      <c r="Y139" s="360">
        <f t="shared" si="300"/>
        <v>50000</v>
      </c>
      <c r="Z139" s="360">
        <f t="shared" si="300"/>
        <v>200000</v>
      </c>
      <c r="AA139" s="360">
        <f t="shared" si="300"/>
        <v>0</v>
      </c>
      <c r="AB139" s="342">
        <f t="shared" si="198"/>
        <v>250000</v>
      </c>
      <c r="AC139" s="304">
        <f t="shared" si="217"/>
        <v>50000</v>
      </c>
      <c r="AD139" s="304">
        <f t="shared" si="218"/>
        <v>200000</v>
      </c>
      <c r="AE139" s="304">
        <f t="shared" si="219"/>
        <v>0</v>
      </c>
      <c r="AF139" s="304">
        <f t="shared" si="220"/>
        <v>0</v>
      </c>
      <c r="AG139" s="304">
        <f t="shared" si="221"/>
        <v>250000</v>
      </c>
      <c r="AH139" s="304">
        <f t="shared" si="196"/>
        <v>0</v>
      </c>
      <c r="AI139" s="304">
        <f t="shared" si="197"/>
        <v>250000</v>
      </c>
      <c r="AJ139" s="304">
        <f>+AI139*100/AI144</f>
        <v>0.84525621975728815</v>
      </c>
      <c r="AK139" s="304">
        <f>+AH136*AJ139/100</f>
        <v>95084.76468917336</v>
      </c>
      <c r="AL139" s="303"/>
      <c r="AM139" s="303"/>
      <c r="AN139" s="303"/>
      <c r="AO139" s="303"/>
      <c r="AP139" s="308"/>
      <c r="AQ139" s="303"/>
      <c r="AR139" s="304">
        <f t="shared" si="306"/>
        <v>50000</v>
      </c>
      <c r="AS139" s="304">
        <f t="shared" si="307"/>
        <v>200000</v>
      </c>
      <c r="AT139" s="304">
        <f t="shared" si="308"/>
        <v>0</v>
      </c>
      <c r="AU139" s="304">
        <f t="shared" si="309"/>
        <v>95084.76468917336</v>
      </c>
      <c r="AV139" s="347">
        <f t="shared" si="310"/>
        <v>345084.76468917337</v>
      </c>
      <c r="AW139" s="341">
        <f t="shared" si="313"/>
        <v>87696.374859911215</v>
      </c>
      <c r="AX139" s="304">
        <f t="shared" si="313"/>
        <v>0</v>
      </c>
      <c r="AY139" s="304">
        <v>0</v>
      </c>
      <c r="AZ139" s="304">
        <f t="shared" si="314"/>
        <v>0</v>
      </c>
      <c r="BA139" s="298">
        <f t="shared" si="302"/>
        <v>87696.374859911215</v>
      </c>
      <c r="BB139" s="304">
        <f t="shared" si="311"/>
        <v>137696.37485991122</v>
      </c>
      <c r="BC139" s="304">
        <f t="shared" si="303"/>
        <v>200000</v>
      </c>
      <c r="BD139" s="304">
        <f t="shared" si="304"/>
        <v>0</v>
      </c>
      <c r="BE139" s="304">
        <f t="shared" si="312"/>
        <v>95084.76468917336</v>
      </c>
      <c r="BF139" s="304">
        <f t="shared" si="305"/>
        <v>432781.13954908459</v>
      </c>
    </row>
    <row r="140" spans="1:58" ht="25.5" customHeight="1">
      <c r="A140" s="531"/>
      <c r="B140" s="303"/>
      <c r="C140" s="361" t="s">
        <v>451</v>
      </c>
      <c r="D140" s="360">
        <v>8532520</v>
      </c>
      <c r="E140" s="121">
        <v>6616219.5499999998</v>
      </c>
      <c r="F140" s="360"/>
      <c r="G140" s="360"/>
      <c r="H140" s="360"/>
      <c r="I140" s="360"/>
      <c r="J140" s="360"/>
      <c r="K140" s="360"/>
      <c r="L140" s="360"/>
      <c r="M140" s="360"/>
      <c r="N140" s="360">
        <f>974225.8+308201</f>
        <v>1282426.8</v>
      </c>
      <c r="O140" s="360"/>
      <c r="P140" s="360"/>
      <c r="Q140" s="360"/>
      <c r="R140" s="360"/>
      <c r="S140" s="360"/>
      <c r="T140" s="360"/>
      <c r="U140" s="360"/>
      <c r="V140" s="360"/>
      <c r="W140" s="360"/>
      <c r="X140" s="360"/>
      <c r="Y140" s="360">
        <f t="shared" si="300"/>
        <v>8532520</v>
      </c>
      <c r="Z140" s="360">
        <f t="shared" si="300"/>
        <v>7898646.3499999996</v>
      </c>
      <c r="AA140" s="360">
        <f t="shared" si="300"/>
        <v>0</v>
      </c>
      <c r="AB140" s="342">
        <f t="shared" si="198"/>
        <v>16431166.35</v>
      </c>
      <c r="AC140" s="304">
        <f t="shared" si="217"/>
        <v>8532520</v>
      </c>
      <c r="AD140" s="304">
        <f t="shared" si="218"/>
        <v>7898646.3499999996</v>
      </c>
      <c r="AE140" s="304">
        <f t="shared" si="219"/>
        <v>0</v>
      </c>
      <c r="AF140" s="304">
        <f t="shared" si="220"/>
        <v>0</v>
      </c>
      <c r="AG140" s="304">
        <f t="shared" si="221"/>
        <v>16431166.35</v>
      </c>
      <c r="AH140" s="304">
        <f t="shared" si="196"/>
        <v>0</v>
      </c>
      <c r="AI140" s="304">
        <f t="shared" si="197"/>
        <v>16431166.35</v>
      </c>
      <c r="AJ140" s="304">
        <f>+AI140*100/AI144</f>
        <v>55.554182220816635</v>
      </c>
      <c r="AK140" s="304">
        <f>+AH136*AJ140/100</f>
        <v>6249414.3438336551</v>
      </c>
      <c r="AL140" s="303"/>
      <c r="AM140" s="303"/>
      <c r="AN140" s="303"/>
      <c r="AO140" s="303"/>
      <c r="AP140" s="308"/>
      <c r="AQ140" s="303"/>
      <c r="AR140" s="304">
        <f t="shared" si="306"/>
        <v>8532520</v>
      </c>
      <c r="AS140" s="304">
        <f t="shared" si="307"/>
        <v>7898646.3499999996</v>
      </c>
      <c r="AT140" s="304">
        <f t="shared" si="308"/>
        <v>0</v>
      </c>
      <c r="AU140" s="304">
        <f t="shared" si="309"/>
        <v>6249414.3438336551</v>
      </c>
      <c r="AV140" s="347">
        <f t="shared" si="310"/>
        <v>22680580.693833657</v>
      </c>
      <c r="AW140" s="341">
        <f t="shared" si="313"/>
        <v>30534632.590339001</v>
      </c>
      <c r="AX140" s="304">
        <f t="shared" si="313"/>
        <v>2678675.8597692288</v>
      </c>
      <c r="AY140" s="304">
        <f>+AE278*AT140/AT191</f>
        <v>0</v>
      </c>
      <c r="AZ140" s="304">
        <f t="shared" si="314"/>
        <v>0</v>
      </c>
      <c r="BA140" s="298">
        <f t="shared" si="302"/>
        <v>33213308.45010823</v>
      </c>
      <c r="BB140" s="304">
        <f t="shared" si="311"/>
        <v>39067152.590339005</v>
      </c>
      <c r="BC140" s="304">
        <f t="shared" si="303"/>
        <v>10577322.209769228</v>
      </c>
      <c r="BD140" s="304">
        <f t="shared" si="304"/>
        <v>0</v>
      </c>
      <c r="BE140" s="304">
        <f t="shared" si="312"/>
        <v>6249414.3438336551</v>
      </c>
      <c r="BF140" s="304">
        <f t="shared" si="305"/>
        <v>55893889.143941887</v>
      </c>
    </row>
    <row r="141" spans="1:58" ht="25.5" customHeight="1">
      <c r="A141" s="531"/>
      <c r="B141" s="303"/>
      <c r="C141" s="361" t="s">
        <v>452</v>
      </c>
      <c r="D141" s="360"/>
      <c r="E141" s="360"/>
      <c r="F141" s="360"/>
      <c r="G141" s="360"/>
      <c r="H141" s="360"/>
      <c r="I141" s="360"/>
      <c r="J141" s="360"/>
      <c r="K141" s="360"/>
      <c r="L141" s="360"/>
      <c r="M141" s="360"/>
      <c r="N141" s="360"/>
      <c r="O141" s="360"/>
      <c r="P141" s="360"/>
      <c r="Q141" s="360"/>
      <c r="R141" s="360"/>
      <c r="S141" s="360"/>
      <c r="T141" s="360">
        <v>120000</v>
      </c>
      <c r="U141" s="360"/>
      <c r="V141" s="360"/>
      <c r="W141" s="360"/>
      <c r="X141" s="360"/>
      <c r="Y141" s="360">
        <f t="shared" si="300"/>
        <v>0</v>
      </c>
      <c r="Z141" s="360">
        <f t="shared" si="300"/>
        <v>120000</v>
      </c>
      <c r="AA141" s="360">
        <f t="shared" si="300"/>
        <v>0</v>
      </c>
      <c r="AB141" s="342">
        <f t="shared" si="198"/>
        <v>120000</v>
      </c>
      <c r="AC141" s="304">
        <f t="shared" si="217"/>
        <v>0</v>
      </c>
      <c r="AD141" s="304">
        <f t="shared" si="218"/>
        <v>120000</v>
      </c>
      <c r="AE141" s="304">
        <f t="shared" si="219"/>
        <v>0</v>
      </c>
      <c r="AF141" s="304">
        <f t="shared" si="220"/>
        <v>0</v>
      </c>
      <c r="AG141" s="304">
        <f t="shared" si="221"/>
        <v>120000</v>
      </c>
      <c r="AH141" s="304">
        <f t="shared" si="196"/>
        <v>0</v>
      </c>
      <c r="AI141" s="304">
        <f t="shared" si="197"/>
        <v>120000</v>
      </c>
      <c r="AJ141" s="304">
        <f>+AI141*100/AI144</f>
        <v>0.40572298548349833</v>
      </c>
      <c r="AK141" s="304">
        <f>+AH136*AJ141/100</f>
        <v>45640.687050803223</v>
      </c>
      <c r="AL141" s="303"/>
      <c r="AM141" s="303"/>
      <c r="AN141" s="303"/>
      <c r="AO141" s="303"/>
      <c r="AP141" s="308"/>
      <c r="AQ141" s="303"/>
      <c r="AR141" s="304">
        <f t="shared" si="306"/>
        <v>0</v>
      </c>
      <c r="AS141" s="304">
        <f t="shared" si="307"/>
        <v>120000</v>
      </c>
      <c r="AT141" s="304">
        <f t="shared" si="308"/>
        <v>0</v>
      </c>
      <c r="AU141" s="304">
        <f t="shared" si="309"/>
        <v>45640.687050803223</v>
      </c>
      <c r="AV141" s="347">
        <f t="shared" si="310"/>
        <v>165640.68705080322</v>
      </c>
      <c r="AW141" s="341">
        <f t="shared" si="313"/>
        <v>0</v>
      </c>
      <c r="AX141" s="304">
        <f t="shared" si="313"/>
        <v>0</v>
      </c>
      <c r="AY141" s="304">
        <v>0</v>
      </c>
      <c r="AZ141" s="304">
        <f t="shared" si="314"/>
        <v>0</v>
      </c>
      <c r="BA141" s="298">
        <f t="shared" si="302"/>
        <v>0</v>
      </c>
      <c r="BB141" s="304">
        <f t="shared" si="311"/>
        <v>0</v>
      </c>
      <c r="BC141" s="304">
        <f t="shared" si="303"/>
        <v>120000</v>
      </c>
      <c r="BD141" s="304">
        <f t="shared" si="304"/>
        <v>0</v>
      </c>
      <c r="BE141" s="304">
        <f t="shared" si="312"/>
        <v>45640.687050803223</v>
      </c>
      <c r="BF141" s="304">
        <f t="shared" si="305"/>
        <v>165640.68705080322</v>
      </c>
    </row>
    <row r="142" spans="1:58" ht="25.5" customHeight="1">
      <c r="A142" s="531"/>
      <c r="B142" s="303"/>
      <c r="C142" s="361" t="s">
        <v>453</v>
      </c>
      <c r="D142" s="360"/>
      <c r="E142" s="360"/>
      <c r="F142" s="360"/>
      <c r="G142" s="360"/>
      <c r="H142" s="360"/>
      <c r="I142" s="360"/>
      <c r="J142" s="360"/>
      <c r="K142" s="360"/>
      <c r="L142" s="360"/>
      <c r="M142" s="360"/>
      <c r="N142" s="360"/>
      <c r="O142" s="360"/>
      <c r="P142" s="360"/>
      <c r="Q142" s="360"/>
      <c r="R142" s="360"/>
      <c r="S142" s="360">
        <v>1911000</v>
      </c>
      <c r="T142" s="360"/>
      <c r="U142" s="360"/>
      <c r="V142" s="360"/>
      <c r="W142" s="360"/>
      <c r="X142" s="360"/>
      <c r="Y142" s="360">
        <f t="shared" si="300"/>
        <v>1911000</v>
      </c>
      <c r="Z142" s="360">
        <f t="shared" si="300"/>
        <v>0</v>
      </c>
      <c r="AA142" s="360">
        <f t="shared" si="300"/>
        <v>0</v>
      </c>
      <c r="AB142" s="342">
        <f t="shared" si="198"/>
        <v>1911000</v>
      </c>
      <c r="AC142" s="304">
        <f t="shared" si="217"/>
        <v>1911000</v>
      </c>
      <c r="AD142" s="304">
        <f t="shared" si="218"/>
        <v>0</v>
      </c>
      <c r="AE142" s="304">
        <f t="shared" si="219"/>
        <v>0</v>
      </c>
      <c r="AF142" s="304">
        <f t="shared" si="220"/>
        <v>0</v>
      </c>
      <c r="AG142" s="304">
        <f t="shared" si="221"/>
        <v>1911000</v>
      </c>
      <c r="AH142" s="304">
        <f t="shared" si="196"/>
        <v>0</v>
      </c>
      <c r="AI142" s="304">
        <f t="shared" si="197"/>
        <v>1911000</v>
      </c>
      <c r="AJ142" s="304">
        <f>+AI142*100/AI144</f>
        <v>6.4611385438247106</v>
      </c>
      <c r="AK142" s="304">
        <f>+AH136*AJ142/100</f>
        <v>726827.94128404127</v>
      </c>
      <c r="AL142" s="303"/>
      <c r="AM142" s="303"/>
      <c r="AN142" s="303"/>
      <c r="AO142" s="303"/>
      <c r="AP142" s="308"/>
      <c r="AQ142" s="303"/>
      <c r="AR142" s="304">
        <f t="shared" si="306"/>
        <v>1911000</v>
      </c>
      <c r="AS142" s="304">
        <f t="shared" si="307"/>
        <v>0</v>
      </c>
      <c r="AT142" s="304">
        <f t="shared" si="308"/>
        <v>0</v>
      </c>
      <c r="AU142" s="304">
        <f t="shared" si="309"/>
        <v>726827.94128404127</v>
      </c>
      <c r="AV142" s="347">
        <f t="shared" si="310"/>
        <v>2637827.9412840414</v>
      </c>
      <c r="AW142" s="341">
        <f t="shared" si="313"/>
        <v>0</v>
      </c>
      <c r="AX142" s="304">
        <f t="shared" si="313"/>
        <v>0</v>
      </c>
      <c r="AY142" s="304">
        <v>0</v>
      </c>
      <c r="AZ142" s="304">
        <f t="shared" si="314"/>
        <v>0</v>
      </c>
      <c r="BA142" s="298">
        <f t="shared" si="302"/>
        <v>0</v>
      </c>
      <c r="BB142" s="304">
        <f t="shared" si="311"/>
        <v>1911000</v>
      </c>
      <c r="BC142" s="304">
        <f t="shared" si="303"/>
        <v>0</v>
      </c>
      <c r="BD142" s="304">
        <f t="shared" si="304"/>
        <v>0</v>
      </c>
      <c r="BE142" s="304">
        <f t="shared" si="312"/>
        <v>726827.94128404127</v>
      </c>
      <c r="BF142" s="304">
        <f t="shared" si="305"/>
        <v>2637827.9412840414</v>
      </c>
    </row>
    <row r="143" spans="1:58" ht="25.5" customHeight="1">
      <c r="A143" s="531"/>
      <c r="B143" s="303"/>
      <c r="C143" s="361" t="s">
        <v>454</v>
      </c>
      <c r="D143" s="360"/>
      <c r="E143" s="360"/>
      <c r="F143" s="360"/>
      <c r="G143" s="360"/>
      <c r="H143" s="360"/>
      <c r="I143" s="360"/>
      <c r="J143" s="360"/>
      <c r="K143" s="360"/>
      <c r="L143" s="360"/>
      <c r="M143" s="360"/>
      <c r="N143" s="360"/>
      <c r="O143" s="360"/>
      <c r="P143" s="360"/>
      <c r="Q143" s="360"/>
      <c r="R143" s="360"/>
      <c r="S143" s="360">
        <v>845500</v>
      </c>
      <c r="T143" s="360"/>
      <c r="U143" s="360"/>
      <c r="V143" s="360"/>
      <c r="W143" s="360"/>
      <c r="X143" s="360"/>
      <c r="Y143" s="360">
        <f t="shared" si="300"/>
        <v>845500</v>
      </c>
      <c r="Z143" s="360">
        <f t="shared" si="300"/>
        <v>0</v>
      </c>
      <c r="AA143" s="360">
        <f t="shared" si="300"/>
        <v>0</v>
      </c>
      <c r="AB143" s="342">
        <f t="shared" si="198"/>
        <v>845500</v>
      </c>
      <c r="AC143" s="304">
        <f t="shared" si="217"/>
        <v>845500</v>
      </c>
      <c r="AD143" s="304">
        <f t="shared" si="218"/>
        <v>0</v>
      </c>
      <c r="AE143" s="304">
        <f t="shared" si="219"/>
        <v>0</v>
      </c>
      <c r="AF143" s="304">
        <f t="shared" si="220"/>
        <v>0</v>
      </c>
      <c r="AG143" s="304">
        <f t="shared" si="221"/>
        <v>845500</v>
      </c>
      <c r="AH143" s="304">
        <f t="shared" si="196"/>
        <v>0</v>
      </c>
      <c r="AI143" s="304">
        <f t="shared" si="197"/>
        <v>845500</v>
      </c>
      <c r="AJ143" s="304">
        <f>+AI143*100/AI144</f>
        <v>2.8586565352191489</v>
      </c>
      <c r="AK143" s="304">
        <f>+AH136*AJ143/100</f>
        <v>321576.67417878436</v>
      </c>
      <c r="AL143" s="303"/>
      <c r="AM143" s="303"/>
      <c r="AN143" s="303"/>
      <c r="AO143" s="303"/>
      <c r="AP143" s="308"/>
      <c r="AQ143" s="303"/>
      <c r="AR143" s="304">
        <f t="shared" si="306"/>
        <v>845500</v>
      </c>
      <c r="AS143" s="304">
        <f t="shared" si="307"/>
        <v>0</v>
      </c>
      <c r="AT143" s="304">
        <f t="shared" si="308"/>
        <v>0</v>
      </c>
      <c r="AU143" s="304">
        <f t="shared" si="309"/>
        <v>321576.67417878436</v>
      </c>
      <c r="AV143" s="347">
        <f t="shared" si="310"/>
        <v>1167076.6741787842</v>
      </c>
      <c r="AW143" s="341">
        <f>+AC281*AR143/AR194</f>
        <v>0</v>
      </c>
      <c r="AX143" s="304">
        <v>0</v>
      </c>
      <c r="AY143" s="304">
        <v>0</v>
      </c>
      <c r="AZ143" s="304">
        <f t="shared" si="314"/>
        <v>0</v>
      </c>
      <c r="BA143" s="298">
        <f t="shared" si="302"/>
        <v>0</v>
      </c>
      <c r="BB143" s="304">
        <f t="shared" si="311"/>
        <v>845500</v>
      </c>
      <c r="BC143" s="304">
        <f t="shared" si="303"/>
        <v>0</v>
      </c>
      <c r="BD143" s="304">
        <f t="shared" si="304"/>
        <v>0</v>
      </c>
      <c r="BE143" s="304">
        <f t="shared" si="312"/>
        <v>321576.67417878436</v>
      </c>
      <c r="BF143" s="304">
        <f t="shared" si="305"/>
        <v>1167076.6741787842</v>
      </c>
    </row>
    <row r="144" spans="1:58" ht="25.5" customHeight="1">
      <c r="A144" s="531"/>
      <c r="B144" s="303"/>
      <c r="C144" s="334" t="s">
        <v>455</v>
      </c>
      <c r="D144" s="360">
        <f>SUM(D136:D143)</f>
        <v>8532520</v>
      </c>
      <c r="E144" s="360">
        <f t="shared" ref="E144:X144" si="315">SUM(E136:E143)</f>
        <v>6616219.5499999998</v>
      </c>
      <c r="F144" s="360">
        <f t="shared" si="315"/>
        <v>0</v>
      </c>
      <c r="G144" s="360">
        <f t="shared" si="315"/>
        <v>119678</v>
      </c>
      <c r="H144" s="360">
        <f t="shared" si="315"/>
        <v>17160.060000000001</v>
      </c>
      <c r="I144" s="360">
        <f t="shared" si="315"/>
        <v>0</v>
      </c>
      <c r="J144" s="360">
        <f t="shared" si="315"/>
        <v>632783.72</v>
      </c>
      <c r="K144" s="360">
        <f t="shared" si="315"/>
        <v>461375.46</v>
      </c>
      <c r="L144" s="360">
        <f t="shared" si="315"/>
        <v>0</v>
      </c>
      <c r="M144" s="360">
        <f t="shared" si="315"/>
        <v>3941412.81</v>
      </c>
      <c r="N144" s="360">
        <f t="shared" si="315"/>
        <v>3008647.74</v>
      </c>
      <c r="O144" s="360">
        <f t="shared" si="315"/>
        <v>0</v>
      </c>
      <c r="P144" s="360">
        <f t="shared" si="315"/>
        <v>8335709.0599999996</v>
      </c>
      <c r="Q144" s="360">
        <f t="shared" si="315"/>
        <v>2913514.84</v>
      </c>
      <c r="R144" s="360">
        <f t="shared" si="315"/>
        <v>0</v>
      </c>
      <c r="S144" s="360">
        <f t="shared" si="315"/>
        <v>3104922</v>
      </c>
      <c r="T144" s="360">
        <f t="shared" si="315"/>
        <v>1149170</v>
      </c>
      <c r="U144" s="360">
        <f t="shared" si="315"/>
        <v>0</v>
      </c>
      <c r="V144" s="360">
        <f t="shared" si="315"/>
        <v>962401</v>
      </c>
      <c r="W144" s="360">
        <f t="shared" si="315"/>
        <v>1030540.23</v>
      </c>
      <c r="X144" s="360">
        <f t="shared" si="315"/>
        <v>0</v>
      </c>
      <c r="Y144" s="360">
        <f t="shared" si="300"/>
        <v>25629426.59</v>
      </c>
      <c r="Z144" s="360">
        <f t="shared" si="300"/>
        <v>15196627.879999999</v>
      </c>
      <c r="AA144" s="360">
        <f t="shared" si="300"/>
        <v>0</v>
      </c>
      <c r="AB144" s="342">
        <f t="shared" si="198"/>
        <v>40826054.469999999</v>
      </c>
      <c r="AC144" s="304">
        <f t="shared" si="217"/>
        <v>17293717.530000001</v>
      </c>
      <c r="AD144" s="304">
        <f t="shared" si="218"/>
        <v>12283113.039999999</v>
      </c>
      <c r="AE144" s="304">
        <f t="shared" si="219"/>
        <v>0</v>
      </c>
      <c r="AF144" s="304">
        <f t="shared" si="220"/>
        <v>11249223.899999999</v>
      </c>
      <c r="AG144" s="304">
        <f t="shared" si="221"/>
        <v>40826054.469999999</v>
      </c>
      <c r="AH144" s="304">
        <f t="shared" si="196"/>
        <v>11249223.899999999</v>
      </c>
      <c r="AI144" s="304">
        <f t="shared" si="197"/>
        <v>29576830.57</v>
      </c>
      <c r="AJ144" s="304">
        <f>SUM(AJ136:AJ143)</f>
        <v>100</v>
      </c>
      <c r="AK144" s="304">
        <f>SUM(AK136:AK143)</f>
        <v>11249223.9</v>
      </c>
      <c r="AL144" s="303"/>
      <c r="AM144" s="303"/>
      <c r="AN144" s="303"/>
      <c r="AO144" s="303"/>
      <c r="AP144" s="308"/>
      <c r="AQ144" s="304">
        <f>SUM(AQ136:AQ143)</f>
        <v>1232282.5</v>
      </c>
      <c r="AR144" s="304">
        <f>SUM(AR136:AR143)</f>
        <v>17293717.530000001</v>
      </c>
      <c r="AS144" s="304">
        <f>SUM(AS136:AS143)</f>
        <v>12283113.039999999</v>
      </c>
      <c r="AT144" s="304">
        <f t="shared" ref="AT144" si="316">SUM(AT136:AT143)</f>
        <v>1232282.5</v>
      </c>
      <c r="AU144" s="304">
        <f t="shared" ref="AU144" si="317">SUM(AU136:AU143)</f>
        <v>11249223.9</v>
      </c>
      <c r="AV144" s="347">
        <f>SUM(AR144:AU144)</f>
        <v>42058336.969999999</v>
      </c>
      <c r="AW144" s="341">
        <f>SUM(AW136:AW143)</f>
        <v>32015860.856497213</v>
      </c>
      <c r="AX144" s="304">
        <f>SUM(AX136:AX143)</f>
        <v>3910751.1454308657</v>
      </c>
      <c r="AY144" s="304">
        <f>SUM(AY136:AY143)</f>
        <v>0</v>
      </c>
      <c r="AZ144" s="304">
        <f>SUM(AZ136:AZ143)</f>
        <v>0</v>
      </c>
      <c r="BA144" s="298">
        <f t="shared" si="302"/>
        <v>35926612.001928076</v>
      </c>
      <c r="BB144" s="336">
        <f>SUM(BB136:BB143)</f>
        <v>49309578.386497214</v>
      </c>
      <c r="BC144" s="304">
        <f>SUM(BC136:BC143)</f>
        <v>16193864.185430866</v>
      </c>
      <c r="BD144" s="304">
        <f>SUM(BD136:BD143)</f>
        <v>1232282.5</v>
      </c>
      <c r="BE144" s="304">
        <f>SUM(BE136:BE143)</f>
        <v>11249223.9</v>
      </c>
      <c r="BF144" s="304">
        <f t="shared" si="305"/>
        <v>77984948.97192809</v>
      </c>
    </row>
    <row r="145" spans="1:58" ht="25.5" customHeight="1">
      <c r="A145" s="530">
        <v>12</v>
      </c>
      <c r="B145" s="297" t="s">
        <v>162</v>
      </c>
      <c r="C145" s="626" t="s">
        <v>463</v>
      </c>
      <c r="D145" s="626"/>
      <c r="E145" s="626"/>
      <c r="F145" s="626"/>
      <c r="G145" s="626"/>
      <c r="H145" s="626"/>
      <c r="I145" s="626"/>
      <c r="J145" s="626"/>
      <c r="K145" s="626"/>
      <c r="L145" s="626"/>
      <c r="M145" s="626"/>
      <c r="N145" s="626"/>
      <c r="O145" s="626"/>
      <c r="P145" s="626"/>
      <c r="Q145" s="626"/>
      <c r="R145" s="626"/>
      <c r="S145" s="626"/>
      <c r="T145" s="626"/>
      <c r="U145" s="626"/>
      <c r="V145" s="626"/>
      <c r="W145" s="626"/>
      <c r="X145" s="626"/>
      <c r="Y145" s="626"/>
      <c r="Z145" s="626"/>
      <c r="AA145" s="626"/>
      <c r="AB145" s="342">
        <f t="shared" si="198"/>
        <v>0</v>
      </c>
      <c r="AC145" s="304">
        <f t="shared" si="217"/>
        <v>0</v>
      </c>
      <c r="AD145" s="304">
        <f t="shared" si="218"/>
        <v>0</v>
      </c>
      <c r="AE145" s="304">
        <f t="shared" si="219"/>
        <v>0</v>
      </c>
      <c r="AF145" s="304">
        <f t="shared" si="220"/>
        <v>0</v>
      </c>
      <c r="AG145" s="304">
        <f t="shared" si="221"/>
        <v>0</v>
      </c>
      <c r="AH145" s="304">
        <f t="shared" ref="AH145:AH207" si="318">+AF145</f>
        <v>0</v>
      </c>
      <c r="AI145" s="304">
        <f t="shared" ref="AI145:AI207" si="319">+AC145+AD145</f>
        <v>0</v>
      </c>
      <c r="AJ145" s="303"/>
      <c r="AK145" s="303"/>
      <c r="AL145" s="303"/>
      <c r="AM145" s="303"/>
      <c r="AN145" s="303"/>
      <c r="AO145" s="303"/>
      <c r="AP145" s="308"/>
      <c r="AQ145" s="303"/>
      <c r="AR145" s="303"/>
      <c r="AS145" s="303"/>
      <c r="AT145" s="303"/>
      <c r="AU145" s="303"/>
      <c r="AV145" s="346"/>
      <c r="AW145" s="340"/>
      <c r="AX145" s="303"/>
      <c r="AY145" s="303"/>
      <c r="AZ145" s="303"/>
      <c r="BA145" s="308"/>
      <c r="BB145" s="321"/>
      <c r="BC145" s="303"/>
      <c r="BD145" s="303"/>
      <c r="BE145" s="303"/>
      <c r="BF145" s="303"/>
    </row>
    <row r="146" spans="1:58" ht="25.5" customHeight="1">
      <c r="A146" s="530"/>
      <c r="B146" s="297"/>
      <c r="C146" s="361" t="s">
        <v>447</v>
      </c>
      <c r="D146" s="360"/>
      <c r="E146" s="360"/>
      <c r="F146" s="360"/>
      <c r="G146" s="360"/>
      <c r="H146" s="360"/>
      <c r="I146" s="360"/>
      <c r="J146" s="360"/>
      <c r="K146" s="360"/>
      <c r="L146" s="360"/>
      <c r="M146" s="360"/>
      <c r="N146" s="360"/>
      <c r="O146" s="360"/>
      <c r="P146" s="360"/>
      <c r="Q146" s="360"/>
      <c r="R146" s="360"/>
      <c r="S146" s="360"/>
      <c r="T146" s="360"/>
      <c r="U146" s="360"/>
      <c r="V146" s="360"/>
      <c r="W146" s="360"/>
      <c r="X146" s="360"/>
      <c r="Y146" s="360">
        <f>D146+G146+J146+M146+P146+S146+V146</f>
        <v>0</v>
      </c>
      <c r="Z146" s="360">
        <f>E146+H146+K146+N146+Q146+T146+W146</f>
        <v>0</v>
      </c>
      <c r="AA146" s="360">
        <f>F146+I146+L146+O146+R146+U146+X146</f>
        <v>0</v>
      </c>
      <c r="AB146" s="342">
        <f t="shared" ref="AB146:AB220" si="320">+Y146+Z146+AA146</f>
        <v>0</v>
      </c>
      <c r="AC146" s="304">
        <f t="shared" si="217"/>
        <v>0</v>
      </c>
      <c r="AD146" s="304">
        <f t="shared" si="218"/>
        <v>0</v>
      </c>
      <c r="AE146" s="304">
        <f t="shared" si="219"/>
        <v>0</v>
      </c>
      <c r="AF146" s="304">
        <f t="shared" si="220"/>
        <v>0</v>
      </c>
      <c r="AG146" s="304">
        <f t="shared" si="221"/>
        <v>0</v>
      </c>
      <c r="AH146" s="304">
        <f t="shared" si="318"/>
        <v>0</v>
      </c>
      <c r="AI146" s="304">
        <f t="shared" si="319"/>
        <v>0</v>
      </c>
      <c r="AJ146" s="304">
        <f>+AI146*100/AI154</f>
        <v>0</v>
      </c>
      <c r="AK146" s="304">
        <f>+AH147*AJ146/100</f>
        <v>0</v>
      </c>
      <c r="AL146" s="303"/>
      <c r="AM146" s="303"/>
      <c r="AN146" s="303"/>
      <c r="AO146" s="303"/>
      <c r="AP146" s="308"/>
      <c r="AQ146" s="299"/>
      <c r="AR146" s="304">
        <f>+AC146+AL146</f>
        <v>0</v>
      </c>
      <c r="AS146" s="304">
        <f>+AD146+AM146</f>
        <v>0</v>
      </c>
      <c r="AT146" s="304">
        <f>+AE146+AN146+AQ146</f>
        <v>0</v>
      </c>
      <c r="AU146" s="304">
        <f>+AK146+AO146</f>
        <v>0</v>
      </c>
      <c r="AV146" s="347">
        <f>SUM(AR146:AU146)</f>
        <v>0</v>
      </c>
      <c r="AW146" s="341">
        <f t="shared" ref="AW146:AZ147" si="321">+AC274*AR146/AR187</f>
        <v>0</v>
      </c>
      <c r="AX146" s="304">
        <f t="shared" si="321"/>
        <v>0</v>
      </c>
      <c r="AY146" s="304">
        <f t="shared" si="321"/>
        <v>0</v>
      </c>
      <c r="AZ146" s="304">
        <f t="shared" si="321"/>
        <v>0</v>
      </c>
      <c r="BA146" s="298">
        <f t="shared" ref="BA146:BA154" si="322">SUM(AW146:AZ146)</f>
        <v>0</v>
      </c>
      <c r="BB146" s="304">
        <f>+AR146+AW146</f>
        <v>0</v>
      </c>
      <c r="BC146" s="304">
        <f t="shared" ref="BC146:BC153" si="323">+AS146+AX146</f>
        <v>0</v>
      </c>
      <c r="BD146" s="304">
        <f t="shared" ref="BD146:BD153" si="324">+AT146+AY146</f>
        <v>0</v>
      </c>
      <c r="BE146" s="304">
        <f>+AU146+AZ146</f>
        <v>0</v>
      </c>
      <c r="BF146" s="304">
        <f t="shared" ref="BF146:BF154" si="325">SUM(BB146:BE146)</f>
        <v>0</v>
      </c>
    </row>
    <row r="147" spans="1:58" ht="25.5" customHeight="1">
      <c r="A147" s="530"/>
      <c r="B147" s="297"/>
      <c r="C147" s="361" t="s">
        <v>448</v>
      </c>
      <c r="D147" s="360"/>
      <c r="E147" s="360"/>
      <c r="F147" s="360"/>
      <c r="G147" s="360">
        <v>229700</v>
      </c>
      <c r="H147" s="360"/>
      <c r="I147" s="360"/>
      <c r="J147" s="360">
        <v>651639.88</v>
      </c>
      <c r="K147" s="360">
        <v>35845</v>
      </c>
      <c r="L147" s="360"/>
      <c r="M147" s="360">
        <v>4391173.16</v>
      </c>
      <c r="N147" s="360">
        <f>941262.27-7043+2500</f>
        <v>936719.27</v>
      </c>
      <c r="O147" s="360"/>
      <c r="P147" s="360">
        <v>7025542.8899999997</v>
      </c>
      <c r="Q147" s="360">
        <v>596958.51</v>
      </c>
      <c r="R147" s="360"/>
      <c r="S147" s="360"/>
      <c r="T147" s="360">
        <f>584380+22480</f>
        <v>606860</v>
      </c>
      <c r="U147" s="360"/>
      <c r="V147" s="360"/>
      <c r="W147" s="360">
        <v>2994600</v>
      </c>
      <c r="X147" s="360"/>
      <c r="Y147" s="360">
        <f t="shared" ref="Y147:AA153" si="326">D147+G147+J147+M147+P147+S147+V147</f>
        <v>12298055.93</v>
      </c>
      <c r="Z147" s="360">
        <f t="shared" si="326"/>
        <v>5170982.78</v>
      </c>
      <c r="AA147" s="360">
        <f t="shared" si="326"/>
        <v>0</v>
      </c>
      <c r="AB147" s="342">
        <f t="shared" si="320"/>
        <v>17469038.710000001</v>
      </c>
      <c r="AC147" s="304">
        <f t="shared" si="217"/>
        <v>5272513.04</v>
      </c>
      <c r="AD147" s="304">
        <f t="shared" si="218"/>
        <v>4574024.2699999996</v>
      </c>
      <c r="AE147" s="304">
        <f t="shared" si="219"/>
        <v>0</v>
      </c>
      <c r="AF147" s="304">
        <f t="shared" si="220"/>
        <v>7622501.3999999994</v>
      </c>
      <c r="AG147" s="304">
        <f t="shared" si="221"/>
        <v>17469038.709999997</v>
      </c>
      <c r="AH147" s="304">
        <f t="shared" si="318"/>
        <v>7622501.3999999994</v>
      </c>
      <c r="AI147" s="304">
        <f t="shared" si="319"/>
        <v>9846537.3099999987</v>
      </c>
      <c r="AJ147" s="304">
        <f>+AI147*100/AI154</f>
        <v>29.329189347206142</v>
      </c>
      <c r="AK147" s="304">
        <f>+AH147*AJ147/100</f>
        <v>2235617.868599439</v>
      </c>
      <c r="AL147" s="303"/>
      <c r="AM147" s="303"/>
      <c r="AN147" s="303"/>
      <c r="AO147" s="303"/>
      <c r="AP147" s="308"/>
      <c r="AQ147" s="299">
        <v>344205.49</v>
      </c>
      <c r="AR147" s="304">
        <f t="shared" ref="AR147:AR153" si="327">+AC147+AL147</f>
        <v>5272513.04</v>
      </c>
      <c r="AS147" s="304">
        <f t="shared" ref="AS147:AS153" si="328">+AD147+AM147</f>
        <v>4574024.2699999996</v>
      </c>
      <c r="AT147" s="304">
        <f t="shared" ref="AT147:AT153" si="329">+AE147+AN147+AQ147</f>
        <v>344205.49</v>
      </c>
      <c r="AU147" s="304">
        <f t="shared" ref="AU147:AU153" si="330">+AK147+AO147</f>
        <v>2235617.868599439</v>
      </c>
      <c r="AV147" s="347">
        <f t="shared" ref="AV147:AV153" si="331">SUM(AR147:AU147)</f>
        <v>12426360.668599438</v>
      </c>
      <c r="AW147" s="341">
        <f t="shared" si="321"/>
        <v>6748088.6795924129</v>
      </c>
      <c r="AX147" s="304">
        <f t="shared" si="321"/>
        <v>4262009.0822393373</v>
      </c>
      <c r="AY147" s="304">
        <f t="shared" si="321"/>
        <v>0</v>
      </c>
      <c r="AZ147" s="304">
        <f t="shared" si="321"/>
        <v>2758632.9589889646</v>
      </c>
      <c r="BA147" s="298">
        <f t="shared" si="322"/>
        <v>13768730.720820714</v>
      </c>
      <c r="BB147" s="304">
        <f t="shared" ref="BB147:BB153" si="332">+AR147+AW147</f>
        <v>12020601.719592413</v>
      </c>
      <c r="BC147" s="304">
        <f t="shared" si="323"/>
        <v>8836033.3522393368</v>
      </c>
      <c r="BD147" s="304">
        <f t="shared" si="324"/>
        <v>344205.49</v>
      </c>
      <c r="BE147" s="304">
        <f t="shared" ref="BE147:BE153" si="333">+AU147+AZ147</f>
        <v>4994250.8275884036</v>
      </c>
      <c r="BF147" s="304">
        <f t="shared" si="325"/>
        <v>26195091.389420152</v>
      </c>
    </row>
    <row r="148" spans="1:58" ht="25.5" customHeight="1">
      <c r="A148" s="530"/>
      <c r="B148" s="297"/>
      <c r="C148" s="361" t="s">
        <v>449</v>
      </c>
      <c r="D148" s="360"/>
      <c r="E148" s="360"/>
      <c r="F148" s="360"/>
      <c r="G148" s="360"/>
      <c r="H148" s="360"/>
      <c r="I148" s="360"/>
      <c r="J148" s="360"/>
      <c r="K148" s="360"/>
      <c r="L148" s="360"/>
      <c r="M148" s="360">
        <v>164230</v>
      </c>
      <c r="N148" s="360"/>
      <c r="O148" s="360"/>
      <c r="P148" s="360"/>
      <c r="Q148" s="360"/>
      <c r="R148" s="360"/>
      <c r="S148" s="360"/>
      <c r="T148" s="360"/>
      <c r="U148" s="360"/>
      <c r="V148" s="360"/>
      <c r="W148" s="360"/>
      <c r="X148" s="360"/>
      <c r="Y148" s="360">
        <f t="shared" si="326"/>
        <v>164230</v>
      </c>
      <c r="Z148" s="360">
        <f t="shared" si="326"/>
        <v>0</v>
      </c>
      <c r="AA148" s="360">
        <f t="shared" si="326"/>
        <v>0</v>
      </c>
      <c r="AB148" s="342">
        <f t="shared" si="320"/>
        <v>164230</v>
      </c>
      <c r="AC148" s="304">
        <f t="shared" si="217"/>
        <v>164230</v>
      </c>
      <c r="AD148" s="304">
        <f t="shared" si="218"/>
        <v>0</v>
      </c>
      <c r="AE148" s="304">
        <f t="shared" si="219"/>
        <v>0</v>
      </c>
      <c r="AF148" s="304">
        <f t="shared" si="220"/>
        <v>0</v>
      </c>
      <c r="AG148" s="304">
        <f t="shared" si="221"/>
        <v>164230</v>
      </c>
      <c r="AH148" s="304">
        <f t="shared" si="318"/>
        <v>0</v>
      </c>
      <c r="AI148" s="304">
        <f t="shared" si="319"/>
        <v>164230</v>
      </c>
      <c r="AJ148" s="304">
        <f>+AI148*100/AI154</f>
        <v>0.48918037019977179</v>
      </c>
      <c r="AK148" s="304">
        <f>+AH147*AJ148/100</f>
        <v>37287.780567002788</v>
      </c>
      <c r="AL148" s="303"/>
      <c r="AM148" s="303"/>
      <c r="AN148" s="303"/>
      <c r="AO148" s="303"/>
      <c r="AP148" s="308"/>
      <c r="AQ148" s="299"/>
      <c r="AR148" s="304">
        <f t="shared" si="327"/>
        <v>164230</v>
      </c>
      <c r="AS148" s="304">
        <f t="shared" si="328"/>
        <v>0</v>
      </c>
      <c r="AT148" s="304">
        <f t="shared" si="329"/>
        <v>0</v>
      </c>
      <c r="AU148" s="304">
        <f t="shared" si="330"/>
        <v>37287.780567002788</v>
      </c>
      <c r="AV148" s="347">
        <f t="shared" si="331"/>
        <v>201517.78056700277</v>
      </c>
      <c r="AW148" s="341">
        <f t="shared" ref="AW148:AX152" si="334">+AC276*AR148/AR189</f>
        <v>181045.45708680217</v>
      </c>
      <c r="AX148" s="304">
        <f t="shared" si="334"/>
        <v>0</v>
      </c>
      <c r="AY148" s="304">
        <v>0</v>
      </c>
      <c r="AZ148" s="304">
        <f t="shared" ref="AZ148:AZ153" si="335">+AF276*AU148/AU189</f>
        <v>0</v>
      </c>
      <c r="BA148" s="298">
        <f t="shared" si="322"/>
        <v>181045.45708680217</v>
      </c>
      <c r="BB148" s="304">
        <f t="shared" si="332"/>
        <v>345275.45708680217</v>
      </c>
      <c r="BC148" s="304">
        <f t="shared" si="323"/>
        <v>0</v>
      </c>
      <c r="BD148" s="304">
        <f t="shared" si="324"/>
        <v>0</v>
      </c>
      <c r="BE148" s="304">
        <f t="shared" si="333"/>
        <v>37287.780567002788</v>
      </c>
      <c r="BF148" s="304">
        <f t="shared" si="325"/>
        <v>382563.23765380494</v>
      </c>
    </row>
    <row r="149" spans="1:58" ht="25.5" customHeight="1">
      <c r="A149" s="530"/>
      <c r="B149" s="297"/>
      <c r="C149" s="361" t="s">
        <v>450</v>
      </c>
      <c r="D149" s="360"/>
      <c r="E149" s="360"/>
      <c r="F149" s="360"/>
      <c r="G149" s="360"/>
      <c r="H149" s="360"/>
      <c r="I149" s="360"/>
      <c r="J149" s="360"/>
      <c r="K149" s="360"/>
      <c r="L149" s="360"/>
      <c r="M149" s="360">
        <v>56620</v>
      </c>
      <c r="N149" s="360">
        <v>29200</v>
      </c>
      <c r="O149" s="360"/>
      <c r="P149" s="360"/>
      <c r="Q149" s="360"/>
      <c r="R149" s="360"/>
      <c r="S149" s="360"/>
      <c r="T149" s="360"/>
      <c r="U149" s="360"/>
      <c r="V149" s="360"/>
      <c r="W149" s="360"/>
      <c r="X149" s="360"/>
      <c r="Y149" s="360">
        <f t="shared" si="326"/>
        <v>56620</v>
      </c>
      <c r="Z149" s="360">
        <f t="shared" si="326"/>
        <v>29200</v>
      </c>
      <c r="AA149" s="360">
        <f t="shared" si="326"/>
        <v>0</v>
      </c>
      <c r="AB149" s="342">
        <f t="shared" si="320"/>
        <v>85820</v>
      </c>
      <c r="AC149" s="304">
        <f t="shared" si="217"/>
        <v>56620</v>
      </c>
      <c r="AD149" s="304">
        <f t="shared" si="218"/>
        <v>29200</v>
      </c>
      <c r="AE149" s="304">
        <f t="shared" si="219"/>
        <v>0</v>
      </c>
      <c r="AF149" s="304">
        <f t="shared" si="220"/>
        <v>0</v>
      </c>
      <c r="AG149" s="304">
        <f t="shared" si="221"/>
        <v>85820</v>
      </c>
      <c r="AH149" s="304">
        <f t="shared" si="318"/>
        <v>0</v>
      </c>
      <c r="AI149" s="304">
        <f t="shared" si="319"/>
        <v>85820</v>
      </c>
      <c r="AJ149" s="304">
        <f>+AI149*100/AI154</f>
        <v>0.25562600846705485</v>
      </c>
      <c r="AK149" s="304">
        <f>+AH147*AJ149/100</f>
        <v>19485.096074165373</v>
      </c>
      <c r="AL149" s="303"/>
      <c r="AM149" s="303"/>
      <c r="AN149" s="303"/>
      <c r="AO149" s="303"/>
      <c r="AP149" s="308"/>
      <c r="AQ149" s="299"/>
      <c r="AR149" s="304">
        <f t="shared" si="327"/>
        <v>56620</v>
      </c>
      <c r="AS149" s="304">
        <f t="shared" si="328"/>
        <v>29200</v>
      </c>
      <c r="AT149" s="304">
        <f t="shared" si="329"/>
        <v>0</v>
      </c>
      <c r="AU149" s="304">
        <f t="shared" si="330"/>
        <v>19485.096074165373</v>
      </c>
      <c r="AV149" s="347">
        <f t="shared" si="331"/>
        <v>105305.09607416537</v>
      </c>
      <c r="AW149" s="341">
        <f t="shared" si="334"/>
        <v>99307.374891363463</v>
      </c>
      <c r="AX149" s="304">
        <f t="shared" si="334"/>
        <v>0</v>
      </c>
      <c r="AY149" s="304">
        <v>0</v>
      </c>
      <c r="AZ149" s="304">
        <f t="shared" si="335"/>
        <v>0</v>
      </c>
      <c r="BA149" s="298">
        <f t="shared" si="322"/>
        <v>99307.374891363463</v>
      </c>
      <c r="BB149" s="304">
        <f t="shared" si="332"/>
        <v>155927.37489136346</v>
      </c>
      <c r="BC149" s="304">
        <f t="shared" si="323"/>
        <v>29200</v>
      </c>
      <c r="BD149" s="304">
        <f t="shared" si="324"/>
        <v>0</v>
      </c>
      <c r="BE149" s="304">
        <f t="shared" si="333"/>
        <v>19485.096074165373</v>
      </c>
      <c r="BF149" s="304">
        <f t="shared" si="325"/>
        <v>204612.47096552883</v>
      </c>
    </row>
    <row r="150" spans="1:58" ht="25.5" customHeight="1">
      <c r="A150" s="530"/>
      <c r="B150" s="297"/>
      <c r="C150" s="361" t="s">
        <v>451</v>
      </c>
      <c r="D150" s="360">
        <v>10209315.32</v>
      </c>
      <c r="E150" s="360">
        <v>1792081.06</v>
      </c>
      <c r="F150" s="360">
        <v>160162</v>
      </c>
      <c r="G150" s="360"/>
      <c r="H150" s="360"/>
      <c r="I150" s="360"/>
      <c r="J150" s="360"/>
      <c r="K150" s="360"/>
      <c r="L150" s="360"/>
      <c r="M150" s="360"/>
      <c r="N150" s="360"/>
      <c r="O150" s="360"/>
      <c r="P150" s="360"/>
      <c r="Q150" s="360"/>
      <c r="R150" s="360"/>
      <c r="S150" s="360"/>
      <c r="T150" s="360"/>
      <c r="U150" s="360"/>
      <c r="V150" s="360"/>
      <c r="W150" s="360"/>
      <c r="X150" s="360"/>
      <c r="Y150" s="360">
        <f t="shared" si="326"/>
        <v>10209315.32</v>
      </c>
      <c r="Z150" s="360">
        <f t="shared" si="326"/>
        <v>1792081.06</v>
      </c>
      <c r="AA150" s="360">
        <f t="shared" si="326"/>
        <v>160162</v>
      </c>
      <c r="AB150" s="342">
        <f t="shared" si="320"/>
        <v>12161558.380000001</v>
      </c>
      <c r="AC150" s="304">
        <f t="shared" si="217"/>
        <v>10209315.32</v>
      </c>
      <c r="AD150" s="304">
        <f t="shared" si="218"/>
        <v>1792081.06</v>
      </c>
      <c r="AE150" s="304">
        <f t="shared" si="219"/>
        <v>160162</v>
      </c>
      <c r="AF150" s="304">
        <f t="shared" si="220"/>
        <v>0</v>
      </c>
      <c r="AG150" s="304">
        <f t="shared" si="221"/>
        <v>12161558.380000001</v>
      </c>
      <c r="AH150" s="304">
        <f t="shared" si="318"/>
        <v>0</v>
      </c>
      <c r="AI150" s="304">
        <f t="shared" si="319"/>
        <v>12001396.380000001</v>
      </c>
      <c r="AJ150" s="304">
        <f>+AI150*100/AI154</f>
        <v>35.747716763579135</v>
      </c>
      <c r="AK150" s="304">
        <f>+AH147*AJ150/100</f>
        <v>2724870.210771854</v>
      </c>
      <c r="AL150" s="303"/>
      <c r="AM150" s="303"/>
      <c r="AN150" s="303"/>
      <c r="AO150" s="303"/>
      <c r="AP150" s="308"/>
      <c r="AQ150" s="299"/>
      <c r="AR150" s="304">
        <f t="shared" si="327"/>
        <v>10209315.32</v>
      </c>
      <c r="AS150" s="304">
        <f t="shared" si="328"/>
        <v>1792081.06</v>
      </c>
      <c r="AT150" s="304">
        <f t="shared" si="329"/>
        <v>160162</v>
      </c>
      <c r="AU150" s="304">
        <f t="shared" si="330"/>
        <v>2724870.210771854</v>
      </c>
      <c r="AV150" s="347">
        <f t="shared" si="331"/>
        <v>14886428.590771854</v>
      </c>
      <c r="AW150" s="341">
        <f t="shared" si="334"/>
        <v>36535243.081190459</v>
      </c>
      <c r="AX150" s="304">
        <f t="shared" si="334"/>
        <v>607750.24750559323</v>
      </c>
      <c r="AY150" s="304">
        <f>+AE278*AT150/AT191</f>
        <v>69199.779667874202</v>
      </c>
      <c r="AZ150" s="304">
        <f t="shared" si="335"/>
        <v>0</v>
      </c>
      <c r="BA150" s="298">
        <f t="shared" si="322"/>
        <v>37212193.108363926</v>
      </c>
      <c r="BB150" s="304">
        <f t="shared" si="332"/>
        <v>46744558.40119046</v>
      </c>
      <c r="BC150" s="304">
        <f t="shared" si="323"/>
        <v>2399831.3075055932</v>
      </c>
      <c r="BD150" s="304">
        <f t="shared" si="324"/>
        <v>229361.77966787422</v>
      </c>
      <c r="BE150" s="304">
        <f t="shared" si="333"/>
        <v>2724870.210771854</v>
      </c>
      <c r="BF150" s="304">
        <f t="shared" si="325"/>
        <v>52098621.69913578</v>
      </c>
    </row>
    <row r="151" spans="1:58" ht="25.5" customHeight="1">
      <c r="A151" s="530"/>
      <c r="B151" s="297"/>
      <c r="C151" s="361" t="s">
        <v>452</v>
      </c>
      <c r="D151" s="360"/>
      <c r="E151" s="360"/>
      <c r="F151" s="360"/>
      <c r="G151" s="360"/>
      <c r="H151" s="360"/>
      <c r="I151" s="360"/>
      <c r="J151" s="360"/>
      <c r="K151" s="360"/>
      <c r="L151" s="360"/>
      <c r="M151" s="360"/>
      <c r="N151" s="360"/>
      <c r="O151" s="360"/>
      <c r="P151" s="360"/>
      <c r="Q151" s="360"/>
      <c r="R151" s="360"/>
      <c r="S151" s="360">
        <v>1769500</v>
      </c>
      <c r="T151" s="360"/>
      <c r="U151" s="360"/>
      <c r="V151" s="360"/>
      <c r="W151" s="360"/>
      <c r="X151" s="360"/>
      <c r="Y151" s="360">
        <f t="shared" si="326"/>
        <v>1769500</v>
      </c>
      <c r="Z151" s="360">
        <f t="shared" si="326"/>
        <v>0</v>
      </c>
      <c r="AA151" s="360">
        <f t="shared" si="326"/>
        <v>0</v>
      </c>
      <c r="AB151" s="342">
        <f t="shared" si="320"/>
        <v>1769500</v>
      </c>
      <c r="AC151" s="304">
        <f t="shared" si="217"/>
        <v>1769500</v>
      </c>
      <c r="AD151" s="304">
        <f t="shared" si="218"/>
        <v>0</v>
      </c>
      <c r="AE151" s="304">
        <f t="shared" si="219"/>
        <v>0</v>
      </c>
      <c r="AF151" s="304">
        <f t="shared" si="220"/>
        <v>0</v>
      </c>
      <c r="AG151" s="304">
        <f t="shared" si="221"/>
        <v>1769500</v>
      </c>
      <c r="AH151" s="304">
        <f t="shared" si="318"/>
        <v>0</v>
      </c>
      <c r="AI151" s="304">
        <f t="shared" si="319"/>
        <v>1769500</v>
      </c>
      <c r="AJ151" s="304">
        <f>+AI151*100/AI154</f>
        <v>5.2706854111215744</v>
      </c>
      <c r="AK151" s="304">
        <f>+AH147*AJ151/100</f>
        <v>401758.06925233774</v>
      </c>
      <c r="AL151" s="303"/>
      <c r="AM151" s="303"/>
      <c r="AN151" s="303"/>
      <c r="AO151" s="303"/>
      <c r="AP151" s="308"/>
      <c r="AQ151" s="299"/>
      <c r="AR151" s="304">
        <f t="shared" si="327"/>
        <v>1769500</v>
      </c>
      <c r="AS151" s="304">
        <f t="shared" si="328"/>
        <v>0</v>
      </c>
      <c r="AT151" s="304">
        <f t="shared" si="329"/>
        <v>0</v>
      </c>
      <c r="AU151" s="304">
        <f t="shared" si="330"/>
        <v>401758.06925233774</v>
      </c>
      <c r="AV151" s="347">
        <f t="shared" si="331"/>
        <v>2171258.0692523378</v>
      </c>
      <c r="AW151" s="341">
        <f t="shared" si="334"/>
        <v>0</v>
      </c>
      <c r="AX151" s="304">
        <f t="shared" si="334"/>
        <v>0</v>
      </c>
      <c r="AY151" s="304">
        <v>0</v>
      </c>
      <c r="AZ151" s="304">
        <f t="shared" si="335"/>
        <v>0</v>
      </c>
      <c r="BA151" s="298">
        <f t="shared" si="322"/>
        <v>0</v>
      </c>
      <c r="BB151" s="304">
        <f t="shared" si="332"/>
        <v>1769500</v>
      </c>
      <c r="BC151" s="304">
        <f t="shared" si="323"/>
        <v>0</v>
      </c>
      <c r="BD151" s="304">
        <f t="shared" si="324"/>
        <v>0</v>
      </c>
      <c r="BE151" s="304">
        <f t="shared" si="333"/>
        <v>401758.06925233774</v>
      </c>
      <c r="BF151" s="304">
        <f t="shared" si="325"/>
        <v>2171258.0692523378</v>
      </c>
    </row>
    <row r="152" spans="1:58" ht="25.5" customHeight="1">
      <c r="A152" s="530"/>
      <c r="B152" s="297"/>
      <c r="C152" s="361" t="s">
        <v>453</v>
      </c>
      <c r="D152" s="360"/>
      <c r="E152" s="360"/>
      <c r="F152" s="360"/>
      <c r="G152" s="360"/>
      <c r="H152" s="360"/>
      <c r="I152" s="360"/>
      <c r="J152" s="360"/>
      <c r="K152" s="360"/>
      <c r="L152" s="360"/>
      <c r="M152" s="360"/>
      <c r="N152" s="360"/>
      <c r="O152" s="360"/>
      <c r="P152" s="360"/>
      <c r="Q152" s="360"/>
      <c r="R152" s="360"/>
      <c r="S152" s="360">
        <v>5510400</v>
      </c>
      <c r="T152" s="360">
        <v>652000</v>
      </c>
      <c r="U152" s="360"/>
      <c r="V152" s="360"/>
      <c r="W152" s="360"/>
      <c r="X152" s="360"/>
      <c r="Y152" s="360">
        <f t="shared" si="326"/>
        <v>5510400</v>
      </c>
      <c r="Z152" s="360">
        <f t="shared" si="326"/>
        <v>652000</v>
      </c>
      <c r="AA152" s="360">
        <f t="shared" si="326"/>
        <v>0</v>
      </c>
      <c r="AB152" s="342">
        <f t="shared" si="320"/>
        <v>6162400</v>
      </c>
      <c r="AC152" s="304">
        <f t="shared" si="217"/>
        <v>5510400</v>
      </c>
      <c r="AD152" s="304">
        <f t="shared" si="218"/>
        <v>652000</v>
      </c>
      <c r="AE152" s="304">
        <f t="shared" si="219"/>
        <v>0</v>
      </c>
      <c r="AF152" s="304">
        <f t="shared" si="220"/>
        <v>0</v>
      </c>
      <c r="AG152" s="304">
        <f t="shared" si="221"/>
        <v>6162400</v>
      </c>
      <c r="AH152" s="304">
        <f t="shared" si="318"/>
        <v>0</v>
      </c>
      <c r="AI152" s="304">
        <f t="shared" si="319"/>
        <v>6162400</v>
      </c>
      <c r="AJ152" s="304">
        <f>+AI152*100/AI154</f>
        <v>18.355508209943821</v>
      </c>
      <c r="AK152" s="304">
        <f>+AH147*AJ152/100</f>
        <v>1399148.8702800826</v>
      </c>
      <c r="AL152" s="303"/>
      <c r="AM152" s="303"/>
      <c r="AN152" s="303"/>
      <c r="AO152" s="303"/>
      <c r="AP152" s="308"/>
      <c r="AQ152" s="299"/>
      <c r="AR152" s="304">
        <f t="shared" si="327"/>
        <v>5510400</v>
      </c>
      <c r="AS152" s="304">
        <f t="shared" si="328"/>
        <v>652000</v>
      </c>
      <c r="AT152" s="304">
        <f t="shared" si="329"/>
        <v>0</v>
      </c>
      <c r="AU152" s="304">
        <f t="shared" si="330"/>
        <v>1399148.8702800826</v>
      </c>
      <c r="AV152" s="347">
        <f t="shared" si="331"/>
        <v>7561548.8702800823</v>
      </c>
      <c r="AW152" s="341">
        <f t="shared" si="334"/>
        <v>0</v>
      </c>
      <c r="AX152" s="304">
        <f t="shared" si="334"/>
        <v>0</v>
      </c>
      <c r="AY152" s="304">
        <v>0</v>
      </c>
      <c r="AZ152" s="304">
        <f t="shared" si="335"/>
        <v>0</v>
      </c>
      <c r="BA152" s="298">
        <f t="shared" si="322"/>
        <v>0</v>
      </c>
      <c r="BB152" s="304">
        <f t="shared" si="332"/>
        <v>5510400</v>
      </c>
      <c r="BC152" s="304">
        <f t="shared" si="323"/>
        <v>652000</v>
      </c>
      <c r="BD152" s="304">
        <f t="shared" si="324"/>
        <v>0</v>
      </c>
      <c r="BE152" s="304">
        <f t="shared" si="333"/>
        <v>1399148.8702800826</v>
      </c>
      <c r="BF152" s="304">
        <f t="shared" si="325"/>
        <v>7561548.8702800823</v>
      </c>
    </row>
    <row r="153" spans="1:58" ht="25.5" customHeight="1">
      <c r="A153" s="530"/>
      <c r="B153" s="297"/>
      <c r="C153" s="361" t="s">
        <v>454</v>
      </c>
      <c r="D153" s="360"/>
      <c r="E153" s="360"/>
      <c r="F153" s="360"/>
      <c r="G153" s="360"/>
      <c r="H153" s="360"/>
      <c r="I153" s="360"/>
      <c r="J153" s="360"/>
      <c r="K153" s="360"/>
      <c r="L153" s="360"/>
      <c r="M153" s="360"/>
      <c r="N153" s="360"/>
      <c r="O153" s="360"/>
      <c r="P153" s="360"/>
      <c r="Q153" s="360"/>
      <c r="R153" s="360"/>
      <c r="S153" s="360">
        <v>3542600</v>
      </c>
      <c r="T153" s="360"/>
      <c r="U153" s="360"/>
      <c r="V153" s="360"/>
      <c r="W153" s="360"/>
      <c r="X153" s="360"/>
      <c r="Y153" s="360">
        <f t="shared" si="326"/>
        <v>3542600</v>
      </c>
      <c r="Z153" s="360">
        <f t="shared" si="326"/>
        <v>0</v>
      </c>
      <c r="AA153" s="360">
        <f t="shared" si="326"/>
        <v>0</v>
      </c>
      <c r="AB153" s="342">
        <f t="shared" si="320"/>
        <v>3542600</v>
      </c>
      <c r="AC153" s="304">
        <f t="shared" ref="AC153:AC226" si="336">+D153+G153+J153+M153+S153+V153</f>
        <v>3542600</v>
      </c>
      <c r="AD153" s="304">
        <f t="shared" ref="AD153:AD226" si="337">+E153+H153+K153+N153+T153+W153</f>
        <v>0</v>
      </c>
      <c r="AE153" s="304">
        <f t="shared" ref="AE153:AE226" si="338">+F153+I153+L153+O153+U153+X153</f>
        <v>0</v>
      </c>
      <c r="AF153" s="304">
        <f t="shared" ref="AF153:AF226" si="339">+P153+Q153</f>
        <v>0</v>
      </c>
      <c r="AG153" s="304">
        <f t="shared" ref="AG153:AG226" si="340">+AC153+AD153+AE153+AF153</f>
        <v>3542600</v>
      </c>
      <c r="AH153" s="304">
        <f t="shared" si="318"/>
        <v>0</v>
      </c>
      <c r="AI153" s="304">
        <f t="shared" si="319"/>
        <v>3542600</v>
      </c>
      <c r="AJ153" s="304">
        <f>+AI153*100/AI154</f>
        <v>10.552093889482505</v>
      </c>
      <c r="AK153" s="304">
        <f>+AH147*AJ153/100</f>
        <v>804333.50445511832</v>
      </c>
      <c r="AL153" s="303"/>
      <c r="AM153" s="303"/>
      <c r="AN153" s="303"/>
      <c r="AO153" s="303"/>
      <c r="AP153" s="308"/>
      <c r="AQ153" s="299"/>
      <c r="AR153" s="304">
        <f t="shared" si="327"/>
        <v>3542600</v>
      </c>
      <c r="AS153" s="304">
        <f t="shared" si="328"/>
        <v>0</v>
      </c>
      <c r="AT153" s="304">
        <f t="shared" si="329"/>
        <v>0</v>
      </c>
      <c r="AU153" s="304">
        <f t="shared" si="330"/>
        <v>804333.50445511832</v>
      </c>
      <c r="AV153" s="347">
        <f t="shared" si="331"/>
        <v>4346933.5044551184</v>
      </c>
      <c r="AW153" s="341">
        <f>+AC281*AR153/AR194</f>
        <v>0</v>
      </c>
      <c r="AX153" s="304">
        <v>0</v>
      </c>
      <c r="AY153" s="304">
        <v>0</v>
      </c>
      <c r="AZ153" s="304">
        <f t="shared" si="335"/>
        <v>0</v>
      </c>
      <c r="BA153" s="298">
        <f t="shared" si="322"/>
        <v>0</v>
      </c>
      <c r="BB153" s="304">
        <f t="shared" si="332"/>
        <v>3542600</v>
      </c>
      <c r="BC153" s="304">
        <f t="shared" si="323"/>
        <v>0</v>
      </c>
      <c r="BD153" s="304">
        <f t="shared" si="324"/>
        <v>0</v>
      </c>
      <c r="BE153" s="304">
        <f t="shared" si="333"/>
        <v>804333.50445511832</v>
      </c>
      <c r="BF153" s="304">
        <f t="shared" si="325"/>
        <v>4346933.5044551184</v>
      </c>
    </row>
    <row r="154" spans="1:58" ht="25.5" customHeight="1">
      <c r="A154" s="530"/>
      <c r="B154" s="297"/>
      <c r="C154" s="334" t="s">
        <v>455</v>
      </c>
      <c r="D154" s="333">
        <f>SUM(D146:D153)</f>
        <v>10209315.32</v>
      </c>
      <c r="E154" s="333">
        <f t="shared" ref="E154:X154" si="341">SUM(E146:E153)</f>
        <v>1792081.06</v>
      </c>
      <c r="F154" s="333">
        <f t="shared" si="341"/>
        <v>160162</v>
      </c>
      <c r="G154" s="333">
        <f t="shared" si="341"/>
        <v>229700</v>
      </c>
      <c r="H154" s="333">
        <f t="shared" si="341"/>
        <v>0</v>
      </c>
      <c r="I154" s="333">
        <f t="shared" si="341"/>
        <v>0</v>
      </c>
      <c r="J154" s="333">
        <f t="shared" si="341"/>
        <v>651639.88</v>
      </c>
      <c r="K154" s="333">
        <f t="shared" si="341"/>
        <v>35845</v>
      </c>
      <c r="L154" s="333">
        <f t="shared" si="341"/>
        <v>0</v>
      </c>
      <c r="M154" s="333">
        <f t="shared" si="341"/>
        <v>4612023.16</v>
      </c>
      <c r="N154" s="333">
        <f t="shared" si="341"/>
        <v>965919.27</v>
      </c>
      <c r="O154" s="333">
        <f t="shared" si="341"/>
        <v>0</v>
      </c>
      <c r="P154" s="333">
        <f t="shared" si="341"/>
        <v>7025542.8899999997</v>
      </c>
      <c r="Q154" s="333">
        <f t="shared" si="341"/>
        <v>596958.51</v>
      </c>
      <c r="R154" s="333">
        <f t="shared" si="341"/>
        <v>0</v>
      </c>
      <c r="S154" s="333">
        <f t="shared" si="341"/>
        <v>10822500</v>
      </c>
      <c r="T154" s="333">
        <f t="shared" si="341"/>
        <v>1258860</v>
      </c>
      <c r="U154" s="333">
        <f t="shared" si="341"/>
        <v>0</v>
      </c>
      <c r="V154" s="333">
        <f t="shared" si="341"/>
        <v>0</v>
      </c>
      <c r="W154" s="333">
        <f t="shared" si="341"/>
        <v>2994600</v>
      </c>
      <c r="X154" s="333">
        <f t="shared" si="341"/>
        <v>0</v>
      </c>
      <c r="Y154" s="333">
        <f>SUM(Y146:Y153)</f>
        <v>33550721.25</v>
      </c>
      <c r="Z154" s="333">
        <f>SUM(Z146:Z153)</f>
        <v>7644263.8399999999</v>
      </c>
      <c r="AA154" s="333">
        <f>SUM(AA146:AA153)</f>
        <v>160162</v>
      </c>
      <c r="AB154" s="342">
        <f t="shared" si="320"/>
        <v>41355147.090000004</v>
      </c>
      <c r="AC154" s="304">
        <f t="shared" si="336"/>
        <v>26525178.359999999</v>
      </c>
      <c r="AD154" s="304">
        <f t="shared" si="337"/>
        <v>7047305.3300000001</v>
      </c>
      <c r="AE154" s="304">
        <f t="shared" si="338"/>
        <v>160162</v>
      </c>
      <c r="AF154" s="304">
        <f t="shared" si="339"/>
        <v>7622501.3999999994</v>
      </c>
      <c r="AG154" s="304">
        <f t="shared" si="340"/>
        <v>41355147.089999996</v>
      </c>
      <c r="AH154" s="304">
        <f t="shared" si="318"/>
        <v>7622501.3999999994</v>
      </c>
      <c r="AI154" s="304">
        <f t="shared" si="319"/>
        <v>33572483.689999998</v>
      </c>
      <c r="AJ154" s="304">
        <f>SUM(AJ146:AJ153)</f>
        <v>100</v>
      </c>
      <c r="AK154" s="304">
        <f>SUM(AK146:AK153)</f>
        <v>7622501.3999999994</v>
      </c>
      <c r="AL154" s="303"/>
      <c r="AM154" s="303"/>
      <c r="AN154" s="303"/>
      <c r="AO154" s="303"/>
      <c r="AP154" s="308"/>
      <c r="AQ154" s="299">
        <f>SUM(AQ146:AQ153)</f>
        <v>344205.49</v>
      </c>
      <c r="AR154" s="304">
        <f>SUM(AR146:AR153)</f>
        <v>26525178.359999999</v>
      </c>
      <c r="AS154" s="304">
        <f>SUM(AS146:AS153)</f>
        <v>7047305.3300000001</v>
      </c>
      <c r="AT154" s="304">
        <f t="shared" ref="AT154" si="342">SUM(AT146:AT153)</f>
        <v>504367.49</v>
      </c>
      <c r="AU154" s="304">
        <f t="shared" ref="AU154" si="343">SUM(AU146:AU153)</f>
        <v>7622501.3999999994</v>
      </c>
      <c r="AV154" s="347">
        <f>SUM(AR154:AU154)</f>
        <v>41699352.579999998</v>
      </c>
      <c r="AW154" s="341">
        <f>SUM(AW146:AW153)</f>
        <v>43563684.59276104</v>
      </c>
      <c r="AX154" s="304">
        <f>SUM(AX146:AX153)</f>
        <v>4869759.3297449304</v>
      </c>
      <c r="AY154" s="304">
        <f>SUM(AY146:AY153)</f>
        <v>69199.779667874202</v>
      </c>
      <c r="AZ154" s="304">
        <f>SUM(AZ146:AZ153)</f>
        <v>2758632.9589889646</v>
      </c>
      <c r="BA154" s="298">
        <f t="shared" si="322"/>
        <v>51261276.661162809</v>
      </c>
      <c r="BB154" s="336">
        <f>SUM(BB146:BB153)</f>
        <v>70088862.952761039</v>
      </c>
      <c r="BC154" s="304">
        <f>SUM(BC146:BC153)</f>
        <v>11917064.65974493</v>
      </c>
      <c r="BD154" s="304">
        <f>SUM(BD146:BD153)</f>
        <v>573567.26966787421</v>
      </c>
      <c r="BE154" s="304">
        <f>SUM(BE146:BE153)</f>
        <v>10381134.358988963</v>
      </c>
      <c r="BF154" s="304">
        <f t="shared" si="325"/>
        <v>92960629.241162807</v>
      </c>
    </row>
    <row r="155" spans="1:58" ht="25.5" customHeight="1">
      <c r="A155" s="530">
        <v>13</v>
      </c>
      <c r="B155" s="297" t="s">
        <v>165</v>
      </c>
      <c r="C155" s="626" t="s">
        <v>166</v>
      </c>
      <c r="D155" s="626"/>
      <c r="E155" s="626"/>
      <c r="F155" s="626"/>
      <c r="G155" s="626"/>
      <c r="H155" s="626"/>
      <c r="I155" s="626"/>
      <c r="J155" s="626"/>
      <c r="K155" s="626"/>
      <c r="L155" s="626"/>
      <c r="M155" s="626"/>
      <c r="N155" s="626"/>
      <c r="O155" s="626"/>
      <c r="P155" s="626"/>
      <c r="Q155" s="626"/>
      <c r="R155" s="626"/>
      <c r="S155" s="626"/>
      <c r="T155" s="626"/>
      <c r="U155" s="626"/>
      <c r="V155" s="626"/>
      <c r="W155" s="626"/>
      <c r="X155" s="626"/>
      <c r="Y155" s="626"/>
      <c r="Z155" s="626"/>
      <c r="AA155" s="626"/>
      <c r="AB155" s="342">
        <f t="shared" si="320"/>
        <v>0</v>
      </c>
      <c r="AC155" s="304">
        <f t="shared" si="336"/>
        <v>0</v>
      </c>
      <c r="AD155" s="304">
        <f t="shared" si="337"/>
        <v>0</v>
      </c>
      <c r="AE155" s="304">
        <f t="shared" si="338"/>
        <v>0</v>
      </c>
      <c r="AF155" s="304">
        <f t="shared" si="339"/>
        <v>0</v>
      </c>
      <c r="AG155" s="304">
        <f t="shared" si="340"/>
        <v>0</v>
      </c>
      <c r="AH155" s="304">
        <f t="shared" si="318"/>
        <v>0</v>
      </c>
      <c r="AI155" s="304">
        <f t="shared" si="319"/>
        <v>0</v>
      </c>
      <c r="AJ155" s="303"/>
      <c r="AK155" s="303"/>
      <c r="AL155" s="303"/>
      <c r="AM155" s="303"/>
      <c r="AN155" s="303"/>
      <c r="AO155" s="303"/>
      <c r="AP155" s="308"/>
      <c r="AQ155" s="303"/>
      <c r="AR155" s="303"/>
      <c r="AS155" s="303"/>
      <c r="AT155" s="303"/>
      <c r="AU155" s="303"/>
      <c r="AV155" s="346"/>
      <c r="AW155" s="340"/>
      <c r="AX155" s="303"/>
      <c r="AY155" s="303"/>
      <c r="AZ155" s="303"/>
      <c r="BA155" s="308"/>
      <c r="BB155" s="321"/>
      <c r="BC155" s="303"/>
      <c r="BD155" s="303"/>
      <c r="BE155" s="303"/>
      <c r="BF155" s="303"/>
    </row>
    <row r="156" spans="1:58" ht="25.5" customHeight="1">
      <c r="A156" s="530"/>
      <c r="B156" s="297"/>
      <c r="C156" s="361" t="s">
        <v>447</v>
      </c>
      <c r="D156" s="299">
        <v>30660</v>
      </c>
      <c r="E156" s="299"/>
      <c r="F156" s="299"/>
      <c r="G156" s="299">
        <v>16670</v>
      </c>
      <c r="H156" s="299"/>
      <c r="I156" s="299"/>
      <c r="J156" s="299">
        <f>1103675.97+3200</f>
        <v>1106875.97</v>
      </c>
      <c r="K156" s="299">
        <v>241022.34</v>
      </c>
      <c r="L156" s="299"/>
      <c r="M156" s="299">
        <f>2431333.75+268987</f>
        <v>2700320.75</v>
      </c>
      <c r="N156" s="299">
        <f>2818462.79+52466</f>
        <v>2870928.79</v>
      </c>
      <c r="O156" s="299"/>
      <c r="P156" s="299">
        <v>1662378.77</v>
      </c>
      <c r="Q156" s="299">
        <v>348226.84</v>
      </c>
      <c r="R156" s="299"/>
      <c r="S156" s="299"/>
      <c r="T156" s="299">
        <v>788660</v>
      </c>
      <c r="U156" s="299"/>
      <c r="V156" s="299"/>
      <c r="W156" s="299">
        <v>4822010</v>
      </c>
      <c r="X156" s="299"/>
      <c r="Y156" s="299">
        <f>D156+G156+J156+M156+P156+S156+V156</f>
        <v>5516905.4900000002</v>
      </c>
      <c r="Z156" s="299">
        <f>E156+H156+K156+N156+Q156+T156+W156</f>
        <v>9070847.9699999988</v>
      </c>
      <c r="AA156" s="299">
        <f>F156+I156+L156+O156+R156+U156+X156</f>
        <v>0</v>
      </c>
      <c r="AB156" s="342">
        <f t="shared" si="320"/>
        <v>14587753.459999999</v>
      </c>
      <c r="AC156" s="304">
        <f t="shared" si="336"/>
        <v>3854526.7199999997</v>
      </c>
      <c r="AD156" s="304">
        <f t="shared" si="337"/>
        <v>8722621.129999999</v>
      </c>
      <c r="AE156" s="304">
        <f t="shared" si="338"/>
        <v>0</v>
      </c>
      <c r="AF156" s="304">
        <f t="shared" si="339"/>
        <v>2010605.61</v>
      </c>
      <c r="AG156" s="304">
        <f t="shared" si="340"/>
        <v>14587753.459999997</v>
      </c>
      <c r="AH156" s="304">
        <f t="shared" si="318"/>
        <v>2010605.61</v>
      </c>
      <c r="AI156" s="304">
        <f t="shared" si="319"/>
        <v>12577147.849999998</v>
      </c>
      <c r="AJ156" s="304">
        <f>+AI156*100/AI164</f>
        <v>53.277196083843648</v>
      </c>
      <c r="AK156" s="304">
        <f>+AH156*AJ156/100</f>
        <v>1071194.2933124609</v>
      </c>
      <c r="AL156" s="303"/>
      <c r="AM156" s="303"/>
      <c r="AN156" s="303"/>
      <c r="AO156" s="303"/>
      <c r="AP156" s="308"/>
      <c r="AQ156" s="299">
        <v>714479.14</v>
      </c>
      <c r="AR156" s="304">
        <f>+AC156+AL156</f>
        <v>3854526.7199999997</v>
      </c>
      <c r="AS156" s="304">
        <f>+AD156+AM156</f>
        <v>8722621.129999999</v>
      </c>
      <c r="AT156" s="304">
        <f>+AE156+AN156+AQ156</f>
        <v>714479.14</v>
      </c>
      <c r="AU156" s="304">
        <f>+AK156+AO156</f>
        <v>1071194.2933124609</v>
      </c>
      <c r="AV156" s="347">
        <f>SUM(AR156:AU156)</f>
        <v>14362821.283312459</v>
      </c>
      <c r="AW156" s="341">
        <f t="shared" ref="AW156:AZ157" si="344">+AC274*AR156/AR187</f>
        <v>694024.83793868485</v>
      </c>
      <c r="AX156" s="304">
        <f t="shared" si="344"/>
        <v>2644117.1105926763</v>
      </c>
      <c r="AY156" s="304">
        <f t="shared" si="344"/>
        <v>0</v>
      </c>
      <c r="AZ156" s="304">
        <f t="shared" si="344"/>
        <v>0</v>
      </c>
      <c r="BA156" s="298">
        <f t="shared" ref="BA156:BA164" si="345">SUM(AW156:AZ156)</f>
        <v>3338141.9485313613</v>
      </c>
      <c r="BB156" s="304">
        <f>+AR156+AW156</f>
        <v>4548551.5579386847</v>
      </c>
      <c r="BC156" s="304">
        <f t="shared" ref="BC156:BC163" si="346">+AS156+AX156</f>
        <v>11366738.240592675</v>
      </c>
      <c r="BD156" s="304">
        <f t="shared" ref="BD156:BD163" si="347">+AT156+AY156</f>
        <v>714479.14</v>
      </c>
      <c r="BE156" s="304">
        <f>+AU156+AZ156</f>
        <v>1071194.2933124609</v>
      </c>
      <c r="BF156" s="304">
        <f t="shared" ref="BF156:BF164" si="348">SUM(BB156:BE156)</f>
        <v>17700963.231843822</v>
      </c>
    </row>
    <row r="157" spans="1:58" ht="25.5" customHeight="1">
      <c r="A157" s="530"/>
      <c r="B157" s="297"/>
      <c r="C157" s="361" t="s">
        <v>448</v>
      </c>
      <c r="D157" s="299"/>
      <c r="E157" s="299"/>
      <c r="F157" s="299"/>
      <c r="G157" s="299"/>
      <c r="H157" s="299"/>
      <c r="I157" s="299"/>
      <c r="J157" s="299"/>
      <c r="K157" s="299"/>
      <c r="L157" s="299"/>
      <c r="M157" s="299"/>
      <c r="N157" s="299"/>
      <c r="O157" s="299"/>
      <c r="P157" s="299"/>
      <c r="Q157" s="299"/>
      <c r="R157" s="299"/>
      <c r="S157" s="299"/>
      <c r="T157" s="299"/>
      <c r="U157" s="299"/>
      <c r="V157" s="299"/>
      <c r="W157" s="299"/>
      <c r="X157" s="299"/>
      <c r="Y157" s="299">
        <f t="shared" ref="Y157:AA163" si="349">D157+G157+J157+M157+P157+S157+V157</f>
        <v>0</v>
      </c>
      <c r="Z157" s="299">
        <f t="shared" si="349"/>
        <v>0</v>
      </c>
      <c r="AA157" s="299">
        <f t="shared" si="349"/>
        <v>0</v>
      </c>
      <c r="AB157" s="342">
        <f t="shared" si="320"/>
        <v>0</v>
      </c>
      <c r="AC157" s="304">
        <f t="shared" si="336"/>
        <v>0</v>
      </c>
      <c r="AD157" s="304">
        <f t="shared" si="337"/>
        <v>0</v>
      </c>
      <c r="AE157" s="304">
        <f t="shared" si="338"/>
        <v>0</v>
      </c>
      <c r="AF157" s="304">
        <f t="shared" si="339"/>
        <v>0</v>
      </c>
      <c r="AG157" s="304">
        <f t="shared" si="340"/>
        <v>0</v>
      </c>
      <c r="AH157" s="304">
        <f t="shared" si="318"/>
        <v>0</v>
      </c>
      <c r="AI157" s="304">
        <f t="shared" si="319"/>
        <v>0</v>
      </c>
      <c r="AJ157" s="304">
        <f>+AI157*100/AI164</f>
        <v>0</v>
      </c>
      <c r="AK157" s="304">
        <f>+AH156*AJ157/100</f>
        <v>0</v>
      </c>
      <c r="AL157" s="303"/>
      <c r="AM157" s="303"/>
      <c r="AN157" s="303"/>
      <c r="AO157" s="303"/>
      <c r="AP157" s="308"/>
      <c r="AQ157" s="299"/>
      <c r="AR157" s="304">
        <f t="shared" ref="AR157:AR163" si="350">+AC157+AL157</f>
        <v>0</v>
      </c>
      <c r="AS157" s="304">
        <f t="shared" ref="AS157:AS163" si="351">+AD157+AM157</f>
        <v>0</v>
      </c>
      <c r="AT157" s="304">
        <f t="shared" ref="AT157:AT163" si="352">+AE157+AN157+AQ157</f>
        <v>0</v>
      </c>
      <c r="AU157" s="304">
        <f t="shared" ref="AU157:AU163" si="353">+AK157+AO157</f>
        <v>0</v>
      </c>
      <c r="AV157" s="347">
        <f t="shared" ref="AV157:AV163" si="354">SUM(AR157:AU157)</f>
        <v>0</v>
      </c>
      <c r="AW157" s="341">
        <f t="shared" si="344"/>
        <v>0</v>
      </c>
      <c r="AX157" s="304">
        <f t="shared" si="344"/>
        <v>0</v>
      </c>
      <c r="AY157" s="304">
        <f t="shared" si="344"/>
        <v>0</v>
      </c>
      <c r="AZ157" s="304">
        <f t="shared" si="344"/>
        <v>0</v>
      </c>
      <c r="BA157" s="298">
        <f t="shared" si="345"/>
        <v>0</v>
      </c>
      <c r="BB157" s="304">
        <f t="shared" ref="BB157:BB163" si="355">+AR157+AW157</f>
        <v>0</v>
      </c>
      <c r="BC157" s="304">
        <f t="shared" si="346"/>
        <v>0</v>
      </c>
      <c r="BD157" s="304">
        <f t="shared" si="347"/>
        <v>0</v>
      </c>
      <c r="BE157" s="304">
        <f t="shared" ref="BE157:BE163" si="356">+AU157+AZ157</f>
        <v>0</v>
      </c>
      <c r="BF157" s="304">
        <f t="shared" si="348"/>
        <v>0</v>
      </c>
    </row>
    <row r="158" spans="1:58" ht="25.5" customHeight="1">
      <c r="A158" s="530"/>
      <c r="B158" s="297"/>
      <c r="C158" s="361" t="s">
        <v>449</v>
      </c>
      <c r="D158" s="299"/>
      <c r="E158" s="299"/>
      <c r="F158" s="299"/>
      <c r="G158" s="299"/>
      <c r="H158" s="299"/>
      <c r="I158" s="299"/>
      <c r="J158" s="299"/>
      <c r="K158" s="299"/>
      <c r="L158" s="299"/>
      <c r="M158" s="299">
        <v>212165</v>
      </c>
      <c r="N158" s="299"/>
      <c r="O158" s="299"/>
      <c r="P158" s="299"/>
      <c r="Q158" s="299"/>
      <c r="R158" s="299"/>
      <c r="S158" s="299"/>
      <c r="T158" s="299"/>
      <c r="U158" s="299"/>
      <c r="V158" s="299"/>
      <c r="W158" s="299"/>
      <c r="X158" s="299"/>
      <c r="Y158" s="299">
        <f t="shared" si="349"/>
        <v>212165</v>
      </c>
      <c r="Z158" s="299">
        <f t="shared" si="349"/>
        <v>0</v>
      </c>
      <c r="AA158" s="299">
        <f t="shared" si="349"/>
        <v>0</v>
      </c>
      <c r="AB158" s="342">
        <f t="shared" si="320"/>
        <v>212165</v>
      </c>
      <c r="AC158" s="304">
        <f t="shared" si="336"/>
        <v>212165</v>
      </c>
      <c r="AD158" s="304">
        <f t="shared" si="337"/>
        <v>0</v>
      </c>
      <c r="AE158" s="304">
        <f t="shared" si="338"/>
        <v>0</v>
      </c>
      <c r="AF158" s="304">
        <f t="shared" si="339"/>
        <v>0</v>
      </c>
      <c r="AG158" s="304">
        <f t="shared" si="340"/>
        <v>212165</v>
      </c>
      <c r="AH158" s="304">
        <f t="shared" si="318"/>
        <v>0</v>
      </c>
      <c r="AI158" s="304">
        <f t="shared" si="319"/>
        <v>212165</v>
      </c>
      <c r="AJ158" s="304">
        <f>+AI158*100/AI164</f>
        <v>0.89873765037505615</v>
      </c>
      <c r="AK158" s="304">
        <f>+AH156*AJ158/100</f>
        <v>18070.069617623067</v>
      </c>
      <c r="AL158" s="303"/>
      <c r="AM158" s="303"/>
      <c r="AN158" s="303"/>
      <c r="AO158" s="303"/>
      <c r="AP158" s="308"/>
      <c r="AQ158" s="299"/>
      <c r="AR158" s="304">
        <f t="shared" si="350"/>
        <v>212165</v>
      </c>
      <c r="AS158" s="304">
        <f t="shared" si="351"/>
        <v>0</v>
      </c>
      <c r="AT158" s="304">
        <f t="shared" si="352"/>
        <v>0</v>
      </c>
      <c r="AU158" s="304">
        <f t="shared" si="353"/>
        <v>18070.069617623067</v>
      </c>
      <c r="AV158" s="347">
        <f t="shared" si="354"/>
        <v>230235.06961762306</v>
      </c>
      <c r="AW158" s="341">
        <f t="shared" ref="AW158:AX162" si="357">+AC276*AR158/AR189</f>
        <v>233888.50638020693</v>
      </c>
      <c r="AX158" s="304">
        <f t="shared" si="357"/>
        <v>0</v>
      </c>
      <c r="AY158" s="304">
        <v>0</v>
      </c>
      <c r="AZ158" s="304">
        <f t="shared" ref="AZ158:AZ163" si="358">+AF276*AU158/AU189</f>
        <v>0</v>
      </c>
      <c r="BA158" s="298">
        <f t="shared" si="345"/>
        <v>233888.50638020693</v>
      </c>
      <c r="BB158" s="304">
        <f t="shared" si="355"/>
        <v>446053.50638020691</v>
      </c>
      <c r="BC158" s="304">
        <f t="shared" si="346"/>
        <v>0</v>
      </c>
      <c r="BD158" s="304">
        <f t="shared" si="347"/>
        <v>0</v>
      </c>
      <c r="BE158" s="304">
        <f t="shared" si="356"/>
        <v>18070.069617623067</v>
      </c>
      <c r="BF158" s="304">
        <f t="shared" si="348"/>
        <v>464123.57599782996</v>
      </c>
    </row>
    <row r="159" spans="1:58" ht="25.5" customHeight="1">
      <c r="A159" s="530"/>
      <c r="B159" s="297"/>
      <c r="C159" s="361" t="s">
        <v>450</v>
      </c>
      <c r="D159" s="299"/>
      <c r="E159" s="299"/>
      <c r="F159" s="299"/>
      <c r="G159" s="299"/>
      <c r="H159" s="299"/>
      <c r="I159" s="299"/>
      <c r="J159" s="299"/>
      <c r="K159" s="299"/>
      <c r="L159" s="299"/>
      <c r="M159" s="299"/>
      <c r="N159" s="299"/>
      <c r="O159" s="299"/>
      <c r="P159" s="299"/>
      <c r="Q159" s="299"/>
      <c r="R159" s="299"/>
      <c r="S159" s="299"/>
      <c r="T159" s="299">
        <v>100000</v>
      </c>
      <c r="U159" s="299"/>
      <c r="V159" s="299"/>
      <c r="W159" s="299"/>
      <c r="X159" s="299"/>
      <c r="Y159" s="299">
        <f t="shared" si="349"/>
        <v>0</v>
      </c>
      <c r="Z159" s="299">
        <f t="shared" si="349"/>
        <v>100000</v>
      </c>
      <c r="AA159" s="299">
        <f t="shared" si="349"/>
        <v>0</v>
      </c>
      <c r="AB159" s="342">
        <f t="shared" si="320"/>
        <v>100000</v>
      </c>
      <c r="AC159" s="304">
        <f t="shared" si="336"/>
        <v>0</v>
      </c>
      <c r="AD159" s="304">
        <f t="shared" si="337"/>
        <v>100000</v>
      </c>
      <c r="AE159" s="304">
        <f t="shared" si="338"/>
        <v>0</v>
      </c>
      <c r="AF159" s="304">
        <f t="shared" si="339"/>
        <v>0</v>
      </c>
      <c r="AG159" s="304">
        <f t="shared" si="340"/>
        <v>100000</v>
      </c>
      <c r="AH159" s="304">
        <f t="shared" si="318"/>
        <v>0</v>
      </c>
      <c r="AI159" s="304">
        <f t="shared" si="319"/>
        <v>100000</v>
      </c>
      <c r="AJ159" s="304">
        <f>+AI159*100/AI164</f>
        <v>0.42360316280963223</v>
      </c>
      <c r="AK159" s="304">
        <f>+AH156*AJ159/100</f>
        <v>8516.9889555878999</v>
      </c>
      <c r="AL159" s="303"/>
      <c r="AM159" s="303"/>
      <c r="AN159" s="303"/>
      <c r="AO159" s="303"/>
      <c r="AP159" s="308"/>
      <c r="AQ159" s="299"/>
      <c r="AR159" s="304">
        <f t="shared" si="350"/>
        <v>0</v>
      </c>
      <c r="AS159" s="304">
        <f t="shared" si="351"/>
        <v>100000</v>
      </c>
      <c r="AT159" s="304">
        <f t="shared" si="352"/>
        <v>0</v>
      </c>
      <c r="AU159" s="304">
        <f t="shared" si="353"/>
        <v>8516.9889555878999</v>
      </c>
      <c r="AV159" s="347">
        <f t="shared" si="354"/>
        <v>108516.98895558791</v>
      </c>
      <c r="AW159" s="341">
        <f t="shared" si="357"/>
        <v>0</v>
      </c>
      <c r="AX159" s="304">
        <f t="shared" si="357"/>
        <v>0</v>
      </c>
      <c r="AY159" s="304">
        <v>0</v>
      </c>
      <c r="AZ159" s="304">
        <f t="shared" si="358"/>
        <v>0</v>
      </c>
      <c r="BA159" s="298">
        <f t="shared" si="345"/>
        <v>0</v>
      </c>
      <c r="BB159" s="304">
        <f t="shared" si="355"/>
        <v>0</v>
      </c>
      <c r="BC159" s="304">
        <f t="shared" si="346"/>
        <v>100000</v>
      </c>
      <c r="BD159" s="304">
        <f t="shared" si="347"/>
        <v>0</v>
      </c>
      <c r="BE159" s="304">
        <f t="shared" si="356"/>
        <v>8516.9889555878999</v>
      </c>
      <c r="BF159" s="304">
        <f t="shared" si="348"/>
        <v>108516.98895558791</v>
      </c>
    </row>
    <row r="160" spans="1:58" ht="25.5" customHeight="1">
      <c r="A160" s="530"/>
      <c r="B160" s="297"/>
      <c r="C160" s="361" t="s">
        <v>451</v>
      </c>
      <c r="D160" s="299">
        <v>6752084.7400000002</v>
      </c>
      <c r="E160" s="299">
        <v>2403602.73</v>
      </c>
      <c r="F160" s="299">
        <v>14032</v>
      </c>
      <c r="G160" s="299"/>
      <c r="H160" s="299"/>
      <c r="I160" s="299"/>
      <c r="J160" s="299"/>
      <c r="K160" s="299"/>
      <c r="L160" s="299"/>
      <c r="M160" s="299"/>
      <c r="N160" s="299"/>
      <c r="O160" s="299"/>
      <c r="P160" s="299"/>
      <c r="Q160" s="299"/>
      <c r="R160" s="299"/>
      <c r="S160" s="299"/>
      <c r="T160" s="299"/>
      <c r="U160" s="299"/>
      <c r="V160" s="299"/>
      <c r="W160" s="299"/>
      <c r="X160" s="299"/>
      <c r="Y160" s="299">
        <f t="shared" si="349"/>
        <v>6752084.7400000002</v>
      </c>
      <c r="Z160" s="299">
        <f t="shared" si="349"/>
        <v>2403602.73</v>
      </c>
      <c r="AA160" s="299">
        <f t="shared" si="349"/>
        <v>14032</v>
      </c>
      <c r="AB160" s="342">
        <f t="shared" si="320"/>
        <v>9169719.4700000007</v>
      </c>
      <c r="AC160" s="304">
        <f t="shared" si="336"/>
        <v>6752084.7400000002</v>
      </c>
      <c r="AD160" s="304">
        <f t="shared" si="337"/>
        <v>2403602.73</v>
      </c>
      <c r="AE160" s="304">
        <f t="shared" si="338"/>
        <v>14032</v>
      </c>
      <c r="AF160" s="304">
        <f t="shared" si="339"/>
        <v>0</v>
      </c>
      <c r="AG160" s="304">
        <f t="shared" si="340"/>
        <v>9169719.4700000007</v>
      </c>
      <c r="AH160" s="304">
        <f t="shared" si="318"/>
        <v>0</v>
      </c>
      <c r="AI160" s="304">
        <f t="shared" si="319"/>
        <v>9155687.4700000007</v>
      </c>
      <c r="AJ160" s="304">
        <f>+AI160*100/AI164</f>
        <v>38.783781699885203</v>
      </c>
      <c r="AK160" s="304">
        <f>+AH156*AJ160/100</f>
        <v>779788.89062804531</v>
      </c>
      <c r="AL160" s="303"/>
      <c r="AM160" s="303"/>
      <c r="AN160" s="303"/>
      <c r="AO160" s="303"/>
      <c r="AP160" s="308"/>
      <c r="AQ160" s="299"/>
      <c r="AR160" s="304">
        <f t="shared" si="350"/>
        <v>6752084.7400000002</v>
      </c>
      <c r="AS160" s="304">
        <f t="shared" si="351"/>
        <v>2403602.73</v>
      </c>
      <c r="AT160" s="304">
        <f t="shared" si="352"/>
        <v>14032</v>
      </c>
      <c r="AU160" s="304">
        <f t="shared" si="353"/>
        <v>779788.89062804531</v>
      </c>
      <c r="AV160" s="347">
        <f t="shared" si="354"/>
        <v>9949508.3606280461</v>
      </c>
      <c r="AW160" s="341">
        <f t="shared" si="357"/>
        <v>24163134.3090593</v>
      </c>
      <c r="AX160" s="304">
        <f t="shared" si="357"/>
        <v>815136.20486710558</v>
      </c>
      <c r="AY160" s="304">
        <f>+AE278*AT160/AT191</f>
        <v>6062.6822111337942</v>
      </c>
      <c r="AZ160" s="304">
        <f t="shared" si="358"/>
        <v>0</v>
      </c>
      <c r="BA160" s="298">
        <f t="shared" si="345"/>
        <v>24984333.19613754</v>
      </c>
      <c r="BB160" s="304">
        <f t="shared" si="355"/>
        <v>30915219.049059302</v>
      </c>
      <c r="BC160" s="304">
        <f t="shared" si="346"/>
        <v>3218738.9348671054</v>
      </c>
      <c r="BD160" s="304">
        <f t="shared" si="347"/>
        <v>20094.682211133793</v>
      </c>
      <c r="BE160" s="304">
        <f t="shared" si="356"/>
        <v>779788.89062804531</v>
      </c>
      <c r="BF160" s="304">
        <f t="shared" si="348"/>
        <v>34933841.556765586</v>
      </c>
    </row>
    <row r="161" spans="1:58" ht="25.5" customHeight="1">
      <c r="A161" s="530"/>
      <c r="B161" s="297"/>
      <c r="C161" s="361" t="s">
        <v>452</v>
      </c>
      <c r="D161" s="299"/>
      <c r="E161" s="299"/>
      <c r="F161" s="299"/>
      <c r="G161" s="299"/>
      <c r="H161" s="299"/>
      <c r="I161" s="299"/>
      <c r="J161" s="299"/>
      <c r="K161" s="299"/>
      <c r="L161" s="299"/>
      <c r="M161" s="299"/>
      <c r="N161" s="299"/>
      <c r="O161" s="299"/>
      <c r="P161" s="299"/>
      <c r="Q161" s="299"/>
      <c r="R161" s="299"/>
      <c r="S161" s="299"/>
      <c r="T161" s="299"/>
      <c r="U161" s="299"/>
      <c r="V161" s="299"/>
      <c r="W161" s="299"/>
      <c r="X161" s="299"/>
      <c r="Y161" s="299">
        <f t="shared" si="349"/>
        <v>0</v>
      </c>
      <c r="Z161" s="299">
        <f t="shared" si="349"/>
        <v>0</v>
      </c>
      <c r="AA161" s="299">
        <f t="shared" si="349"/>
        <v>0</v>
      </c>
      <c r="AB161" s="342">
        <f t="shared" si="320"/>
        <v>0</v>
      </c>
      <c r="AC161" s="304">
        <f t="shared" si="336"/>
        <v>0</v>
      </c>
      <c r="AD161" s="304">
        <f t="shared" si="337"/>
        <v>0</v>
      </c>
      <c r="AE161" s="304">
        <f t="shared" si="338"/>
        <v>0</v>
      </c>
      <c r="AF161" s="304">
        <f t="shared" si="339"/>
        <v>0</v>
      </c>
      <c r="AG161" s="304">
        <f t="shared" si="340"/>
        <v>0</v>
      </c>
      <c r="AH161" s="304">
        <f t="shared" si="318"/>
        <v>0</v>
      </c>
      <c r="AI161" s="304">
        <f t="shared" si="319"/>
        <v>0</v>
      </c>
      <c r="AJ161" s="304">
        <f>+AI161*100/AI164</f>
        <v>0</v>
      </c>
      <c r="AK161" s="304">
        <f>+AH156*AJ161/100</f>
        <v>0</v>
      </c>
      <c r="AL161" s="303"/>
      <c r="AM161" s="303"/>
      <c r="AN161" s="303"/>
      <c r="AO161" s="303"/>
      <c r="AP161" s="308"/>
      <c r="AQ161" s="299"/>
      <c r="AR161" s="304">
        <f t="shared" si="350"/>
        <v>0</v>
      </c>
      <c r="AS161" s="304">
        <f t="shared" si="351"/>
        <v>0</v>
      </c>
      <c r="AT161" s="304">
        <f t="shared" si="352"/>
        <v>0</v>
      </c>
      <c r="AU161" s="304">
        <f t="shared" si="353"/>
        <v>0</v>
      </c>
      <c r="AV161" s="347">
        <f t="shared" si="354"/>
        <v>0</v>
      </c>
      <c r="AW161" s="341">
        <f t="shared" si="357"/>
        <v>0</v>
      </c>
      <c r="AX161" s="304">
        <f t="shared" si="357"/>
        <v>0</v>
      </c>
      <c r="AY161" s="304">
        <v>0</v>
      </c>
      <c r="AZ161" s="304">
        <f t="shared" si="358"/>
        <v>0</v>
      </c>
      <c r="BA161" s="298">
        <f t="shared" si="345"/>
        <v>0</v>
      </c>
      <c r="BB161" s="304">
        <f t="shared" si="355"/>
        <v>0</v>
      </c>
      <c r="BC161" s="304">
        <f t="shared" si="346"/>
        <v>0</v>
      </c>
      <c r="BD161" s="304">
        <f t="shared" si="347"/>
        <v>0</v>
      </c>
      <c r="BE161" s="304">
        <f t="shared" si="356"/>
        <v>0</v>
      </c>
      <c r="BF161" s="304">
        <f t="shared" si="348"/>
        <v>0</v>
      </c>
    </row>
    <row r="162" spans="1:58" ht="25.5" customHeight="1">
      <c r="A162" s="530"/>
      <c r="B162" s="297"/>
      <c r="C162" s="361" t="s">
        <v>453</v>
      </c>
      <c r="D162" s="299"/>
      <c r="E162" s="299"/>
      <c r="F162" s="299"/>
      <c r="G162" s="299"/>
      <c r="H162" s="299"/>
      <c r="I162" s="299"/>
      <c r="J162" s="299"/>
      <c r="K162" s="299"/>
      <c r="L162" s="299"/>
      <c r="M162" s="299"/>
      <c r="N162" s="299"/>
      <c r="O162" s="299"/>
      <c r="P162" s="299"/>
      <c r="Q162" s="299"/>
      <c r="R162" s="299"/>
      <c r="S162" s="299">
        <v>620000</v>
      </c>
      <c r="T162" s="299">
        <v>642000</v>
      </c>
      <c r="U162" s="299"/>
      <c r="V162" s="299"/>
      <c r="W162" s="299"/>
      <c r="X162" s="299"/>
      <c r="Y162" s="299">
        <f t="shared" si="349"/>
        <v>620000</v>
      </c>
      <c r="Z162" s="299">
        <f t="shared" si="349"/>
        <v>642000</v>
      </c>
      <c r="AA162" s="299">
        <f t="shared" si="349"/>
        <v>0</v>
      </c>
      <c r="AB162" s="342">
        <f t="shared" si="320"/>
        <v>1262000</v>
      </c>
      <c r="AC162" s="304">
        <f t="shared" si="336"/>
        <v>620000</v>
      </c>
      <c r="AD162" s="304">
        <f t="shared" si="337"/>
        <v>642000</v>
      </c>
      <c r="AE162" s="304">
        <f t="shared" si="338"/>
        <v>0</v>
      </c>
      <c r="AF162" s="304">
        <f t="shared" si="339"/>
        <v>0</v>
      </c>
      <c r="AG162" s="304">
        <f t="shared" si="340"/>
        <v>1262000</v>
      </c>
      <c r="AH162" s="304">
        <f t="shared" si="318"/>
        <v>0</v>
      </c>
      <c r="AI162" s="304">
        <f t="shared" si="319"/>
        <v>1262000</v>
      </c>
      <c r="AJ162" s="304">
        <f>+AI162*100/AI164</f>
        <v>5.3458719146575584</v>
      </c>
      <c r="AK162" s="304">
        <f>+AH156*AJ162/100</f>
        <v>107484.40061951928</v>
      </c>
      <c r="AL162" s="303"/>
      <c r="AM162" s="303"/>
      <c r="AN162" s="303"/>
      <c r="AO162" s="303"/>
      <c r="AP162" s="308"/>
      <c r="AQ162" s="299"/>
      <c r="AR162" s="304">
        <f t="shared" si="350"/>
        <v>620000</v>
      </c>
      <c r="AS162" s="304">
        <f t="shared" si="351"/>
        <v>642000</v>
      </c>
      <c r="AT162" s="304">
        <f t="shared" si="352"/>
        <v>0</v>
      </c>
      <c r="AU162" s="304">
        <f t="shared" si="353"/>
        <v>107484.40061951928</v>
      </c>
      <c r="AV162" s="347">
        <f t="shared" si="354"/>
        <v>1369484.4006195192</v>
      </c>
      <c r="AW162" s="341">
        <f t="shared" si="357"/>
        <v>0</v>
      </c>
      <c r="AX162" s="304">
        <f t="shared" si="357"/>
        <v>0</v>
      </c>
      <c r="AY162" s="304">
        <v>0</v>
      </c>
      <c r="AZ162" s="304">
        <f t="shared" si="358"/>
        <v>0</v>
      </c>
      <c r="BA162" s="298">
        <f t="shared" si="345"/>
        <v>0</v>
      </c>
      <c r="BB162" s="304">
        <f t="shared" si="355"/>
        <v>620000</v>
      </c>
      <c r="BC162" s="304">
        <f t="shared" si="346"/>
        <v>642000</v>
      </c>
      <c r="BD162" s="304">
        <f t="shared" si="347"/>
        <v>0</v>
      </c>
      <c r="BE162" s="304">
        <f t="shared" si="356"/>
        <v>107484.40061951928</v>
      </c>
      <c r="BF162" s="304">
        <f t="shared" si="348"/>
        <v>1369484.4006195192</v>
      </c>
    </row>
    <row r="163" spans="1:58" ht="25.5" customHeight="1">
      <c r="A163" s="530"/>
      <c r="B163" s="297"/>
      <c r="C163" s="361" t="s">
        <v>454</v>
      </c>
      <c r="D163" s="299"/>
      <c r="E163" s="299"/>
      <c r="F163" s="299"/>
      <c r="G163" s="299"/>
      <c r="H163" s="299"/>
      <c r="I163" s="299"/>
      <c r="J163" s="299"/>
      <c r="K163" s="299"/>
      <c r="L163" s="299"/>
      <c r="M163" s="299"/>
      <c r="N163" s="299"/>
      <c r="O163" s="299"/>
      <c r="P163" s="299"/>
      <c r="Q163" s="299"/>
      <c r="R163" s="299"/>
      <c r="S163" s="299">
        <v>300000</v>
      </c>
      <c r="T163" s="299"/>
      <c r="U163" s="299"/>
      <c r="V163" s="299"/>
      <c r="W163" s="299"/>
      <c r="X163" s="299"/>
      <c r="Y163" s="299">
        <f t="shared" si="349"/>
        <v>300000</v>
      </c>
      <c r="Z163" s="299">
        <f t="shared" si="349"/>
        <v>0</v>
      </c>
      <c r="AA163" s="299">
        <f t="shared" si="349"/>
        <v>0</v>
      </c>
      <c r="AB163" s="342">
        <f t="shared" si="320"/>
        <v>300000</v>
      </c>
      <c r="AC163" s="304">
        <f t="shared" si="336"/>
        <v>300000</v>
      </c>
      <c r="AD163" s="304">
        <f t="shared" si="337"/>
        <v>0</v>
      </c>
      <c r="AE163" s="304">
        <f t="shared" si="338"/>
        <v>0</v>
      </c>
      <c r="AF163" s="304">
        <f t="shared" si="339"/>
        <v>0</v>
      </c>
      <c r="AG163" s="304">
        <f t="shared" si="340"/>
        <v>300000</v>
      </c>
      <c r="AH163" s="304">
        <f t="shared" si="318"/>
        <v>0</v>
      </c>
      <c r="AI163" s="304">
        <f t="shared" si="319"/>
        <v>300000</v>
      </c>
      <c r="AJ163" s="304">
        <f>+AI163*100/AI164</f>
        <v>1.2708094884288967</v>
      </c>
      <c r="AK163" s="304">
        <f>+AH156*AJ163/100</f>
        <v>25550.966866763702</v>
      </c>
      <c r="AL163" s="303"/>
      <c r="AM163" s="303"/>
      <c r="AN163" s="303"/>
      <c r="AO163" s="303"/>
      <c r="AP163" s="308"/>
      <c r="AQ163" s="299"/>
      <c r="AR163" s="304">
        <f t="shared" si="350"/>
        <v>300000</v>
      </c>
      <c r="AS163" s="304">
        <f t="shared" si="351"/>
        <v>0</v>
      </c>
      <c r="AT163" s="304">
        <f t="shared" si="352"/>
        <v>0</v>
      </c>
      <c r="AU163" s="304">
        <f t="shared" si="353"/>
        <v>25550.966866763702</v>
      </c>
      <c r="AV163" s="347">
        <f t="shared" si="354"/>
        <v>325550.96686676372</v>
      </c>
      <c r="AW163" s="341">
        <f>+AC281*AR163/AR194</f>
        <v>0</v>
      </c>
      <c r="AX163" s="304">
        <v>0</v>
      </c>
      <c r="AY163" s="304">
        <v>0</v>
      </c>
      <c r="AZ163" s="304">
        <f t="shared" si="358"/>
        <v>0</v>
      </c>
      <c r="BA163" s="298">
        <f t="shared" si="345"/>
        <v>0</v>
      </c>
      <c r="BB163" s="304">
        <f t="shared" si="355"/>
        <v>300000</v>
      </c>
      <c r="BC163" s="304">
        <f t="shared" si="346"/>
        <v>0</v>
      </c>
      <c r="BD163" s="304">
        <f t="shared" si="347"/>
        <v>0</v>
      </c>
      <c r="BE163" s="304">
        <f t="shared" si="356"/>
        <v>25550.966866763702</v>
      </c>
      <c r="BF163" s="304">
        <f t="shared" si="348"/>
        <v>325550.96686676372</v>
      </c>
    </row>
    <row r="164" spans="1:58" ht="25.5" customHeight="1">
      <c r="A164" s="530"/>
      <c r="B164" s="297"/>
      <c r="C164" s="334" t="s">
        <v>455</v>
      </c>
      <c r="D164" s="339">
        <f>SUM(D156:D163)</f>
        <v>6782744.7400000002</v>
      </c>
      <c r="E164" s="339">
        <f t="shared" ref="E164:X164" si="359">SUM(E156:E163)</f>
        <v>2403602.73</v>
      </c>
      <c r="F164" s="339">
        <f t="shared" si="359"/>
        <v>14032</v>
      </c>
      <c r="G164" s="339">
        <f t="shared" si="359"/>
        <v>16670</v>
      </c>
      <c r="H164" s="339">
        <f t="shared" si="359"/>
        <v>0</v>
      </c>
      <c r="I164" s="339">
        <f t="shared" si="359"/>
        <v>0</v>
      </c>
      <c r="J164" s="339">
        <f t="shared" si="359"/>
        <v>1106875.97</v>
      </c>
      <c r="K164" s="339">
        <f t="shared" si="359"/>
        <v>241022.34</v>
      </c>
      <c r="L164" s="339">
        <f t="shared" si="359"/>
        <v>0</v>
      </c>
      <c r="M164" s="339">
        <f t="shared" si="359"/>
        <v>2912485.75</v>
      </c>
      <c r="N164" s="339">
        <f t="shared" si="359"/>
        <v>2870928.79</v>
      </c>
      <c r="O164" s="339">
        <f t="shared" si="359"/>
        <v>0</v>
      </c>
      <c r="P164" s="339">
        <f t="shared" si="359"/>
        <v>1662378.77</v>
      </c>
      <c r="Q164" s="339">
        <f t="shared" si="359"/>
        <v>348226.84</v>
      </c>
      <c r="R164" s="339">
        <f t="shared" si="359"/>
        <v>0</v>
      </c>
      <c r="S164" s="339">
        <f t="shared" si="359"/>
        <v>920000</v>
      </c>
      <c r="T164" s="339">
        <f t="shared" si="359"/>
        <v>1530660</v>
      </c>
      <c r="U164" s="339">
        <f t="shared" si="359"/>
        <v>0</v>
      </c>
      <c r="V164" s="339">
        <f t="shared" si="359"/>
        <v>0</v>
      </c>
      <c r="W164" s="339">
        <f t="shared" si="359"/>
        <v>4822010</v>
      </c>
      <c r="X164" s="339">
        <f t="shared" si="359"/>
        <v>0</v>
      </c>
      <c r="Y164" s="339">
        <f>SUM(Y156:Y163)</f>
        <v>13401155.23</v>
      </c>
      <c r="Z164" s="339">
        <f>SUM(Z156:Z163)</f>
        <v>12216450.699999999</v>
      </c>
      <c r="AA164" s="339">
        <f>SUM(AA156:AA163)</f>
        <v>14032</v>
      </c>
      <c r="AB164" s="342">
        <f t="shared" si="320"/>
        <v>25631637.93</v>
      </c>
      <c r="AC164" s="304">
        <f t="shared" si="336"/>
        <v>11738776.460000001</v>
      </c>
      <c r="AD164" s="304">
        <f t="shared" si="337"/>
        <v>11868223.859999999</v>
      </c>
      <c r="AE164" s="304">
        <f t="shared" si="338"/>
        <v>14032</v>
      </c>
      <c r="AF164" s="304">
        <f t="shared" si="339"/>
        <v>2010605.61</v>
      </c>
      <c r="AG164" s="304">
        <f t="shared" si="340"/>
        <v>25631637.93</v>
      </c>
      <c r="AH164" s="304">
        <f t="shared" si="318"/>
        <v>2010605.61</v>
      </c>
      <c r="AI164" s="304">
        <f t="shared" si="319"/>
        <v>23607000.32</v>
      </c>
      <c r="AJ164" s="304">
        <f>SUM(AJ156:AJ163)</f>
        <v>100</v>
      </c>
      <c r="AK164" s="304">
        <f>SUM(AK156:AK163)</f>
        <v>2010605.61</v>
      </c>
      <c r="AL164" s="303"/>
      <c r="AM164" s="303"/>
      <c r="AN164" s="303"/>
      <c r="AO164" s="303"/>
      <c r="AP164" s="308"/>
      <c r="AQ164" s="299">
        <f>SUM(AQ156:AQ163)</f>
        <v>714479.14</v>
      </c>
      <c r="AR164" s="304">
        <f>SUM(AR156:AR163)</f>
        <v>11738776.460000001</v>
      </c>
      <c r="AS164" s="304">
        <f>SUM(AS156:AS163)</f>
        <v>11868223.859999999</v>
      </c>
      <c r="AT164" s="304">
        <f t="shared" ref="AT164" si="360">SUM(AT156:AT163)</f>
        <v>728511.14</v>
      </c>
      <c r="AU164" s="304">
        <f t="shared" ref="AU164" si="361">SUM(AU156:AU163)</f>
        <v>2010605.61</v>
      </c>
      <c r="AV164" s="347">
        <f>SUM(AR164:AU164)</f>
        <v>26346117.07</v>
      </c>
      <c r="AW164" s="341">
        <f>SUM(AW156:AW163)</f>
        <v>25091047.653378192</v>
      </c>
      <c r="AX164" s="304">
        <f>SUM(AX156:AX163)</f>
        <v>3459253.3154597818</v>
      </c>
      <c r="AY164" s="304">
        <f>SUM(AY156:AY163)</f>
        <v>6062.6822111337942</v>
      </c>
      <c r="AZ164" s="304">
        <f>SUM(AZ156:AZ163)</f>
        <v>0</v>
      </c>
      <c r="BA164" s="298">
        <f t="shared" si="345"/>
        <v>28556363.651049107</v>
      </c>
      <c r="BB164" s="336">
        <f>SUM(BB156:BB163)</f>
        <v>36829824.113378197</v>
      </c>
      <c r="BC164" s="304">
        <f>SUM(BC156:BC163)</f>
        <v>15327477.17545978</v>
      </c>
      <c r="BD164" s="304">
        <f>SUM(BD156:BD163)</f>
        <v>734573.82221113378</v>
      </c>
      <c r="BE164" s="304">
        <f>SUM(BE156:BE163)</f>
        <v>2010605.61</v>
      </c>
      <c r="BF164" s="304">
        <f t="shared" si="348"/>
        <v>54902480.721049108</v>
      </c>
    </row>
    <row r="165" spans="1:58" ht="25.5" customHeight="1">
      <c r="A165" s="530">
        <v>14</v>
      </c>
      <c r="B165" s="297" t="s">
        <v>162</v>
      </c>
      <c r="C165" s="626" t="s">
        <v>464</v>
      </c>
      <c r="D165" s="626"/>
      <c r="E165" s="626"/>
      <c r="F165" s="626"/>
      <c r="G165" s="626"/>
      <c r="H165" s="626"/>
      <c r="I165" s="626"/>
      <c r="J165" s="626"/>
      <c r="K165" s="626"/>
      <c r="L165" s="626"/>
      <c r="M165" s="626"/>
      <c r="N165" s="626"/>
      <c r="O165" s="626"/>
      <c r="P165" s="626"/>
      <c r="Q165" s="626"/>
      <c r="R165" s="626"/>
      <c r="S165" s="626"/>
      <c r="T165" s="626"/>
      <c r="U165" s="626"/>
      <c r="V165" s="626"/>
      <c r="W165" s="626"/>
      <c r="X165" s="626"/>
      <c r="Y165" s="626"/>
      <c r="Z165" s="626"/>
      <c r="AA165" s="626"/>
      <c r="AB165" s="342">
        <f t="shared" si="320"/>
        <v>0</v>
      </c>
      <c r="AC165" s="304">
        <f t="shared" si="336"/>
        <v>0</v>
      </c>
      <c r="AD165" s="304">
        <f t="shared" si="337"/>
        <v>0</v>
      </c>
      <c r="AE165" s="304">
        <f t="shared" si="338"/>
        <v>0</v>
      </c>
      <c r="AF165" s="304">
        <f t="shared" si="339"/>
        <v>0</v>
      </c>
      <c r="AG165" s="304">
        <f t="shared" si="340"/>
        <v>0</v>
      </c>
      <c r="AH165" s="304">
        <f t="shared" si="318"/>
        <v>0</v>
      </c>
      <c r="AI165" s="304">
        <f t="shared" si="319"/>
        <v>0</v>
      </c>
      <c r="AJ165" s="303"/>
      <c r="AK165" s="303"/>
      <c r="AL165" s="303"/>
      <c r="AM165" s="303"/>
      <c r="AN165" s="303"/>
      <c r="AO165" s="303"/>
      <c r="AP165" s="308"/>
      <c r="AQ165" s="303"/>
      <c r="AR165" s="303"/>
      <c r="AS165" s="303"/>
      <c r="AT165" s="303"/>
      <c r="AU165" s="303"/>
      <c r="AV165" s="346"/>
      <c r="AW165" s="340"/>
      <c r="AX165" s="303"/>
      <c r="AY165" s="303"/>
      <c r="AZ165" s="303"/>
      <c r="BA165" s="308"/>
      <c r="BB165" s="321"/>
      <c r="BC165" s="303"/>
      <c r="BD165" s="303"/>
      <c r="BE165" s="303"/>
      <c r="BF165" s="303"/>
    </row>
    <row r="166" spans="1:58" ht="25.5" customHeight="1">
      <c r="A166" s="530"/>
      <c r="B166" s="297"/>
      <c r="C166" s="361" t="s">
        <v>447</v>
      </c>
      <c r="D166" s="360"/>
      <c r="E166" s="360"/>
      <c r="F166" s="360"/>
      <c r="G166" s="360"/>
      <c r="H166" s="360"/>
      <c r="I166" s="360"/>
      <c r="J166" s="360"/>
      <c r="K166" s="360"/>
      <c r="L166" s="360"/>
      <c r="M166" s="360"/>
      <c r="N166" s="360"/>
      <c r="O166" s="360"/>
      <c r="P166" s="360"/>
      <c r="Q166" s="360"/>
      <c r="R166" s="360"/>
      <c r="S166" s="360"/>
      <c r="T166" s="360"/>
      <c r="U166" s="360"/>
      <c r="V166" s="360"/>
      <c r="W166" s="360"/>
      <c r="X166" s="360"/>
      <c r="Y166" s="360">
        <f>D166+G166+J166+M166+P166+S166+V166</f>
        <v>0</v>
      </c>
      <c r="Z166" s="360">
        <f>E166+H166+K166+N166+Q166+T166+W166</f>
        <v>0</v>
      </c>
      <c r="AA166" s="360">
        <f>F166+I166+L166+O166+R166+U166+X166</f>
        <v>0</v>
      </c>
      <c r="AB166" s="342">
        <f t="shared" si="320"/>
        <v>0</v>
      </c>
      <c r="AC166" s="304">
        <f t="shared" si="336"/>
        <v>0</v>
      </c>
      <c r="AD166" s="304">
        <f t="shared" si="337"/>
        <v>0</v>
      </c>
      <c r="AE166" s="304">
        <f t="shared" si="338"/>
        <v>0</v>
      </c>
      <c r="AF166" s="304">
        <f t="shared" si="339"/>
        <v>0</v>
      </c>
      <c r="AG166" s="304">
        <f t="shared" si="340"/>
        <v>0</v>
      </c>
      <c r="AH166" s="304">
        <f t="shared" si="318"/>
        <v>0</v>
      </c>
      <c r="AI166" s="304">
        <f t="shared" si="319"/>
        <v>0</v>
      </c>
      <c r="AJ166" s="304">
        <f>+AI166*100/AI174</f>
        <v>0</v>
      </c>
      <c r="AK166" s="304">
        <f>+AH167*AJ166/100</f>
        <v>0</v>
      </c>
      <c r="AL166" s="303"/>
      <c r="AM166" s="303"/>
      <c r="AN166" s="303"/>
      <c r="AO166" s="303"/>
      <c r="AP166" s="308"/>
      <c r="AQ166" s="299"/>
      <c r="AR166" s="304">
        <f>+AC166+AL166</f>
        <v>0</v>
      </c>
      <c r="AS166" s="304">
        <f>+AD166+AM166</f>
        <v>0</v>
      </c>
      <c r="AT166" s="304">
        <f>+AE166+AN166+AQ166</f>
        <v>0</v>
      </c>
      <c r="AU166" s="304">
        <f>+AK166+AO166</f>
        <v>0</v>
      </c>
      <c r="AV166" s="347">
        <f>SUM(AR166:AU166)</f>
        <v>0</v>
      </c>
      <c r="AW166" s="341">
        <f t="shared" ref="AW166:AZ167" si="362">+AC274*AR166/AR187</f>
        <v>0</v>
      </c>
      <c r="AX166" s="304">
        <f t="shared" si="362"/>
        <v>0</v>
      </c>
      <c r="AY166" s="304">
        <f t="shared" si="362"/>
        <v>0</v>
      </c>
      <c r="AZ166" s="304">
        <f t="shared" si="362"/>
        <v>0</v>
      </c>
      <c r="BA166" s="298">
        <f t="shared" ref="BA166:BA174" si="363">SUM(AW166:AZ166)</f>
        <v>0</v>
      </c>
      <c r="BB166" s="304">
        <f>+AR166+AW166</f>
        <v>0</v>
      </c>
      <c r="BC166" s="304">
        <f t="shared" ref="BC166:BC173" si="364">+AS166+AX166</f>
        <v>0</v>
      </c>
      <c r="BD166" s="304">
        <f t="shared" ref="BD166:BD173" si="365">+AT166+AY166</f>
        <v>0</v>
      </c>
      <c r="BE166" s="304">
        <f>+AU166+AZ166</f>
        <v>0</v>
      </c>
      <c r="BF166" s="304">
        <f t="shared" ref="BF166:BF174" si="366">SUM(BB166:BE166)</f>
        <v>0</v>
      </c>
    </row>
    <row r="167" spans="1:58" ht="25.5" customHeight="1">
      <c r="A167" s="530"/>
      <c r="B167" s="297"/>
      <c r="C167" s="361" t="s">
        <v>448</v>
      </c>
      <c r="D167" s="360"/>
      <c r="E167" s="360"/>
      <c r="F167" s="360"/>
      <c r="G167" s="360"/>
      <c r="H167" s="360"/>
      <c r="I167" s="360"/>
      <c r="J167" s="360">
        <v>444086</v>
      </c>
      <c r="K167" s="360">
        <v>104148</v>
      </c>
      <c r="L167" s="360"/>
      <c r="M167" s="360">
        <v>2453011.34</v>
      </c>
      <c r="N167" s="360">
        <v>882826.03</v>
      </c>
      <c r="O167" s="360"/>
      <c r="P167" s="360">
        <v>950612.76</v>
      </c>
      <c r="Q167" s="360"/>
      <c r="R167" s="360"/>
      <c r="S167" s="360"/>
      <c r="T167" s="360">
        <v>466390</v>
      </c>
      <c r="U167" s="360"/>
      <c r="V167" s="360"/>
      <c r="W167" s="360">
        <v>2092540</v>
      </c>
      <c r="X167" s="360"/>
      <c r="Y167" s="360">
        <f t="shared" ref="Y167:AA173" si="367">D167+G167+J167+M167+P167+S167+V167</f>
        <v>3847710.0999999996</v>
      </c>
      <c r="Z167" s="360">
        <f t="shared" si="367"/>
        <v>3545904.0300000003</v>
      </c>
      <c r="AA167" s="360">
        <f t="shared" si="367"/>
        <v>0</v>
      </c>
      <c r="AB167" s="342">
        <f t="shared" si="320"/>
        <v>7393614.1299999999</v>
      </c>
      <c r="AC167" s="304">
        <f t="shared" si="336"/>
        <v>2897097.34</v>
      </c>
      <c r="AD167" s="304">
        <f t="shared" si="337"/>
        <v>3545904.0300000003</v>
      </c>
      <c r="AE167" s="304">
        <f t="shared" si="338"/>
        <v>0</v>
      </c>
      <c r="AF167" s="304">
        <f t="shared" si="339"/>
        <v>950612.76</v>
      </c>
      <c r="AG167" s="304">
        <f t="shared" si="340"/>
        <v>7393614.1299999999</v>
      </c>
      <c r="AH167" s="304">
        <f t="shared" si="318"/>
        <v>950612.76</v>
      </c>
      <c r="AI167" s="304">
        <f t="shared" si="319"/>
        <v>6443001.3700000001</v>
      </c>
      <c r="AJ167" s="304">
        <f>+AI167*100/AI174</f>
        <v>47.383464921188157</v>
      </c>
      <c r="AK167" s="304">
        <f>+AH167*AJ167/100</f>
        <v>450433.26367093856</v>
      </c>
      <c r="AL167" s="303"/>
      <c r="AM167" s="303"/>
      <c r="AN167" s="303"/>
      <c r="AO167" s="303"/>
      <c r="AP167" s="308"/>
      <c r="AQ167" s="299">
        <v>312126.28999999998</v>
      </c>
      <c r="AR167" s="304">
        <f t="shared" ref="AR167:AR173" si="368">+AC167+AL167</f>
        <v>2897097.34</v>
      </c>
      <c r="AS167" s="304">
        <f t="shared" ref="AS167:AS173" si="369">+AD167+AM167</f>
        <v>3545904.0300000003</v>
      </c>
      <c r="AT167" s="304">
        <f t="shared" ref="AT167:AT173" si="370">+AE167+AN167+AQ167</f>
        <v>312126.28999999998</v>
      </c>
      <c r="AU167" s="304">
        <f t="shared" ref="AU167:AU173" si="371">+AK167+AO167</f>
        <v>450433.26367093856</v>
      </c>
      <c r="AV167" s="347">
        <f t="shared" ref="AV167:AV173" si="372">SUM(AR167:AU167)</f>
        <v>7205560.9236709382</v>
      </c>
      <c r="AW167" s="341">
        <f t="shared" si="362"/>
        <v>3707884.5733364541</v>
      </c>
      <c r="AX167" s="304">
        <f t="shared" si="362"/>
        <v>3304021.6423270246</v>
      </c>
      <c r="AY167" s="304">
        <f t="shared" si="362"/>
        <v>0</v>
      </c>
      <c r="AZ167" s="304">
        <f t="shared" si="362"/>
        <v>555810.57229877322</v>
      </c>
      <c r="BA167" s="298">
        <f t="shared" si="363"/>
        <v>7567716.7879622523</v>
      </c>
      <c r="BB167" s="304">
        <f t="shared" ref="BB167:BB173" si="373">+AR167+AW167</f>
        <v>6604981.913336454</v>
      </c>
      <c r="BC167" s="304">
        <f t="shared" si="364"/>
        <v>6849925.6723270249</v>
      </c>
      <c r="BD167" s="304">
        <f t="shared" si="365"/>
        <v>312126.28999999998</v>
      </c>
      <c r="BE167" s="304">
        <f t="shared" ref="BE167:BE173" si="374">+AU167+AZ167</f>
        <v>1006243.8359697118</v>
      </c>
      <c r="BF167" s="304">
        <f t="shared" si="366"/>
        <v>14773277.711633191</v>
      </c>
    </row>
    <row r="168" spans="1:58" ht="25.5" customHeight="1">
      <c r="A168" s="530"/>
      <c r="B168" s="297"/>
      <c r="C168" s="361" t="s">
        <v>449</v>
      </c>
      <c r="D168" s="360"/>
      <c r="E168" s="360"/>
      <c r="F168" s="360"/>
      <c r="G168" s="360"/>
      <c r="H168" s="360"/>
      <c r="I168" s="360"/>
      <c r="J168" s="360"/>
      <c r="K168" s="360"/>
      <c r="L168" s="360"/>
      <c r="M168" s="360">
        <v>145242</v>
      </c>
      <c r="N168" s="360"/>
      <c r="O168" s="360"/>
      <c r="P168" s="360"/>
      <c r="Q168" s="360"/>
      <c r="R168" s="360"/>
      <c r="S168" s="360"/>
      <c r="T168" s="360"/>
      <c r="U168" s="360"/>
      <c r="V168" s="360"/>
      <c r="W168" s="360"/>
      <c r="X168" s="360"/>
      <c r="Y168" s="360">
        <f t="shared" si="367"/>
        <v>145242</v>
      </c>
      <c r="Z168" s="360">
        <f t="shared" si="367"/>
        <v>0</v>
      </c>
      <c r="AA168" s="360">
        <f t="shared" si="367"/>
        <v>0</v>
      </c>
      <c r="AB168" s="342">
        <f t="shared" si="320"/>
        <v>145242</v>
      </c>
      <c r="AC168" s="304">
        <f t="shared" si="336"/>
        <v>145242</v>
      </c>
      <c r="AD168" s="304">
        <f t="shared" si="337"/>
        <v>0</v>
      </c>
      <c r="AE168" s="304">
        <f t="shared" si="338"/>
        <v>0</v>
      </c>
      <c r="AF168" s="304">
        <f t="shared" si="339"/>
        <v>0</v>
      </c>
      <c r="AG168" s="304">
        <f t="shared" si="340"/>
        <v>145242</v>
      </c>
      <c r="AH168" s="304">
        <f t="shared" si="318"/>
        <v>0</v>
      </c>
      <c r="AI168" s="304">
        <f t="shared" si="319"/>
        <v>145242</v>
      </c>
      <c r="AJ168" s="304">
        <f>+AI168*100/AI174</f>
        <v>1.068146476598252</v>
      </c>
      <c r="AK168" s="304">
        <f>+AH167*AJ168/100</f>
        <v>10153.936702033398</v>
      </c>
      <c r="AL168" s="303"/>
      <c r="AM168" s="303"/>
      <c r="AN168" s="303"/>
      <c r="AO168" s="303"/>
      <c r="AP168" s="308"/>
      <c r="AQ168" s="299"/>
      <c r="AR168" s="304">
        <f t="shared" si="368"/>
        <v>145242</v>
      </c>
      <c r="AS168" s="304">
        <f t="shared" si="369"/>
        <v>0</v>
      </c>
      <c r="AT168" s="304">
        <f t="shared" si="370"/>
        <v>0</v>
      </c>
      <c r="AU168" s="304">
        <f t="shared" si="371"/>
        <v>10153.936702033398</v>
      </c>
      <c r="AV168" s="347">
        <f t="shared" si="372"/>
        <v>155395.93670203339</v>
      </c>
      <c r="AW168" s="341">
        <f t="shared" ref="AW168:AX172" si="375">+AC276*AR168/AR189</f>
        <v>160113.28184985279</v>
      </c>
      <c r="AX168" s="304">
        <f t="shared" si="375"/>
        <v>0</v>
      </c>
      <c r="AY168" s="304">
        <v>0</v>
      </c>
      <c r="AZ168" s="304">
        <f t="shared" ref="AZ168:AZ173" si="376">+AF276*AU168/AU189</f>
        <v>0</v>
      </c>
      <c r="BA168" s="298">
        <f t="shared" si="363"/>
        <v>160113.28184985279</v>
      </c>
      <c r="BB168" s="304">
        <f t="shared" si="373"/>
        <v>305355.28184985276</v>
      </c>
      <c r="BC168" s="304">
        <f t="shared" si="364"/>
        <v>0</v>
      </c>
      <c r="BD168" s="304">
        <f t="shared" si="365"/>
        <v>0</v>
      </c>
      <c r="BE168" s="304">
        <f t="shared" si="374"/>
        <v>10153.936702033398</v>
      </c>
      <c r="BF168" s="304">
        <f t="shared" si="366"/>
        <v>315509.21855188615</v>
      </c>
    </row>
    <row r="169" spans="1:58" ht="25.5" customHeight="1">
      <c r="A169" s="530"/>
      <c r="B169" s="297"/>
      <c r="C169" s="361" t="s">
        <v>450</v>
      </c>
      <c r="D169" s="360"/>
      <c r="E169" s="360"/>
      <c r="F169" s="360"/>
      <c r="G169" s="360"/>
      <c r="H169" s="360"/>
      <c r="I169" s="360"/>
      <c r="J169" s="360"/>
      <c r="K169" s="360"/>
      <c r="L169" s="360"/>
      <c r="M169" s="360">
        <v>5960</v>
      </c>
      <c r="N169" s="360">
        <v>28800</v>
      </c>
      <c r="O169" s="360"/>
      <c r="P169" s="360"/>
      <c r="Q169" s="360"/>
      <c r="R169" s="360"/>
      <c r="S169" s="360"/>
      <c r="T169" s="360"/>
      <c r="U169" s="360"/>
      <c r="V169" s="360"/>
      <c r="W169" s="360"/>
      <c r="X169" s="360"/>
      <c r="Y169" s="360">
        <f t="shared" si="367"/>
        <v>5960</v>
      </c>
      <c r="Z169" s="360">
        <f t="shared" si="367"/>
        <v>28800</v>
      </c>
      <c r="AA169" s="360">
        <f t="shared" si="367"/>
        <v>0</v>
      </c>
      <c r="AB169" s="342">
        <f t="shared" si="320"/>
        <v>34760</v>
      </c>
      <c r="AC169" s="304">
        <f t="shared" si="336"/>
        <v>5960</v>
      </c>
      <c r="AD169" s="304">
        <f t="shared" si="337"/>
        <v>28800</v>
      </c>
      <c r="AE169" s="304">
        <f t="shared" si="338"/>
        <v>0</v>
      </c>
      <c r="AF169" s="304">
        <f t="shared" si="339"/>
        <v>0</v>
      </c>
      <c r="AG169" s="304">
        <f t="shared" si="340"/>
        <v>34760</v>
      </c>
      <c r="AH169" s="304">
        <f t="shared" si="318"/>
        <v>0</v>
      </c>
      <c r="AI169" s="304">
        <f t="shared" si="319"/>
        <v>34760</v>
      </c>
      <c r="AJ169" s="304">
        <f>+AI169*100/AI174</f>
        <v>0.25563384920722132</v>
      </c>
      <c r="AK169" s="304">
        <f>+AH167*AJ169/100</f>
        <v>2430.087989443005</v>
      </c>
      <c r="AL169" s="303"/>
      <c r="AM169" s="303"/>
      <c r="AN169" s="303"/>
      <c r="AO169" s="303"/>
      <c r="AP169" s="308"/>
      <c r="AQ169" s="299"/>
      <c r="AR169" s="304">
        <f t="shared" si="368"/>
        <v>5960</v>
      </c>
      <c r="AS169" s="304">
        <f t="shared" si="369"/>
        <v>28800</v>
      </c>
      <c r="AT169" s="304">
        <f t="shared" si="370"/>
        <v>0</v>
      </c>
      <c r="AU169" s="304">
        <f t="shared" si="371"/>
        <v>2430.087989443005</v>
      </c>
      <c r="AV169" s="347">
        <f t="shared" si="372"/>
        <v>37190.087989443004</v>
      </c>
      <c r="AW169" s="341">
        <f t="shared" si="375"/>
        <v>10453.407883301417</v>
      </c>
      <c r="AX169" s="304">
        <f t="shared" si="375"/>
        <v>0</v>
      </c>
      <c r="AY169" s="304">
        <v>0</v>
      </c>
      <c r="AZ169" s="304">
        <f t="shared" si="376"/>
        <v>0</v>
      </c>
      <c r="BA169" s="298">
        <f t="shared" si="363"/>
        <v>10453.407883301417</v>
      </c>
      <c r="BB169" s="304">
        <f t="shared" si="373"/>
        <v>16413.407883301417</v>
      </c>
      <c r="BC169" s="304">
        <f t="shared" si="364"/>
        <v>28800</v>
      </c>
      <c r="BD169" s="304">
        <f t="shared" si="365"/>
        <v>0</v>
      </c>
      <c r="BE169" s="304">
        <f t="shared" si="374"/>
        <v>2430.087989443005</v>
      </c>
      <c r="BF169" s="304">
        <f t="shared" si="366"/>
        <v>47643.495872744425</v>
      </c>
    </row>
    <row r="170" spans="1:58" ht="25.5" customHeight="1">
      <c r="A170" s="530"/>
      <c r="B170" s="297"/>
      <c r="C170" s="361" t="s">
        <v>451</v>
      </c>
      <c r="D170" s="360">
        <v>3010894.26</v>
      </c>
      <c r="E170" s="360">
        <v>1684475.66</v>
      </c>
      <c r="F170" s="360">
        <v>40845</v>
      </c>
      <c r="G170" s="360"/>
      <c r="H170" s="360"/>
      <c r="I170" s="360"/>
      <c r="J170" s="360"/>
      <c r="K170" s="360"/>
      <c r="L170" s="360"/>
      <c r="M170" s="360"/>
      <c r="N170" s="360"/>
      <c r="O170" s="360"/>
      <c r="P170" s="360"/>
      <c r="Q170" s="360"/>
      <c r="R170" s="360"/>
      <c r="S170" s="360"/>
      <c r="T170" s="360"/>
      <c r="U170" s="360"/>
      <c r="V170" s="360"/>
      <c r="W170" s="360"/>
      <c r="X170" s="360"/>
      <c r="Y170" s="360">
        <f t="shared" si="367"/>
        <v>3010894.26</v>
      </c>
      <c r="Z170" s="360">
        <f t="shared" si="367"/>
        <v>1684475.66</v>
      </c>
      <c r="AA170" s="360">
        <f t="shared" si="367"/>
        <v>40845</v>
      </c>
      <c r="AB170" s="342">
        <f t="shared" si="320"/>
        <v>4736214.92</v>
      </c>
      <c r="AC170" s="304">
        <f t="shared" si="336"/>
        <v>3010894.26</v>
      </c>
      <c r="AD170" s="304">
        <f t="shared" si="337"/>
        <v>1684475.66</v>
      </c>
      <c r="AE170" s="304">
        <f t="shared" si="338"/>
        <v>40845</v>
      </c>
      <c r="AF170" s="304">
        <f t="shared" si="339"/>
        <v>0</v>
      </c>
      <c r="AG170" s="304">
        <f t="shared" si="340"/>
        <v>4736214.92</v>
      </c>
      <c r="AH170" s="304">
        <f t="shared" si="318"/>
        <v>0</v>
      </c>
      <c r="AI170" s="304">
        <f t="shared" si="319"/>
        <v>4695369.92</v>
      </c>
      <c r="AJ170" s="304">
        <f>+AI170*100/AI174</f>
        <v>34.530940336634146</v>
      </c>
      <c r="AK170" s="304">
        <f>+AH167*AJ170/100</f>
        <v>328255.52498803119</v>
      </c>
      <c r="AL170" s="303"/>
      <c r="AM170" s="303"/>
      <c r="AN170" s="303"/>
      <c r="AO170" s="303"/>
      <c r="AP170" s="308"/>
      <c r="AQ170" s="299"/>
      <c r="AR170" s="304">
        <f t="shared" si="368"/>
        <v>3010894.26</v>
      </c>
      <c r="AS170" s="304">
        <f t="shared" si="369"/>
        <v>1684475.66</v>
      </c>
      <c r="AT170" s="304">
        <f t="shared" si="370"/>
        <v>40845</v>
      </c>
      <c r="AU170" s="304">
        <f t="shared" si="371"/>
        <v>328255.52498803119</v>
      </c>
      <c r="AV170" s="347">
        <f t="shared" si="372"/>
        <v>5064470.4449880309</v>
      </c>
      <c r="AW170" s="341">
        <f t="shared" si="375"/>
        <v>10774841.429901205</v>
      </c>
      <c r="AX170" s="304">
        <f t="shared" si="375"/>
        <v>571257.9202651399</v>
      </c>
      <c r="AY170" s="304">
        <f>+AE278*AT170/AT191</f>
        <v>17647.538120992005</v>
      </c>
      <c r="AZ170" s="304">
        <f t="shared" si="376"/>
        <v>0</v>
      </c>
      <c r="BA170" s="298">
        <f t="shared" si="363"/>
        <v>11363746.888287337</v>
      </c>
      <c r="BB170" s="304">
        <f t="shared" si="373"/>
        <v>13785735.689901205</v>
      </c>
      <c r="BC170" s="304">
        <f t="shared" si="364"/>
        <v>2255733.5802651397</v>
      </c>
      <c r="BD170" s="304">
        <f t="shared" si="365"/>
        <v>58492.538120992001</v>
      </c>
      <c r="BE170" s="304">
        <f t="shared" si="374"/>
        <v>328255.52498803119</v>
      </c>
      <c r="BF170" s="304">
        <f t="shared" si="366"/>
        <v>16428217.333275368</v>
      </c>
    </row>
    <row r="171" spans="1:58" ht="25.5" customHeight="1">
      <c r="A171" s="530"/>
      <c r="B171" s="297"/>
      <c r="C171" s="361" t="s">
        <v>452</v>
      </c>
      <c r="D171" s="360"/>
      <c r="E171" s="360"/>
      <c r="F171" s="360"/>
      <c r="G171" s="360"/>
      <c r="H171" s="360"/>
      <c r="I171" s="360"/>
      <c r="J171" s="360"/>
      <c r="K171" s="360"/>
      <c r="L171" s="360"/>
      <c r="M171" s="360"/>
      <c r="N171" s="360"/>
      <c r="O171" s="360"/>
      <c r="P171" s="360"/>
      <c r="Q171" s="360"/>
      <c r="R171" s="360"/>
      <c r="S171" s="360">
        <v>1179000</v>
      </c>
      <c r="T171" s="360"/>
      <c r="U171" s="360"/>
      <c r="V171" s="360"/>
      <c r="W171" s="360"/>
      <c r="X171" s="360"/>
      <c r="Y171" s="360">
        <f t="shared" si="367"/>
        <v>1179000</v>
      </c>
      <c r="Z171" s="360">
        <f t="shared" si="367"/>
        <v>0</v>
      </c>
      <c r="AA171" s="360">
        <f t="shared" si="367"/>
        <v>0</v>
      </c>
      <c r="AB171" s="342">
        <f t="shared" si="320"/>
        <v>1179000</v>
      </c>
      <c r="AC171" s="304">
        <f t="shared" si="336"/>
        <v>1179000</v>
      </c>
      <c r="AD171" s="304">
        <f t="shared" si="337"/>
        <v>0</v>
      </c>
      <c r="AE171" s="304">
        <f t="shared" si="338"/>
        <v>0</v>
      </c>
      <c r="AF171" s="304">
        <f t="shared" si="339"/>
        <v>0</v>
      </c>
      <c r="AG171" s="304">
        <f t="shared" si="340"/>
        <v>1179000</v>
      </c>
      <c r="AH171" s="304">
        <f t="shared" si="318"/>
        <v>0</v>
      </c>
      <c r="AI171" s="304">
        <f t="shared" si="319"/>
        <v>1179000</v>
      </c>
      <c r="AJ171" s="304">
        <f>+AI171*100/AI174</f>
        <v>8.6706647933059244</v>
      </c>
      <c r="AK171" s="304">
        <f>+AH167*AJ171/100</f>
        <v>82424.445901993749</v>
      </c>
      <c r="AL171" s="303"/>
      <c r="AM171" s="303"/>
      <c r="AN171" s="303"/>
      <c r="AO171" s="303"/>
      <c r="AP171" s="308"/>
      <c r="AQ171" s="299"/>
      <c r="AR171" s="304">
        <f t="shared" si="368"/>
        <v>1179000</v>
      </c>
      <c r="AS171" s="304">
        <f t="shared" si="369"/>
        <v>0</v>
      </c>
      <c r="AT171" s="304">
        <f t="shared" si="370"/>
        <v>0</v>
      </c>
      <c r="AU171" s="304">
        <f t="shared" si="371"/>
        <v>82424.445901993749</v>
      </c>
      <c r="AV171" s="347">
        <f t="shared" si="372"/>
        <v>1261424.4459019937</v>
      </c>
      <c r="AW171" s="341">
        <f t="shared" si="375"/>
        <v>0</v>
      </c>
      <c r="AX171" s="304">
        <f t="shared" si="375"/>
        <v>0</v>
      </c>
      <c r="AY171" s="304">
        <v>0</v>
      </c>
      <c r="AZ171" s="304">
        <f t="shared" si="376"/>
        <v>0</v>
      </c>
      <c r="BA171" s="298">
        <f t="shared" si="363"/>
        <v>0</v>
      </c>
      <c r="BB171" s="304">
        <f t="shared" si="373"/>
        <v>1179000</v>
      </c>
      <c r="BC171" s="304">
        <f t="shared" si="364"/>
        <v>0</v>
      </c>
      <c r="BD171" s="304">
        <f t="shared" si="365"/>
        <v>0</v>
      </c>
      <c r="BE171" s="304">
        <f t="shared" si="374"/>
        <v>82424.445901993749</v>
      </c>
      <c r="BF171" s="304">
        <f t="shared" si="366"/>
        <v>1261424.4459019937</v>
      </c>
    </row>
    <row r="172" spans="1:58" ht="25.5" customHeight="1">
      <c r="A172" s="530"/>
      <c r="B172" s="297"/>
      <c r="C172" s="361" t="s">
        <v>453</v>
      </c>
      <c r="D172" s="360"/>
      <c r="E172" s="360"/>
      <c r="F172" s="360"/>
      <c r="G172" s="360"/>
      <c r="H172" s="360"/>
      <c r="I172" s="360"/>
      <c r="J172" s="360"/>
      <c r="K172" s="360"/>
      <c r="L172" s="360"/>
      <c r="M172" s="360"/>
      <c r="N172" s="360"/>
      <c r="O172" s="360"/>
      <c r="P172" s="360"/>
      <c r="Q172" s="360"/>
      <c r="R172" s="360"/>
      <c r="S172" s="360">
        <v>593200</v>
      </c>
      <c r="T172" s="360">
        <v>207000</v>
      </c>
      <c r="U172" s="360"/>
      <c r="V172" s="360"/>
      <c r="W172" s="360"/>
      <c r="X172" s="360"/>
      <c r="Y172" s="360">
        <f t="shared" si="367"/>
        <v>593200</v>
      </c>
      <c r="Z172" s="360">
        <f t="shared" si="367"/>
        <v>207000</v>
      </c>
      <c r="AA172" s="360">
        <f t="shared" si="367"/>
        <v>0</v>
      </c>
      <c r="AB172" s="342">
        <f t="shared" si="320"/>
        <v>800200</v>
      </c>
      <c r="AC172" s="304">
        <f t="shared" si="336"/>
        <v>593200</v>
      </c>
      <c r="AD172" s="304">
        <f t="shared" si="337"/>
        <v>207000</v>
      </c>
      <c r="AE172" s="304">
        <f t="shared" si="338"/>
        <v>0</v>
      </c>
      <c r="AF172" s="304">
        <f t="shared" si="339"/>
        <v>0</v>
      </c>
      <c r="AG172" s="304">
        <f t="shared" si="340"/>
        <v>800200</v>
      </c>
      <c r="AH172" s="304">
        <f t="shared" si="318"/>
        <v>0</v>
      </c>
      <c r="AI172" s="304">
        <f t="shared" si="319"/>
        <v>800200</v>
      </c>
      <c r="AJ172" s="304">
        <f>+AI172*100/AI174</f>
        <v>5.8848735942352848</v>
      </c>
      <c r="AK172" s="304">
        <f>+AH167*AJ172/100</f>
        <v>55942.359296671246</v>
      </c>
      <c r="AL172" s="303"/>
      <c r="AM172" s="303"/>
      <c r="AN172" s="303"/>
      <c r="AO172" s="303"/>
      <c r="AP172" s="308"/>
      <c r="AQ172" s="299"/>
      <c r="AR172" s="304">
        <f t="shared" si="368"/>
        <v>593200</v>
      </c>
      <c r="AS172" s="304">
        <f t="shared" si="369"/>
        <v>207000</v>
      </c>
      <c r="AT172" s="304">
        <f t="shared" si="370"/>
        <v>0</v>
      </c>
      <c r="AU172" s="304">
        <f t="shared" si="371"/>
        <v>55942.359296671246</v>
      </c>
      <c r="AV172" s="347">
        <f t="shared" si="372"/>
        <v>856142.35929667123</v>
      </c>
      <c r="AW172" s="341">
        <f t="shared" si="375"/>
        <v>0</v>
      </c>
      <c r="AX172" s="304">
        <f t="shared" si="375"/>
        <v>0</v>
      </c>
      <c r="AY172" s="304">
        <v>0</v>
      </c>
      <c r="AZ172" s="304">
        <f t="shared" si="376"/>
        <v>0</v>
      </c>
      <c r="BA172" s="298">
        <f t="shared" si="363"/>
        <v>0</v>
      </c>
      <c r="BB172" s="304">
        <f t="shared" si="373"/>
        <v>593200</v>
      </c>
      <c r="BC172" s="304">
        <f t="shared" si="364"/>
        <v>207000</v>
      </c>
      <c r="BD172" s="304">
        <f t="shared" si="365"/>
        <v>0</v>
      </c>
      <c r="BE172" s="304">
        <f t="shared" si="374"/>
        <v>55942.359296671246</v>
      </c>
      <c r="BF172" s="304">
        <f t="shared" si="366"/>
        <v>856142.35929667123</v>
      </c>
    </row>
    <row r="173" spans="1:58" ht="25.5" customHeight="1">
      <c r="A173" s="530"/>
      <c r="B173" s="297"/>
      <c r="C173" s="361" t="s">
        <v>454</v>
      </c>
      <c r="D173" s="360"/>
      <c r="E173" s="360"/>
      <c r="F173" s="360"/>
      <c r="G173" s="360"/>
      <c r="H173" s="360"/>
      <c r="I173" s="360"/>
      <c r="J173" s="360"/>
      <c r="K173" s="360"/>
      <c r="L173" s="360"/>
      <c r="M173" s="360"/>
      <c r="N173" s="360"/>
      <c r="O173" s="360"/>
      <c r="P173" s="360"/>
      <c r="Q173" s="360"/>
      <c r="R173" s="360"/>
      <c r="S173" s="360">
        <v>300000</v>
      </c>
      <c r="T173" s="360"/>
      <c r="U173" s="360"/>
      <c r="V173" s="360"/>
      <c r="W173" s="360"/>
      <c r="X173" s="360"/>
      <c r="Y173" s="360">
        <f t="shared" si="367"/>
        <v>300000</v>
      </c>
      <c r="Z173" s="360">
        <f t="shared" si="367"/>
        <v>0</v>
      </c>
      <c r="AA173" s="360">
        <f t="shared" si="367"/>
        <v>0</v>
      </c>
      <c r="AB173" s="342">
        <f t="shared" si="320"/>
        <v>300000</v>
      </c>
      <c r="AC173" s="304">
        <f t="shared" si="336"/>
        <v>300000</v>
      </c>
      <c r="AD173" s="304">
        <f t="shared" si="337"/>
        <v>0</v>
      </c>
      <c r="AE173" s="304">
        <f t="shared" si="338"/>
        <v>0</v>
      </c>
      <c r="AF173" s="304">
        <f t="shared" si="339"/>
        <v>0</v>
      </c>
      <c r="AG173" s="304">
        <f t="shared" si="340"/>
        <v>300000</v>
      </c>
      <c r="AH173" s="304">
        <f t="shared" si="318"/>
        <v>0</v>
      </c>
      <c r="AI173" s="304">
        <f t="shared" si="319"/>
        <v>300000</v>
      </c>
      <c r="AJ173" s="304">
        <f>+AI173*100/AI174</f>
        <v>2.2062760288310241</v>
      </c>
      <c r="AK173" s="304">
        <f>+AH167*AJ173/100</f>
        <v>20973.141450888994</v>
      </c>
      <c r="AL173" s="303"/>
      <c r="AM173" s="303"/>
      <c r="AN173" s="303"/>
      <c r="AO173" s="303"/>
      <c r="AP173" s="308"/>
      <c r="AQ173" s="299"/>
      <c r="AR173" s="304">
        <f t="shared" si="368"/>
        <v>300000</v>
      </c>
      <c r="AS173" s="304">
        <f t="shared" si="369"/>
        <v>0</v>
      </c>
      <c r="AT173" s="304">
        <f t="shared" si="370"/>
        <v>0</v>
      </c>
      <c r="AU173" s="304">
        <f t="shared" si="371"/>
        <v>20973.141450888994</v>
      </c>
      <c r="AV173" s="347">
        <f t="shared" si="372"/>
        <v>320973.141450889</v>
      </c>
      <c r="AW173" s="341">
        <f>+AC281*AR173/AR194</f>
        <v>0</v>
      </c>
      <c r="AX173" s="304">
        <v>0</v>
      </c>
      <c r="AY173" s="304">
        <v>0</v>
      </c>
      <c r="AZ173" s="304">
        <f t="shared" si="376"/>
        <v>0</v>
      </c>
      <c r="BA173" s="298">
        <f t="shared" si="363"/>
        <v>0</v>
      </c>
      <c r="BB173" s="304">
        <f t="shared" si="373"/>
        <v>300000</v>
      </c>
      <c r="BC173" s="304">
        <f t="shared" si="364"/>
        <v>0</v>
      </c>
      <c r="BD173" s="304">
        <f t="shared" si="365"/>
        <v>0</v>
      </c>
      <c r="BE173" s="304">
        <f t="shared" si="374"/>
        <v>20973.141450888994</v>
      </c>
      <c r="BF173" s="304">
        <f t="shared" si="366"/>
        <v>320973.141450889</v>
      </c>
    </row>
    <row r="174" spans="1:58" ht="25.5" customHeight="1">
      <c r="A174" s="530"/>
      <c r="B174" s="297"/>
      <c r="C174" s="334" t="s">
        <v>455</v>
      </c>
      <c r="D174" s="333">
        <f>SUM(D166:D173)</f>
        <v>3010894.26</v>
      </c>
      <c r="E174" s="333">
        <f t="shared" ref="E174:X174" si="377">SUM(E166:E173)</f>
        <v>1684475.66</v>
      </c>
      <c r="F174" s="333">
        <f t="shared" si="377"/>
        <v>40845</v>
      </c>
      <c r="G174" s="333">
        <f t="shared" si="377"/>
        <v>0</v>
      </c>
      <c r="H174" s="333">
        <f t="shared" si="377"/>
        <v>0</v>
      </c>
      <c r="I174" s="333">
        <f t="shared" si="377"/>
        <v>0</v>
      </c>
      <c r="J174" s="333">
        <f t="shared" si="377"/>
        <v>444086</v>
      </c>
      <c r="K174" s="333">
        <f t="shared" si="377"/>
        <v>104148</v>
      </c>
      <c r="L174" s="333">
        <f t="shared" si="377"/>
        <v>0</v>
      </c>
      <c r="M174" s="333">
        <f t="shared" si="377"/>
        <v>2604213.34</v>
      </c>
      <c r="N174" s="333">
        <f t="shared" si="377"/>
        <v>911626.03</v>
      </c>
      <c r="O174" s="333">
        <f t="shared" si="377"/>
        <v>0</v>
      </c>
      <c r="P174" s="333">
        <f t="shared" si="377"/>
        <v>950612.76</v>
      </c>
      <c r="Q174" s="333">
        <f t="shared" si="377"/>
        <v>0</v>
      </c>
      <c r="R174" s="333">
        <f t="shared" si="377"/>
        <v>0</v>
      </c>
      <c r="S174" s="333">
        <f t="shared" si="377"/>
        <v>2072200</v>
      </c>
      <c r="T174" s="333">
        <f t="shared" si="377"/>
        <v>673390</v>
      </c>
      <c r="U174" s="333">
        <f t="shared" si="377"/>
        <v>0</v>
      </c>
      <c r="V174" s="333">
        <f t="shared" si="377"/>
        <v>0</v>
      </c>
      <c r="W174" s="333">
        <f t="shared" si="377"/>
        <v>2092540</v>
      </c>
      <c r="X174" s="333">
        <f t="shared" si="377"/>
        <v>0</v>
      </c>
      <c r="Y174" s="333">
        <f>SUM(Y166:Y173)</f>
        <v>9082006.3599999994</v>
      </c>
      <c r="Z174" s="333">
        <f>SUM(Z166:Z173)</f>
        <v>5466179.6900000004</v>
      </c>
      <c r="AA174" s="333">
        <f>SUM(AA166:AA173)</f>
        <v>40845</v>
      </c>
      <c r="AB174" s="342">
        <f t="shared" si="320"/>
        <v>14589031.050000001</v>
      </c>
      <c r="AC174" s="304">
        <f t="shared" si="336"/>
        <v>8131393.5999999996</v>
      </c>
      <c r="AD174" s="304">
        <f t="shared" si="337"/>
        <v>5466179.6899999995</v>
      </c>
      <c r="AE174" s="304">
        <f t="shared" si="338"/>
        <v>40845</v>
      </c>
      <c r="AF174" s="304">
        <f t="shared" si="339"/>
        <v>950612.76</v>
      </c>
      <c r="AG174" s="304">
        <f t="shared" si="340"/>
        <v>14589031.049999999</v>
      </c>
      <c r="AH174" s="304">
        <f t="shared" si="318"/>
        <v>950612.76</v>
      </c>
      <c r="AI174" s="304">
        <f t="shared" si="319"/>
        <v>13597573.289999999</v>
      </c>
      <c r="AJ174" s="304">
        <f>SUM(AJ166:AJ173)</f>
        <v>100</v>
      </c>
      <c r="AK174" s="304">
        <f>SUM(AK166:AK173)</f>
        <v>950612.76</v>
      </c>
      <c r="AL174" s="303"/>
      <c r="AM174" s="303"/>
      <c r="AN174" s="303"/>
      <c r="AO174" s="303"/>
      <c r="AP174" s="308"/>
      <c r="AQ174" s="299">
        <f>SUM(AQ166:AQ173)</f>
        <v>312126.28999999998</v>
      </c>
      <c r="AR174" s="304">
        <f>SUM(AR166:AR173)</f>
        <v>8131393.5999999996</v>
      </c>
      <c r="AS174" s="304">
        <f>SUM(AS166:AS173)</f>
        <v>5466179.6900000004</v>
      </c>
      <c r="AT174" s="304">
        <f t="shared" ref="AT174" si="378">SUM(AT166:AT173)</f>
        <v>352971.29</v>
      </c>
      <c r="AU174" s="304">
        <f t="shared" ref="AU174" si="379">SUM(AU166:AU173)</f>
        <v>950612.76</v>
      </c>
      <c r="AV174" s="347">
        <f>SUM(AR174:AU174)</f>
        <v>14901157.339999998</v>
      </c>
      <c r="AW174" s="341">
        <f>SUM(AW166:AW173)</f>
        <v>14653292.692970812</v>
      </c>
      <c r="AX174" s="304">
        <f>SUM(AX166:AX173)</f>
        <v>3875279.5625921646</v>
      </c>
      <c r="AY174" s="304">
        <f>SUM(AY166:AY173)</f>
        <v>17647.538120992005</v>
      </c>
      <c r="AZ174" s="304">
        <f>SUM(AZ166:AZ173)</f>
        <v>555810.57229877322</v>
      </c>
      <c r="BA174" s="298">
        <f t="shared" si="363"/>
        <v>19102030.365982741</v>
      </c>
      <c r="BB174" s="336">
        <f>SUM(BB166:BB173)</f>
        <v>22784686.292970814</v>
      </c>
      <c r="BC174" s="304">
        <f>SUM(BC166:BC173)</f>
        <v>9341459.252592165</v>
      </c>
      <c r="BD174" s="304">
        <f>SUM(BD166:BD173)</f>
        <v>370618.828120992</v>
      </c>
      <c r="BE174" s="304">
        <f>SUM(BE166:BE173)</f>
        <v>1506423.3322987733</v>
      </c>
      <c r="BF174" s="304">
        <f t="shared" si="366"/>
        <v>34003187.705982745</v>
      </c>
    </row>
    <row r="175" spans="1:58" ht="24" customHeight="1">
      <c r="A175" s="530">
        <v>15</v>
      </c>
      <c r="B175" s="297" t="s">
        <v>162</v>
      </c>
      <c r="C175" s="626" t="s">
        <v>465</v>
      </c>
      <c r="D175" s="626"/>
      <c r="E175" s="626"/>
      <c r="F175" s="626"/>
      <c r="G175" s="626"/>
      <c r="H175" s="626"/>
      <c r="I175" s="626"/>
      <c r="J175" s="626"/>
      <c r="K175" s="626"/>
      <c r="L175" s="626"/>
      <c r="M175" s="626"/>
      <c r="N175" s="626"/>
      <c r="O175" s="626"/>
      <c r="P175" s="626"/>
      <c r="Q175" s="626"/>
      <c r="R175" s="626"/>
      <c r="S175" s="626"/>
      <c r="T175" s="626"/>
      <c r="U175" s="626"/>
      <c r="V175" s="626"/>
      <c r="W175" s="626"/>
      <c r="X175" s="626"/>
      <c r="Y175" s="626"/>
      <c r="Z175" s="626"/>
      <c r="AA175" s="626"/>
      <c r="AB175" s="342">
        <f t="shared" si="320"/>
        <v>0</v>
      </c>
      <c r="AC175" s="304">
        <f t="shared" si="336"/>
        <v>0</v>
      </c>
      <c r="AD175" s="304">
        <f t="shared" si="337"/>
        <v>0</v>
      </c>
      <c r="AE175" s="304">
        <f t="shared" si="338"/>
        <v>0</v>
      </c>
      <c r="AF175" s="304">
        <f t="shared" si="339"/>
        <v>0</v>
      </c>
      <c r="AG175" s="304">
        <f t="shared" si="340"/>
        <v>0</v>
      </c>
      <c r="AH175" s="304">
        <f t="shared" si="318"/>
        <v>0</v>
      </c>
      <c r="AI175" s="304">
        <f t="shared" si="319"/>
        <v>0</v>
      </c>
      <c r="AJ175" s="303"/>
      <c r="AK175" s="303"/>
      <c r="AL175" s="303"/>
      <c r="AM175" s="303"/>
      <c r="AN175" s="303"/>
      <c r="AO175" s="303"/>
      <c r="AP175" s="308"/>
      <c r="AQ175" s="303"/>
      <c r="AR175" s="303"/>
      <c r="AS175" s="303"/>
      <c r="AT175" s="303"/>
      <c r="AU175" s="303"/>
      <c r="AV175" s="346"/>
      <c r="AW175" s="340"/>
      <c r="AX175" s="303"/>
      <c r="AY175" s="303"/>
      <c r="AZ175" s="303"/>
      <c r="BA175" s="308"/>
      <c r="BB175" s="321"/>
      <c r="BC175" s="303"/>
      <c r="BD175" s="303"/>
      <c r="BE175" s="303"/>
      <c r="BF175" s="303"/>
    </row>
    <row r="176" spans="1:58" ht="24" customHeight="1">
      <c r="A176" s="530"/>
      <c r="B176" s="297"/>
      <c r="C176" s="361" t="s">
        <v>447</v>
      </c>
      <c r="D176" s="360"/>
      <c r="E176" s="360"/>
      <c r="F176" s="362"/>
      <c r="G176" s="363"/>
      <c r="H176" s="363"/>
      <c r="I176" s="362"/>
      <c r="J176" s="363"/>
      <c r="K176" s="363"/>
      <c r="L176" s="362"/>
      <c r="M176" s="363"/>
      <c r="N176" s="363"/>
      <c r="O176" s="362"/>
      <c r="P176" s="362"/>
      <c r="Q176" s="362"/>
      <c r="R176" s="362"/>
      <c r="S176" s="360"/>
      <c r="T176" s="360"/>
      <c r="U176" s="362"/>
      <c r="V176" s="360"/>
      <c r="W176" s="360"/>
      <c r="X176" s="362"/>
      <c r="Y176" s="363">
        <f>+D176+G176+J176+M176+P176+S176+V176</f>
        <v>0</v>
      </c>
      <c r="Z176" s="363">
        <f>+E176+H176+K176+N176+Q176+T176+W176</f>
        <v>0</v>
      </c>
      <c r="AA176" s="363">
        <f>+F176+I176+L176+O176+R176+U176+X176</f>
        <v>0</v>
      </c>
      <c r="AB176" s="342">
        <f t="shared" si="320"/>
        <v>0</v>
      </c>
      <c r="AC176" s="304">
        <f t="shared" si="336"/>
        <v>0</v>
      </c>
      <c r="AD176" s="304">
        <f t="shared" si="337"/>
        <v>0</v>
      </c>
      <c r="AE176" s="304">
        <f t="shared" si="338"/>
        <v>0</v>
      </c>
      <c r="AF176" s="304">
        <f t="shared" si="339"/>
        <v>0</v>
      </c>
      <c r="AG176" s="304">
        <f t="shared" si="340"/>
        <v>0</v>
      </c>
      <c r="AH176" s="304">
        <f t="shared" si="318"/>
        <v>0</v>
      </c>
      <c r="AI176" s="304">
        <f t="shared" si="319"/>
        <v>0</v>
      </c>
      <c r="AJ176" s="304">
        <f>+AI176*100/AI184</f>
        <v>0</v>
      </c>
      <c r="AK176" s="304">
        <f>+AH177*AJ176/100</f>
        <v>0</v>
      </c>
      <c r="AL176" s="303"/>
      <c r="AM176" s="303"/>
      <c r="AN176" s="303"/>
      <c r="AO176" s="303"/>
      <c r="AP176" s="308"/>
      <c r="AQ176" s="299"/>
      <c r="AR176" s="304">
        <f>+AC176+AL176</f>
        <v>0</v>
      </c>
      <c r="AS176" s="304">
        <f>+AD176+AM176</f>
        <v>0</v>
      </c>
      <c r="AT176" s="304">
        <f>+AE176+AN176+AQ176</f>
        <v>0</v>
      </c>
      <c r="AU176" s="304">
        <f>+AK176+AO176</f>
        <v>0</v>
      </c>
      <c r="AV176" s="347">
        <f>SUM(AR176:AU176)</f>
        <v>0</v>
      </c>
      <c r="AW176" s="341">
        <f t="shared" ref="AW176:AZ177" si="380">+AC274*AR176/AR187</f>
        <v>0</v>
      </c>
      <c r="AX176" s="304">
        <f t="shared" si="380"/>
        <v>0</v>
      </c>
      <c r="AY176" s="304">
        <f t="shared" si="380"/>
        <v>0</v>
      </c>
      <c r="AZ176" s="304">
        <f t="shared" si="380"/>
        <v>0</v>
      </c>
      <c r="BA176" s="298">
        <f t="shared" ref="BA176:BA184" si="381">SUM(AW176:AZ176)</f>
        <v>0</v>
      </c>
      <c r="BB176" s="304">
        <f>+AR176+AW176</f>
        <v>0</v>
      </c>
      <c r="BC176" s="304">
        <f t="shared" ref="BC176:BC183" si="382">+AS176+AX176</f>
        <v>0</v>
      </c>
      <c r="BD176" s="304">
        <f t="shared" ref="BD176:BD183" si="383">+AT176+AY176</f>
        <v>0</v>
      </c>
      <c r="BE176" s="304">
        <f>+AU176+AZ176</f>
        <v>0</v>
      </c>
      <c r="BF176" s="304">
        <f t="shared" ref="BF176:BF184" si="384">SUM(BB176:BE176)</f>
        <v>0</v>
      </c>
    </row>
    <row r="177" spans="1:58" ht="24" customHeight="1">
      <c r="A177" s="530"/>
      <c r="B177" s="297"/>
      <c r="C177" s="361" t="s">
        <v>448</v>
      </c>
      <c r="D177" s="360"/>
      <c r="E177" s="360"/>
      <c r="F177" s="362"/>
      <c r="G177" s="363"/>
      <c r="H177" s="363"/>
      <c r="I177" s="362"/>
      <c r="J177" s="363"/>
      <c r="K177" s="363"/>
      <c r="L177" s="362"/>
      <c r="M177" s="363">
        <f>3664199.84+575259.71</f>
        <v>4239459.55</v>
      </c>
      <c r="N177" s="363">
        <f>1260946.3+1121547.13</f>
        <v>2382493.4299999997</v>
      </c>
      <c r="O177" s="362"/>
      <c r="P177" s="360">
        <v>19394063.699999999</v>
      </c>
      <c r="Q177" s="362">
        <v>1534476.97</v>
      </c>
      <c r="R177" s="362"/>
      <c r="S177" s="360"/>
      <c r="T177" s="360">
        <f>264220+267890</f>
        <v>532110</v>
      </c>
      <c r="U177" s="362"/>
      <c r="V177" s="360">
        <f>416460.5+56759+1618386</f>
        <v>2091605.5</v>
      </c>
      <c r="W177" s="360">
        <f>426798+12000</f>
        <v>438798</v>
      </c>
      <c r="X177" s="362"/>
      <c r="Y177" s="363">
        <f t="shared" ref="Y177:AA184" si="385">+D177+G177+J177+M177+P177+S177+V177</f>
        <v>25725128.75</v>
      </c>
      <c r="Z177" s="363">
        <f t="shared" si="385"/>
        <v>4887878.3999999994</v>
      </c>
      <c r="AA177" s="363">
        <f t="shared" si="385"/>
        <v>0</v>
      </c>
      <c r="AB177" s="342">
        <f t="shared" si="320"/>
        <v>30613007.149999999</v>
      </c>
      <c r="AC177" s="304">
        <f t="shared" si="336"/>
        <v>6331065.0499999998</v>
      </c>
      <c r="AD177" s="304">
        <f t="shared" si="337"/>
        <v>3353401.4299999997</v>
      </c>
      <c r="AE177" s="304">
        <f t="shared" si="338"/>
        <v>0</v>
      </c>
      <c r="AF177" s="304">
        <f t="shared" si="339"/>
        <v>20928540.669999998</v>
      </c>
      <c r="AG177" s="304">
        <f t="shared" si="340"/>
        <v>30613007.149999999</v>
      </c>
      <c r="AH177" s="304">
        <f t="shared" si="318"/>
        <v>20928540.669999998</v>
      </c>
      <c r="AI177" s="304">
        <f t="shared" si="319"/>
        <v>9684466.4800000004</v>
      </c>
      <c r="AJ177" s="304">
        <f>+AI177*100/AI184</f>
        <v>36.397262583543863</v>
      </c>
      <c r="AK177" s="304">
        <f>+AH177*AJ177/100</f>
        <v>7617415.9025636697</v>
      </c>
      <c r="AL177" s="303"/>
      <c r="AM177" s="303"/>
      <c r="AN177" s="303"/>
      <c r="AO177" s="303"/>
      <c r="AP177" s="308"/>
      <c r="AQ177" s="299">
        <v>431675.71</v>
      </c>
      <c r="AR177" s="304">
        <f t="shared" ref="AR177:AR183" si="386">+AC177+AL177</f>
        <v>6331065.0499999998</v>
      </c>
      <c r="AS177" s="304">
        <f t="shared" ref="AS177:AS183" si="387">+AD177+AM177</f>
        <v>3353401.4299999997</v>
      </c>
      <c r="AT177" s="304">
        <f t="shared" ref="AT177:AT183" si="388">+AE177+AN177+AQ177</f>
        <v>431675.71</v>
      </c>
      <c r="AU177" s="304">
        <f t="shared" ref="AU177:AU183" si="389">+AK177+AO177</f>
        <v>7617415.9025636697</v>
      </c>
      <c r="AV177" s="347">
        <f t="shared" ref="AV177:AV183" si="390">SUM(AR177:AU177)</f>
        <v>17733558.09256367</v>
      </c>
      <c r="AW177" s="341">
        <f t="shared" si="380"/>
        <v>8102889.0909425188</v>
      </c>
      <c r="AX177" s="304">
        <f t="shared" si="380"/>
        <v>3124650.5281561133</v>
      </c>
      <c r="AY177" s="304">
        <f t="shared" si="380"/>
        <v>0</v>
      </c>
      <c r="AZ177" s="304">
        <f t="shared" si="380"/>
        <v>9399484.0828067642</v>
      </c>
      <c r="BA177" s="298">
        <f t="shared" si="381"/>
        <v>20627023.701905396</v>
      </c>
      <c r="BB177" s="304">
        <f t="shared" ref="BB177:BB183" si="391">+AR177+AW177</f>
        <v>14433954.140942518</v>
      </c>
      <c r="BC177" s="304">
        <f t="shared" si="382"/>
        <v>6478051.9581561126</v>
      </c>
      <c r="BD177" s="304">
        <f t="shared" si="383"/>
        <v>431675.71</v>
      </c>
      <c r="BE177" s="304">
        <f t="shared" ref="BE177:BE183" si="392">+AU177+AZ177</f>
        <v>17016899.985370435</v>
      </c>
      <c r="BF177" s="304">
        <f t="shared" si="384"/>
        <v>38360581.794469066</v>
      </c>
    </row>
    <row r="178" spans="1:58" ht="24" customHeight="1">
      <c r="A178" s="530"/>
      <c r="B178" s="297"/>
      <c r="C178" s="361" t="s">
        <v>449</v>
      </c>
      <c r="D178" s="360"/>
      <c r="E178" s="360"/>
      <c r="F178" s="362"/>
      <c r="G178" s="363"/>
      <c r="H178" s="362"/>
      <c r="I178" s="362"/>
      <c r="J178" s="362"/>
      <c r="K178" s="362"/>
      <c r="L178" s="362"/>
      <c r="M178" s="362"/>
      <c r="N178" s="362"/>
      <c r="O178" s="362"/>
      <c r="P178" s="362"/>
      <c r="Q178" s="362"/>
      <c r="R178" s="362"/>
      <c r="S178" s="360"/>
      <c r="T178" s="360"/>
      <c r="U178" s="362"/>
      <c r="V178" s="360">
        <f>259944</f>
        <v>259944</v>
      </c>
      <c r="W178" s="360"/>
      <c r="X178" s="362"/>
      <c r="Y178" s="363">
        <f t="shared" si="385"/>
        <v>259944</v>
      </c>
      <c r="Z178" s="363">
        <f t="shared" si="385"/>
        <v>0</v>
      </c>
      <c r="AA178" s="363">
        <f t="shared" si="385"/>
        <v>0</v>
      </c>
      <c r="AB178" s="342">
        <f t="shared" si="320"/>
        <v>259944</v>
      </c>
      <c r="AC178" s="304">
        <f t="shared" si="336"/>
        <v>259944</v>
      </c>
      <c r="AD178" s="304">
        <f t="shared" si="337"/>
        <v>0</v>
      </c>
      <c r="AE178" s="304">
        <f t="shared" si="338"/>
        <v>0</v>
      </c>
      <c r="AF178" s="304">
        <f t="shared" si="339"/>
        <v>0</v>
      </c>
      <c r="AG178" s="304">
        <f t="shared" si="340"/>
        <v>259944</v>
      </c>
      <c r="AH178" s="304">
        <f t="shared" si="318"/>
        <v>0</v>
      </c>
      <c r="AI178" s="304">
        <f t="shared" si="319"/>
        <v>259944</v>
      </c>
      <c r="AJ178" s="304">
        <f>+AI178*100/AI184</f>
        <v>0.9769510839400134</v>
      </c>
      <c r="AK178" s="304">
        <f>+AH177*AJ178/100</f>
        <v>204461.60492839155</v>
      </c>
      <c r="AL178" s="303"/>
      <c r="AM178" s="303"/>
      <c r="AN178" s="303"/>
      <c r="AO178" s="303"/>
      <c r="AP178" s="308"/>
      <c r="AQ178" s="299"/>
      <c r="AR178" s="304">
        <f t="shared" si="386"/>
        <v>259944</v>
      </c>
      <c r="AS178" s="304">
        <f t="shared" si="387"/>
        <v>0</v>
      </c>
      <c r="AT178" s="304">
        <f t="shared" si="388"/>
        <v>0</v>
      </c>
      <c r="AU178" s="304">
        <f t="shared" si="389"/>
        <v>204461.60492839155</v>
      </c>
      <c r="AV178" s="347">
        <f t="shared" si="390"/>
        <v>464405.60492839152</v>
      </c>
      <c r="AW178" s="341">
        <f t="shared" ref="AW178:AX182" si="393">+AC276*AR178/AR189</f>
        <v>286559.58288358827</v>
      </c>
      <c r="AX178" s="304">
        <f t="shared" si="393"/>
        <v>0</v>
      </c>
      <c r="AY178" s="304">
        <v>0</v>
      </c>
      <c r="AZ178" s="304">
        <f t="shared" ref="AZ178:AZ183" si="394">+AF276*AU178/AU189</f>
        <v>0</v>
      </c>
      <c r="BA178" s="298">
        <f t="shared" si="381"/>
        <v>286559.58288358827</v>
      </c>
      <c r="BB178" s="304">
        <f t="shared" si="391"/>
        <v>546503.58288358827</v>
      </c>
      <c r="BC178" s="304">
        <f t="shared" si="382"/>
        <v>0</v>
      </c>
      <c r="BD178" s="304">
        <f t="shared" si="383"/>
        <v>0</v>
      </c>
      <c r="BE178" s="304">
        <f t="shared" si="392"/>
        <v>204461.60492839155</v>
      </c>
      <c r="BF178" s="304">
        <f t="shared" si="384"/>
        <v>750965.18781197979</v>
      </c>
    </row>
    <row r="179" spans="1:58" ht="24" customHeight="1">
      <c r="A179" s="530"/>
      <c r="B179" s="297"/>
      <c r="C179" s="361" t="s">
        <v>450</v>
      </c>
      <c r="D179" s="360"/>
      <c r="E179" s="360"/>
      <c r="F179" s="362"/>
      <c r="G179" s="363"/>
      <c r="H179" s="363"/>
      <c r="I179" s="362"/>
      <c r="J179" s="362"/>
      <c r="K179" s="362"/>
      <c r="L179" s="362"/>
      <c r="M179" s="362"/>
      <c r="N179" s="363"/>
      <c r="O179" s="362"/>
      <c r="P179" s="362"/>
      <c r="Q179" s="362"/>
      <c r="R179" s="362"/>
      <c r="S179" s="360"/>
      <c r="T179" s="360"/>
      <c r="U179" s="362"/>
      <c r="V179" s="360">
        <v>131767</v>
      </c>
      <c r="W179" s="360">
        <v>38440</v>
      </c>
      <c r="X179" s="362"/>
      <c r="Y179" s="363">
        <f t="shared" si="385"/>
        <v>131767</v>
      </c>
      <c r="Z179" s="363">
        <f t="shared" si="385"/>
        <v>38440</v>
      </c>
      <c r="AA179" s="363">
        <f t="shared" si="385"/>
        <v>0</v>
      </c>
      <c r="AB179" s="342">
        <f t="shared" si="320"/>
        <v>170207</v>
      </c>
      <c r="AC179" s="304">
        <f t="shared" si="336"/>
        <v>131767</v>
      </c>
      <c r="AD179" s="304">
        <f t="shared" si="337"/>
        <v>38440</v>
      </c>
      <c r="AE179" s="304">
        <f t="shared" si="338"/>
        <v>0</v>
      </c>
      <c r="AF179" s="304">
        <f t="shared" si="339"/>
        <v>0</v>
      </c>
      <c r="AG179" s="304">
        <f t="shared" si="340"/>
        <v>170207</v>
      </c>
      <c r="AH179" s="304">
        <f t="shared" si="318"/>
        <v>0</v>
      </c>
      <c r="AI179" s="304">
        <f t="shared" si="319"/>
        <v>170207</v>
      </c>
      <c r="AJ179" s="304">
        <f>+AI179*100/AI184</f>
        <v>0.6396912917558315</v>
      </c>
      <c r="AK179" s="304">
        <f>+AH177*AJ179/100</f>
        <v>133878.05215756752</v>
      </c>
      <c r="AL179" s="303"/>
      <c r="AM179" s="303"/>
      <c r="AN179" s="303"/>
      <c r="AO179" s="303"/>
      <c r="AP179" s="308"/>
      <c r="AQ179" s="299"/>
      <c r="AR179" s="304">
        <f t="shared" si="386"/>
        <v>131767</v>
      </c>
      <c r="AS179" s="304">
        <f t="shared" si="387"/>
        <v>38440</v>
      </c>
      <c r="AT179" s="304">
        <f t="shared" si="388"/>
        <v>0</v>
      </c>
      <c r="AU179" s="304">
        <f t="shared" si="389"/>
        <v>133878.05215756752</v>
      </c>
      <c r="AV179" s="347">
        <f t="shared" si="390"/>
        <v>304085.05215756752</v>
      </c>
      <c r="AW179" s="341">
        <f t="shared" si="393"/>
        <v>231109.76452331844</v>
      </c>
      <c r="AX179" s="304">
        <f t="shared" si="393"/>
        <v>0</v>
      </c>
      <c r="AY179" s="304">
        <v>0</v>
      </c>
      <c r="AZ179" s="304">
        <f t="shared" si="394"/>
        <v>0</v>
      </c>
      <c r="BA179" s="298">
        <f t="shared" si="381"/>
        <v>231109.76452331844</v>
      </c>
      <c r="BB179" s="304">
        <f t="shared" si="391"/>
        <v>362876.76452331844</v>
      </c>
      <c r="BC179" s="304">
        <f t="shared" si="382"/>
        <v>38440</v>
      </c>
      <c r="BD179" s="304">
        <f t="shared" si="383"/>
        <v>0</v>
      </c>
      <c r="BE179" s="304">
        <f t="shared" si="392"/>
        <v>133878.05215756752</v>
      </c>
      <c r="BF179" s="304">
        <f t="shared" si="384"/>
        <v>535194.81668088597</v>
      </c>
    </row>
    <row r="180" spans="1:58" ht="21.75" customHeight="1">
      <c r="A180" s="530"/>
      <c r="B180" s="297"/>
      <c r="C180" s="361" t="s">
        <v>451</v>
      </c>
      <c r="D180" s="360">
        <v>1961200</v>
      </c>
      <c r="E180" s="360">
        <v>2650709</v>
      </c>
      <c r="F180" s="362"/>
      <c r="G180" s="363"/>
      <c r="H180" s="363"/>
      <c r="I180" s="362"/>
      <c r="J180" s="363"/>
      <c r="K180" s="363"/>
      <c r="L180" s="362"/>
      <c r="M180" s="363">
        <v>136135</v>
      </c>
      <c r="N180" s="363"/>
      <c r="O180" s="362"/>
      <c r="P180" s="362"/>
      <c r="Q180" s="362"/>
      <c r="R180" s="362"/>
      <c r="S180" s="360">
        <v>10254810</v>
      </c>
      <c r="T180" s="360"/>
      <c r="U180" s="362"/>
      <c r="V180" s="360"/>
      <c r="W180" s="360"/>
      <c r="X180" s="362"/>
      <c r="Y180" s="363">
        <f t="shared" si="385"/>
        <v>12352145</v>
      </c>
      <c r="Z180" s="363">
        <f t="shared" si="385"/>
        <v>2650709</v>
      </c>
      <c r="AA180" s="363">
        <f t="shared" si="385"/>
        <v>0</v>
      </c>
      <c r="AB180" s="342">
        <f t="shared" si="320"/>
        <v>15002854</v>
      </c>
      <c r="AC180" s="304">
        <f t="shared" si="336"/>
        <v>12352145</v>
      </c>
      <c r="AD180" s="304">
        <f t="shared" si="337"/>
        <v>2650709</v>
      </c>
      <c r="AE180" s="304">
        <f t="shared" si="338"/>
        <v>0</v>
      </c>
      <c r="AF180" s="304">
        <f t="shared" si="339"/>
        <v>0</v>
      </c>
      <c r="AG180" s="304">
        <f t="shared" si="340"/>
        <v>15002854</v>
      </c>
      <c r="AH180" s="304">
        <f t="shared" si="318"/>
        <v>0</v>
      </c>
      <c r="AI180" s="304">
        <f t="shared" si="319"/>
        <v>15002854</v>
      </c>
      <c r="AJ180" s="304">
        <f>+AI180*100/AI184</f>
        <v>56.385431006269677</v>
      </c>
      <c r="AK180" s="304">
        <f>+AH177*AJ180/100</f>
        <v>11800647.860101938</v>
      </c>
      <c r="AL180" s="303"/>
      <c r="AM180" s="303"/>
      <c r="AN180" s="303"/>
      <c r="AO180" s="303"/>
      <c r="AP180" s="308"/>
      <c r="AQ180" s="299"/>
      <c r="AR180" s="304">
        <f t="shared" si="386"/>
        <v>12352145</v>
      </c>
      <c r="AS180" s="304">
        <f t="shared" si="387"/>
        <v>2650709</v>
      </c>
      <c r="AT180" s="304">
        <f t="shared" si="388"/>
        <v>0</v>
      </c>
      <c r="AU180" s="304">
        <f t="shared" si="389"/>
        <v>11800647.860101938</v>
      </c>
      <c r="AV180" s="347">
        <f t="shared" si="390"/>
        <v>26803501.860101938</v>
      </c>
      <c r="AW180" s="341">
        <f t="shared" si="393"/>
        <v>44203612.681551635</v>
      </c>
      <c r="AX180" s="304">
        <f t="shared" si="393"/>
        <v>898937.60208330292</v>
      </c>
      <c r="AY180" s="304">
        <f>+AE278*AT180/AT191</f>
        <v>0</v>
      </c>
      <c r="AZ180" s="304">
        <f t="shared" si="394"/>
        <v>0</v>
      </c>
      <c r="BA180" s="298">
        <f t="shared" si="381"/>
        <v>45102550.283634938</v>
      </c>
      <c r="BB180" s="304">
        <f t="shared" si="391"/>
        <v>56555757.681551635</v>
      </c>
      <c r="BC180" s="304">
        <f t="shared" si="382"/>
        <v>3549646.602083303</v>
      </c>
      <c r="BD180" s="304">
        <f t="shared" si="383"/>
        <v>0</v>
      </c>
      <c r="BE180" s="304">
        <f t="shared" si="392"/>
        <v>11800647.860101938</v>
      </c>
      <c r="BF180" s="304">
        <f t="shared" si="384"/>
        <v>71906052.143736869</v>
      </c>
    </row>
    <row r="181" spans="1:58" ht="24" customHeight="1">
      <c r="A181" s="530"/>
      <c r="B181" s="297"/>
      <c r="C181" s="361" t="s">
        <v>452</v>
      </c>
      <c r="D181" s="360"/>
      <c r="E181" s="360"/>
      <c r="F181" s="362"/>
      <c r="G181" s="362"/>
      <c r="H181" s="362"/>
      <c r="I181" s="362"/>
      <c r="J181" s="362"/>
      <c r="K181" s="362"/>
      <c r="L181" s="362"/>
      <c r="M181" s="362"/>
      <c r="N181" s="362"/>
      <c r="O181" s="362"/>
      <c r="P181" s="362"/>
      <c r="Q181" s="362"/>
      <c r="R181" s="362"/>
      <c r="S181" s="360">
        <v>420000</v>
      </c>
      <c r="T181" s="360"/>
      <c r="U181" s="362"/>
      <c r="V181" s="360"/>
      <c r="W181" s="360"/>
      <c r="X181" s="362"/>
      <c r="Y181" s="363">
        <f t="shared" si="385"/>
        <v>420000</v>
      </c>
      <c r="Z181" s="363">
        <f t="shared" si="385"/>
        <v>0</v>
      </c>
      <c r="AA181" s="363">
        <f t="shared" si="385"/>
        <v>0</v>
      </c>
      <c r="AB181" s="342">
        <f t="shared" si="320"/>
        <v>420000</v>
      </c>
      <c r="AC181" s="304">
        <f t="shared" si="336"/>
        <v>420000</v>
      </c>
      <c r="AD181" s="304">
        <f t="shared" si="337"/>
        <v>0</v>
      </c>
      <c r="AE181" s="304">
        <f t="shared" si="338"/>
        <v>0</v>
      </c>
      <c r="AF181" s="304">
        <f t="shared" si="339"/>
        <v>0</v>
      </c>
      <c r="AG181" s="304">
        <f t="shared" si="340"/>
        <v>420000</v>
      </c>
      <c r="AH181" s="304">
        <f t="shared" si="318"/>
        <v>0</v>
      </c>
      <c r="AI181" s="304">
        <f t="shared" si="319"/>
        <v>420000</v>
      </c>
      <c r="AJ181" s="304">
        <f>+AI181*100/AI184</f>
        <v>1.5784917338149971</v>
      </c>
      <c r="AK181" s="304">
        <f>+AH177*AJ181/100</f>
        <v>330355.28448405978</v>
      </c>
      <c r="AL181" s="303"/>
      <c r="AM181" s="303"/>
      <c r="AN181" s="303"/>
      <c r="AO181" s="303"/>
      <c r="AP181" s="308"/>
      <c r="AQ181" s="299"/>
      <c r="AR181" s="304">
        <f t="shared" si="386"/>
        <v>420000</v>
      </c>
      <c r="AS181" s="304">
        <f t="shared" si="387"/>
        <v>0</v>
      </c>
      <c r="AT181" s="304">
        <f t="shared" si="388"/>
        <v>0</v>
      </c>
      <c r="AU181" s="304">
        <f t="shared" si="389"/>
        <v>330355.28448405978</v>
      </c>
      <c r="AV181" s="347">
        <f t="shared" si="390"/>
        <v>750355.28448405978</v>
      </c>
      <c r="AW181" s="341">
        <f t="shared" si="393"/>
        <v>0</v>
      </c>
      <c r="AX181" s="304">
        <f t="shared" si="393"/>
        <v>0</v>
      </c>
      <c r="AY181" s="304">
        <v>0</v>
      </c>
      <c r="AZ181" s="304">
        <f t="shared" si="394"/>
        <v>0</v>
      </c>
      <c r="BA181" s="298">
        <f t="shared" si="381"/>
        <v>0</v>
      </c>
      <c r="BB181" s="304">
        <f t="shared" si="391"/>
        <v>420000</v>
      </c>
      <c r="BC181" s="304">
        <f t="shared" si="382"/>
        <v>0</v>
      </c>
      <c r="BD181" s="304">
        <f t="shared" si="383"/>
        <v>0</v>
      </c>
      <c r="BE181" s="304">
        <f t="shared" si="392"/>
        <v>330355.28448405978</v>
      </c>
      <c r="BF181" s="304">
        <f t="shared" si="384"/>
        <v>750355.28448405978</v>
      </c>
    </row>
    <row r="182" spans="1:58" ht="24" customHeight="1">
      <c r="A182" s="530"/>
      <c r="B182" s="297"/>
      <c r="C182" s="361" t="s">
        <v>453</v>
      </c>
      <c r="D182" s="360"/>
      <c r="E182" s="360"/>
      <c r="F182" s="362"/>
      <c r="G182" s="362"/>
      <c r="H182" s="362"/>
      <c r="I182" s="362"/>
      <c r="J182" s="362"/>
      <c r="K182" s="362"/>
      <c r="L182" s="362"/>
      <c r="M182" s="362"/>
      <c r="N182" s="362"/>
      <c r="O182" s="362"/>
      <c r="P182" s="362"/>
      <c r="Q182" s="362"/>
      <c r="R182" s="362"/>
      <c r="S182" s="360">
        <v>297000</v>
      </c>
      <c r="T182" s="360"/>
      <c r="U182" s="362"/>
      <c r="V182" s="360"/>
      <c r="W182" s="360"/>
      <c r="X182" s="362"/>
      <c r="Y182" s="363">
        <f t="shared" si="385"/>
        <v>297000</v>
      </c>
      <c r="Z182" s="363">
        <f t="shared" si="385"/>
        <v>0</v>
      </c>
      <c r="AA182" s="363">
        <f t="shared" si="385"/>
        <v>0</v>
      </c>
      <c r="AB182" s="342">
        <f t="shared" si="320"/>
        <v>297000</v>
      </c>
      <c r="AC182" s="304">
        <f t="shared" si="336"/>
        <v>297000</v>
      </c>
      <c r="AD182" s="304">
        <f t="shared" si="337"/>
        <v>0</v>
      </c>
      <c r="AE182" s="304">
        <f t="shared" si="338"/>
        <v>0</v>
      </c>
      <c r="AF182" s="304">
        <f t="shared" si="339"/>
        <v>0</v>
      </c>
      <c r="AG182" s="304">
        <f t="shared" si="340"/>
        <v>297000</v>
      </c>
      <c r="AH182" s="304">
        <f t="shared" si="318"/>
        <v>0</v>
      </c>
      <c r="AI182" s="304">
        <f t="shared" si="319"/>
        <v>297000</v>
      </c>
      <c r="AJ182" s="304">
        <f>+AI182*100/AI184</f>
        <v>1.1162191546263194</v>
      </c>
      <c r="AK182" s="304">
        <f>+AH177*AJ182/100</f>
        <v>233608.37974229944</v>
      </c>
      <c r="AL182" s="303"/>
      <c r="AM182" s="303"/>
      <c r="AN182" s="303"/>
      <c r="AO182" s="303"/>
      <c r="AP182" s="308"/>
      <c r="AQ182" s="299"/>
      <c r="AR182" s="304">
        <f t="shared" si="386"/>
        <v>297000</v>
      </c>
      <c r="AS182" s="304">
        <f t="shared" si="387"/>
        <v>0</v>
      </c>
      <c r="AT182" s="304">
        <f t="shared" si="388"/>
        <v>0</v>
      </c>
      <c r="AU182" s="304">
        <f t="shared" si="389"/>
        <v>233608.37974229944</v>
      </c>
      <c r="AV182" s="347">
        <f t="shared" si="390"/>
        <v>530608.37974229944</v>
      </c>
      <c r="AW182" s="341">
        <f t="shared" si="393"/>
        <v>0</v>
      </c>
      <c r="AX182" s="304">
        <f t="shared" si="393"/>
        <v>0</v>
      </c>
      <c r="AY182" s="304">
        <v>0</v>
      </c>
      <c r="AZ182" s="304">
        <f t="shared" si="394"/>
        <v>0</v>
      </c>
      <c r="BA182" s="298">
        <f t="shared" si="381"/>
        <v>0</v>
      </c>
      <c r="BB182" s="304">
        <f t="shared" si="391"/>
        <v>297000</v>
      </c>
      <c r="BC182" s="304">
        <f t="shared" si="382"/>
        <v>0</v>
      </c>
      <c r="BD182" s="304">
        <f t="shared" si="383"/>
        <v>0</v>
      </c>
      <c r="BE182" s="304">
        <f t="shared" si="392"/>
        <v>233608.37974229944</v>
      </c>
      <c r="BF182" s="304">
        <f t="shared" si="384"/>
        <v>530608.37974229944</v>
      </c>
    </row>
    <row r="183" spans="1:58" ht="21.75" customHeight="1">
      <c r="A183" s="530"/>
      <c r="B183" s="297"/>
      <c r="C183" s="361" t="s">
        <v>454</v>
      </c>
      <c r="D183" s="360"/>
      <c r="E183" s="360"/>
      <c r="F183" s="362"/>
      <c r="G183" s="362"/>
      <c r="H183" s="362"/>
      <c r="I183" s="362"/>
      <c r="J183" s="362"/>
      <c r="K183" s="362"/>
      <c r="L183" s="362"/>
      <c r="M183" s="362"/>
      <c r="N183" s="362"/>
      <c r="O183" s="362"/>
      <c r="P183" s="362"/>
      <c r="Q183" s="362"/>
      <c r="R183" s="362"/>
      <c r="S183" s="360">
        <v>773206.66</v>
      </c>
      <c r="T183" s="360"/>
      <c r="U183" s="362"/>
      <c r="V183" s="360"/>
      <c r="W183" s="360"/>
      <c r="X183" s="362"/>
      <c r="Y183" s="363">
        <f t="shared" si="385"/>
        <v>773206.66</v>
      </c>
      <c r="Z183" s="363">
        <f t="shared" si="385"/>
        <v>0</v>
      </c>
      <c r="AA183" s="363">
        <f t="shared" si="385"/>
        <v>0</v>
      </c>
      <c r="AB183" s="342">
        <f t="shared" si="320"/>
        <v>773206.66</v>
      </c>
      <c r="AC183" s="304">
        <f t="shared" si="336"/>
        <v>773206.66</v>
      </c>
      <c r="AD183" s="304">
        <f t="shared" si="337"/>
        <v>0</v>
      </c>
      <c r="AE183" s="304">
        <f t="shared" si="338"/>
        <v>0</v>
      </c>
      <c r="AF183" s="304">
        <f t="shared" si="339"/>
        <v>0</v>
      </c>
      <c r="AG183" s="304">
        <f t="shared" si="340"/>
        <v>773206.66</v>
      </c>
      <c r="AH183" s="304">
        <f t="shared" si="318"/>
        <v>0</v>
      </c>
      <c r="AI183" s="304">
        <f t="shared" si="319"/>
        <v>773206.66</v>
      </c>
      <c r="AJ183" s="304">
        <f>+AI183*100/AI184</f>
        <v>2.9059531460492929</v>
      </c>
      <c r="AK183" s="304">
        <f>+AH177*AJ183/100</f>
        <v>608173.58602207073</v>
      </c>
      <c r="AL183" s="303"/>
      <c r="AM183" s="303"/>
      <c r="AN183" s="303"/>
      <c r="AO183" s="303"/>
      <c r="AP183" s="308"/>
      <c r="AQ183" s="299"/>
      <c r="AR183" s="304">
        <f t="shared" si="386"/>
        <v>773206.66</v>
      </c>
      <c r="AS183" s="304">
        <f t="shared" si="387"/>
        <v>0</v>
      </c>
      <c r="AT183" s="304">
        <f t="shared" si="388"/>
        <v>0</v>
      </c>
      <c r="AU183" s="304">
        <f t="shared" si="389"/>
        <v>608173.58602207073</v>
      </c>
      <c r="AV183" s="347">
        <f t="shared" si="390"/>
        <v>1381380.2460220708</v>
      </c>
      <c r="AW183" s="341">
        <f>+AC281*AR183/AR194</f>
        <v>0</v>
      </c>
      <c r="AX183" s="304">
        <v>0</v>
      </c>
      <c r="AY183" s="304">
        <v>0</v>
      </c>
      <c r="AZ183" s="304">
        <f t="shared" si="394"/>
        <v>0</v>
      </c>
      <c r="BA183" s="298">
        <f t="shared" si="381"/>
        <v>0</v>
      </c>
      <c r="BB183" s="304">
        <f t="shared" si="391"/>
        <v>773206.66</v>
      </c>
      <c r="BC183" s="304">
        <f t="shared" si="382"/>
        <v>0</v>
      </c>
      <c r="BD183" s="304">
        <f t="shared" si="383"/>
        <v>0</v>
      </c>
      <c r="BE183" s="304">
        <f t="shared" si="392"/>
        <v>608173.58602207073</v>
      </c>
      <c r="BF183" s="304">
        <f t="shared" si="384"/>
        <v>1381380.2460220708</v>
      </c>
    </row>
    <row r="184" spans="1:58" ht="23.25" customHeight="1">
      <c r="A184" s="530"/>
      <c r="B184" s="297"/>
      <c r="C184" s="334" t="s">
        <v>455</v>
      </c>
      <c r="D184" s="360">
        <f t="shared" ref="D184:R184" si="395">SUM(D176:D183)</f>
        <v>1961200</v>
      </c>
      <c r="E184" s="360">
        <f t="shared" si="395"/>
        <v>2650709</v>
      </c>
      <c r="F184" s="360">
        <f t="shared" si="395"/>
        <v>0</v>
      </c>
      <c r="G184" s="360">
        <f t="shared" si="395"/>
        <v>0</v>
      </c>
      <c r="H184" s="360">
        <f t="shared" si="395"/>
        <v>0</v>
      </c>
      <c r="I184" s="360">
        <f t="shared" si="395"/>
        <v>0</v>
      </c>
      <c r="J184" s="360">
        <f t="shared" si="395"/>
        <v>0</v>
      </c>
      <c r="K184" s="360">
        <f t="shared" si="395"/>
        <v>0</v>
      </c>
      <c r="L184" s="360">
        <f t="shared" si="395"/>
        <v>0</v>
      </c>
      <c r="M184" s="360">
        <f t="shared" si="395"/>
        <v>4375594.55</v>
      </c>
      <c r="N184" s="360">
        <f t="shared" si="395"/>
        <v>2382493.4299999997</v>
      </c>
      <c r="O184" s="360">
        <f t="shared" si="395"/>
        <v>0</v>
      </c>
      <c r="P184" s="360">
        <f t="shared" si="395"/>
        <v>19394063.699999999</v>
      </c>
      <c r="Q184" s="360">
        <f t="shared" si="395"/>
        <v>1534476.97</v>
      </c>
      <c r="R184" s="360">
        <f t="shared" si="395"/>
        <v>0</v>
      </c>
      <c r="S184" s="360">
        <f>SUM(S176:S183)</f>
        <v>11745016.66</v>
      </c>
      <c r="T184" s="360">
        <f>SUM(T176:T183)</f>
        <v>532110</v>
      </c>
      <c r="U184" s="362"/>
      <c r="V184" s="360">
        <f>SUM(V176:V183)</f>
        <v>2483316.5</v>
      </c>
      <c r="W184" s="360">
        <f>SUM(W176:W183)</f>
        <v>477238</v>
      </c>
      <c r="X184" s="362"/>
      <c r="Y184" s="363">
        <f t="shared" si="385"/>
        <v>39959191.409999996</v>
      </c>
      <c r="Z184" s="363">
        <f t="shared" si="385"/>
        <v>7577027.3999999994</v>
      </c>
      <c r="AA184" s="363">
        <f t="shared" si="385"/>
        <v>0</v>
      </c>
      <c r="AB184" s="353">
        <f t="shared" si="320"/>
        <v>47536218.809999995</v>
      </c>
      <c r="AC184" s="304">
        <f t="shared" si="336"/>
        <v>20565127.710000001</v>
      </c>
      <c r="AD184" s="304">
        <f t="shared" si="337"/>
        <v>6042550.4299999997</v>
      </c>
      <c r="AE184" s="304">
        <f t="shared" si="338"/>
        <v>0</v>
      </c>
      <c r="AF184" s="304">
        <f t="shared" si="339"/>
        <v>20928540.669999998</v>
      </c>
      <c r="AG184" s="304">
        <f t="shared" si="340"/>
        <v>47536218.810000002</v>
      </c>
      <c r="AH184" s="304">
        <f t="shared" si="318"/>
        <v>20928540.669999998</v>
      </c>
      <c r="AI184" s="304">
        <f t="shared" si="319"/>
        <v>26607678.140000001</v>
      </c>
      <c r="AJ184" s="304">
        <f>SUM(AJ176:AJ183)</f>
        <v>100</v>
      </c>
      <c r="AK184" s="304">
        <f>SUM(AK176:AK183)</f>
        <v>20928540.669999998</v>
      </c>
      <c r="AL184" s="303"/>
      <c r="AM184" s="303"/>
      <c r="AN184" s="303"/>
      <c r="AO184" s="303"/>
      <c r="AP184" s="308"/>
      <c r="AQ184" s="299">
        <f>SUM(AQ176:AQ183)</f>
        <v>431675.71</v>
      </c>
      <c r="AR184" s="304">
        <f>SUM(AR176:AR183)</f>
        <v>20565127.710000001</v>
      </c>
      <c r="AS184" s="304">
        <f>SUM(AS176:AS183)</f>
        <v>6042550.4299999997</v>
      </c>
      <c r="AT184" s="304">
        <f t="shared" ref="AT184" si="396">SUM(AT176:AT183)</f>
        <v>431675.71</v>
      </c>
      <c r="AU184" s="304">
        <f t="shared" ref="AU184" si="397">SUM(AU176:AU183)</f>
        <v>20928540.669999998</v>
      </c>
      <c r="AV184" s="347">
        <f>SUM(AR184:AU184)</f>
        <v>47967894.519999996</v>
      </c>
      <c r="AW184" s="341">
        <f>SUM(AW176:AW183)</f>
        <v>52824171.119901061</v>
      </c>
      <c r="AX184" s="304">
        <f>SUM(AX176:AX183)</f>
        <v>4023588.1302394164</v>
      </c>
      <c r="AY184" s="304">
        <f>SUM(AY176:AY183)</f>
        <v>0</v>
      </c>
      <c r="AZ184" s="304">
        <f>SUM(AZ176:AZ183)</f>
        <v>9399484.0828067642</v>
      </c>
      <c r="BA184" s="298">
        <f t="shared" si="381"/>
        <v>66247243.332947247</v>
      </c>
      <c r="BB184" s="336">
        <f>SUM(BB176:BB183)</f>
        <v>73389298.829901055</v>
      </c>
      <c r="BC184" s="304">
        <f>SUM(BC176:BC183)</f>
        <v>10066138.560239416</v>
      </c>
      <c r="BD184" s="304">
        <f>SUM(BD176:BD183)</f>
        <v>431675.71</v>
      </c>
      <c r="BE184" s="304">
        <f>SUM(BE176:BE183)</f>
        <v>30328024.75280676</v>
      </c>
      <c r="BF184" s="304">
        <f t="shared" si="384"/>
        <v>114215137.85294724</v>
      </c>
    </row>
    <row r="185" spans="1:58" ht="21.75" customHeight="1">
      <c r="A185" s="530"/>
      <c r="B185" s="297"/>
      <c r="C185" s="334" t="s">
        <v>466</v>
      </c>
      <c r="D185" s="333">
        <f>+D14+D24+D34+D44+D54+D64+D84+D94+D104+D114+D124+D134+D144+D154+D164+D174+D184</f>
        <v>102879406.44</v>
      </c>
      <c r="E185" s="333">
        <f t="shared" ref="E185:AB185" si="398">+E14+E24+E34+E44+E54+E64+E84+E94+E104+E114+E124+E134+E144+E154+E164+E174+E184</f>
        <v>45941579.559999995</v>
      </c>
      <c r="F185" s="333">
        <f t="shared" si="398"/>
        <v>816726.49</v>
      </c>
      <c r="G185" s="333">
        <f t="shared" si="398"/>
        <v>4728040.38</v>
      </c>
      <c r="H185" s="333">
        <f t="shared" si="398"/>
        <v>332230.06</v>
      </c>
      <c r="I185" s="333">
        <f t="shared" si="398"/>
        <v>0</v>
      </c>
      <c r="J185" s="333">
        <f t="shared" si="398"/>
        <v>8357743.0699999994</v>
      </c>
      <c r="K185" s="333">
        <f t="shared" si="398"/>
        <v>2087242</v>
      </c>
      <c r="L185" s="333">
        <f t="shared" si="398"/>
        <v>0</v>
      </c>
      <c r="M185" s="333">
        <f t="shared" si="398"/>
        <v>62535667.99000001</v>
      </c>
      <c r="N185" s="333">
        <f t="shared" si="398"/>
        <v>48300734.70000001</v>
      </c>
      <c r="O185" s="333">
        <f t="shared" si="398"/>
        <v>0</v>
      </c>
      <c r="P185" s="333">
        <f>+P14+P24+P34+P44+P54+P64+P84+P94+P104+P114+P124+P134+P144+P154+P164+P174+P184</f>
        <v>172489962.99999997</v>
      </c>
      <c r="Q185" s="333">
        <f t="shared" si="398"/>
        <v>20904927.810000002</v>
      </c>
      <c r="R185" s="333">
        <f t="shared" si="398"/>
        <v>0</v>
      </c>
      <c r="S185" s="333">
        <f t="shared" si="398"/>
        <v>75880154</v>
      </c>
      <c r="T185" s="333">
        <f t="shared" si="398"/>
        <v>7685788</v>
      </c>
      <c r="U185" s="333">
        <f t="shared" si="398"/>
        <v>0</v>
      </c>
      <c r="V185" s="333">
        <f t="shared" si="398"/>
        <v>19432885.469999999</v>
      </c>
      <c r="W185" s="333">
        <f t="shared" si="398"/>
        <v>26615335.240000002</v>
      </c>
      <c r="X185" s="333">
        <f t="shared" si="398"/>
        <v>0</v>
      </c>
      <c r="Y185" s="333">
        <f>+Y14+Y24+Y34+Y44+Y54+Y64+Y84+Y94+Y104+Y114+Y124+Y134+Y144+Y154+Y164+Y174+Y184</f>
        <v>446303860.35000002</v>
      </c>
      <c r="Z185" s="333">
        <f t="shared" si="398"/>
        <v>151867837.36999997</v>
      </c>
      <c r="AA185" s="333">
        <f t="shared" si="398"/>
        <v>816726.49</v>
      </c>
      <c r="AB185" s="354">
        <f t="shared" si="398"/>
        <v>598988424.21000004</v>
      </c>
      <c r="AC185" s="304">
        <f t="shared" si="336"/>
        <v>273813897.35000002</v>
      </c>
      <c r="AD185" s="304">
        <f t="shared" si="337"/>
        <v>130962909.56</v>
      </c>
      <c r="AE185" s="304">
        <f t="shared" si="338"/>
        <v>816726.49</v>
      </c>
      <c r="AF185" s="304">
        <f t="shared" si="339"/>
        <v>193394890.80999997</v>
      </c>
      <c r="AG185" s="304">
        <f>+AC185+AD185+AE185+AF185</f>
        <v>598988424.21000004</v>
      </c>
      <c r="AH185" s="304">
        <f t="shared" si="318"/>
        <v>193394890.80999997</v>
      </c>
      <c r="AI185" s="304">
        <f t="shared" si="319"/>
        <v>404776806.91000003</v>
      </c>
      <c r="AJ185" s="303"/>
      <c r="AK185" s="304">
        <f>+AK14+AK24+AK34+AK44+AK54+AK64+AK84+AK94+AK104+AK114+AK124+AK134+AK144+AK154+AK164+AK174+AK184</f>
        <v>193394890.81000003</v>
      </c>
      <c r="AL185" s="303"/>
      <c r="AM185" s="303"/>
      <c r="AN185" s="303"/>
      <c r="AO185" s="303"/>
      <c r="AP185" s="308"/>
      <c r="AQ185" s="333">
        <f>+AQ14+AQ24+AQ34+AQ44+AQ54+AQ64+AQ84+AQ94+AQ104+AQ114+AQ124+AQ134+AQ144+AQ154+AQ164+AQ174+AQ184</f>
        <v>13672042.980000002</v>
      </c>
      <c r="AR185" s="333">
        <f t="shared" ref="AR185:AV185" si="399">+AR14+AR24+AR34+AR44+AR54+AR64+AR84+AR94+AR104+AR114+AR124+AR134+AR144+AR154+AR164+AR174+AR184</f>
        <v>284459401.28000003</v>
      </c>
      <c r="AS185" s="333">
        <f t="shared" si="399"/>
        <v>138102040.56</v>
      </c>
      <c r="AT185" s="333">
        <f t="shared" si="399"/>
        <v>14488769.470000001</v>
      </c>
      <c r="AU185" s="333">
        <f t="shared" si="399"/>
        <v>193394890.81000003</v>
      </c>
      <c r="AV185" s="349">
        <f t="shared" si="399"/>
        <v>630445102.12000012</v>
      </c>
      <c r="AW185" s="340"/>
      <c r="AX185" s="303"/>
      <c r="AY185" s="303"/>
      <c r="AZ185" s="303"/>
      <c r="BA185" s="308"/>
      <c r="BB185" s="321"/>
      <c r="BC185" s="303"/>
      <c r="BD185" s="303"/>
      <c r="BE185" s="303"/>
      <c r="BF185" s="303"/>
    </row>
    <row r="186" spans="1:58" ht="25.5" customHeight="1">
      <c r="A186" s="530"/>
      <c r="B186" s="297"/>
      <c r="C186" s="533" t="s">
        <v>492</v>
      </c>
      <c r="D186" s="333"/>
      <c r="E186" s="333"/>
      <c r="F186" s="333"/>
      <c r="G186" s="333"/>
      <c r="H186" s="333"/>
      <c r="I186" s="333"/>
      <c r="J186" s="333"/>
      <c r="K186" s="333"/>
      <c r="L186" s="333"/>
      <c r="M186" s="333"/>
      <c r="N186" s="333"/>
      <c r="O186" s="333"/>
      <c r="P186" s="333"/>
      <c r="Q186" s="333"/>
      <c r="R186" s="333"/>
      <c r="S186" s="333"/>
      <c r="T186" s="333"/>
      <c r="U186" s="333"/>
      <c r="V186" s="333"/>
      <c r="W186" s="333"/>
      <c r="X186" s="333"/>
      <c r="Y186" s="333"/>
      <c r="Z186" s="333"/>
      <c r="AA186" s="333"/>
      <c r="AB186" s="355"/>
      <c r="AC186" s="304"/>
      <c r="AD186" s="304"/>
      <c r="AE186" s="304"/>
      <c r="AF186" s="304"/>
      <c r="AG186" s="304"/>
      <c r="AH186" s="304"/>
      <c r="AI186" s="304"/>
      <c r="AJ186" s="303"/>
      <c r="AK186" s="304"/>
      <c r="AL186" s="303"/>
      <c r="AM186" s="303"/>
      <c r="AN186" s="303"/>
      <c r="AO186" s="303"/>
      <c r="AP186" s="308"/>
      <c r="AQ186" s="333"/>
      <c r="AR186" s="333"/>
      <c r="AS186" s="333"/>
      <c r="AT186" s="333"/>
      <c r="AU186" s="333"/>
      <c r="AV186" s="349"/>
      <c r="AW186" s="340"/>
      <c r="AX186" s="303"/>
      <c r="AY186" s="303"/>
      <c r="AZ186" s="303"/>
      <c r="BA186" s="308"/>
      <c r="BB186" s="321"/>
      <c r="BC186" s="303"/>
      <c r="BD186" s="303"/>
      <c r="BE186" s="303"/>
      <c r="BF186" s="303"/>
    </row>
    <row r="187" spans="1:58" ht="25.5" customHeight="1">
      <c r="A187" s="530"/>
      <c r="B187" s="297"/>
      <c r="C187" s="361" t="s">
        <v>447</v>
      </c>
      <c r="D187" s="333"/>
      <c r="E187" s="333"/>
      <c r="F187" s="333"/>
      <c r="G187" s="333"/>
      <c r="H187" s="333"/>
      <c r="I187" s="333"/>
      <c r="J187" s="333"/>
      <c r="K187" s="333"/>
      <c r="L187" s="333"/>
      <c r="M187" s="333"/>
      <c r="N187" s="333"/>
      <c r="O187" s="333"/>
      <c r="P187" s="333"/>
      <c r="Q187" s="333"/>
      <c r="R187" s="333"/>
      <c r="S187" s="333"/>
      <c r="T187" s="333"/>
      <c r="U187" s="333"/>
      <c r="V187" s="333"/>
      <c r="W187" s="333"/>
      <c r="X187" s="333"/>
      <c r="Y187" s="333"/>
      <c r="Z187" s="333"/>
      <c r="AA187" s="333"/>
      <c r="AB187" s="355"/>
      <c r="AC187" s="304">
        <f>+AC6+AC16+AC26+AC36+AC46+AC56+AC76+AC86+AC96+AC106+AC116+AC126+AC136+AC146+AC156+AC166+AC176</f>
        <v>24285789.109999999</v>
      </c>
      <c r="AD187" s="304">
        <f t="shared" ref="AD187:AF187" si="400">+AD6+AD16+AD26+AD36+AD46+AD56+AD76+AD86+AD96+AD106+AD116+AD126+AD136+AD146+AD156+AD166+AD176</f>
        <v>28200864.300000001</v>
      </c>
      <c r="AE187" s="304">
        <f t="shared" si="400"/>
        <v>290420.19</v>
      </c>
      <c r="AF187" s="304">
        <f t="shared" si="400"/>
        <v>47292048.889999993</v>
      </c>
      <c r="AG187" s="304">
        <f t="shared" ref="AG187:AG195" si="401">SUM(AC187:AF187)</f>
        <v>100069122.48999998</v>
      </c>
      <c r="AH187" s="304">
        <f>+AH6+AH16+AH26+AH36+AH46+AH56+AH76+AH86+AH96+AH106+AH116+AH126+AH136+AH146+AH156+AH166+AH176</f>
        <v>47292048.889999993</v>
      </c>
      <c r="AI187" s="304">
        <f t="shared" ref="AI187:AV187" si="402">+AI6+AI16+AI26+AI36+AI46+AI56+AI76+AI86+AI96+AI106+AI116+AI126+AI136+AI146+AI156+AI166+AI176</f>
        <v>52486653.409999996</v>
      </c>
      <c r="AJ187" s="304">
        <f t="shared" si="402"/>
        <v>184.57793364032642</v>
      </c>
      <c r="AK187" s="304">
        <f t="shared" si="402"/>
        <v>22023495.526470285</v>
      </c>
      <c r="AL187" s="304">
        <f t="shared" si="402"/>
        <v>1913164.4</v>
      </c>
      <c r="AM187" s="304">
        <f t="shared" si="402"/>
        <v>802896</v>
      </c>
      <c r="AN187" s="304">
        <f t="shared" si="402"/>
        <v>0</v>
      </c>
      <c r="AO187" s="304">
        <f t="shared" si="402"/>
        <v>0</v>
      </c>
      <c r="AP187" s="304">
        <f t="shared" si="402"/>
        <v>2716060.4</v>
      </c>
      <c r="AQ187" s="304">
        <f t="shared" si="402"/>
        <v>6164199.3399999999</v>
      </c>
      <c r="AR187" s="304">
        <f>+AR6+AR16+AR26+AR36+AR46+AR56+AR76+AR86+AR96+AR106+AR116+AR126+AR136+AR146+AR156+AR166+AR176</f>
        <v>26198953.509999998</v>
      </c>
      <c r="AS187" s="304">
        <f t="shared" si="402"/>
        <v>29003760.300000001</v>
      </c>
      <c r="AT187" s="304">
        <f t="shared" si="402"/>
        <v>6454619.5300000003</v>
      </c>
      <c r="AU187" s="304">
        <f t="shared" si="402"/>
        <v>22023495.526470285</v>
      </c>
      <c r="AV187" s="347">
        <f t="shared" si="402"/>
        <v>83680828.866470277</v>
      </c>
      <c r="AW187" s="341">
        <f>+AW6+AW16+AW26+AW36+AW46+AW56+AW76+AW86+AW96+AW106+AW116+AW126+AW136+AW146+AW156+AW166+AW176</f>
        <v>4717239.18</v>
      </c>
      <c r="AX187" s="304">
        <f t="shared" ref="AX187:AZ187" si="403">+AX6+AX16+AX26+AX36+AX46+AX56+AX76+AX86+AX96+AX106+AX116+AX126+AX136+AX146+AX156+AX166+AX176</f>
        <v>8792006.1799999997</v>
      </c>
      <c r="AY187" s="304">
        <f t="shared" si="403"/>
        <v>0</v>
      </c>
      <c r="AZ187" s="304">
        <f t="shared" si="403"/>
        <v>0</v>
      </c>
      <c r="BA187" s="298">
        <f t="shared" ref="BA187:BA195" si="404">SUM(AW187:AZ187)</f>
        <v>13509245.359999999</v>
      </c>
      <c r="BB187" s="304">
        <f>+BB6+BB16+BB26+BB36+BB46+BB56+BB76+BB86+BB96+BB106+BB116+BB126+BB136+BB146+BB156+BB166+BB176</f>
        <v>30916192.689999994</v>
      </c>
      <c r="BC187" s="304">
        <f t="shared" ref="BC187:BE187" si="405">+BC6+BC16+BC26+BC36+BC46+BC56+BC76+BC86+BC96+BC106+BC116+BC126+BC136+BC146+BC156+BC166+BC176</f>
        <v>37795766.479999997</v>
      </c>
      <c r="BD187" s="304">
        <f t="shared" si="405"/>
        <v>6454619.5300000003</v>
      </c>
      <c r="BE187" s="304">
        <f t="shared" si="405"/>
        <v>22023495.526470285</v>
      </c>
      <c r="BF187" s="304">
        <f t="shared" ref="BF187:BF195" si="406">SUM(BB187:BE187)</f>
        <v>97190074.226470277</v>
      </c>
    </row>
    <row r="188" spans="1:58" ht="25.5" customHeight="1">
      <c r="A188" s="530"/>
      <c r="B188" s="297"/>
      <c r="C188" s="361" t="s">
        <v>448</v>
      </c>
      <c r="D188" s="333"/>
      <c r="E188" s="333"/>
      <c r="F188" s="333"/>
      <c r="G188" s="333"/>
      <c r="H188" s="333"/>
      <c r="I188" s="333"/>
      <c r="J188" s="333"/>
      <c r="K188" s="333"/>
      <c r="L188" s="333"/>
      <c r="M188" s="333"/>
      <c r="N188" s="333"/>
      <c r="O188" s="333"/>
      <c r="P188" s="333"/>
      <c r="Q188" s="333"/>
      <c r="R188" s="333"/>
      <c r="S188" s="333"/>
      <c r="T188" s="333"/>
      <c r="U188" s="333"/>
      <c r="V188" s="333"/>
      <c r="W188" s="333"/>
      <c r="X188" s="333"/>
      <c r="Y188" s="333"/>
      <c r="Z188" s="333"/>
      <c r="AA188" s="333"/>
      <c r="AB188" s="355"/>
      <c r="AC188" s="304">
        <f t="shared" ref="AC188:AF194" si="407">+AC7+AC17+AC27+AC37+AC47+AC57+AC77+AC87+AC97+AC107+AC117+AC127+AC137+AC147+AC157+AC167+AC177</f>
        <v>61666815.25</v>
      </c>
      <c r="AD188" s="304">
        <f t="shared" si="407"/>
        <v>48886902.240000002</v>
      </c>
      <c r="AE188" s="304">
        <f t="shared" si="407"/>
        <v>311267.3</v>
      </c>
      <c r="AF188" s="304">
        <f t="shared" si="407"/>
        <v>146102841.92000002</v>
      </c>
      <c r="AG188" s="304">
        <f t="shared" si="401"/>
        <v>256967826.71000004</v>
      </c>
      <c r="AH188" s="304">
        <f t="shared" ref="AH188:AW194" si="408">+AH7+AH17+AH27+AH37+AH47+AH57+AH77+AH87+AH97+AH107+AH117+AH127+AH137+AH147+AH157+AH167+AH177</f>
        <v>146102841.92000002</v>
      </c>
      <c r="AI188" s="304">
        <f t="shared" si="408"/>
        <v>110553717.48999999</v>
      </c>
      <c r="AJ188" s="304">
        <f t="shared" si="408"/>
        <v>507.08895863272875</v>
      </c>
      <c r="AK188" s="304">
        <f t="shared" si="408"/>
        <v>56734132.443656169</v>
      </c>
      <c r="AL188" s="304">
        <f t="shared" si="408"/>
        <v>8732339.5299999975</v>
      </c>
      <c r="AM188" s="304">
        <f t="shared" si="408"/>
        <v>4648335</v>
      </c>
      <c r="AN188" s="304">
        <f t="shared" si="408"/>
        <v>0</v>
      </c>
      <c r="AO188" s="304">
        <f t="shared" si="408"/>
        <v>0</v>
      </c>
      <c r="AP188" s="304">
        <f t="shared" si="408"/>
        <v>13380674.529999997</v>
      </c>
      <c r="AQ188" s="304">
        <f t="shared" si="408"/>
        <v>7507843.6400000006</v>
      </c>
      <c r="AR188" s="304">
        <f t="shared" si="408"/>
        <v>70399154.780000001</v>
      </c>
      <c r="AS188" s="304">
        <f t="shared" si="408"/>
        <v>53535237.240000002</v>
      </c>
      <c r="AT188" s="304">
        <f t="shared" si="408"/>
        <v>7819110.9400000013</v>
      </c>
      <c r="AU188" s="304">
        <f t="shared" si="408"/>
        <v>56734132.443656169</v>
      </c>
      <c r="AV188" s="347">
        <f t="shared" si="408"/>
        <v>188487635.40365615</v>
      </c>
      <c r="AW188" s="341">
        <f t="shared" si="408"/>
        <v>90101197.63000001</v>
      </c>
      <c r="AX188" s="304">
        <f t="shared" ref="AX188:AZ188" si="409">+AX7+AX17+AX27+AX37+AX47+AX57+AX77+AX87+AX97+AX107+AX117+AX127+AX137+AX147+AX157+AX167+AX177</f>
        <v>49883353.010000013</v>
      </c>
      <c r="AY188" s="304">
        <f t="shared" si="409"/>
        <v>0</v>
      </c>
      <c r="AZ188" s="304">
        <f t="shared" si="409"/>
        <v>70006887.070000008</v>
      </c>
      <c r="BA188" s="298">
        <f t="shared" si="404"/>
        <v>209991437.71000004</v>
      </c>
      <c r="BB188" s="304">
        <f t="shared" ref="BB188:BE194" si="410">+BB7+BB17+BB27+BB37+BB47+BB57+BB77+BB87+BB97+BB107+BB117+BB127+BB137+BB147+BB157+BB167+BB177</f>
        <v>160500352.41000003</v>
      </c>
      <c r="BC188" s="304">
        <f t="shared" si="410"/>
        <v>103418590.25</v>
      </c>
      <c r="BD188" s="304">
        <f t="shared" si="410"/>
        <v>7819110.9400000013</v>
      </c>
      <c r="BE188" s="304">
        <f t="shared" si="410"/>
        <v>126741019.5136562</v>
      </c>
      <c r="BF188" s="304">
        <f t="shared" si="406"/>
        <v>398479073.11365622</v>
      </c>
    </row>
    <row r="189" spans="1:58" ht="25.5" customHeight="1">
      <c r="A189" s="530"/>
      <c r="B189" s="297"/>
      <c r="C189" s="361" t="s">
        <v>449</v>
      </c>
      <c r="D189" s="333"/>
      <c r="E189" s="333"/>
      <c r="F189" s="333"/>
      <c r="G189" s="333"/>
      <c r="H189" s="333"/>
      <c r="I189" s="333"/>
      <c r="J189" s="333"/>
      <c r="K189" s="333"/>
      <c r="L189" s="333"/>
      <c r="M189" s="333"/>
      <c r="N189" s="333"/>
      <c r="O189" s="333"/>
      <c r="P189" s="333"/>
      <c r="Q189" s="333"/>
      <c r="R189" s="333"/>
      <c r="S189" s="333"/>
      <c r="T189" s="333"/>
      <c r="U189" s="333"/>
      <c r="V189" s="333"/>
      <c r="W189" s="333"/>
      <c r="X189" s="333"/>
      <c r="Y189" s="333"/>
      <c r="Z189" s="333"/>
      <c r="AA189" s="333"/>
      <c r="AB189" s="355"/>
      <c r="AC189" s="304">
        <f t="shared" si="407"/>
        <v>6399968.75</v>
      </c>
      <c r="AD189" s="304">
        <f t="shared" si="407"/>
        <v>50000</v>
      </c>
      <c r="AE189" s="304">
        <f t="shared" si="407"/>
        <v>0</v>
      </c>
      <c r="AF189" s="304">
        <f t="shared" si="407"/>
        <v>0</v>
      </c>
      <c r="AG189" s="304">
        <f t="shared" si="401"/>
        <v>6449968.75</v>
      </c>
      <c r="AH189" s="304">
        <f t="shared" si="408"/>
        <v>0</v>
      </c>
      <c r="AI189" s="304">
        <f t="shared" si="408"/>
        <v>6449968.75</v>
      </c>
      <c r="AJ189" s="304">
        <f t="shared" si="408"/>
        <v>32.095696826328577</v>
      </c>
      <c r="AK189" s="304">
        <f t="shared" si="408"/>
        <v>2696819.1461287336</v>
      </c>
      <c r="AL189" s="304">
        <f t="shared" si="408"/>
        <v>0</v>
      </c>
      <c r="AM189" s="304">
        <f t="shared" si="408"/>
        <v>0</v>
      </c>
      <c r="AN189" s="304">
        <f t="shared" si="408"/>
        <v>0</v>
      </c>
      <c r="AO189" s="304">
        <f t="shared" si="408"/>
        <v>0</v>
      </c>
      <c r="AP189" s="304">
        <f t="shared" si="408"/>
        <v>0</v>
      </c>
      <c r="AQ189" s="304">
        <f t="shared" si="408"/>
        <v>0</v>
      </c>
      <c r="AR189" s="304">
        <f t="shared" si="408"/>
        <v>6399968.75</v>
      </c>
      <c r="AS189" s="304">
        <f t="shared" si="408"/>
        <v>50000</v>
      </c>
      <c r="AT189" s="304">
        <f t="shared" si="408"/>
        <v>0</v>
      </c>
      <c r="AU189" s="304">
        <f t="shared" si="408"/>
        <v>2696819.1461287336</v>
      </c>
      <c r="AV189" s="347">
        <f t="shared" si="408"/>
        <v>9146787.8961287308</v>
      </c>
      <c r="AW189" s="341">
        <f t="shared" si="408"/>
        <v>7055259.5000000009</v>
      </c>
      <c r="AX189" s="304">
        <f t="shared" ref="AX189:AZ189" si="411">+AX8+AX18+AX28+AX38+AX48+AX58+AX78+AX88+AX98+AX108+AX118+AX128+AX138+AX148+AX158+AX168+AX178</f>
        <v>0</v>
      </c>
      <c r="AY189" s="304">
        <f t="shared" si="411"/>
        <v>0</v>
      </c>
      <c r="AZ189" s="304">
        <f t="shared" si="411"/>
        <v>0</v>
      </c>
      <c r="BA189" s="298">
        <f t="shared" si="404"/>
        <v>7055259.5000000009</v>
      </c>
      <c r="BB189" s="304">
        <f t="shared" si="410"/>
        <v>13455228.250000004</v>
      </c>
      <c r="BC189" s="304">
        <f t="shared" si="410"/>
        <v>50000</v>
      </c>
      <c r="BD189" s="304">
        <f t="shared" si="410"/>
        <v>0</v>
      </c>
      <c r="BE189" s="304">
        <f t="shared" si="410"/>
        <v>2696819.1461287336</v>
      </c>
      <c r="BF189" s="304">
        <f t="shared" si="406"/>
        <v>16202047.396128736</v>
      </c>
    </row>
    <row r="190" spans="1:58" ht="25.5" customHeight="1">
      <c r="A190" s="530"/>
      <c r="B190" s="297"/>
      <c r="C190" s="361" t="s">
        <v>450</v>
      </c>
      <c r="D190" s="333"/>
      <c r="E190" s="333"/>
      <c r="F190" s="333"/>
      <c r="G190" s="333"/>
      <c r="H190" s="333"/>
      <c r="I190" s="333"/>
      <c r="J190" s="333"/>
      <c r="K190" s="333"/>
      <c r="L190" s="333"/>
      <c r="M190" s="333"/>
      <c r="N190" s="333"/>
      <c r="O190" s="333"/>
      <c r="P190" s="333"/>
      <c r="Q190" s="333"/>
      <c r="R190" s="333"/>
      <c r="S190" s="333"/>
      <c r="T190" s="333"/>
      <c r="U190" s="333"/>
      <c r="V190" s="333"/>
      <c r="W190" s="333"/>
      <c r="X190" s="333"/>
      <c r="Y190" s="333"/>
      <c r="Z190" s="333"/>
      <c r="AA190" s="333"/>
      <c r="AB190" s="355"/>
      <c r="AC190" s="304">
        <f t="shared" si="407"/>
        <v>2454514.7999999998</v>
      </c>
      <c r="AD190" s="304">
        <f t="shared" si="407"/>
        <v>1385675</v>
      </c>
      <c r="AE190" s="304">
        <f t="shared" si="407"/>
        <v>0</v>
      </c>
      <c r="AF190" s="304">
        <f t="shared" si="407"/>
        <v>0</v>
      </c>
      <c r="AG190" s="304">
        <f t="shared" si="401"/>
        <v>3840189.8</v>
      </c>
      <c r="AH190" s="304">
        <f t="shared" si="408"/>
        <v>0</v>
      </c>
      <c r="AI190" s="304">
        <f t="shared" si="408"/>
        <v>3840189.8</v>
      </c>
      <c r="AJ190" s="304">
        <f t="shared" si="408"/>
        <v>17.435191974610589</v>
      </c>
      <c r="AK190" s="304">
        <f t="shared" si="408"/>
        <v>2087400.3048785499</v>
      </c>
      <c r="AL190" s="304">
        <f t="shared" si="408"/>
        <v>0</v>
      </c>
      <c r="AM190" s="304">
        <f t="shared" si="408"/>
        <v>0</v>
      </c>
      <c r="AN190" s="304">
        <f t="shared" si="408"/>
        <v>0</v>
      </c>
      <c r="AO190" s="304">
        <f t="shared" si="408"/>
        <v>0</v>
      </c>
      <c r="AP190" s="304">
        <f t="shared" si="408"/>
        <v>0</v>
      </c>
      <c r="AQ190" s="304">
        <f t="shared" si="408"/>
        <v>0</v>
      </c>
      <c r="AR190" s="304">
        <f t="shared" si="408"/>
        <v>2454514.7999999998</v>
      </c>
      <c r="AS190" s="304">
        <f t="shared" si="408"/>
        <v>1385675</v>
      </c>
      <c r="AT190" s="304">
        <f t="shared" si="408"/>
        <v>0</v>
      </c>
      <c r="AU190" s="304">
        <f t="shared" si="408"/>
        <v>2087400.3048785499</v>
      </c>
      <c r="AV190" s="347">
        <f t="shared" si="408"/>
        <v>5927590.1048785504</v>
      </c>
      <c r="AW190" s="341">
        <f t="shared" si="408"/>
        <v>4305041</v>
      </c>
      <c r="AX190" s="304">
        <f t="shared" ref="AX190:AZ190" si="412">+AX9+AX19+AX29+AX39+AX49+AX59+AX79+AX89+AX99+AX109+AX119+AX129+AX139+AX149+AX159+AX169+AX179</f>
        <v>0</v>
      </c>
      <c r="AY190" s="304">
        <f t="shared" si="412"/>
        <v>0</v>
      </c>
      <c r="AZ190" s="304">
        <f t="shared" si="412"/>
        <v>0</v>
      </c>
      <c r="BA190" s="298">
        <f t="shared" si="404"/>
        <v>4305041</v>
      </c>
      <c r="BB190" s="304">
        <f t="shared" si="410"/>
        <v>6759555.8000000007</v>
      </c>
      <c r="BC190" s="304">
        <f t="shared" si="410"/>
        <v>1385675</v>
      </c>
      <c r="BD190" s="304">
        <f t="shared" si="410"/>
        <v>0</v>
      </c>
      <c r="BE190" s="304">
        <f t="shared" si="410"/>
        <v>2087400.3048785499</v>
      </c>
      <c r="BF190" s="304">
        <f t="shared" si="406"/>
        <v>10232631.10487855</v>
      </c>
    </row>
    <row r="191" spans="1:58" ht="25.5" customHeight="1">
      <c r="A191" s="530"/>
      <c r="B191" s="297"/>
      <c r="C191" s="361" t="s">
        <v>451</v>
      </c>
      <c r="D191" s="333"/>
      <c r="E191" s="333"/>
      <c r="F191" s="333"/>
      <c r="G191" s="333"/>
      <c r="H191" s="333"/>
      <c r="I191" s="333"/>
      <c r="J191" s="333"/>
      <c r="K191" s="333"/>
      <c r="L191" s="333"/>
      <c r="M191" s="333"/>
      <c r="N191" s="333"/>
      <c r="O191" s="333"/>
      <c r="P191" s="333"/>
      <c r="Q191" s="333"/>
      <c r="R191" s="333"/>
      <c r="S191" s="333"/>
      <c r="T191" s="333"/>
      <c r="U191" s="333"/>
      <c r="V191" s="333"/>
      <c r="W191" s="333"/>
      <c r="X191" s="333"/>
      <c r="Y191" s="333"/>
      <c r="Z191" s="333"/>
      <c r="AA191" s="333"/>
      <c r="AB191" s="355"/>
      <c r="AC191" s="304">
        <f t="shared" si="407"/>
        <v>126949102.78</v>
      </c>
      <c r="AD191" s="304">
        <f t="shared" si="407"/>
        <v>47915548.019999996</v>
      </c>
      <c r="AE191" s="304">
        <f t="shared" si="407"/>
        <v>215039</v>
      </c>
      <c r="AF191" s="304">
        <f t="shared" si="407"/>
        <v>0</v>
      </c>
      <c r="AG191" s="304">
        <f t="shared" si="401"/>
        <v>175079689.80000001</v>
      </c>
      <c r="AH191" s="304">
        <f t="shared" si="408"/>
        <v>0</v>
      </c>
      <c r="AI191" s="304">
        <f t="shared" si="408"/>
        <v>174864650.79999998</v>
      </c>
      <c r="AJ191" s="304">
        <f t="shared" si="408"/>
        <v>688.38824725470454</v>
      </c>
      <c r="AK191" s="304">
        <f t="shared" si="408"/>
        <v>87252192.615915582</v>
      </c>
      <c r="AL191" s="304">
        <f t="shared" si="408"/>
        <v>0</v>
      </c>
      <c r="AM191" s="304">
        <f t="shared" si="408"/>
        <v>1687900.0000000005</v>
      </c>
      <c r="AN191" s="304">
        <f t="shared" si="408"/>
        <v>0</v>
      </c>
      <c r="AO191" s="304">
        <f t="shared" si="408"/>
        <v>0</v>
      </c>
      <c r="AP191" s="304">
        <f t="shared" si="408"/>
        <v>1687900.0000000005</v>
      </c>
      <c r="AQ191" s="304">
        <f t="shared" si="408"/>
        <v>0</v>
      </c>
      <c r="AR191" s="304">
        <f t="shared" si="408"/>
        <v>126949102.78</v>
      </c>
      <c r="AS191" s="304">
        <f t="shared" si="408"/>
        <v>49603448.019999996</v>
      </c>
      <c r="AT191" s="304">
        <f t="shared" si="408"/>
        <v>215039</v>
      </c>
      <c r="AU191" s="304">
        <f t="shared" si="408"/>
        <v>87252192.615915582</v>
      </c>
      <c r="AV191" s="347">
        <f t="shared" si="408"/>
        <v>264019782.41591558</v>
      </c>
      <c r="AW191" s="341">
        <f t="shared" si="408"/>
        <v>454302387.93000001</v>
      </c>
      <c r="AX191" s="304">
        <f t="shared" ref="AX191:AZ191" si="413">+AX10+AX20+AX30+AX40+AX50+AX60+AX80+AX90+AX100+AX110+AX120+AX130+AX140+AX150+AX160+AX170+AX180</f>
        <v>16822067.083999999</v>
      </c>
      <c r="AY191" s="304">
        <f t="shared" si="413"/>
        <v>92910</v>
      </c>
      <c r="AZ191" s="304">
        <f t="shared" si="413"/>
        <v>0</v>
      </c>
      <c r="BA191" s="298">
        <f t="shared" si="404"/>
        <v>471217365.014</v>
      </c>
      <c r="BB191" s="304">
        <f t="shared" si="410"/>
        <v>581251490.71000004</v>
      </c>
      <c r="BC191" s="304">
        <f t="shared" si="410"/>
        <v>66425515.104000002</v>
      </c>
      <c r="BD191" s="304">
        <f t="shared" si="410"/>
        <v>307949</v>
      </c>
      <c r="BE191" s="304">
        <f t="shared" si="410"/>
        <v>87252192.615915582</v>
      </c>
      <c r="BF191" s="304">
        <f t="shared" si="406"/>
        <v>735237147.42991555</v>
      </c>
    </row>
    <row r="192" spans="1:58" ht="25.5" customHeight="1">
      <c r="A192" s="530"/>
      <c r="B192" s="297"/>
      <c r="C192" s="361" t="s">
        <v>452</v>
      </c>
      <c r="D192" s="333"/>
      <c r="E192" s="333"/>
      <c r="F192" s="333"/>
      <c r="G192" s="333"/>
      <c r="H192" s="333"/>
      <c r="I192" s="333"/>
      <c r="J192" s="333"/>
      <c r="K192" s="333"/>
      <c r="L192" s="333"/>
      <c r="M192" s="333"/>
      <c r="N192" s="333"/>
      <c r="O192" s="333"/>
      <c r="P192" s="333"/>
      <c r="Q192" s="333"/>
      <c r="R192" s="333"/>
      <c r="S192" s="333"/>
      <c r="T192" s="333"/>
      <c r="U192" s="333"/>
      <c r="V192" s="333"/>
      <c r="W192" s="333"/>
      <c r="X192" s="333"/>
      <c r="Y192" s="333"/>
      <c r="Z192" s="333"/>
      <c r="AA192" s="333"/>
      <c r="AB192" s="355"/>
      <c r="AC192" s="304">
        <f t="shared" si="407"/>
        <v>8339800</v>
      </c>
      <c r="AD192" s="304">
        <f t="shared" si="407"/>
        <v>2259920</v>
      </c>
      <c r="AE192" s="304">
        <f t="shared" si="407"/>
        <v>0</v>
      </c>
      <c r="AF192" s="304">
        <f t="shared" si="407"/>
        <v>0</v>
      </c>
      <c r="AG192" s="304">
        <f t="shared" si="401"/>
        <v>10599720</v>
      </c>
      <c r="AH192" s="304">
        <f t="shared" si="408"/>
        <v>0</v>
      </c>
      <c r="AI192" s="304">
        <f t="shared" si="408"/>
        <v>10599720</v>
      </c>
      <c r="AJ192" s="304">
        <f t="shared" si="408"/>
        <v>34.651738878401133</v>
      </c>
      <c r="AK192" s="304">
        <f t="shared" si="408"/>
        <v>4698975.405136059</v>
      </c>
      <c r="AL192" s="304">
        <f t="shared" si="408"/>
        <v>0</v>
      </c>
      <c r="AM192" s="304">
        <f t="shared" si="408"/>
        <v>0</v>
      </c>
      <c r="AN192" s="304">
        <f t="shared" si="408"/>
        <v>0</v>
      </c>
      <c r="AO192" s="304">
        <f t="shared" si="408"/>
        <v>0</v>
      </c>
      <c r="AP192" s="304">
        <f t="shared" si="408"/>
        <v>0</v>
      </c>
      <c r="AQ192" s="304">
        <f t="shared" si="408"/>
        <v>0</v>
      </c>
      <c r="AR192" s="304">
        <f t="shared" si="408"/>
        <v>8339800</v>
      </c>
      <c r="AS192" s="304">
        <f t="shared" si="408"/>
        <v>2259920</v>
      </c>
      <c r="AT192" s="304">
        <f t="shared" si="408"/>
        <v>0</v>
      </c>
      <c r="AU192" s="304">
        <f t="shared" si="408"/>
        <v>4698975.405136059</v>
      </c>
      <c r="AV192" s="347">
        <f t="shared" si="408"/>
        <v>15298695.40513606</v>
      </c>
      <c r="AW192" s="341">
        <f t="shared" si="408"/>
        <v>0</v>
      </c>
      <c r="AX192" s="304">
        <f t="shared" ref="AX192:AZ192" si="414">+AX11+AX21+AX31+AX41+AX51+AX61+AX81+AX91+AX101+AX111+AX121+AX131+AX141+AX151+AX161+AX171+AX181</f>
        <v>0</v>
      </c>
      <c r="AY192" s="304">
        <f t="shared" si="414"/>
        <v>0</v>
      </c>
      <c r="AZ192" s="304">
        <f t="shared" si="414"/>
        <v>0</v>
      </c>
      <c r="BA192" s="298">
        <f t="shared" si="404"/>
        <v>0</v>
      </c>
      <c r="BB192" s="304">
        <f t="shared" si="410"/>
        <v>8339800</v>
      </c>
      <c r="BC192" s="304">
        <f t="shared" si="410"/>
        <v>2259920</v>
      </c>
      <c r="BD192" s="304">
        <f t="shared" si="410"/>
        <v>0</v>
      </c>
      <c r="BE192" s="304">
        <f t="shared" si="410"/>
        <v>4698975.405136059</v>
      </c>
      <c r="BF192" s="304">
        <f t="shared" si="406"/>
        <v>15298695.40513606</v>
      </c>
    </row>
    <row r="193" spans="1:59" ht="25.5" customHeight="1">
      <c r="A193" s="530"/>
      <c r="B193" s="297"/>
      <c r="C193" s="361" t="s">
        <v>453</v>
      </c>
      <c r="D193" s="333"/>
      <c r="E193" s="333"/>
      <c r="F193" s="333"/>
      <c r="G193" s="333"/>
      <c r="H193" s="333"/>
      <c r="I193" s="333"/>
      <c r="J193" s="333"/>
      <c r="K193" s="333"/>
      <c r="L193" s="333"/>
      <c r="M193" s="333"/>
      <c r="N193" s="333"/>
      <c r="O193" s="333"/>
      <c r="P193" s="333"/>
      <c r="Q193" s="333"/>
      <c r="R193" s="333"/>
      <c r="S193" s="333"/>
      <c r="T193" s="333"/>
      <c r="U193" s="333"/>
      <c r="V193" s="333"/>
      <c r="W193" s="333"/>
      <c r="X193" s="333"/>
      <c r="Y193" s="333"/>
      <c r="Z193" s="333"/>
      <c r="AA193" s="333"/>
      <c r="AB193" s="355"/>
      <c r="AC193" s="304">
        <f t="shared" si="407"/>
        <v>21720800</v>
      </c>
      <c r="AD193" s="304">
        <f t="shared" si="407"/>
        <v>2264000</v>
      </c>
      <c r="AE193" s="304">
        <f t="shared" si="407"/>
        <v>0</v>
      </c>
      <c r="AF193" s="304">
        <f t="shared" si="407"/>
        <v>0</v>
      </c>
      <c r="AG193" s="304">
        <f t="shared" si="401"/>
        <v>23984800</v>
      </c>
      <c r="AH193" s="304">
        <f t="shared" si="408"/>
        <v>0</v>
      </c>
      <c r="AI193" s="304">
        <f t="shared" si="408"/>
        <v>23984800</v>
      </c>
      <c r="AJ193" s="304">
        <f t="shared" si="408"/>
        <v>121.82200458466325</v>
      </c>
      <c r="AK193" s="304">
        <f t="shared" si="408"/>
        <v>10226074.762794683</v>
      </c>
      <c r="AL193" s="304">
        <f t="shared" si="408"/>
        <v>0</v>
      </c>
      <c r="AM193" s="304">
        <f t="shared" si="408"/>
        <v>0</v>
      </c>
      <c r="AN193" s="304">
        <f t="shared" si="408"/>
        <v>0</v>
      </c>
      <c r="AO193" s="304">
        <f t="shared" si="408"/>
        <v>0</v>
      </c>
      <c r="AP193" s="304">
        <f t="shared" si="408"/>
        <v>0</v>
      </c>
      <c r="AQ193" s="304">
        <f t="shared" si="408"/>
        <v>0</v>
      </c>
      <c r="AR193" s="304">
        <f t="shared" si="408"/>
        <v>21720800</v>
      </c>
      <c r="AS193" s="304">
        <f t="shared" si="408"/>
        <v>2264000</v>
      </c>
      <c r="AT193" s="304">
        <f t="shared" si="408"/>
        <v>0</v>
      </c>
      <c r="AU193" s="304">
        <f t="shared" si="408"/>
        <v>10226074.762794683</v>
      </c>
      <c r="AV193" s="347">
        <f t="shared" si="408"/>
        <v>34210874.762794681</v>
      </c>
      <c r="AW193" s="341">
        <f t="shared" si="408"/>
        <v>0</v>
      </c>
      <c r="AX193" s="304">
        <f t="shared" ref="AX193:AZ193" si="415">+AX12+AX22+AX32+AX42+AX52+AX62+AX82+AX92+AX102+AX112+AX122+AX132+AX142+AX152+AX162+AX172+AX182</f>
        <v>0</v>
      </c>
      <c r="AY193" s="304">
        <f t="shared" si="415"/>
        <v>0</v>
      </c>
      <c r="AZ193" s="304">
        <f t="shared" si="415"/>
        <v>0</v>
      </c>
      <c r="BA193" s="298">
        <f t="shared" si="404"/>
        <v>0</v>
      </c>
      <c r="BB193" s="304">
        <f t="shared" si="410"/>
        <v>21720800</v>
      </c>
      <c r="BC193" s="304">
        <f t="shared" si="410"/>
        <v>2264000</v>
      </c>
      <c r="BD193" s="304">
        <f t="shared" si="410"/>
        <v>0</v>
      </c>
      <c r="BE193" s="304">
        <f t="shared" si="410"/>
        <v>10226074.762794683</v>
      </c>
      <c r="BF193" s="304">
        <f t="shared" si="406"/>
        <v>34210874.762794681</v>
      </c>
    </row>
    <row r="194" spans="1:59" ht="25.5" customHeight="1">
      <c r="A194" s="530"/>
      <c r="B194" s="297"/>
      <c r="C194" s="361" t="s">
        <v>454</v>
      </c>
      <c r="D194" s="333"/>
      <c r="E194" s="333"/>
      <c r="F194" s="333"/>
      <c r="G194" s="333"/>
      <c r="H194" s="333"/>
      <c r="I194" s="333"/>
      <c r="J194" s="333"/>
      <c r="K194" s="333"/>
      <c r="L194" s="333"/>
      <c r="M194" s="333"/>
      <c r="N194" s="333"/>
      <c r="O194" s="333"/>
      <c r="P194" s="333"/>
      <c r="Q194" s="333"/>
      <c r="R194" s="333"/>
      <c r="S194" s="333"/>
      <c r="T194" s="333"/>
      <c r="U194" s="333"/>
      <c r="V194" s="333"/>
      <c r="W194" s="333"/>
      <c r="X194" s="333"/>
      <c r="Y194" s="333"/>
      <c r="Z194" s="333"/>
      <c r="AA194" s="333"/>
      <c r="AB194" s="355"/>
      <c r="AC194" s="304">
        <f t="shared" si="407"/>
        <v>21997106.66</v>
      </c>
      <c r="AD194" s="304">
        <f t="shared" si="407"/>
        <v>0</v>
      </c>
      <c r="AE194" s="304">
        <f t="shared" si="407"/>
        <v>0</v>
      </c>
      <c r="AF194" s="304">
        <f t="shared" si="407"/>
        <v>0</v>
      </c>
      <c r="AG194" s="304">
        <f t="shared" si="401"/>
        <v>21997106.66</v>
      </c>
      <c r="AH194" s="304">
        <f t="shared" si="408"/>
        <v>0</v>
      </c>
      <c r="AI194" s="304">
        <f t="shared" si="408"/>
        <v>21997106.66</v>
      </c>
      <c r="AJ194" s="304">
        <f t="shared" si="408"/>
        <v>113.94022820823669</v>
      </c>
      <c r="AK194" s="304">
        <f t="shared" si="408"/>
        <v>7675800.6050199308</v>
      </c>
      <c r="AL194" s="304">
        <f>+AL13+AL23+AL33+AL43+AL53+AL63+AL83+AL93+AL103+AL113+AL123+AL133+AL143+AL153+AL163+AL173+AL183</f>
        <v>0</v>
      </c>
      <c r="AM194" s="304">
        <f t="shared" si="408"/>
        <v>0</v>
      </c>
      <c r="AN194" s="304">
        <f t="shared" si="408"/>
        <v>0</v>
      </c>
      <c r="AO194" s="304">
        <f t="shared" si="408"/>
        <v>0</v>
      </c>
      <c r="AP194" s="304">
        <f t="shared" si="408"/>
        <v>0</v>
      </c>
      <c r="AQ194" s="304">
        <f t="shared" si="408"/>
        <v>0</v>
      </c>
      <c r="AR194" s="304">
        <f t="shared" si="408"/>
        <v>21997106.66</v>
      </c>
      <c r="AS194" s="304">
        <f t="shared" si="408"/>
        <v>0</v>
      </c>
      <c r="AT194" s="304">
        <f t="shared" si="408"/>
        <v>0</v>
      </c>
      <c r="AU194" s="304">
        <f t="shared" si="408"/>
        <v>7675800.6050199308</v>
      </c>
      <c r="AV194" s="347">
        <f t="shared" si="408"/>
        <v>29672907.265019935</v>
      </c>
      <c r="AW194" s="341">
        <f t="shared" si="408"/>
        <v>0</v>
      </c>
      <c r="AX194" s="304">
        <f t="shared" ref="AX194:AZ194" si="416">+AX13+AX23+AX33+AX43+AX53+AX63+AX83+AX93+AX103+AX113+AX123+AX133+AX143+AX153+AX163+AX173+AX183</f>
        <v>0</v>
      </c>
      <c r="AY194" s="304">
        <f t="shared" si="416"/>
        <v>0</v>
      </c>
      <c r="AZ194" s="304">
        <f t="shared" si="416"/>
        <v>0</v>
      </c>
      <c r="BA194" s="298">
        <f t="shared" si="404"/>
        <v>0</v>
      </c>
      <c r="BB194" s="304">
        <f t="shared" si="410"/>
        <v>21997106.66</v>
      </c>
      <c r="BC194" s="304">
        <f t="shared" si="410"/>
        <v>0</v>
      </c>
      <c r="BD194" s="304">
        <f t="shared" si="410"/>
        <v>0</v>
      </c>
      <c r="BE194" s="304">
        <f t="shared" si="410"/>
        <v>7675800.6050199308</v>
      </c>
      <c r="BF194" s="304">
        <f t="shared" si="406"/>
        <v>29672907.265019931</v>
      </c>
    </row>
    <row r="195" spans="1:59" ht="25.5" customHeight="1">
      <c r="A195" s="530"/>
      <c r="B195" s="297"/>
      <c r="C195" s="334" t="s">
        <v>455</v>
      </c>
      <c r="D195" s="333"/>
      <c r="E195" s="333"/>
      <c r="F195" s="333"/>
      <c r="G195" s="333"/>
      <c r="H195" s="333"/>
      <c r="I195" s="333"/>
      <c r="J195" s="333"/>
      <c r="K195" s="333"/>
      <c r="L195" s="333"/>
      <c r="M195" s="333"/>
      <c r="N195" s="333"/>
      <c r="O195" s="333"/>
      <c r="P195" s="333"/>
      <c r="Q195" s="333"/>
      <c r="R195" s="333"/>
      <c r="S195" s="333"/>
      <c r="T195" s="333"/>
      <c r="U195" s="333"/>
      <c r="V195" s="333"/>
      <c r="W195" s="333"/>
      <c r="X195" s="333"/>
      <c r="Y195" s="333"/>
      <c r="Z195" s="333"/>
      <c r="AA195" s="333"/>
      <c r="AB195" s="355"/>
      <c r="AC195" s="304">
        <f>SUM(AC187:AC194)</f>
        <v>273813897.35000002</v>
      </c>
      <c r="AD195" s="304">
        <f>SUM(AD187:AD194)</f>
        <v>130962909.56</v>
      </c>
      <c r="AE195" s="304">
        <f>SUM(AE187:AE194)</f>
        <v>816726.49</v>
      </c>
      <c r="AF195" s="304">
        <f>SUM(AF187:AF194)</f>
        <v>193394890.81</v>
      </c>
      <c r="AG195" s="304">
        <f t="shared" si="401"/>
        <v>598988424.21000004</v>
      </c>
      <c r="AH195" s="304">
        <f>+AH14+AH24+AH34+AH44+AH54+AH64+AH84+AH94+AH104+AH114+AH124+AH134+AH144+AH154+AH164+AH174+AH184</f>
        <v>193394890.81</v>
      </c>
      <c r="AI195" s="304">
        <f t="shared" ref="AI195:AU195" si="417">+AI14+AI24+AI34+AI44+AI54+AI64+AI84+AI94+AI104+AI114+AI124+AI134+AI144+AI154+AI164+AI174+AI184</f>
        <v>404776806.90999997</v>
      </c>
      <c r="AJ195" s="304">
        <f t="shared" si="417"/>
        <v>1700</v>
      </c>
      <c r="AK195" s="304">
        <f t="shared" si="417"/>
        <v>193394890.81000003</v>
      </c>
      <c r="AL195" s="304">
        <f>+AL14+AL24+AL34+AL44+AL54+AL64+AL84+AL94+AL104+AL114+AL124+AL134+AL144+AL154+AL164+AL174+AL184</f>
        <v>10645503.93</v>
      </c>
      <c r="AM195" s="304">
        <f>SUM(AM187:AM194)</f>
        <v>7139131</v>
      </c>
      <c r="AN195" s="304">
        <f>SUM(AN187:AN194)</f>
        <v>0</v>
      </c>
      <c r="AO195" s="304">
        <f>SUM(AO187:AO194)</f>
        <v>0</v>
      </c>
      <c r="AP195" s="304">
        <f>SUM(AP187:AP194)</f>
        <v>17784634.93</v>
      </c>
      <c r="AQ195" s="304">
        <f t="shared" si="417"/>
        <v>13672042.980000002</v>
      </c>
      <c r="AR195" s="304">
        <f t="shared" si="417"/>
        <v>284459401.28000003</v>
      </c>
      <c r="AS195" s="304">
        <f t="shared" si="417"/>
        <v>138102040.56</v>
      </c>
      <c r="AT195" s="304">
        <f t="shared" si="417"/>
        <v>14488769.470000001</v>
      </c>
      <c r="AU195" s="304">
        <f t="shared" si="417"/>
        <v>193394890.81000003</v>
      </c>
      <c r="AV195" s="347">
        <f>+AV14+AV24+AV34+AV44+AV54+AV64+AV84+AV94+AV104+AV114+AV124+AV134+AV144+AV154+AV164+AV174+AV184</f>
        <v>630445102.12000012</v>
      </c>
      <c r="AW195" s="341">
        <f>SUM(AW187:AW194)</f>
        <v>560481125.24000001</v>
      </c>
      <c r="AX195" s="304">
        <f>SUM(AX187:AX194)</f>
        <v>75497426.274000019</v>
      </c>
      <c r="AY195" s="304">
        <f>SUM(AY187:AY194)</f>
        <v>92910</v>
      </c>
      <c r="AZ195" s="304">
        <f>SUM(AZ187:AZ194)</f>
        <v>70006887.070000008</v>
      </c>
      <c r="BA195" s="298">
        <f t="shared" si="404"/>
        <v>706078348.58400011</v>
      </c>
      <c r="BB195" s="336">
        <f>SUM(BB187:BB194)</f>
        <v>844940526.5200001</v>
      </c>
      <c r="BC195" s="304">
        <f>SUM(BC187:BC194)</f>
        <v>213599466.83399999</v>
      </c>
      <c r="BD195" s="304">
        <f>SUM(BD187:BD194)</f>
        <v>14581679.470000003</v>
      </c>
      <c r="BE195" s="304">
        <f>SUM(BE187:BE194)</f>
        <v>263401777.88</v>
      </c>
      <c r="BF195" s="304">
        <f t="shared" si="406"/>
        <v>1336523450.704</v>
      </c>
    </row>
    <row r="196" spans="1:59" ht="25.5" customHeight="1">
      <c r="A196" s="530"/>
      <c r="B196" s="297"/>
      <c r="C196" s="334"/>
      <c r="D196" s="333"/>
      <c r="E196" s="333"/>
      <c r="F196" s="333"/>
      <c r="G196" s="333"/>
      <c r="H196" s="333"/>
      <c r="I196" s="333"/>
      <c r="J196" s="333"/>
      <c r="K196" s="333"/>
      <c r="L196" s="333"/>
      <c r="M196" s="333"/>
      <c r="N196" s="333"/>
      <c r="O196" s="333"/>
      <c r="P196" s="333"/>
      <c r="Q196" s="333"/>
      <c r="R196" s="333"/>
      <c r="S196" s="333"/>
      <c r="T196" s="333"/>
      <c r="U196" s="333"/>
      <c r="V196" s="333"/>
      <c r="W196" s="333"/>
      <c r="X196" s="333"/>
      <c r="Y196" s="333"/>
      <c r="Z196" s="333"/>
      <c r="AA196" s="333"/>
      <c r="AB196" s="356"/>
      <c r="AC196" s="304">
        <f t="shared" si="336"/>
        <v>0</v>
      </c>
      <c r="AD196" s="304">
        <f t="shared" si="337"/>
        <v>0</v>
      </c>
      <c r="AE196" s="304">
        <f t="shared" si="338"/>
        <v>0</v>
      </c>
      <c r="AF196" s="304">
        <f t="shared" si="339"/>
        <v>0</v>
      </c>
      <c r="AG196" s="304">
        <f t="shared" si="340"/>
        <v>0</v>
      </c>
      <c r="AH196" s="304">
        <f t="shared" si="318"/>
        <v>0</v>
      </c>
      <c r="AI196" s="304">
        <f t="shared" si="319"/>
        <v>0</v>
      </c>
      <c r="AJ196" s="303"/>
      <c r="AK196" s="303"/>
      <c r="AL196" s="303"/>
      <c r="AM196" s="303"/>
      <c r="AN196" s="303"/>
      <c r="AO196" s="303"/>
      <c r="AP196" s="308"/>
      <c r="AQ196" s="303"/>
      <c r="AR196" s="303"/>
      <c r="AS196" s="303"/>
      <c r="AT196" s="303"/>
      <c r="AU196" s="303"/>
      <c r="AV196" s="346"/>
      <c r="AW196" s="343"/>
      <c r="AX196" s="303"/>
      <c r="AY196" s="303"/>
      <c r="AZ196" s="303"/>
      <c r="BA196" s="308"/>
      <c r="BB196" s="321"/>
      <c r="BC196" s="303"/>
      <c r="BD196" s="303"/>
      <c r="BE196" s="303"/>
      <c r="BF196" s="303"/>
      <c r="BG196" s="305"/>
    </row>
    <row r="197" spans="1:59" s="294" customFormat="1" ht="25.5" customHeight="1">
      <c r="A197" s="529" t="s">
        <v>498</v>
      </c>
      <c r="B197" s="299"/>
      <c r="C197" s="627" t="s">
        <v>483</v>
      </c>
      <c r="D197" s="627"/>
      <c r="E197" s="627"/>
      <c r="F197" s="627"/>
      <c r="G197" s="627"/>
      <c r="H197" s="627"/>
      <c r="I197" s="627"/>
      <c r="J197" s="627"/>
      <c r="K197" s="627"/>
      <c r="L197" s="627"/>
      <c r="M197" s="627"/>
      <c r="N197" s="627"/>
      <c r="O197" s="627"/>
      <c r="P197" s="627"/>
      <c r="Q197" s="627"/>
      <c r="R197" s="627"/>
      <c r="S197" s="627"/>
      <c r="T197" s="627"/>
      <c r="U197" s="627"/>
      <c r="V197" s="627"/>
      <c r="W197" s="627"/>
      <c r="X197" s="627"/>
      <c r="Y197" s="627"/>
      <c r="Z197" s="627"/>
      <c r="AA197" s="627"/>
      <c r="AB197" s="342">
        <f t="shared" si="320"/>
        <v>0</v>
      </c>
      <c r="AC197" s="304">
        <f t="shared" si="336"/>
        <v>0</v>
      </c>
      <c r="AD197" s="304">
        <f t="shared" si="337"/>
        <v>0</v>
      </c>
      <c r="AE197" s="304">
        <f t="shared" si="338"/>
        <v>0</v>
      </c>
      <c r="AF197" s="304">
        <f t="shared" si="339"/>
        <v>0</v>
      </c>
      <c r="AG197" s="304">
        <f t="shared" si="340"/>
        <v>0</v>
      </c>
      <c r="AH197" s="304">
        <f t="shared" si="318"/>
        <v>0</v>
      </c>
      <c r="AI197" s="304">
        <f t="shared" si="319"/>
        <v>0</v>
      </c>
      <c r="AJ197" s="299"/>
      <c r="AK197" s="299"/>
      <c r="AL197" s="299"/>
      <c r="AM197" s="299"/>
      <c r="AN197" s="299"/>
      <c r="AO197" s="299"/>
      <c r="AP197" s="300"/>
      <c r="AQ197" s="299"/>
      <c r="AR197" s="299"/>
      <c r="AS197" s="299"/>
      <c r="AT197" s="299"/>
      <c r="AU197" s="299"/>
      <c r="AV197" s="348"/>
      <c r="AW197" s="343"/>
      <c r="AX197" s="299"/>
      <c r="AY197" s="299"/>
      <c r="AZ197" s="299"/>
      <c r="BA197" s="300"/>
      <c r="BB197" s="322"/>
      <c r="BC197" s="299"/>
      <c r="BD197" s="299"/>
      <c r="BE197" s="299"/>
      <c r="BF197" s="299"/>
    </row>
    <row r="198" spans="1:59" s="294" customFormat="1" ht="25.5" customHeight="1">
      <c r="A198" s="529"/>
      <c r="B198" s="299"/>
      <c r="C198" s="26" t="s">
        <v>484</v>
      </c>
      <c r="D198" s="360"/>
      <c r="E198" s="360"/>
      <c r="F198" s="360"/>
      <c r="G198" s="360">
        <v>20314</v>
      </c>
      <c r="H198" s="360"/>
      <c r="I198" s="360"/>
      <c r="J198" s="360">
        <v>115744</v>
      </c>
      <c r="K198" s="360"/>
      <c r="L198" s="360"/>
      <c r="M198" s="360">
        <v>4000516.13</v>
      </c>
      <c r="N198" s="360">
        <f>1398290+1311570</f>
        <v>2709860</v>
      </c>
      <c r="O198" s="360"/>
      <c r="P198" s="360"/>
      <c r="Q198" s="360"/>
      <c r="R198" s="360"/>
      <c r="S198" s="360"/>
      <c r="T198" s="360">
        <f>148882+1649117.5</f>
        <v>1797999.5</v>
      </c>
      <c r="U198" s="360"/>
      <c r="V198" s="360">
        <v>267790</v>
      </c>
      <c r="W198" s="360"/>
      <c r="X198" s="360"/>
      <c r="Y198" s="360">
        <f>+D198+G198+J198+M198+P198+S198+V198</f>
        <v>4404364.13</v>
      </c>
      <c r="Z198" s="360">
        <f>+E198+H198+K198+N198+Q198+T198+W198</f>
        <v>4507859.5</v>
      </c>
      <c r="AA198" s="360">
        <f>+F198+I198+L198+O198+R198+U198+X198</f>
        <v>0</v>
      </c>
      <c r="AB198" s="342">
        <f t="shared" si="320"/>
        <v>8912223.629999999</v>
      </c>
      <c r="AC198" s="304">
        <f t="shared" si="336"/>
        <v>4404364.13</v>
      </c>
      <c r="AD198" s="304">
        <f t="shared" si="337"/>
        <v>4507859.5</v>
      </c>
      <c r="AE198" s="304">
        <f t="shared" si="338"/>
        <v>0</v>
      </c>
      <c r="AF198" s="304">
        <f t="shared" si="339"/>
        <v>0</v>
      </c>
      <c r="AG198" s="304">
        <f t="shared" si="340"/>
        <v>8912223.629999999</v>
      </c>
      <c r="AH198" s="304">
        <f t="shared" si="318"/>
        <v>0</v>
      </c>
      <c r="AI198" s="304">
        <f t="shared" si="319"/>
        <v>8912223.629999999</v>
      </c>
      <c r="AJ198" s="304">
        <f>+AI198*100/AI206</f>
        <v>8.5782954043440043</v>
      </c>
      <c r="AK198" s="304">
        <f>+AH199*AJ198/100</f>
        <v>1836087.0833282655</v>
      </c>
      <c r="AL198" s="299"/>
      <c r="AM198" s="299"/>
      <c r="AN198" s="299"/>
      <c r="AO198" s="299"/>
      <c r="AP198" s="300"/>
      <c r="AQ198" s="299"/>
      <c r="AR198" s="304">
        <f>+AC198+AL198</f>
        <v>4404364.13</v>
      </c>
      <c r="AS198" s="304">
        <f>+AD198+AM198</f>
        <v>4507859.5</v>
      </c>
      <c r="AT198" s="304">
        <f>+AE198+AN198+AQ198</f>
        <v>0</v>
      </c>
      <c r="AU198" s="304">
        <f>+AK198+AO198</f>
        <v>1836087.0833282655</v>
      </c>
      <c r="AV198" s="347">
        <f>SUM(AR198:AU198)</f>
        <v>10748310.713328265</v>
      </c>
      <c r="AW198" s="343"/>
      <c r="AX198" s="299"/>
      <c r="AY198" s="299"/>
      <c r="AZ198" s="299"/>
      <c r="BA198" s="300"/>
      <c r="BB198" s="322"/>
      <c r="BC198" s="299"/>
      <c r="BD198" s="299"/>
      <c r="BE198" s="299"/>
      <c r="BF198" s="299"/>
    </row>
    <row r="199" spans="1:59" s="294" customFormat="1" ht="25.5" customHeight="1">
      <c r="A199" s="529"/>
      <c r="B199" s="299"/>
      <c r="C199" s="26" t="s">
        <v>485</v>
      </c>
      <c r="D199" s="360"/>
      <c r="E199" s="360"/>
      <c r="F199" s="360"/>
      <c r="G199" s="360">
        <v>1859947.34</v>
      </c>
      <c r="H199" s="360"/>
      <c r="I199" s="360"/>
      <c r="J199" s="360">
        <v>1640661.43</v>
      </c>
      <c r="K199" s="360"/>
      <c r="L199" s="360"/>
      <c r="M199" s="360">
        <v>45381646.619999997</v>
      </c>
      <c r="N199" s="360">
        <f>1981669.1+22289409.05+1410454.51</f>
        <v>25681532.660000004</v>
      </c>
      <c r="O199" s="360"/>
      <c r="P199" s="360">
        <v>14346538.35</v>
      </c>
      <c r="Q199" s="360">
        <v>7057330.3300000001</v>
      </c>
      <c r="R199" s="360"/>
      <c r="S199" s="360"/>
      <c r="T199" s="360">
        <f>1802980+290000+243760</f>
        <v>2336740</v>
      </c>
      <c r="U199" s="360"/>
      <c r="V199" s="360">
        <v>14015004.9</v>
      </c>
      <c r="W199" s="360">
        <v>4064954.15</v>
      </c>
      <c r="X199" s="360"/>
      <c r="Y199" s="360">
        <f t="shared" ref="Y199:AA205" si="418">+D199+G199+J199+M199+P199+S199+V199</f>
        <v>77243798.640000001</v>
      </c>
      <c r="Z199" s="360">
        <f t="shared" si="418"/>
        <v>39140557.140000001</v>
      </c>
      <c r="AA199" s="360">
        <f t="shared" si="418"/>
        <v>0</v>
      </c>
      <c r="AB199" s="342">
        <f t="shared" si="320"/>
        <v>116384355.78</v>
      </c>
      <c r="AC199" s="304">
        <f t="shared" si="336"/>
        <v>62897260.289999999</v>
      </c>
      <c r="AD199" s="304">
        <f t="shared" si="337"/>
        <v>32083226.810000002</v>
      </c>
      <c r="AE199" s="304">
        <f t="shared" si="338"/>
        <v>0</v>
      </c>
      <c r="AF199" s="304">
        <f t="shared" si="339"/>
        <v>21403868.68</v>
      </c>
      <c r="AG199" s="304">
        <f t="shared" si="340"/>
        <v>116384355.78</v>
      </c>
      <c r="AH199" s="304">
        <f t="shared" si="318"/>
        <v>21403868.68</v>
      </c>
      <c r="AI199" s="304">
        <f t="shared" si="319"/>
        <v>94980487.099999994</v>
      </c>
      <c r="AJ199" s="304">
        <f>+AI199*100/AI206</f>
        <v>91.42170459565601</v>
      </c>
      <c r="AK199" s="304">
        <f>+AH199*AJ199/100</f>
        <v>19567781.596671738</v>
      </c>
      <c r="AL199" s="299"/>
      <c r="AM199" s="299"/>
      <c r="AN199" s="299"/>
      <c r="AO199" s="299"/>
      <c r="AP199" s="300"/>
      <c r="AQ199" s="299"/>
      <c r="AR199" s="304">
        <f t="shared" ref="AR199:AR205" si="419">+AC199+AL199</f>
        <v>62897260.289999999</v>
      </c>
      <c r="AS199" s="304">
        <f t="shared" ref="AS199:AS205" si="420">+AD199+AM199</f>
        <v>32083226.810000002</v>
      </c>
      <c r="AT199" s="304">
        <f t="shared" ref="AT199:AT205" si="421">+AE199+AN199+AQ199</f>
        <v>0</v>
      </c>
      <c r="AU199" s="304">
        <f t="shared" ref="AU199:AU205" si="422">+AK199+AO199</f>
        <v>19567781.596671738</v>
      </c>
      <c r="AV199" s="347">
        <f t="shared" ref="AV199:AV205" si="423">SUM(AR199:AU199)</f>
        <v>114548268.69667172</v>
      </c>
      <c r="AW199" s="343"/>
      <c r="AX199" s="299"/>
      <c r="AY199" s="299"/>
      <c r="AZ199" s="299"/>
      <c r="BA199" s="300"/>
      <c r="BB199" s="322"/>
      <c r="BC199" s="299"/>
      <c r="BD199" s="299"/>
      <c r="BE199" s="299"/>
      <c r="BF199" s="299"/>
    </row>
    <row r="200" spans="1:59" s="294" customFormat="1" ht="25.5" customHeight="1">
      <c r="A200" s="529"/>
      <c r="B200" s="299"/>
      <c r="C200" s="332" t="s">
        <v>486</v>
      </c>
      <c r="D200" s="360"/>
      <c r="E200" s="360"/>
      <c r="F200" s="360"/>
      <c r="G200" s="360"/>
      <c r="H200" s="360"/>
      <c r="I200" s="360"/>
      <c r="J200" s="360"/>
      <c r="K200" s="360"/>
      <c r="L200" s="360"/>
      <c r="M200" s="360"/>
      <c r="N200" s="360"/>
      <c r="O200" s="360"/>
      <c r="P200" s="360"/>
      <c r="Q200" s="360"/>
      <c r="R200" s="360"/>
      <c r="S200" s="360"/>
      <c r="T200" s="360"/>
      <c r="U200" s="360"/>
      <c r="V200" s="360">
        <v>6977035.5</v>
      </c>
      <c r="W200" s="360"/>
      <c r="X200" s="360"/>
      <c r="Y200" s="360">
        <f t="shared" si="418"/>
        <v>6977035.5</v>
      </c>
      <c r="Z200" s="360">
        <f t="shared" si="418"/>
        <v>0</v>
      </c>
      <c r="AA200" s="360">
        <f t="shared" si="418"/>
        <v>0</v>
      </c>
      <c r="AB200" s="342">
        <f t="shared" si="320"/>
        <v>6977035.5</v>
      </c>
      <c r="AC200" s="304">
        <f t="shared" si="336"/>
        <v>6977035.5</v>
      </c>
      <c r="AD200" s="304">
        <f t="shared" si="337"/>
        <v>0</v>
      </c>
      <c r="AE200" s="304">
        <f t="shared" si="338"/>
        <v>0</v>
      </c>
      <c r="AF200" s="304">
        <f t="shared" si="339"/>
        <v>0</v>
      </c>
      <c r="AG200" s="304">
        <f t="shared" si="340"/>
        <v>6977035.5</v>
      </c>
      <c r="AH200" s="304">
        <f t="shared" si="318"/>
        <v>0</v>
      </c>
      <c r="AI200" s="304"/>
      <c r="AJ200" s="304"/>
      <c r="AK200" s="304">
        <f>+AH199*AJ200/100</f>
        <v>0</v>
      </c>
      <c r="AL200" s="299"/>
      <c r="AM200" s="299"/>
      <c r="AN200" s="299"/>
      <c r="AO200" s="299"/>
      <c r="AP200" s="300"/>
      <c r="AQ200" s="299"/>
      <c r="AR200" s="304">
        <f t="shared" si="419"/>
        <v>6977035.5</v>
      </c>
      <c r="AS200" s="304">
        <f t="shared" si="420"/>
        <v>0</v>
      </c>
      <c r="AT200" s="304">
        <f t="shared" si="421"/>
        <v>0</v>
      </c>
      <c r="AU200" s="304">
        <f t="shared" si="422"/>
        <v>0</v>
      </c>
      <c r="AV200" s="347">
        <f t="shared" si="423"/>
        <v>6977035.5</v>
      </c>
      <c r="AW200" s="343"/>
      <c r="AX200" s="299"/>
      <c r="AY200" s="299"/>
      <c r="AZ200" s="299"/>
      <c r="BA200" s="300"/>
      <c r="BB200" s="322"/>
      <c r="BC200" s="299"/>
      <c r="BD200" s="299"/>
      <c r="BE200" s="299"/>
      <c r="BF200" s="299"/>
    </row>
    <row r="201" spans="1:59" s="294" customFormat="1" ht="25.5" customHeight="1">
      <c r="A201" s="529"/>
      <c r="B201" s="299"/>
      <c r="C201" s="332" t="s">
        <v>487</v>
      </c>
      <c r="D201" s="360"/>
      <c r="E201" s="360"/>
      <c r="F201" s="360"/>
      <c r="G201" s="360"/>
      <c r="H201" s="360"/>
      <c r="I201" s="360"/>
      <c r="J201" s="360"/>
      <c r="K201" s="360"/>
      <c r="L201" s="360"/>
      <c r="M201" s="360"/>
      <c r="N201" s="360"/>
      <c r="O201" s="360"/>
      <c r="P201" s="360"/>
      <c r="Q201" s="360"/>
      <c r="R201" s="360"/>
      <c r="S201" s="360"/>
      <c r="T201" s="360"/>
      <c r="U201" s="360"/>
      <c r="V201" s="360">
        <v>2913969</v>
      </c>
      <c r="W201" s="360"/>
      <c r="X201" s="360"/>
      <c r="Y201" s="360">
        <f t="shared" si="418"/>
        <v>2913969</v>
      </c>
      <c r="Z201" s="360">
        <f t="shared" si="418"/>
        <v>0</v>
      </c>
      <c r="AA201" s="360">
        <f t="shared" si="418"/>
        <v>0</v>
      </c>
      <c r="AB201" s="342">
        <f t="shared" si="320"/>
        <v>2913969</v>
      </c>
      <c r="AC201" s="304">
        <f t="shared" si="336"/>
        <v>2913969</v>
      </c>
      <c r="AD201" s="304">
        <f t="shared" si="337"/>
        <v>0</v>
      </c>
      <c r="AE201" s="304">
        <f t="shared" si="338"/>
        <v>0</v>
      </c>
      <c r="AF201" s="304">
        <f t="shared" si="339"/>
        <v>0</v>
      </c>
      <c r="AG201" s="304">
        <f t="shared" si="340"/>
        <v>2913969</v>
      </c>
      <c r="AH201" s="304">
        <f t="shared" si="318"/>
        <v>0</v>
      </c>
      <c r="AI201" s="304"/>
      <c r="AJ201" s="304"/>
      <c r="AK201" s="304">
        <f>+AH199*AJ201/100</f>
        <v>0</v>
      </c>
      <c r="AL201" s="299"/>
      <c r="AM201" s="299"/>
      <c r="AN201" s="299"/>
      <c r="AO201" s="299"/>
      <c r="AP201" s="300"/>
      <c r="AQ201" s="299"/>
      <c r="AR201" s="304">
        <f t="shared" si="419"/>
        <v>2913969</v>
      </c>
      <c r="AS201" s="304">
        <f t="shared" si="420"/>
        <v>0</v>
      </c>
      <c r="AT201" s="304">
        <f t="shared" si="421"/>
        <v>0</v>
      </c>
      <c r="AU201" s="304">
        <f t="shared" si="422"/>
        <v>0</v>
      </c>
      <c r="AV201" s="347">
        <f t="shared" si="423"/>
        <v>2913969</v>
      </c>
      <c r="AW201" s="343"/>
      <c r="AX201" s="299"/>
      <c r="AY201" s="299"/>
      <c r="AZ201" s="299"/>
      <c r="BA201" s="300"/>
      <c r="BB201" s="322"/>
      <c r="BC201" s="299"/>
      <c r="BD201" s="299"/>
      <c r="BE201" s="299"/>
      <c r="BF201" s="299"/>
    </row>
    <row r="202" spans="1:59" s="294" customFormat="1" ht="25.5" customHeight="1">
      <c r="A202" s="529"/>
      <c r="B202" s="299"/>
      <c r="C202" s="26" t="s">
        <v>488</v>
      </c>
      <c r="D202" s="360">
        <v>440888361.93000001</v>
      </c>
      <c r="E202" s="360">
        <v>3365818.65</v>
      </c>
      <c r="F202" s="360">
        <v>13672042.99</v>
      </c>
      <c r="G202" s="360"/>
      <c r="H202" s="360"/>
      <c r="I202" s="360"/>
      <c r="J202" s="360"/>
      <c r="K202" s="360"/>
      <c r="L202" s="360"/>
      <c r="M202" s="360"/>
      <c r="N202" s="360"/>
      <c r="O202" s="360"/>
      <c r="P202" s="360"/>
      <c r="Q202" s="360"/>
      <c r="R202" s="360"/>
      <c r="S202" s="360"/>
      <c r="T202" s="360"/>
      <c r="U202" s="360"/>
      <c r="V202" s="360"/>
      <c r="W202" s="360"/>
      <c r="X202" s="360"/>
      <c r="Y202" s="360">
        <f t="shared" si="418"/>
        <v>440888361.93000001</v>
      </c>
      <c r="Z202" s="360">
        <f t="shared" si="418"/>
        <v>3365818.65</v>
      </c>
      <c r="AA202" s="360">
        <f t="shared" si="418"/>
        <v>13672042.99</v>
      </c>
      <c r="AB202" s="342">
        <f t="shared" si="320"/>
        <v>457926223.56999999</v>
      </c>
      <c r="AC202" s="304">
        <f t="shared" si="336"/>
        <v>440888361.93000001</v>
      </c>
      <c r="AD202" s="304">
        <f t="shared" si="337"/>
        <v>3365818.65</v>
      </c>
      <c r="AE202" s="304">
        <f t="shared" si="338"/>
        <v>13672042.99</v>
      </c>
      <c r="AF202" s="304">
        <f t="shared" si="339"/>
        <v>0</v>
      </c>
      <c r="AG202" s="304">
        <f t="shared" si="340"/>
        <v>457926223.56999999</v>
      </c>
      <c r="AH202" s="304">
        <f t="shared" si="318"/>
        <v>0</v>
      </c>
      <c r="AI202" s="304"/>
      <c r="AJ202" s="304"/>
      <c r="AK202" s="304">
        <f>+AH199*AJ202/100</f>
        <v>0</v>
      </c>
      <c r="AL202" s="299"/>
      <c r="AM202" s="299"/>
      <c r="AN202" s="299"/>
      <c r="AO202" s="299"/>
      <c r="AP202" s="300"/>
      <c r="AQ202" s="299"/>
      <c r="AR202" s="304">
        <f t="shared" si="419"/>
        <v>440888361.93000001</v>
      </c>
      <c r="AS202" s="304">
        <f t="shared" si="420"/>
        <v>3365818.65</v>
      </c>
      <c r="AT202" s="304">
        <f>+AE202+AN202+AQ202-AE202</f>
        <v>0</v>
      </c>
      <c r="AU202" s="304">
        <f t="shared" si="422"/>
        <v>0</v>
      </c>
      <c r="AV202" s="347">
        <f t="shared" si="423"/>
        <v>444254180.57999998</v>
      </c>
      <c r="AW202" s="343"/>
      <c r="AX202" s="299"/>
      <c r="AY202" s="299"/>
      <c r="AZ202" s="299"/>
      <c r="BA202" s="300"/>
      <c r="BB202" s="322"/>
      <c r="BC202" s="299"/>
      <c r="BD202" s="299"/>
      <c r="BE202" s="299"/>
      <c r="BF202" s="299"/>
    </row>
    <row r="203" spans="1:59" s="294" customFormat="1" ht="25.5" customHeight="1">
      <c r="A203" s="529"/>
      <c r="B203" s="299"/>
      <c r="C203" s="26" t="s">
        <v>489</v>
      </c>
      <c r="D203" s="360"/>
      <c r="E203" s="360"/>
      <c r="F203" s="360"/>
      <c r="G203" s="360"/>
      <c r="H203" s="360"/>
      <c r="I203" s="360"/>
      <c r="J203" s="360"/>
      <c r="K203" s="360"/>
      <c r="L203" s="360"/>
      <c r="M203" s="360"/>
      <c r="N203" s="360"/>
      <c r="O203" s="360"/>
      <c r="P203" s="360"/>
      <c r="Q203" s="360"/>
      <c r="R203" s="360"/>
      <c r="S203" s="360"/>
      <c r="T203" s="360"/>
      <c r="U203" s="360"/>
      <c r="V203" s="360"/>
      <c r="W203" s="360"/>
      <c r="X203" s="360"/>
      <c r="Y203" s="360">
        <f t="shared" si="418"/>
        <v>0</v>
      </c>
      <c r="Z203" s="360">
        <f t="shared" si="418"/>
        <v>0</v>
      </c>
      <c r="AA203" s="360">
        <f t="shared" si="418"/>
        <v>0</v>
      </c>
      <c r="AB203" s="342">
        <f t="shared" si="320"/>
        <v>0</v>
      </c>
      <c r="AC203" s="304">
        <f t="shared" si="336"/>
        <v>0</v>
      </c>
      <c r="AD203" s="304">
        <f t="shared" si="337"/>
        <v>0</v>
      </c>
      <c r="AE203" s="304">
        <f t="shared" si="338"/>
        <v>0</v>
      </c>
      <c r="AF203" s="304">
        <f t="shared" si="339"/>
        <v>0</v>
      </c>
      <c r="AG203" s="304">
        <f t="shared" si="340"/>
        <v>0</v>
      </c>
      <c r="AH203" s="304">
        <f t="shared" si="318"/>
        <v>0</v>
      </c>
      <c r="AI203" s="304">
        <f t="shared" si="319"/>
        <v>0</v>
      </c>
      <c r="AJ203" s="304">
        <f>+AI203*100/AI206</f>
        <v>0</v>
      </c>
      <c r="AK203" s="304">
        <f>+AH199*AJ203/100</f>
        <v>0</v>
      </c>
      <c r="AL203" s="299"/>
      <c r="AM203" s="299"/>
      <c r="AN203" s="299"/>
      <c r="AO203" s="299"/>
      <c r="AP203" s="300"/>
      <c r="AQ203" s="299"/>
      <c r="AR203" s="304">
        <f t="shared" si="419"/>
        <v>0</v>
      </c>
      <c r="AS203" s="304">
        <f t="shared" si="420"/>
        <v>0</v>
      </c>
      <c r="AT203" s="304">
        <f t="shared" si="421"/>
        <v>0</v>
      </c>
      <c r="AU203" s="304">
        <f t="shared" si="422"/>
        <v>0</v>
      </c>
      <c r="AV203" s="347">
        <f t="shared" si="423"/>
        <v>0</v>
      </c>
      <c r="AW203" s="343"/>
      <c r="AX203" s="299"/>
      <c r="AY203" s="299"/>
      <c r="AZ203" s="299"/>
      <c r="BA203" s="300"/>
      <c r="BB203" s="322"/>
      <c r="BC203" s="299"/>
      <c r="BD203" s="299"/>
      <c r="BE203" s="299"/>
      <c r="BF203" s="299"/>
    </row>
    <row r="204" spans="1:59" s="294" customFormat="1" ht="25.5" customHeight="1">
      <c r="A204" s="529"/>
      <c r="B204" s="299"/>
      <c r="C204" s="26" t="s">
        <v>490</v>
      </c>
      <c r="D204" s="360"/>
      <c r="E204" s="360"/>
      <c r="F204" s="360"/>
      <c r="G204" s="360"/>
      <c r="H204" s="360"/>
      <c r="I204" s="360"/>
      <c r="J204" s="360"/>
      <c r="K204" s="360"/>
      <c r="L204" s="360"/>
      <c r="M204" s="360"/>
      <c r="N204" s="360"/>
      <c r="O204" s="360"/>
      <c r="P204" s="360"/>
      <c r="Q204" s="360"/>
      <c r="R204" s="360"/>
      <c r="S204" s="360"/>
      <c r="T204" s="360"/>
      <c r="U204" s="360"/>
      <c r="V204" s="360"/>
      <c r="W204" s="360"/>
      <c r="X204" s="360"/>
      <c r="Y204" s="360">
        <f t="shared" si="418"/>
        <v>0</v>
      </c>
      <c r="Z204" s="360">
        <f t="shared" si="418"/>
        <v>0</v>
      </c>
      <c r="AA204" s="360">
        <f t="shared" si="418"/>
        <v>0</v>
      </c>
      <c r="AB204" s="342">
        <f t="shared" si="320"/>
        <v>0</v>
      </c>
      <c r="AC204" s="304">
        <f t="shared" si="336"/>
        <v>0</v>
      </c>
      <c r="AD204" s="304">
        <f t="shared" si="337"/>
        <v>0</v>
      </c>
      <c r="AE204" s="304">
        <f t="shared" si="338"/>
        <v>0</v>
      </c>
      <c r="AF204" s="304">
        <f t="shared" si="339"/>
        <v>0</v>
      </c>
      <c r="AG204" s="304">
        <f t="shared" si="340"/>
        <v>0</v>
      </c>
      <c r="AH204" s="304">
        <f t="shared" si="318"/>
        <v>0</v>
      </c>
      <c r="AI204" s="304">
        <f t="shared" si="319"/>
        <v>0</v>
      </c>
      <c r="AJ204" s="304">
        <f>+AI204*100/AI206</f>
        <v>0</v>
      </c>
      <c r="AK204" s="304">
        <f>+AH199*AJ204/100</f>
        <v>0</v>
      </c>
      <c r="AL204" s="299"/>
      <c r="AM204" s="299"/>
      <c r="AN204" s="299"/>
      <c r="AO204" s="299"/>
      <c r="AP204" s="300"/>
      <c r="AQ204" s="299"/>
      <c r="AR204" s="304">
        <f t="shared" si="419"/>
        <v>0</v>
      </c>
      <c r="AS204" s="304">
        <f t="shared" si="420"/>
        <v>0</v>
      </c>
      <c r="AT204" s="304">
        <f t="shared" si="421"/>
        <v>0</v>
      </c>
      <c r="AU204" s="304">
        <f t="shared" si="422"/>
        <v>0</v>
      </c>
      <c r="AV204" s="347">
        <f t="shared" si="423"/>
        <v>0</v>
      </c>
      <c r="AW204" s="343"/>
      <c r="AX204" s="299"/>
      <c r="AY204" s="299"/>
      <c r="AZ204" s="299"/>
      <c r="BA204" s="300"/>
      <c r="BB204" s="322"/>
      <c r="BC204" s="299"/>
      <c r="BD204" s="299"/>
      <c r="BE204" s="299"/>
      <c r="BF204" s="299"/>
    </row>
    <row r="205" spans="1:59" s="294" customFormat="1" ht="25.5" customHeight="1">
      <c r="A205" s="529"/>
      <c r="B205" s="299"/>
      <c r="C205" s="26" t="s">
        <v>491</v>
      </c>
      <c r="D205" s="360"/>
      <c r="E205" s="360"/>
      <c r="F205" s="360"/>
      <c r="G205" s="360"/>
      <c r="H205" s="360"/>
      <c r="I205" s="360"/>
      <c r="J205" s="360"/>
      <c r="K205" s="360"/>
      <c r="L205" s="360"/>
      <c r="M205" s="360"/>
      <c r="N205" s="360"/>
      <c r="O205" s="360"/>
      <c r="P205" s="360"/>
      <c r="Q205" s="360"/>
      <c r="R205" s="360"/>
      <c r="S205" s="360"/>
      <c r="T205" s="360"/>
      <c r="U205" s="360"/>
      <c r="V205" s="360"/>
      <c r="W205" s="360"/>
      <c r="X205" s="360"/>
      <c r="Y205" s="360">
        <f t="shared" si="418"/>
        <v>0</v>
      </c>
      <c r="Z205" s="360">
        <f t="shared" si="418"/>
        <v>0</v>
      </c>
      <c r="AA205" s="360">
        <f t="shared" si="418"/>
        <v>0</v>
      </c>
      <c r="AB205" s="342">
        <f t="shared" si="320"/>
        <v>0</v>
      </c>
      <c r="AC205" s="304">
        <f t="shared" si="336"/>
        <v>0</v>
      </c>
      <c r="AD205" s="304">
        <f t="shared" si="337"/>
        <v>0</v>
      </c>
      <c r="AE205" s="304">
        <f t="shared" si="338"/>
        <v>0</v>
      </c>
      <c r="AF205" s="304">
        <f t="shared" si="339"/>
        <v>0</v>
      </c>
      <c r="AG205" s="304">
        <f t="shared" si="340"/>
        <v>0</v>
      </c>
      <c r="AH205" s="304">
        <f t="shared" si="318"/>
        <v>0</v>
      </c>
      <c r="AI205" s="304">
        <f t="shared" si="319"/>
        <v>0</v>
      </c>
      <c r="AJ205" s="304">
        <f>+AI205*100/AI206</f>
        <v>0</v>
      </c>
      <c r="AK205" s="304">
        <f>+AH199*AJ205/100</f>
        <v>0</v>
      </c>
      <c r="AL205" s="299"/>
      <c r="AM205" s="299"/>
      <c r="AN205" s="299"/>
      <c r="AO205" s="299"/>
      <c r="AP205" s="300"/>
      <c r="AQ205" s="299"/>
      <c r="AR205" s="304">
        <f t="shared" si="419"/>
        <v>0</v>
      </c>
      <c r="AS205" s="304">
        <f t="shared" si="420"/>
        <v>0</v>
      </c>
      <c r="AT205" s="304">
        <f t="shared" si="421"/>
        <v>0</v>
      </c>
      <c r="AU205" s="304">
        <f t="shared" si="422"/>
        <v>0</v>
      </c>
      <c r="AV205" s="347">
        <f t="shared" si="423"/>
        <v>0</v>
      </c>
      <c r="AW205" s="343"/>
      <c r="AX205" s="299"/>
      <c r="AY205" s="299"/>
      <c r="AZ205" s="299"/>
      <c r="BA205" s="300"/>
      <c r="BB205" s="322"/>
      <c r="BC205" s="299"/>
      <c r="BD205" s="299"/>
      <c r="BE205" s="299"/>
      <c r="BF205" s="299"/>
    </row>
    <row r="206" spans="1:59" s="294" customFormat="1" ht="25.5" customHeight="1">
      <c r="A206" s="529"/>
      <c r="B206" s="299"/>
      <c r="C206" s="338" t="s">
        <v>455</v>
      </c>
      <c r="D206" s="360">
        <f>SUM(D198:D205)</f>
        <v>440888361.93000001</v>
      </c>
      <c r="E206" s="360">
        <f t="shared" ref="E206:AA206" si="424">SUM(E198:E205)</f>
        <v>3365818.65</v>
      </c>
      <c r="F206" s="360">
        <f t="shared" si="424"/>
        <v>13672042.99</v>
      </c>
      <c r="G206" s="360">
        <f t="shared" si="424"/>
        <v>1880261.34</v>
      </c>
      <c r="H206" s="360">
        <f t="shared" si="424"/>
        <v>0</v>
      </c>
      <c r="I206" s="360">
        <f t="shared" si="424"/>
        <v>0</v>
      </c>
      <c r="J206" s="360">
        <f t="shared" si="424"/>
        <v>1756405.43</v>
      </c>
      <c r="K206" s="360">
        <f t="shared" si="424"/>
        <v>0</v>
      </c>
      <c r="L206" s="360">
        <f t="shared" si="424"/>
        <v>0</v>
      </c>
      <c r="M206" s="360">
        <f t="shared" si="424"/>
        <v>49382162.75</v>
      </c>
      <c r="N206" s="360">
        <f t="shared" si="424"/>
        <v>28391392.660000004</v>
      </c>
      <c r="O206" s="360">
        <f t="shared" si="424"/>
        <v>0</v>
      </c>
      <c r="P206" s="360">
        <f t="shared" si="424"/>
        <v>14346538.35</v>
      </c>
      <c r="Q206" s="360">
        <f t="shared" si="424"/>
        <v>7057330.3300000001</v>
      </c>
      <c r="R206" s="360">
        <f t="shared" si="424"/>
        <v>0</v>
      </c>
      <c r="S206" s="360">
        <f t="shared" si="424"/>
        <v>0</v>
      </c>
      <c r="T206" s="360">
        <f t="shared" si="424"/>
        <v>4134739.5</v>
      </c>
      <c r="U206" s="360">
        <f t="shared" si="424"/>
        <v>0</v>
      </c>
      <c r="V206" s="360">
        <f t="shared" si="424"/>
        <v>24173799.399999999</v>
      </c>
      <c r="W206" s="360">
        <f t="shared" si="424"/>
        <v>4064954.15</v>
      </c>
      <c r="X206" s="360">
        <f t="shared" si="424"/>
        <v>0</v>
      </c>
      <c r="Y206" s="360">
        <f t="shared" si="424"/>
        <v>532427529.19999999</v>
      </c>
      <c r="Z206" s="360">
        <f t="shared" si="424"/>
        <v>47014235.289999999</v>
      </c>
      <c r="AA206" s="360">
        <f t="shared" si="424"/>
        <v>13672042.99</v>
      </c>
      <c r="AB206" s="342">
        <f t="shared" si="320"/>
        <v>593113807.48000002</v>
      </c>
      <c r="AC206" s="304">
        <f t="shared" si="336"/>
        <v>518080990.84999996</v>
      </c>
      <c r="AD206" s="304">
        <f t="shared" si="337"/>
        <v>39956904.960000001</v>
      </c>
      <c r="AE206" s="304">
        <f t="shared" si="338"/>
        <v>13672042.99</v>
      </c>
      <c r="AF206" s="304">
        <f t="shared" si="339"/>
        <v>21403868.68</v>
      </c>
      <c r="AG206" s="304">
        <f t="shared" si="340"/>
        <v>593113807.4799999</v>
      </c>
      <c r="AH206" s="304">
        <f t="shared" si="318"/>
        <v>21403868.68</v>
      </c>
      <c r="AI206" s="304">
        <f>SUM(AI198:AI205)</f>
        <v>103892710.72999999</v>
      </c>
      <c r="AJ206" s="304">
        <f>SUM(AJ198:AJ205)</f>
        <v>100.00000000000001</v>
      </c>
      <c r="AK206" s="304">
        <f>SUM(AK198:AK205)</f>
        <v>21403868.680000003</v>
      </c>
      <c r="AL206" s="299"/>
      <c r="AM206" s="299"/>
      <c r="AN206" s="299"/>
      <c r="AO206" s="299"/>
      <c r="AP206" s="300"/>
      <c r="AQ206" s="299"/>
      <c r="AR206" s="304">
        <f>SUM(AR198:AR205)</f>
        <v>518080990.85000002</v>
      </c>
      <c r="AS206" s="304">
        <f>SUM(AS198:AS205)</f>
        <v>39956904.960000001</v>
      </c>
      <c r="AT206" s="304">
        <f t="shared" ref="AT206" si="425">SUM(AT198:AT205)</f>
        <v>0</v>
      </c>
      <c r="AU206" s="304">
        <f t="shared" ref="AU206" si="426">SUM(AU198:AU205)</f>
        <v>21403868.680000003</v>
      </c>
      <c r="AV206" s="347">
        <f>SUM(AR206:AU206)</f>
        <v>579441764.49000001</v>
      </c>
      <c r="AW206" s="343"/>
      <c r="AX206" s="299"/>
      <c r="AY206" s="299"/>
      <c r="AZ206" s="299"/>
      <c r="BA206" s="300"/>
      <c r="BB206" s="322"/>
      <c r="BC206" s="299"/>
      <c r="BD206" s="299"/>
      <c r="BE206" s="299"/>
      <c r="BF206" s="299"/>
    </row>
    <row r="207" spans="1:59" s="294" customFormat="1" ht="22.5" customHeight="1">
      <c r="A207" s="529" t="s">
        <v>497</v>
      </c>
      <c r="B207" s="299"/>
      <c r="C207" s="627" t="s">
        <v>467</v>
      </c>
      <c r="D207" s="627"/>
      <c r="E207" s="627"/>
      <c r="F207" s="627"/>
      <c r="G207" s="627"/>
      <c r="H207" s="627"/>
      <c r="I207" s="627"/>
      <c r="J207" s="627"/>
      <c r="K207" s="627"/>
      <c r="L207" s="627"/>
      <c r="M207" s="627"/>
      <c r="N207" s="627"/>
      <c r="O207" s="627"/>
      <c r="P207" s="627"/>
      <c r="Q207" s="627"/>
      <c r="R207" s="627"/>
      <c r="S207" s="627"/>
      <c r="T207" s="627"/>
      <c r="U207" s="627"/>
      <c r="V207" s="627"/>
      <c r="W207" s="627"/>
      <c r="X207" s="627"/>
      <c r="Y207" s="627"/>
      <c r="Z207" s="627"/>
      <c r="AA207" s="627"/>
      <c r="AB207" s="342">
        <f t="shared" si="320"/>
        <v>0</v>
      </c>
      <c r="AC207" s="304">
        <f t="shared" si="336"/>
        <v>0</v>
      </c>
      <c r="AD207" s="304">
        <f t="shared" si="337"/>
        <v>0</v>
      </c>
      <c r="AE207" s="304">
        <f t="shared" si="338"/>
        <v>0</v>
      </c>
      <c r="AF207" s="304">
        <f t="shared" si="339"/>
        <v>0</v>
      </c>
      <c r="AG207" s="304">
        <f t="shared" si="340"/>
        <v>0</v>
      </c>
      <c r="AH207" s="304">
        <f t="shared" si="318"/>
        <v>0</v>
      </c>
      <c r="AI207" s="304">
        <f t="shared" si="319"/>
        <v>0</v>
      </c>
      <c r="AJ207" s="299"/>
      <c r="AK207" s="299"/>
      <c r="AL207" s="299"/>
      <c r="AM207" s="299"/>
      <c r="AN207" s="299"/>
      <c r="AO207" s="299"/>
      <c r="AP207" s="300"/>
      <c r="AQ207" s="299"/>
      <c r="AR207" s="299"/>
      <c r="AS207" s="299"/>
      <c r="AT207" s="299"/>
      <c r="AU207" s="299"/>
      <c r="AV207" s="348"/>
      <c r="AW207" s="343"/>
      <c r="AX207" s="299"/>
      <c r="AY207" s="299"/>
      <c r="AZ207" s="299"/>
      <c r="BA207" s="300"/>
      <c r="BB207" s="322"/>
      <c r="BC207" s="299"/>
      <c r="BD207" s="299"/>
      <c r="BE207" s="299"/>
      <c r="BF207" s="299"/>
    </row>
    <row r="208" spans="1:59" s="294" customFormat="1" ht="22.5" customHeight="1">
      <c r="A208" s="529"/>
      <c r="B208" s="299"/>
      <c r="C208" s="26" t="s">
        <v>484</v>
      </c>
      <c r="D208" s="299"/>
      <c r="E208" s="299"/>
      <c r="F208" s="299"/>
      <c r="G208" s="299"/>
      <c r="H208" s="299"/>
      <c r="I208" s="299"/>
      <c r="J208" s="299"/>
      <c r="K208" s="299"/>
      <c r="L208" s="299"/>
      <c r="M208" s="299">
        <v>1913164.4</v>
      </c>
      <c r="N208" s="299">
        <v>802896</v>
      </c>
      <c r="O208" s="299"/>
      <c r="P208" s="299"/>
      <c r="Q208" s="299"/>
      <c r="R208" s="299"/>
      <c r="S208" s="299"/>
      <c r="T208" s="299"/>
      <c r="U208" s="299"/>
      <c r="V208" s="299"/>
      <c r="W208" s="299"/>
      <c r="X208" s="299"/>
      <c r="Y208" s="360">
        <f>+D208+G208+J208+M208+P208+S208+V208</f>
        <v>1913164.4</v>
      </c>
      <c r="Z208" s="360">
        <f>+E208+H208+K208+N208+Q208+T208+W208</f>
        <v>802896</v>
      </c>
      <c r="AA208" s="360">
        <f>+F208+I208+L208+O208+R208+U208+X208</f>
        <v>0</v>
      </c>
      <c r="AB208" s="342">
        <f t="shared" si="320"/>
        <v>2716060.4</v>
      </c>
      <c r="AC208" s="304">
        <f t="shared" si="336"/>
        <v>1913164.4</v>
      </c>
      <c r="AD208" s="304">
        <f t="shared" si="337"/>
        <v>802896</v>
      </c>
      <c r="AE208" s="304">
        <f t="shared" si="338"/>
        <v>0</v>
      </c>
      <c r="AF208" s="304">
        <f t="shared" si="339"/>
        <v>0</v>
      </c>
      <c r="AG208" s="304">
        <f t="shared" si="340"/>
        <v>2716060.4</v>
      </c>
      <c r="AH208" s="304"/>
      <c r="AI208" s="304"/>
      <c r="AJ208" s="299"/>
      <c r="AK208" s="299">
        <f>+AF208</f>
        <v>0</v>
      </c>
      <c r="AL208" s="299"/>
      <c r="AM208" s="299"/>
      <c r="AN208" s="299"/>
      <c r="AO208" s="299"/>
      <c r="AP208" s="300"/>
      <c r="AQ208" s="299"/>
      <c r="AR208" s="635" t="s">
        <v>482</v>
      </c>
      <c r="AS208" s="636"/>
      <c r="AT208" s="636"/>
      <c r="AU208" s="636"/>
      <c r="AV208" s="636"/>
      <c r="AW208" s="343"/>
      <c r="AX208" s="299"/>
      <c r="AY208" s="299"/>
      <c r="AZ208" s="299"/>
      <c r="BA208" s="300"/>
      <c r="BB208" s="322"/>
      <c r="BC208" s="299"/>
      <c r="BD208" s="299"/>
      <c r="BE208" s="299"/>
      <c r="BF208" s="299"/>
    </row>
    <row r="209" spans="1:58" s="294" customFormat="1" ht="22.5" customHeight="1">
      <c r="A209" s="529"/>
      <c r="B209" s="299"/>
      <c r="C209" s="26" t="s">
        <v>485</v>
      </c>
      <c r="D209" s="299"/>
      <c r="E209" s="299"/>
      <c r="F209" s="299"/>
      <c r="G209" s="299"/>
      <c r="H209" s="299"/>
      <c r="I209" s="299"/>
      <c r="J209" s="299"/>
      <c r="K209" s="299"/>
      <c r="L209" s="299"/>
      <c r="M209" s="299">
        <v>8732339.5299999993</v>
      </c>
      <c r="N209" s="299">
        <f>1807754+8+876850</f>
        <v>2684612</v>
      </c>
      <c r="O209" s="299"/>
      <c r="P209" s="299"/>
      <c r="Q209" s="299"/>
      <c r="R209" s="299"/>
      <c r="S209" s="299"/>
      <c r="T209" s="299"/>
      <c r="U209" s="299"/>
      <c r="V209" s="299"/>
      <c r="W209" s="299">
        <v>1963723</v>
      </c>
      <c r="X209" s="299"/>
      <c r="Y209" s="360">
        <f t="shared" ref="Y209:AA216" si="427">+D209+G209+J209+M209+P209+S209+V209</f>
        <v>8732339.5299999993</v>
      </c>
      <c r="Z209" s="360">
        <f t="shared" si="427"/>
        <v>4648335</v>
      </c>
      <c r="AA209" s="360">
        <f t="shared" si="427"/>
        <v>0</v>
      </c>
      <c r="AB209" s="342">
        <f t="shared" si="320"/>
        <v>13380674.529999999</v>
      </c>
      <c r="AC209" s="304">
        <f t="shared" si="336"/>
        <v>8732339.5299999993</v>
      </c>
      <c r="AD209" s="304">
        <f t="shared" si="337"/>
        <v>4648335</v>
      </c>
      <c r="AE209" s="304">
        <f t="shared" si="338"/>
        <v>0</v>
      </c>
      <c r="AF209" s="304">
        <f t="shared" si="339"/>
        <v>0</v>
      </c>
      <c r="AG209" s="304">
        <f t="shared" si="340"/>
        <v>13380674.529999999</v>
      </c>
      <c r="AH209" s="304"/>
      <c r="AI209" s="304"/>
      <c r="AJ209" s="299"/>
      <c r="AK209" s="299">
        <f t="shared" ref="AK209:AK215" si="428">+AF209</f>
        <v>0</v>
      </c>
      <c r="AL209" s="299"/>
      <c r="AM209" s="299"/>
      <c r="AN209" s="299"/>
      <c r="AO209" s="299"/>
      <c r="AP209" s="300"/>
      <c r="AQ209" s="299"/>
      <c r="AR209" s="637"/>
      <c r="AS209" s="638"/>
      <c r="AT209" s="638"/>
      <c r="AU209" s="638"/>
      <c r="AV209" s="638"/>
      <c r="AW209" s="343"/>
      <c r="AX209" s="299"/>
      <c r="AY209" s="299"/>
      <c r="AZ209" s="299"/>
      <c r="BA209" s="300"/>
      <c r="BB209" s="322"/>
      <c r="BC209" s="299"/>
      <c r="BD209" s="299"/>
      <c r="BE209" s="299"/>
      <c r="BF209" s="299"/>
    </row>
    <row r="210" spans="1:58" s="294" customFormat="1" ht="22.5" customHeight="1">
      <c r="A210" s="529"/>
      <c r="B210" s="299"/>
      <c r="C210" s="332" t="s">
        <v>486</v>
      </c>
      <c r="D210" s="299"/>
      <c r="E210" s="299"/>
      <c r="F210" s="299"/>
      <c r="G210" s="299"/>
      <c r="H210" s="299"/>
      <c r="I210" s="299"/>
      <c r="J210" s="299"/>
      <c r="K210" s="299"/>
      <c r="L210" s="299"/>
      <c r="M210" s="299"/>
      <c r="N210" s="299"/>
      <c r="O210" s="299"/>
      <c r="P210" s="299"/>
      <c r="Q210" s="299"/>
      <c r="R210" s="299"/>
      <c r="S210" s="299"/>
      <c r="T210" s="299"/>
      <c r="U210" s="299"/>
      <c r="V210" s="299"/>
      <c r="W210" s="299"/>
      <c r="X210" s="299"/>
      <c r="Y210" s="360">
        <f t="shared" si="427"/>
        <v>0</v>
      </c>
      <c r="Z210" s="360">
        <f t="shared" si="427"/>
        <v>0</v>
      </c>
      <c r="AA210" s="360">
        <f t="shared" si="427"/>
        <v>0</v>
      </c>
      <c r="AB210" s="342">
        <f t="shared" si="320"/>
        <v>0</v>
      </c>
      <c r="AC210" s="304">
        <f t="shared" si="336"/>
        <v>0</v>
      </c>
      <c r="AD210" s="304">
        <f t="shared" si="337"/>
        <v>0</v>
      </c>
      <c r="AE210" s="304">
        <f t="shared" si="338"/>
        <v>0</v>
      </c>
      <c r="AF210" s="304">
        <f t="shared" si="339"/>
        <v>0</v>
      </c>
      <c r="AG210" s="304">
        <f t="shared" si="340"/>
        <v>0</v>
      </c>
      <c r="AH210" s="304"/>
      <c r="AI210" s="304"/>
      <c r="AJ210" s="299"/>
      <c r="AK210" s="299">
        <f t="shared" si="428"/>
        <v>0</v>
      </c>
      <c r="AL210" s="299"/>
      <c r="AM210" s="299"/>
      <c r="AN210" s="299"/>
      <c r="AO210" s="299"/>
      <c r="AP210" s="300"/>
      <c r="AQ210" s="299"/>
      <c r="AR210" s="637"/>
      <c r="AS210" s="638"/>
      <c r="AT210" s="638"/>
      <c r="AU210" s="638"/>
      <c r="AV210" s="638"/>
      <c r="AW210" s="343"/>
      <c r="AX210" s="299"/>
      <c r="AY210" s="299"/>
      <c r="AZ210" s="299"/>
      <c r="BA210" s="300"/>
      <c r="BB210" s="322"/>
      <c r="BC210" s="299"/>
      <c r="BD210" s="299"/>
      <c r="BE210" s="299"/>
      <c r="BF210" s="299"/>
    </row>
    <row r="211" spans="1:58" s="294" customFormat="1" ht="22.5" customHeight="1">
      <c r="A211" s="529"/>
      <c r="B211" s="299"/>
      <c r="C211" s="332" t="s">
        <v>487</v>
      </c>
      <c r="D211" s="299">
        <f>SUM(D209)</f>
        <v>0</v>
      </c>
      <c r="E211" s="299"/>
      <c r="F211" s="299"/>
      <c r="G211" s="299"/>
      <c r="H211" s="299"/>
      <c r="I211" s="299"/>
      <c r="J211" s="299"/>
      <c r="K211" s="299"/>
      <c r="L211" s="299"/>
      <c r="M211" s="299"/>
      <c r="N211" s="299"/>
      <c r="O211" s="299"/>
      <c r="P211" s="299"/>
      <c r="Q211" s="299"/>
      <c r="R211" s="299"/>
      <c r="S211" s="299"/>
      <c r="T211" s="299"/>
      <c r="U211" s="299"/>
      <c r="V211" s="299"/>
      <c r="W211" s="299"/>
      <c r="X211" s="299"/>
      <c r="Y211" s="360">
        <f t="shared" si="427"/>
        <v>0</v>
      </c>
      <c r="Z211" s="360">
        <f t="shared" si="427"/>
        <v>0</v>
      </c>
      <c r="AA211" s="360">
        <f t="shared" si="427"/>
        <v>0</v>
      </c>
      <c r="AB211" s="342">
        <f t="shared" si="320"/>
        <v>0</v>
      </c>
      <c r="AC211" s="304">
        <f t="shared" si="336"/>
        <v>0</v>
      </c>
      <c r="AD211" s="304">
        <f t="shared" si="337"/>
        <v>0</v>
      </c>
      <c r="AE211" s="304">
        <f t="shared" si="338"/>
        <v>0</v>
      </c>
      <c r="AF211" s="304">
        <f t="shared" si="339"/>
        <v>0</v>
      </c>
      <c r="AG211" s="304">
        <f t="shared" si="340"/>
        <v>0</v>
      </c>
      <c r="AH211" s="304"/>
      <c r="AI211" s="304"/>
      <c r="AJ211" s="299"/>
      <c r="AK211" s="299">
        <f t="shared" si="428"/>
        <v>0</v>
      </c>
      <c r="AL211" s="299"/>
      <c r="AM211" s="299"/>
      <c r="AN211" s="299"/>
      <c r="AO211" s="299"/>
      <c r="AP211" s="300"/>
      <c r="AQ211" s="299"/>
      <c r="AR211" s="637"/>
      <c r="AS211" s="638"/>
      <c r="AT211" s="638"/>
      <c r="AU211" s="638"/>
      <c r="AV211" s="638"/>
      <c r="AW211" s="343"/>
      <c r="AX211" s="299"/>
      <c r="AY211" s="299"/>
      <c r="AZ211" s="299"/>
      <c r="BA211" s="300"/>
      <c r="BB211" s="322"/>
      <c r="BC211" s="299"/>
      <c r="BD211" s="299"/>
      <c r="BE211" s="299"/>
      <c r="BF211" s="299"/>
    </row>
    <row r="212" spans="1:58" s="294" customFormat="1" ht="22.5" customHeight="1">
      <c r="A212" s="529"/>
      <c r="B212" s="299"/>
      <c r="C212" s="26" t="s">
        <v>488</v>
      </c>
      <c r="D212" s="299">
        <f>SUM(D210)</f>
        <v>0</v>
      </c>
      <c r="E212" s="299">
        <v>1687900</v>
      </c>
      <c r="F212" s="299"/>
      <c r="G212" s="299"/>
      <c r="H212" s="299"/>
      <c r="I212" s="299"/>
      <c r="J212" s="299"/>
      <c r="K212" s="299"/>
      <c r="L212" s="299"/>
      <c r="M212" s="299"/>
      <c r="N212" s="299"/>
      <c r="O212" s="299"/>
      <c r="P212" s="299"/>
      <c r="Q212" s="299"/>
      <c r="R212" s="299"/>
      <c r="S212" s="299"/>
      <c r="T212" s="299"/>
      <c r="U212" s="299"/>
      <c r="V212" s="299"/>
      <c r="W212" s="299"/>
      <c r="X212" s="299"/>
      <c r="Y212" s="360">
        <f t="shared" si="427"/>
        <v>0</v>
      </c>
      <c r="Z212" s="360">
        <f t="shared" si="427"/>
        <v>1687900</v>
      </c>
      <c r="AA212" s="360">
        <f t="shared" si="427"/>
        <v>0</v>
      </c>
      <c r="AB212" s="342">
        <f t="shared" si="320"/>
        <v>1687900</v>
      </c>
      <c r="AC212" s="304">
        <f t="shared" si="336"/>
        <v>0</v>
      </c>
      <c r="AD212" s="304">
        <f t="shared" si="337"/>
        <v>1687900</v>
      </c>
      <c r="AE212" s="304">
        <f t="shared" si="338"/>
        <v>0</v>
      </c>
      <c r="AF212" s="304">
        <f t="shared" si="339"/>
        <v>0</v>
      </c>
      <c r="AG212" s="304">
        <f t="shared" si="340"/>
        <v>1687900</v>
      </c>
      <c r="AH212" s="304"/>
      <c r="AI212" s="304"/>
      <c r="AJ212" s="299"/>
      <c r="AK212" s="299">
        <f t="shared" si="428"/>
        <v>0</v>
      </c>
      <c r="AL212" s="299"/>
      <c r="AM212" s="299"/>
      <c r="AN212" s="299"/>
      <c r="AO212" s="299"/>
      <c r="AP212" s="300"/>
      <c r="AQ212" s="299"/>
      <c r="AR212" s="637"/>
      <c r="AS212" s="638"/>
      <c r="AT212" s="638"/>
      <c r="AU212" s="638"/>
      <c r="AV212" s="638"/>
      <c r="AW212" s="343"/>
      <c r="AX212" s="299"/>
      <c r="AY212" s="299"/>
      <c r="AZ212" s="299"/>
      <c r="BA212" s="300"/>
      <c r="BB212" s="322"/>
      <c r="BC212" s="299"/>
      <c r="BD212" s="299"/>
      <c r="BE212" s="299"/>
      <c r="BF212" s="299"/>
    </row>
    <row r="213" spans="1:58" s="294" customFormat="1" ht="22.5" customHeight="1">
      <c r="A213" s="529"/>
      <c r="B213" s="299"/>
      <c r="C213" s="26" t="s">
        <v>489</v>
      </c>
      <c r="D213" s="299">
        <f>SUM(D211)</f>
        <v>0</v>
      </c>
      <c r="E213" s="299"/>
      <c r="F213" s="299"/>
      <c r="G213" s="299"/>
      <c r="H213" s="299"/>
      <c r="I213" s="299"/>
      <c r="J213" s="299"/>
      <c r="K213" s="299"/>
      <c r="L213" s="299"/>
      <c r="M213" s="299"/>
      <c r="N213" s="299"/>
      <c r="O213" s="299"/>
      <c r="P213" s="299"/>
      <c r="Q213" s="299"/>
      <c r="R213" s="299"/>
      <c r="S213" s="299"/>
      <c r="T213" s="299"/>
      <c r="U213" s="299"/>
      <c r="V213" s="299"/>
      <c r="W213" s="299"/>
      <c r="X213" s="299"/>
      <c r="Y213" s="360">
        <f t="shared" si="427"/>
        <v>0</v>
      </c>
      <c r="Z213" s="360">
        <f t="shared" si="427"/>
        <v>0</v>
      </c>
      <c r="AA213" s="360">
        <f t="shared" si="427"/>
        <v>0</v>
      </c>
      <c r="AB213" s="342">
        <f t="shared" si="320"/>
        <v>0</v>
      </c>
      <c r="AC213" s="304">
        <f t="shared" si="336"/>
        <v>0</v>
      </c>
      <c r="AD213" s="304">
        <f t="shared" si="337"/>
        <v>0</v>
      </c>
      <c r="AE213" s="304">
        <f t="shared" si="338"/>
        <v>0</v>
      </c>
      <c r="AF213" s="304">
        <f t="shared" si="339"/>
        <v>0</v>
      </c>
      <c r="AG213" s="304">
        <f t="shared" si="340"/>
        <v>0</v>
      </c>
      <c r="AH213" s="304"/>
      <c r="AI213" s="304"/>
      <c r="AJ213" s="299"/>
      <c r="AK213" s="299">
        <f t="shared" si="428"/>
        <v>0</v>
      </c>
      <c r="AL213" s="299"/>
      <c r="AM213" s="299"/>
      <c r="AN213" s="299"/>
      <c r="AO213" s="299"/>
      <c r="AP213" s="300"/>
      <c r="AQ213" s="299"/>
      <c r="AR213" s="637"/>
      <c r="AS213" s="638"/>
      <c r="AT213" s="638"/>
      <c r="AU213" s="638"/>
      <c r="AV213" s="638"/>
      <c r="AW213" s="343"/>
      <c r="AX213" s="299"/>
      <c r="AY213" s="299"/>
      <c r="AZ213" s="299"/>
      <c r="BA213" s="300"/>
      <c r="BB213" s="322"/>
      <c r="BC213" s="299"/>
      <c r="BD213" s="299"/>
      <c r="BE213" s="299"/>
      <c r="BF213" s="299"/>
    </row>
    <row r="214" spans="1:58" s="294" customFormat="1" ht="22.5" customHeight="1">
      <c r="A214" s="529"/>
      <c r="B214" s="299"/>
      <c r="C214" s="26" t="s">
        <v>490</v>
      </c>
      <c r="D214" s="299">
        <f>SUM(D212)</f>
        <v>0</v>
      </c>
      <c r="E214" s="299"/>
      <c r="F214" s="299"/>
      <c r="G214" s="299"/>
      <c r="H214" s="299"/>
      <c r="I214" s="299"/>
      <c r="J214" s="299"/>
      <c r="K214" s="299"/>
      <c r="L214" s="299"/>
      <c r="M214" s="299"/>
      <c r="N214" s="299"/>
      <c r="O214" s="299"/>
      <c r="P214" s="299"/>
      <c r="Q214" s="299"/>
      <c r="R214" s="299"/>
      <c r="S214" s="299"/>
      <c r="T214" s="299"/>
      <c r="U214" s="299"/>
      <c r="V214" s="299"/>
      <c r="W214" s="299"/>
      <c r="X214" s="299"/>
      <c r="Y214" s="360">
        <f t="shared" si="427"/>
        <v>0</v>
      </c>
      <c r="Z214" s="360">
        <f t="shared" si="427"/>
        <v>0</v>
      </c>
      <c r="AA214" s="360">
        <f t="shared" si="427"/>
        <v>0</v>
      </c>
      <c r="AB214" s="342">
        <f t="shared" si="320"/>
        <v>0</v>
      </c>
      <c r="AC214" s="304">
        <f t="shared" si="336"/>
        <v>0</v>
      </c>
      <c r="AD214" s="304">
        <f t="shared" si="337"/>
        <v>0</v>
      </c>
      <c r="AE214" s="304">
        <f t="shared" si="338"/>
        <v>0</v>
      </c>
      <c r="AF214" s="304">
        <f t="shared" si="339"/>
        <v>0</v>
      </c>
      <c r="AG214" s="304">
        <f t="shared" si="340"/>
        <v>0</v>
      </c>
      <c r="AH214" s="304"/>
      <c r="AI214" s="304"/>
      <c r="AJ214" s="299"/>
      <c r="AK214" s="299">
        <f t="shared" si="428"/>
        <v>0</v>
      </c>
      <c r="AL214" s="299"/>
      <c r="AM214" s="299"/>
      <c r="AN214" s="299"/>
      <c r="AO214" s="299"/>
      <c r="AP214" s="300"/>
      <c r="AQ214" s="299"/>
      <c r="AR214" s="637"/>
      <c r="AS214" s="638"/>
      <c r="AT214" s="638"/>
      <c r="AU214" s="638"/>
      <c r="AV214" s="638"/>
      <c r="AW214" s="343"/>
      <c r="AX214" s="299"/>
      <c r="AY214" s="299"/>
      <c r="AZ214" s="299"/>
      <c r="BA214" s="300"/>
      <c r="BB214" s="322"/>
      <c r="BC214" s="299"/>
      <c r="BD214" s="299"/>
      <c r="BE214" s="299"/>
      <c r="BF214" s="299"/>
    </row>
    <row r="215" spans="1:58" s="294" customFormat="1" ht="22.5" customHeight="1">
      <c r="A215" s="529"/>
      <c r="B215" s="299"/>
      <c r="C215" s="26" t="s">
        <v>491</v>
      </c>
      <c r="D215" s="299">
        <f>SUM(D213)</f>
        <v>0</v>
      </c>
      <c r="E215" s="299"/>
      <c r="F215" s="299"/>
      <c r="G215" s="299"/>
      <c r="H215" s="299"/>
      <c r="I215" s="299"/>
      <c r="J215" s="299"/>
      <c r="K215" s="299"/>
      <c r="L215" s="299"/>
      <c r="M215" s="299"/>
      <c r="N215" s="299"/>
      <c r="O215" s="299"/>
      <c r="P215" s="299"/>
      <c r="Q215" s="299"/>
      <c r="R215" s="299"/>
      <c r="S215" s="299"/>
      <c r="T215" s="299"/>
      <c r="U215" s="299"/>
      <c r="V215" s="299"/>
      <c r="W215" s="299"/>
      <c r="X215" s="299"/>
      <c r="Y215" s="360">
        <f t="shared" si="427"/>
        <v>0</v>
      </c>
      <c r="Z215" s="360">
        <f t="shared" si="427"/>
        <v>0</v>
      </c>
      <c r="AA215" s="360">
        <f t="shared" si="427"/>
        <v>0</v>
      </c>
      <c r="AB215" s="342">
        <f t="shared" si="320"/>
        <v>0</v>
      </c>
      <c r="AC215" s="304">
        <f t="shared" si="336"/>
        <v>0</v>
      </c>
      <c r="AD215" s="304">
        <f t="shared" si="337"/>
        <v>0</v>
      </c>
      <c r="AE215" s="304">
        <f t="shared" si="338"/>
        <v>0</v>
      </c>
      <c r="AF215" s="304">
        <f t="shared" si="339"/>
        <v>0</v>
      </c>
      <c r="AG215" s="304">
        <f t="shared" si="340"/>
        <v>0</v>
      </c>
      <c r="AH215" s="304"/>
      <c r="AI215" s="304"/>
      <c r="AJ215" s="299"/>
      <c r="AK215" s="299">
        <f t="shared" si="428"/>
        <v>0</v>
      </c>
      <c r="AL215" s="299"/>
      <c r="AM215" s="299"/>
      <c r="AN215" s="299"/>
      <c r="AO215" s="299"/>
      <c r="AP215" s="300"/>
      <c r="AQ215" s="299"/>
      <c r="AR215" s="637"/>
      <c r="AS215" s="638"/>
      <c r="AT215" s="638"/>
      <c r="AU215" s="638"/>
      <c r="AV215" s="638"/>
      <c r="AW215" s="343"/>
      <c r="AX215" s="299"/>
      <c r="AY215" s="299"/>
      <c r="AZ215" s="299"/>
      <c r="BA215" s="300"/>
      <c r="BB215" s="322"/>
      <c r="BC215" s="299"/>
      <c r="BD215" s="299"/>
      <c r="BE215" s="299"/>
      <c r="BF215" s="299"/>
    </row>
    <row r="216" spans="1:58" s="294" customFormat="1" ht="22.5" customHeight="1">
      <c r="A216" s="529"/>
      <c r="B216" s="299"/>
      <c r="C216" s="338" t="s">
        <v>455</v>
      </c>
      <c r="D216" s="299">
        <f>SUM(D208:D215)</f>
        <v>0</v>
      </c>
      <c r="E216" s="299">
        <f t="shared" ref="E216:AA216" si="429">SUM(E208:E215)</f>
        <v>1687900</v>
      </c>
      <c r="F216" s="299">
        <f t="shared" si="429"/>
        <v>0</v>
      </c>
      <c r="G216" s="299">
        <f t="shared" si="429"/>
        <v>0</v>
      </c>
      <c r="H216" s="299">
        <f t="shared" si="429"/>
        <v>0</v>
      </c>
      <c r="I216" s="299">
        <f t="shared" si="429"/>
        <v>0</v>
      </c>
      <c r="J216" s="299">
        <f t="shared" si="429"/>
        <v>0</v>
      </c>
      <c r="K216" s="299">
        <f t="shared" si="429"/>
        <v>0</v>
      </c>
      <c r="L216" s="299">
        <f t="shared" si="429"/>
        <v>0</v>
      </c>
      <c r="M216" s="299">
        <f t="shared" si="429"/>
        <v>10645503.93</v>
      </c>
      <c r="N216" s="299">
        <f t="shared" si="429"/>
        <v>3487508</v>
      </c>
      <c r="O216" s="299">
        <f t="shared" si="429"/>
        <v>0</v>
      </c>
      <c r="P216" s="299">
        <f t="shared" si="429"/>
        <v>0</v>
      </c>
      <c r="Q216" s="299">
        <f t="shared" si="429"/>
        <v>0</v>
      </c>
      <c r="R216" s="299">
        <f t="shared" si="429"/>
        <v>0</v>
      </c>
      <c r="S216" s="299">
        <f t="shared" si="429"/>
        <v>0</v>
      </c>
      <c r="T216" s="299">
        <f t="shared" si="429"/>
        <v>0</v>
      </c>
      <c r="U216" s="299">
        <f t="shared" si="429"/>
        <v>0</v>
      </c>
      <c r="V216" s="299">
        <f t="shared" si="429"/>
        <v>0</v>
      </c>
      <c r="W216" s="299">
        <f t="shared" si="429"/>
        <v>1963723</v>
      </c>
      <c r="X216" s="299">
        <f t="shared" si="429"/>
        <v>0</v>
      </c>
      <c r="Y216" s="360">
        <f t="shared" si="427"/>
        <v>10645503.93</v>
      </c>
      <c r="Z216" s="360">
        <f t="shared" si="427"/>
        <v>7139131</v>
      </c>
      <c r="AA216" s="299">
        <f t="shared" si="429"/>
        <v>0</v>
      </c>
      <c r="AB216" s="342">
        <f t="shared" si="320"/>
        <v>17784634.93</v>
      </c>
      <c r="AC216" s="304">
        <f t="shared" si="336"/>
        <v>10645503.93</v>
      </c>
      <c r="AD216" s="304">
        <f t="shared" si="337"/>
        <v>7139131</v>
      </c>
      <c r="AE216" s="304">
        <f t="shared" si="338"/>
        <v>0</v>
      </c>
      <c r="AF216" s="304">
        <f t="shared" si="339"/>
        <v>0</v>
      </c>
      <c r="AG216" s="304">
        <f t="shared" si="340"/>
        <v>17784634.93</v>
      </c>
      <c r="AH216" s="304"/>
      <c r="AI216" s="304"/>
      <c r="AJ216" s="299"/>
      <c r="AK216" s="299">
        <f>SUM(AK208:AK215)</f>
        <v>0</v>
      </c>
      <c r="AL216" s="299"/>
      <c r="AM216" s="299"/>
      <c r="AN216" s="299"/>
      <c r="AO216" s="299"/>
      <c r="AP216" s="300"/>
      <c r="AQ216" s="299"/>
      <c r="AR216" s="639"/>
      <c r="AS216" s="640"/>
      <c r="AT216" s="640"/>
      <c r="AU216" s="640"/>
      <c r="AV216" s="640"/>
      <c r="AW216" s="343"/>
      <c r="AX216" s="299"/>
      <c r="AY216" s="299"/>
      <c r="AZ216" s="299"/>
      <c r="BA216" s="300"/>
      <c r="BB216" s="322"/>
      <c r="BC216" s="299"/>
      <c r="BD216" s="299"/>
      <c r="BE216" s="299"/>
      <c r="BF216" s="299"/>
    </row>
    <row r="217" spans="1:58" ht="25.5" customHeight="1">
      <c r="A217" s="531" t="s">
        <v>496</v>
      </c>
      <c r="B217" s="303"/>
      <c r="C217" s="626" t="s">
        <v>468</v>
      </c>
      <c r="D217" s="626"/>
      <c r="E217" s="626"/>
      <c r="F217" s="626"/>
      <c r="G217" s="626"/>
      <c r="H217" s="626"/>
      <c r="I217" s="626"/>
      <c r="J217" s="626"/>
      <c r="K217" s="626"/>
      <c r="L217" s="626"/>
      <c r="M217" s="626"/>
      <c r="N217" s="626"/>
      <c r="O217" s="626"/>
      <c r="P217" s="626"/>
      <c r="Q217" s="626"/>
      <c r="R217" s="626"/>
      <c r="S217" s="626"/>
      <c r="T217" s="626"/>
      <c r="U217" s="626"/>
      <c r="V217" s="626"/>
      <c r="W217" s="626"/>
      <c r="X217" s="626"/>
      <c r="Y217" s="626"/>
      <c r="Z217" s="626"/>
      <c r="AA217" s="626"/>
      <c r="AB217" s="342">
        <f t="shared" si="320"/>
        <v>0</v>
      </c>
      <c r="AC217" s="304">
        <f t="shared" si="336"/>
        <v>0</v>
      </c>
      <c r="AD217" s="304">
        <f t="shared" si="337"/>
        <v>0</v>
      </c>
      <c r="AE217" s="304">
        <f t="shared" si="338"/>
        <v>0</v>
      </c>
      <c r="AF217" s="304">
        <f t="shared" si="339"/>
        <v>0</v>
      </c>
      <c r="AG217" s="304">
        <f t="shared" si="340"/>
        <v>0</v>
      </c>
      <c r="AH217" s="304"/>
      <c r="AI217" s="304"/>
      <c r="AJ217" s="303"/>
      <c r="AK217" s="303"/>
      <c r="AL217" s="303"/>
      <c r="AM217" s="303"/>
      <c r="AN217" s="303"/>
      <c r="AO217" s="303"/>
      <c r="AP217" s="308"/>
      <c r="AQ217" s="303"/>
      <c r="AR217" s="303"/>
      <c r="AS217" s="303"/>
      <c r="AT217" s="303"/>
      <c r="AU217" s="303"/>
      <c r="AV217" s="346"/>
      <c r="AW217" s="340"/>
      <c r="AX217" s="303"/>
      <c r="AY217" s="303"/>
      <c r="AZ217" s="303"/>
      <c r="BA217" s="308"/>
      <c r="BB217" s="321"/>
      <c r="BC217" s="303"/>
      <c r="BD217" s="303"/>
      <c r="BE217" s="303"/>
      <c r="BF217" s="303"/>
    </row>
    <row r="218" spans="1:58" ht="25.5" customHeight="1">
      <c r="A218" s="531"/>
      <c r="B218" s="303"/>
      <c r="C218" s="26" t="s">
        <v>484</v>
      </c>
      <c r="D218" s="299"/>
      <c r="E218" s="299"/>
      <c r="F218" s="299"/>
      <c r="G218" s="299"/>
      <c r="H218" s="299">
        <v>28585</v>
      </c>
      <c r="I218" s="299"/>
      <c r="J218" s="299"/>
      <c r="K218" s="299">
        <v>818191.07</v>
      </c>
      <c r="L218" s="299"/>
      <c r="M218" s="299"/>
      <c r="N218" s="299">
        <f>218680+1180450.53+2003525.87+155629.53-28585-818191.07</f>
        <v>2711509.8600000003</v>
      </c>
      <c r="O218" s="299"/>
      <c r="P218" s="299"/>
      <c r="Q218" s="299"/>
      <c r="R218" s="299"/>
      <c r="S218" s="299"/>
      <c r="T218" s="299"/>
      <c r="U218" s="299"/>
      <c r="V218" s="299"/>
      <c r="W218" s="299">
        <v>338000</v>
      </c>
      <c r="X218" s="299"/>
      <c r="Y218" s="360">
        <f t="shared" ref="Y218:AA225" si="430">+D218+G218+J218+M218+P218+S218+V218</f>
        <v>0</v>
      </c>
      <c r="Z218" s="360">
        <f t="shared" si="430"/>
        <v>3896285.93</v>
      </c>
      <c r="AA218" s="360">
        <f t="shared" si="430"/>
        <v>0</v>
      </c>
      <c r="AB218" s="342">
        <f t="shared" si="320"/>
        <v>3896285.93</v>
      </c>
      <c r="AC218" s="304">
        <f t="shared" si="336"/>
        <v>0</v>
      </c>
      <c r="AD218" s="304">
        <f t="shared" si="337"/>
        <v>3896285.93</v>
      </c>
      <c r="AE218" s="304">
        <f t="shared" si="338"/>
        <v>0</v>
      </c>
      <c r="AF218" s="304">
        <f t="shared" si="339"/>
        <v>0</v>
      </c>
      <c r="AG218" s="304">
        <f t="shared" si="340"/>
        <v>3896285.93</v>
      </c>
      <c r="AH218" s="304"/>
      <c r="AI218" s="304"/>
      <c r="AJ218" s="303"/>
      <c r="AK218" s="299">
        <f>+AF218</f>
        <v>0</v>
      </c>
      <c r="AL218" s="303"/>
      <c r="AM218" s="303"/>
      <c r="AN218" s="303"/>
      <c r="AO218" s="303"/>
      <c r="AP218" s="308"/>
      <c r="AQ218" s="303"/>
      <c r="AR218" s="304">
        <f>+AC218+AL218</f>
        <v>0</v>
      </c>
      <c r="AS218" s="304">
        <f>+AD218+AM218</f>
        <v>3896285.93</v>
      </c>
      <c r="AT218" s="304">
        <f>+AE218+AN218+AQ218</f>
        <v>0</v>
      </c>
      <c r="AU218" s="304">
        <f>+AK218+AO218</f>
        <v>0</v>
      </c>
      <c r="AV218" s="347">
        <f>SUM(AR218:AU218)</f>
        <v>3896285.93</v>
      </c>
      <c r="AW218" s="340"/>
      <c r="AX218" s="303"/>
      <c r="AY218" s="303"/>
      <c r="AZ218" s="303"/>
      <c r="BA218" s="308"/>
      <c r="BB218" s="321"/>
      <c r="BC218" s="303"/>
      <c r="BD218" s="303"/>
      <c r="BE218" s="303"/>
      <c r="BF218" s="303"/>
    </row>
    <row r="219" spans="1:58" ht="25.5" customHeight="1">
      <c r="A219" s="531"/>
      <c r="B219" s="303"/>
      <c r="C219" s="26" t="s">
        <v>485</v>
      </c>
      <c r="D219" s="299"/>
      <c r="E219" s="299"/>
      <c r="F219" s="299"/>
      <c r="G219" s="299">
        <v>25680</v>
      </c>
      <c r="H219" s="299"/>
      <c r="I219" s="299"/>
      <c r="J219" s="299">
        <v>1406249</v>
      </c>
      <c r="K219" s="299"/>
      <c r="L219" s="299"/>
      <c r="M219" s="299">
        <f>2953672-1406249-25680</f>
        <v>1521743</v>
      </c>
      <c r="N219" s="299">
        <f>193980+125955.55+242300.5+2946.14</f>
        <v>565182.19000000006</v>
      </c>
      <c r="O219" s="299"/>
      <c r="P219" s="299">
        <f>7137496.29+1458889.95</f>
        <v>8596386.2400000002</v>
      </c>
      <c r="Q219" s="299">
        <v>4508079.6500000004</v>
      </c>
      <c r="R219" s="299"/>
      <c r="S219" s="299"/>
      <c r="T219" s="299">
        <v>122000</v>
      </c>
      <c r="U219" s="299"/>
      <c r="V219" s="299">
        <v>1445541.61</v>
      </c>
      <c r="W219" s="299"/>
      <c r="X219" s="299"/>
      <c r="Y219" s="360">
        <f t="shared" si="430"/>
        <v>12995599.85</v>
      </c>
      <c r="Z219" s="360">
        <f t="shared" si="430"/>
        <v>5195261.8400000008</v>
      </c>
      <c r="AA219" s="360">
        <f t="shared" si="430"/>
        <v>0</v>
      </c>
      <c r="AB219" s="342">
        <f t="shared" si="320"/>
        <v>18190861.690000001</v>
      </c>
      <c r="AC219" s="304">
        <f t="shared" si="336"/>
        <v>4399213.6100000003</v>
      </c>
      <c r="AD219" s="304">
        <f t="shared" si="337"/>
        <v>687182.19000000006</v>
      </c>
      <c r="AE219" s="304">
        <f t="shared" si="338"/>
        <v>0</v>
      </c>
      <c r="AF219" s="304">
        <f t="shared" si="339"/>
        <v>13104465.890000001</v>
      </c>
      <c r="AG219" s="304">
        <f t="shared" si="340"/>
        <v>18190861.690000001</v>
      </c>
      <c r="AH219" s="304"/>
      <c r="AI219" s="304"/>
      <c r="AJ219" s="303"/>
      <c r="AK219" s="299">
        <f t="shared" ref="AK219:AK225" si="431">+AF219</f>
        <v>13104465.890000001</v>
      </c>
      <c r="AL219" s="303"/>
      <c r="AM219" s="303"/>
      <c r="AN219" s="303"/>
      <c r="AO219" s="303"/>
      <c r="AP219" s="308"/>
      <c r="AQ219" s="303"/>
      <c r="AR219" s="304">
        <f t="shared" ref="AR219:AR225" si="432">+AC219+AL219</f>
        <v>4399213.6100000003</v>
      </c>
      <c r="AS219" s="304">
        <f t="shared" ref="AS219:AS225" si="433">+AD219+AM219</f>
        <v>687182.19000000006</v>
      </c>
      <c r="AT219" s="304">
        <f t="shared" ref="AT219:AT225" si="434">+AE219+AN219+AQ219</f>
        <v>0</v>
      </c>
      <c r="AU219" s="304">
        <f t="shared" ref="AU219:AU225" si="435">+AK219+AO219</f>
        <v>13104465.890000001</v>
      </c>
      <c r="AV219" s="347">
        <f t="shared" ref="AV219:AV225" si="436">SUM(AR219:AU219)</f>
        <v>18190861.690000001</v>
      </c>
      <c r="AW219" s="340"/>
      <c r="AX219" s="303"/>
      <c r="AY219" s="303"/>
      <c r="AZ219" s="303"/>
      <c r="BA219" s="308"/>
      <c r="BB219" s="321"/>
      <c r="BC219" s="303"/>
      <c r="BD219" s="303"/>
      <c r="BE219" s="303"/>
      <c r="BF219" s="303"/>
    </row>
    <row r="220" spans="1:58" ht="25.5" customHeight="1">
      <c r="A220" s="531"/>
      <c r="B220" s="303"/>
      <c r="C220" s="332" t="s">
        <v>486</v>
      </c>
      <c r="D220" s="299"/>
      <c r="E220" s="299"/>
      <c r="F220" s="299"/>
      <c r="G220" s="299"/>
      <c r="H220" s="299"/>
      <c r="I220" s="299"/>
      <c r="J220" s="299"/>
      <c r="K220" s="299"/>
      <c r="L220" s="299"/>
      <c r="M220" s="299"/>
      <c r="N220" s="299"/>
      <c r="O220" s="299"/>
      <c r="P220" s="299"/>
      <c r="Q220" s="299"/>
      <c r="R220" s="299"/>
      <c r="S220" s="299"/>
      <c r="T220" s="299"/>
      <c r="U220" s="299"/>
      <c r="V220" s="299"/>
      <c r="W220" s="299"/>
      <c r="X220" s="299"/>
      <c r="Y220" s="360">
        <f t="shared" si="430"/>
        <v>0</v>
      </c>
      <c r="Z220" s="360">
        <f t="shared" si="430"/>
        <v>0</v>
      </c>
      <c r="AA220" s="360">
        <f t="shared" si="430"/>
        <v>0</v>
      </c>
      <c r="AB220" s="342">
        <f t="shared" si="320"/>
        <v>0</v>
      </c>
      <c r="AC220" s="304">
        <f t="shared" si="336"/>
        <v>0</v>
      </c>
      <c r="AD220" s="304">
        <f t="shared" si="337"/>
        <v>0</v>
      </c>
      <c r="AE220" s="304">
        <f t="shared" si="338"/>
        <v>0</v>
      </c>
      <c r="AF220" s="304">
        <f t="shared" si="339"/>
        <v>0</v>
      </c>
      <c r="AG220" s="304">
        <f t="shared" si="340"/>
        <v>0</v>
      </c>
      <c r="AH220" s="304"/>
      <c r="AI220" s="304"/>
      <c r="AJ220" s="303"/>
      <c r="AK220" s="299">
        <f t="shared" si="431"/>
        <v>0</v>
      </c>
      <c r="AL220" s="303"/>
      <c r="AM220" s="303"/>
      <c r="AN220" s="303"/>
      <c r="AO220" s="303"/>
      <c r="AP220" s="308"/>
      <c r="AQ220" s="303"/>
      <c r="AR220" s="304">
        <f t="shared" si="432"/>
        <v>0</v>
      </c>
      <c r="AS220" s="304">
        <f t="shared" si="433"/>
        <v>0</v>
      </c>
      <c r="AT220" s="304">
        <f t="shared" si="434"/>
        <v>0</v>
      </c>
      <c r="AU220" s="304">
        <f t="shared" si="435"/>
        <v>0</v>
      </c>
      <c r="AV220" s="347">
        <f t="shared" si="436"/>
        <v>0</v>
      </c>
      <c r="AW220" s="340"/>
      <c r="AX220" s="303"/>
      <c r="AY220" s="303"/>
      <c r="AZ220" s="303"/>
      <c r="BA220" s="308"/>
      <c r="BB220" s="321"/>
      <c r="BC220" s="303"/>
      <c r="BD220" s="303"/>
      <c r="BE220" s="303"/>
      <c r="BF220" s="303"/>
    </row>
    <row r="221" spans="1:58" ht="25.5" customHeight="1">
      <c r="A221" s="531"/>
      <c r="B221" s="303"/>
      <c r="C221" s="332" t="s">
        <v>487</v>
      </c>
      <c r="D221" s="299"/>
      <c r="E221" s="299"/>
      <c r="F221" s="299"/>
      <c r="G221" s="299"/>
      <c r="H221" s="299"/>
      <c r="I221" s="299"/>
      <c r="J221" s="299"/>
      <c r="K221" s="299"/>
      <c r="L221" s="299"/>
      <c r="M221" s="299"/>
      <c r="N221" s="299"/>
      <c r="O221" s="299"/>
      <c r="P221" s="299"/>
      <c r="Q221" s="299"/>
      <c r="R221" s="299"/>
      <c r="S221" s="299"/>
      <c r="T221" s="299"/>
      <c r="U221" s="299"/>
      <c r="V221" s="299">
        <v>497990</v>
      </c>
      <c r="W221" s="299"/>
      <c r="X221" s="299"/>
      <c r="Y221" s="360">
        <f t="shared" si="430"/>
        <v>497990</v>
      </c>
      <c r="Z221" s="360">
        <f t="shared" si="430"/>
        <v>0</v>
      </c>
      <c r="AA221" s="360">
        <f t="shared" si="430"/>
        <v>0</v>
      </c>
      <c r="AB221" s="342">
        <f t="shared" ref="AB221:AB266" si="437">+Y221+Z221+AA221</f>
        <v>497990</v>
      </c>
      <c r="AC221" s="304">
        <f t="shared" si="336"/>
        <v>497990</v>
      </c>
      <c r="AD221" s="304">
        <f t="shared" si="337"/>
        <v>0</v>
      </c>
      <c r="AE221" s="304">
        <f t="shared" si="338"/>
        <v>0</v>
      </c>
      <c r="AF221" s="304">
        <f t="shared" si="339"/>
        <v>0</v>
      </c>
      <c r="AG221" s="304">
        <f t="shared" si="340"/>
        <v>497990</v>
      </c>
      <c r="AH221" s="304"/>
      <c r="AI221" s="304"/>
      <c r="AJ221" s="303"/>
      <c r="AK221" s="299">
        <f t="shared" si="431"/>
        <v>0</v>
      </c>
      <c r="AL221" s="303"/>
      <c r="AM221" s="303"/>
      <c r="AN221" s="303"/>
      <c r="AO221" s="303"/>
      <c r="AP221" s="308"/>
      <c r="AQ221" s="303"/>
      <c r="AR221" s="304">
        <f t="shared" si="432"/>
        <v>497990</v>
      </c>
      <c r="AS221" s="304">
        <f t="shared" si="433"/>
        <v>0</v>
      </c>
      <c r="AT221" s="304">
        <f t="shared" si="434"/>
        <v>0</v>
      </c>
      <c r="AU221" s="304">
        <f t="shared" si="435"/>
        <v>0</v>
      </c>
      <c r="AV221" s="347">
        <f t="shared" si="436"/>
        <v>497990</v>
      </c>
      <c r="AW221" s="340"/>
      <c r="AX221" s="303"/>
      <c r="AY221" s="303"/>
      <c r="AZ221" s="303"/>
      <c r="BA221" s="308"/>
      <c r="BB221" s="321"/>
      <c r="BC221" s="303"/>
      <c r="BD221" s="303"/>
      <c r="BE221" s="303"/>
      <c r="BF221" s="303"/>
    </row>
    <row r="222" spans="1:58" ht="25.5" customHeight="1">
      <c r="A222" s="531"/>
      <c r="B222" s="303"/>
      <c r="C222" s="26" t="s">
        <v>488</v>
      </c>
      <c r="D222" s="299">
        <v>222780</v>
      </c>
      <c r="E222" s="299">
        <v>4260720.4440000001</v>
      </c>
      <c r="F222" s="299"/>
      <c r="G222" s="299"/>
      <c r="H222" s="299"/>
      <c r="I222" s="299"/>
      <c r="J222" s="299"/>
      <c r="K222" s="299"/>
      <c r="L222" s="299"/>
      <c r="M222" s="299">
        <v>4500</v>
      </c>
      <c r="N222" s="299">
        <f>35656+177543</f>
        <v>213199</v>
      </c>
      <c r="O222" s="299"/>
      <c r="P222" s="299"/>
      <c r="Q222" s="299"/>
      <c r="R222" s="299"/>
      <c r="S222" s="299">
        <v>1523440</v>
      </c>
      <c r="T222" s="299"/>
      <c r="U222" s="299"/>
      <c r="V222" s="299"/>
      <c r="W222" s="299"/>
      <c r="X222" s="299"/>
      <c r="Y222" s="360">
        <f t="shared" si="430"/>
        <v>1750720</v>
      </c>
      <c r="Z222" s="360">
        <f t="shared" si="430"/>
        <v>4473919.4440000001</v>
      </c>
      <c r="AA222" s="360">
        <f t="shared" si="430"/>
        <v>0</v>
      </c>
      <c r="AB222" s="342">
        <f t="shared" si="437"/>
        <v>6224639.4440000001</v>
      </c>
      <c r="AC222" s="304">
        <f t="shared" si="336"/>
        <v>1750720</v>
      </c>
      <c r="AD222" s="304">
        <f t="shared" si="337"/>
        <v>4473919.4440000001</v>
      </c>
      <c r="AE222" s="304">
        <f t="shared" si="338"/>
        <v>0</v>
      </c>
      <c r="AF222" s="304">
        <f t="shared" si="339"/>
        <v>0</v>
      </c>
      <c r="AG222" s="304">
        <f t="shared" si="340"/>
        <v>6224639.4440000001</v>
      </c>
      <c r="AH222" s="304"/>
      <c r="AI222" s="304"/>
      <c r="AJ222" s="303"/>
      <c r="AK222" s="299">
        <f t="shared" si="431"/>
        <v>0</v>
      </c>
      <c r="AL222" s="303"/>
      <c r="AM222" s="303"/>
      <c r="AN222" s="303"/>
      <c r="AO222" s="303"/>
      <c r="AP222" s="308"/>
      <c r="AQ222" s="303"/>
      <c r="AR222" s="304">
        <f t="shared" si="432"/>
        <v>1750720</v>
      </c>
      <c r="AS222" s="304">
        <f t="shared" si="433"/>
        <v>4473919.4440000001</v>
      </c>
      <c r="AT222" s="304">
        <f t="shared" si="434"/>
        <v>0</v>
      </c>
      <c r="AU222" s="304">
        <f t="shared" si="435"/>
        <v>0</v>
      </c>
      <c r="AV222" s="347">
        <f t="shared" si="436"/>
        <v>6224639.4440000001</v>
      </c>
      <c r="AW222" s="340"/>
      <c r="AX222" s="303"/>
      <c r="AY222" s="303"/>
      <c r="AZ222" s="303"/>
      <c r="BA222" s="308"/>
      <c r="BB222" s="321"/>
      <c r="BC222" s="303"/>
      <c r="BD222" s="303"/>
      <c r="BE222" s="303"/>
      <c r="BF222" s="303"/>
    </row>
    <row r="223" spans="1:58" ht="25.5" customHeight="1">
      <c r="A223" s="531"/>
      <c r="B223" s="303"/>
      <c r="C223" s="26" t="s">
        <v>489</v>
      </c>
      <c r="D223" s="299"/>
      <c r="E223" s="299"/>
      <c r="F223" s="299"/>
      <c r="G223" s="299"/>
      <c r="H223" s="299"/>
      <c r="I223" s="299"/>
      <c r="J223" s="299"/>
      <c r="K223" s="299"/>
      <c r="L223" s="299"/>
      <c r="M223" s="299"/>
      <c r="N223" s="299"/>
      <c r="O223" s="299"/>
      <c r="P223" s="299"/>
      <c r="Q223" s="299"/>
      <c r="R223" s="299"/>
      <c r="S223" s="299"/>
      <c r="T223" s="299"/>
      <c r="U223" s="299"/>
      <c r="V223" s="299"/>
      <c r="W223" s="299"/>
      <c r="X223" s="299"/>
      <c r="Y223" s="360">
        <f t="shared" si="430"/>
        <v>0</v>
      </c>
      <c r="Z223" s="360">
        <f t="shared" si="430"/>
        <v>0</v>
      </c>
      <c r="AA223" s="360">
        <f t="shared" si="430"/>
        <v>0</v>
      </c>
      <c r="AB223" s="342">
        <f t="shared" si="437"/>
        <v>0</v>
      </c>
      <c r="AC223" s="304">
        <f t="shared" si="336"/>
        <v>0</v>
      </c>
      <c r="AD223" s="304">
        <f t="shared" si="337"/>
        <v>0</v>
      </c>
      <c r="AE223" s="304">
        <f t="shared" si="338"/>
        <v>0</v>
      </c>
      <c r="AF223" s="304">
        <f t="shared" si="339"/>
        <v>0</v>
      </c>
      <c r="AG223" s="304">
        <f t="shared" si="340"/>
        <v>0</v>
      </c>
      <c r="AH223" s="304"/>
      <c r="AI223" s="304"/>
      <c r="AJ223" s="303"/>
      <c r="AK223" s="299">
        <f t="shared" si="431"/>
        <v>0</v>
      </c>
      <c r="AL223" s="303"/>
      <c r="AM223" s="303"/>
      <c r="AN223" s="303"/>
      <c r="AO223" s="303"/>
      <c r="AP223" s="308"/>
      <c r="AQ223" s="303"/>
      <c r="AR223" s="304">
        <f t="shared" si="432"/>
        <v>0</v>
      </c>
      <c r="AS223" s="304">
        <f t="shared" si="433"/>
        <v>0</v>
      </c>
      <c r="AT223" s="304">
        <f t="shared" si="434"/>
        <v>0</v>
      </c>
      <c r="AU223" s="304">
        <f t="shared" si="435"/>
        <v>0</v>
      </c>
      <c r="AV223" s="347">
        <f t="shared" si="436"/>
        <v>0</v>
      </c>
      <c r="AW223" s="340"/>
      <c r="AX223" s="303"/>
      <c r="AY223" s="303"/>
      <c r="AZ223" s="303"/>
      <c r="BA223" s="308"/>
      <c r="BB223" s="321"/>
      <c r="BC223" s="303"/>
      <c r="BD223" s="303"/>
      <c r="BE223" s="303"/>
      <c r="BF223" s="303"/>
    </row>
    <row r="224" spans="1:58" ht="25.5" customHeight="1">
      <c r="A224" s="531"/>
      <c r="B224" s="303"/>
      <c r="C224" s="26" t="s">
        <v>490</v>
      </c>
      <c r="D224" s="299"/>
      <c r="E224" s="299"/>
      <c r="F224" s="299"/>
      <c r="G224" s="299"/>
      <c r="H224" s="299"/>
      <c r="I224" s="299"/>
      <c r="J224" s="299"/>
      <c r="K224" s="299"/>
      <c r="L224" s="299"/>
      <c r="M224" s="299"/>
      <c r="N224" s="299"/>
      <c r="O224" s="299"/>
      <c r="P224" s="299"/>
      <c r="Q224" s="299"/>
      <c r="R224" s="299"/>
      <c r="S224" s="299"/>
      <c r="T224" s="299"/>
      <c r="U224" s="299"/>
      <c r="V224" s="299"/>
      <c r="W224" s="299"/>
      <c r="X224" s="299"/>
      <c r="Y224" s="360">
        <f t="shared" si="430"/>
        <v>0</v>
      </c>
      <c r="Z224" s="360">
        <f t="shared" si="430"/>
        <v>0</v>
      </c>
      <c r="AA224" s="360">
        <f t="shared" si="430"/>
        <v>0</v>
      </c>
      <c r="AB224" s="342">
        <f t="shared" si="437"/>
        <v>0</v>
      </c>
      <c r="AC224" s="304">
        <f t="shared" si="336"/>
        <v>0</v>
      </c>
      <c r="AD224" s="304">
        <f t="shared" si="337"/>
        <v>0</v>
      </c>
      <c r="AE224" s="304">
        <f t="shared" si="338"/>
        <v>0</v>
      </c>
      <c r="AF224" s="304">
        <f t="shared" si="339"/>
        <v>0</v>
      </c>
      <c r="AG224" s="304">
        <f t="shared" si="340"/>
        <v>0</v>
      </c>
      <c r="AH224" s="304"/>
      <c r="AI224" s="304"/>
      <c r="AJ224" s="303"/>
      <c r="AK224" s="299">
        <f t="shared" si="431"/>
        <v>0</v>
      </c>
      <c r="AL224" s="303"/>
      <c r="AM224" s="303"/>
      <c r="AN224" s="303"/>
      <c r="AO224" s="303"/>
      <c r="AP224" s="308"/>
      <c r="AQ224" s="303"/>
      <c r="AR224" s="304">
        <f t="shared" si="432"/>
        <v>0</v>
      </c>
      <c r="AS224" s="304">
        <f t="shared" si="433"/>
        <v>0</v>
      </c>
      <c r="AT224" s="304">
        <f t="shared" si="434"/>
        <v>0</v>
      </c>
      <c r="AU224" s="304">
        <f t="shared" si="435"/>
        <v>0</v>
      </c>
      <c r="AV224" s="347">
        <f t="shared" si="436"/>
        <v>0</v>
      </c>
      <c r="AW224" s="340"/>
      <c r="AX224" s="303"/>
      <c r="AY224" s="303"/>
      <c r="AZ224" s="303"/>
      <c r="BA224" s="308"/>
      <c r="BB224" s="321"/>
      <c r="BC224" s="303"/>
      <c r="BD224" s="303"/>
      <c r="BE224" s="303"/>
      <c r="BF224" s="303"/>
    </row>
    <row r="225" spans="1:58" ht="25.5" customHeight="1">
      <c r="A225" s="531"/>
      <c r="B225" s="303"/>
      <c r="C225" s="26" t="s">
        <v>491</v>
      </c>
      <c r="D225" s="299"/>
      <c r="E225" s="299"/>
      <c r="F225" s="299"/>
      <c r="G225" s="299"/>
      <c r="H225" s="299"/>
      <c r="I225" s="299"/>
      <c r="J225" s="299"/>
      <c r="K225" s="299"/>
      <c r="L225" s="299"/>
      <c r="M225" s="299"/>
      <c r="N225" s="299"/>
      <c r="O225" s="299"/>
      <c r="P225" s="299"/>
      <c r="Q225" s="299"/>
      <c r="R225" s="299"/>
      <c r="S225" s="299"/>
      <c r="T225" s="299"/>
      <c r="U225" s="299"/>
      <c r="V225" s="299"/>
      <c r="W225" s="299"/>
      <c r="X225" s="299"/>
      <c r="Y225" s="360">
        <f t="shared" si="430"/>
        <v>0</v>
      </c>
      <c r="Z225" s="360">
        <f t="shared" si="430"/>
        <v>0</v>
      </c>
      <c r="AA225" s="360">
        <f t="shared" si="430"/>
        <v>0</v>
      </c>
      <c r="AB225" s="342">
        <f t="shared" si="437"/>
        <v>0</v>
      </c>
      <c r="AC225" s="304">
        <f t="shared" si="336"/>
        <v>0</v>
      </c>
      <c r="AD225" s="304">
        <f t="shared" si="337"/>
        <v>0</v>
      </c>
      <c r="AE225" s="304">
        <f t="shared" si="338"/>
        <v>0</v>
      </c>
      <c r="AF225" s="304">
        <f t="shared" si="339"/>
        <v>0</v>
      </c>
      <c r="AG225" s="304">
        <f t="shared" si="340"/>
        <v>0</v>
      </c>
      <c r="AH225" s="304"/>
      <c r="AI225" s="304"/>
      <c r="AJ225" s="303"/>
      <c r="AK225" s="299">
        <f t="shared" si="431"/>
        <v>0</v>
      </c>
      <c r="AL225" s="303"/>
      <c r="AM225" s="303"/>
      <c r="AN225" s="303"/>
      <c r="AO225" s="303"/>
      <c r="AP225" s="308"/>
      <c r="AQ225" s="303"/>
      <c r="AR225" s="304">
        <f t="shared" si="432"/>
        <v>0</v>
      </c>
      <c r="AS225" s="304">
        <f t="shared" si="433"/>
        <v>0</v>
      </c>
      <c r="AT225" s="304">
        <f t="shared" si="434"/>
        <v>0</v>
      </c>
      <c r="AU225" s="304">
        <f t="shared" si="435"/>
        <v>0</v>
      </c>
      <c r="AV225" s="347">
        <f t="shared" si="436"/>
        <v>0</v>
      </c>
      <c r="AW225" s="340"/>
      <c r="AX225" s="303"/>
      <c r="AY225" s="303"/>
      <c r="AZ225" s="303"/>
      <c r="BA225" s="308"/>
      <c r="BB225" s="321"/>
      <c r="BC225" s="303"/>
      <c r="BD225" s="303"/>
      <c r="BE225" s="303"/>
      <c r="BF225" s="303"/>
    </row>
    <row r="226" spans="1:58" ht="25.5" customHeight="1">
      <c r="A226" s="531"/>
      <c r="B226" s="303"/>
      <c r="C226" s="334" t="s">
        <v>455</v>
      </c>
      <c r="D226" s="360">
        <f>SUM(D218:D225)</f>
        <v>222780</v>
      </c>
      <c r="E226" s="360">
        <f t="shared" ref="E226:AA226" si="438">SUM(E218:E225)</f>
        <v>4260720.4440000001</v>
      </c>
      <c r="F226" s="360">
        <f t="shared" si="438"/>
        <v>0</v>
      </c>
      <c r="G226" s="360">
        <f t="shared" si="438"/>
        <v>25680</v>
      </c>
      <c r="H226" s="360">
        <f t="shared" si="438"/>
        <v>28585</v>
      </c>
      <c r="I226" s="360">
        <f t="shared" si="438"/>
        <v>0</v>
      </c>
      <c r="J226" s="360">
        <f t="shared" si="438"/>
        <v>1406249</v>
      </c>
      <c r="K226" s="360">
        <f t="shared" si="438"/>
        <v>818191.07</v>
      </c>
      <c r="L226" s="360">
        <f t="shared" si="438"/>
        <v>0</v>
      </c>
      <c r="M226" s="360">
        <f t="shared" si="438"/>
        <v>1526243</v>
      </c>
      <c r="N226" s="360">
        <f t="shared" si="438"/>
        <v>3489891.0500000003</v>
      </c>
      <c r="O226" s="360">
        <f t="shared" si="438"/>
        <v>0</v>
      </c>
      <c r="P226" s="360">
        <f t="shared" si="438"/>
        <v>8596386.2400000002</v>
      </c>
      <c r="Q226" s="360">
        <f t="shared" si="438"/>
        <v>4508079.6500000004</v>
      </c>
      <c r="R226" s="360">
        <f t="shared" si="438"/>
        <v>0</v>
      </c>
      <c r="S226" s="360">
        <f t="shared" si="438"/>
        <v>1523440</v>
      </c>
      <c r="T226" s="360">
        <f t="shared" si="438"/>
        <v>122000</v>
      </c>
      <c r="U226" s="360">
        <f t="shared" si="438"/>
        <v>0</v>
      </c>
      <c r="V226" s="360">
        <f t="shared" si="438"/>
        <v>1943531.61</v>
      </c>
      <c r="W226" s="360">
        <f t="shared" si="438"/>
        <v>338000</v>
      </c>
      <c r="X226" s="360">
        <f t="shared" si="438"/>
        <v>0</v>
      </c>
      <c r="Y226" s="360">
        <f>SUM(Y218:Y225)</f>
        <v>15244309.85</v>
      </c>
      <c r="Z226" s="360">
        <f t="shared" si="438"/>
        <v>13565467.214000002</v>
      </c>
      <c r="AA226" s="360">
        <f t="shared" si="438"/>
        <v>0</v>
      </c>
      <c r="AB226" s="342">
        <f t="shared" si="437"/>
        <v>28809777.064000003</v>
      </c>
      <c r="AC226" s="304">
        <f t="shared" si="336"/>
        <v>6647923.6100000003</v>
      </c>
      <c r="AD226" s="304">
        <f t="shared" si="337"/>
        <v>9057387.5640000012</v>
      </c>
      <c r="AE226" s="304">
        <f t="shared" si="338"/>
        <v>0</v>
      </c>
      <c r="AF226" s="304">
        <f t="shared" si="339"/>
        <v>13104465.890000001</v>
      </c>
      <c r="AG226" s="304">
        <f t="shared" si="340"/>
        <v>28809777.064000003</v>
      </c>
      <c r="AH226" s="304"/>
      <c r="AI226" s="304"/>
      <c r="AJ226" s="303"/>
      <c r="AK226" s="299">
        <f>SUM(AK218:AK225)</f>
        <v>13104465.890000001</v>
      </c>
      <c r="AL226" s="303"/>
      <c r="AM226" s="303"/>
      <c r="AN226" s="303"/>
      <c r="AO226" s="303"/>
      <c r="AP226" s="308"/>
      <c r="AQ226" s="303"/>
      <c r="AR226" s="304">
        <f>SUM(AR218:AR225)</f>
        <v>6647923.6100000003</v>
      </c>
      <c r="AS226" s="304">
        <f>SUM(AS218:AS225)</f>
        <v>9057387.5639999993</v>
      </c>
      <c r="AT226" s="304">
        <f t="shared" ref="AT226" si="439">SUM(AT218:AT225)</f>
        <v>0</v>
      </c>
      <c r="AU226" s="304">
        <f t="shared" ref="AU226" si="440">SUM(AU218:AU225)</f>
        <v>13104465.890000001</v>
      </c>
      <c r="AV226" s="347">
        <f>SUM(AR226:AU226)</f>
        <v>28809777.063999999</v>
      </c>
      <c r="AW226" s="340"/>
      <c r="AX226" s="303"/>
      <c r="AY226" s="303"/>
      <c r="AZ226" s="303"/>
      <c r="BA226" s="308"/>
      <c r="BB226" s="321"/>
      <c r="BC226" s="303"/>
      <c r="BD226" s="303"/>
      <c r="BE226" s="303"/>
      <c r="BF226" s="303"/>
    </row>
    <row r="227" spans="1:58" s="294" customFormat="1" ht="25.5" customHeight="1">
      <c r="A227" s="529" t="s">
        <v>495</v>
      </c>
      <c r="B227" s="299"/>
      <c r="C227" s="627" t="s">
        <v>469</v>
      </c>
      <c r="D227" s="627"/>
      <c r="E227" s="627"/>
      <c r="F227" s="627"/>
      <c r="G227" s="627"/>
      <c r="H227" s="627"/>
      <c r="I227" s="627"/>
      <c r="J227" s="627"/>
      <c r="K227" s="627"/>
      <c r="L227" s="627"/>
      <c r="M227" s="627"/>
      <c r="N227" s="627"/>
      <c r="O227" s="627"/>
      <c r="P227" s="627"/>
      <c r="Q227" s="627"/>
      <c r="R227" s="627"/>
      <c r="S227" s="627"/>
      <c r="T227" s="627"/>
      <c r="U227" s="627"/>
      <c r="V227" s="627"/>
      <c r="W227" s="627"/>
      <c r="X227" s="627"/>
      <c r="Y227" s="627"/>
      <c r="Z227" s="627"/>
      <c r="AA227" s="627"/>
      <c r="AB227" s="342">
        <f t="shared" si="437"/>
        <v>0</v>
      </c>
      <c r="AC227" s="304">
        <f t="shared" ref="AC227:AC266" si="441">+D227+G227+J227+M227+S227+V227</f>
        <v>0</v>
      </c>
      <c r="AD227" s="304">
        <f t="shared" ref="AD227:AD266" si="442">+E227+H227+K227+N227+T227+W227</f>
        <v>0</v>
      </c>
      <c r="AE227" s="304">
        <f t="shared" ref="AE227:AE268" si="443">+F227+I227+L227+O227+U227+X227</f>
        <v>0</v>
      </c>
      <c r="AF227" s="304">
        <f t="shared" ref="AF227:AF268" si="444">+P227+Q227</f>
        <v>0</v>
      </c>
      <c r="AG227" s="304">
        <f t="shared" ref="AG227:AG266" si="445">+AC227+AD227+AE227+AF227</f>
        <v>0</v>
      </c>
      <c r="AH227" s="304"/>
      <c r="AI227" s="304"/>
      <c r="AJ227" s="299"/>
      <c r="AK227" s="299"/>
      <c r="AL227" s="299"/>
      <c r="AM227" s="299"/>
      <c r="AN227" s="299"/>
      <c r="AO227" s="299"/>
      <c r="AP227" s="300"/>
      <c r="AQ227" s="299"/>
      <c r="AR227" s="299"/>
      <c r="AS227" s="299"/>
      <c r="AT227" s="299"/>
      <c r="AU227" s="299"/>
      <c r="AV227" s="348"/>
      <c r="AW227" s="343"/>
      <c r="AX227" s="299"/>
      <c r="AY227" s="299"/>
      <c r="AZ227" s="299"/>
      <c r="BA227" s="300"/>
      <c r="BB227" s="322"/>
      <c r="BC227" s="299"/>
      <c r="BD227" s="299"/>
      <c r="BE227" s="299"/>
      <c r="BF227" s="299"/>
    </row>
    <row r="228" spans="1:58" s="294" customFormat="1" ht="25.5" customHeight="1">
      <c r="A228" s="529"/>
      <c r="B228" s="299"/>
      <c r="C228" s="26" t="s">
        <v>484</v>
      </c>
      <c r="D228" s="299"/>
      <c r="E228" s="299"/>
      <c r="F228" s="299"/>
      <c r="G228" s="299"/>
      <c r="H228" s="299"/>
      <c r="I228" s="299"/>
      <c r="J228" s="299"/>
      <c r="K228" s="299"/>
      <c r="L228" s="299"/>
      <c r="M228" s="299"/>
      <c r="N228" s="299"/>
      <c r="O228" s="299"/>
      <c r="P228" s="299"/>
      <c r="Q228" s="299"/>
      <c r="R228" s="299"/>
      <c r="S228" s="299"/>
      <c r="T228" s="299"/>
      <c r="U228" s="299"/>
      <c r="V228" s="299"/>
      <c r="W228" s="299"/>
      <c r="X228" s="299"/>
      <c r="Y228" s="360">
        <f>D228+G228+J228+M228+P228+S228+V228</f>
        <v>0</v>
      </c>
      <c r="Z228" s="360">
        <f t="shared" ref="Z228:AA235" si="446">E228+H228+K228+N228+Q228+T228+W228</f>
        <v>0</v>
      </c>
      <c r="AA228" s="360">
        <f t="shared" si="446"/>
        <v>0</v>
      </c>
      <c r="AB228" s="342">
        <f t="shared" si="437"/>
        <v>0</v>
      </c>
      <c r="AC228" s="304">
        <f t="shared" si="441"/>
        <v>0</v>
      </c>
      <c r="AD228" s="304">
        <f t="shared" si="442"/>
        <v>0</v>
      </c>
      <c r="AE228" s="304">
        <f t="shared" si="443"/>
        <v>0</v>
      </c>
      <c r="AF228" s="304">
        <f t="shared" si="444"/>
        <v>0</v>
      </c>
      <c r="AG228" s="304">
        <f t="shared" si="445"/>
        <v>0</v>
      </c>
      <c r="AH228" s="304"/>
      <c r="AI228" s="304"/>
      <c r="AJ228" s="299"/>
      <c r="AK228" s="299">
        <f>+AF228</f>
        <v>0</v>
      </c>
      <c r="AL228" s="299"/>
      <c r="AM228" s="299"/>
      <c r="AN228" s="299"/>
      <c r="AO228" s="299"/>
      <c r="AP228" s="300"/>
      <c r="AQ228" s="299"/>
      <c r="AR228" s="304">
        <f>+AC228+AL228</f>
        <v>0</v>
      </c>
      <c r="AS228" s="304">
        <f>+AD228+AM228</f>
        <v>0</v>
      </c>
      <c r="AT228" s="304">
        <f>+AE228+AN228+AQ228</f>
        <v>0</v>
      </c>
      <c r="AU228" s="304">
        <f>+AK228+AO228</f>
        <v>0</v>
      </c>
      <c r="AV228" s="347">
        <f>SUM(AR228:AU228)</f>
        <v>0</v>
      </c>
      <c r="AW228" s="343"/>
      <c r="AX228" s="299"/>
      <c r="AY228" s="299"/>
      <c r="AZ228" s="299"/>
      <c r="BA228" s="300"/>
      <c r="BB228" s="322"/>
      <c r="BC228" s="299"/>
      <c r="BD228" s="299"/>
      <c r="BE228" s="299"/>
      <c r="BF228" s="299"/>
    </row>
    <row r="229" spans="1:58" s="294" customFormat="1" ht="25.5" customHeight="1">
      <c r="A229" s="529"/>
      <c r="B229" s="299"/>
      <c r="C229" s="26" t="s">
        <v>485</v>
      </c>
      <c r="D229" s="301">
        <v>31880</v>
      </c>
      <c r="E229" s="301">
        <v>13440</v>
      </c>
      <c r="F229" s="299"/>
      <c r="G229" s="301">
        <v>235689.77</v>
      </c>
      <c r="H229" s="301">
        <v>235729</v>
      </c>
      <c r="I229" s="299"/>
      <c r="J229" s="301">
        <v>662585.81000000006</v>
      </c>
      <c r="K229" s="299"/>
      <c r="L229" s="299"/>
      <c r="M229" s="301">
        <v>6157963.8200000003</v>
      </c>
      <c r="N229" s="301">
        <v>367138.11</v>
      </c>
      <c r="O229" s="301"/>
      <c r="P229" s="299">
        <v>13451814.210000001</v>
      </c>
      <c r="Q229" s="299">
        <v>1028200.22</v>
      </c>
      <c r="R229" s="299"/>
      <c r="S229" s="301">
        <v>26363</v>
      </c>
      <c r="T229" s="299"/>
      <c r="U229" s="299"/>
      <c r="V229" s="299">
        <v>5000</v>
      </c>
      <c r="W229" s="299">
        <v>9300</v>
      </c>
      <c r="X229" s="299"/>
      <c r="Y229" s="360">
        <f t="shared" ref="Y229:Y235" si="447">D229+G229+J229+M229+P229+S229+V229</f>
        <v>20571296.609999999</v>
      </c>
      <c r="Z229" s="360">
        <f t="shared" si="446"/>
        <v>1653807.33</v>
      </c>
      <c r="AA229" s="360">
        <f t="shared" si="446"/>
        <v>0</v>
      </c>
      <c r="AB229" s="342">
        <f t="shared" si="437"/>
        <v>22225103.939999998</v>
      </c>
      <c r="AC229" s="304">
        <f t="shared" si="441"/>
        <v>7119482.4000000004</v>
      </c>
      <c r="AD229" s="304">
        <f t="shared" si="442"/>
        <v>625607.11</v>
      </c>
      <c r="AE229" s="304">
        <f t="shared" si="443"/>
        <v>0</v>
      </c>
      <c r="AF229" s="304">
        <f t="shared" si="444"/>
        <v>14480014.430000002</v>
      </c>
      <c r="AG229" s="304">
        <f t="shared" si="445"/>
        <v>22225103.940000001</v>
      </c>
      <c r="AH229" s="304"/>
      <c r="AI229" s="304"/>
      <c r="AJ229" s="299"/>
      <c r="AK229" s="299">
        <f t="shared" ref="AK229:AK235" si="448">+AF229</f>
        <v>14480014.430000002</v>
      </c>
      <c r="AL229" s="299"/>
      <c r="AM229" s="299"/>
      <c r="AN229" s="299"/>
      <c r="AO229" s="299"/>
      <c r="AP229" s="300"/>
      <c r="AQ229" s="299"/>
      <c r="AR229" s="304">
        <f t="shared" ref="AR229:AR235" si="449">+AC229+AL229</f>
        <v>7119482.4000000004</v>
      </c>
      <c r="AS229" s="304">
        <f t="shared" ref="AS229:AS235" si="450">+AD229+AM229</f>
        <v>625607.11</v>
      </c>
      <c r="AT229" s="304">
        <f t="shared" ref="AT229:AT235" si="451">+AE229+AN229+AQ229</f>
        <v>0</v>
      </c>
      <c r="AU229" s="304">
        <f t="shared" ref="AU229:AU235" si="452">+AK229+AO229</f>
        <v>14480014.430000002</v>
      </c>
      <c r="AV229" s="347">
        <f t="shared" ref="AV229:AV235" si="453">SUM(AR229:AU229)</f>
        <v>22225103.940000001</v>
      </c>
      <c r="AW229" s="343"/>
      <c r="AX229" s="299"/>
      <c r="AY229" s="299"/>
      <c r="AZ229" s="299"/>
      <c r="BA229" s="300"/>
      <c r="BB229" s="322"/>
      <c r="BC229" s="299"/>
      <c r="BD229" s="299"/>
      <c r="BE229" s="299"/>
      <c r="BF229" s="299"/>
    </row>
    <row r="230" spans="1:58" s="294" customFormat="1" ht="25.5" customHeight="1">
      <c r="A230" s="529"/>
      <c r="B230" s="299"/>
      <c r="C230" s="332" t="s">
        <v>486</v>
      </c>
      <c r="D230" s="299"/>
      <c r="E230" s="299"/>
      <c r="F230" s="299"/>
      <c r="G230" s="299"/>
      <c r="H230" s="299"/>
      <c r="I230" s="299"/>
      <c r="J230" s="299"/>
      <c r="K230" s="299"/>
      <c r="L230" s="299"/>
      <c r="M230" s="299"/>
      <c r="N230" s="299"/>
      <c r="O230" s="299"/>
      <c r="P230" s="299"/>
      <c r="Q230" s="299"/>
      <c r="R230" s="299"/>
      <c r="S230" s="299"/>
      <c r="T230" s="299"/>
      <c r="U230" s="299"/>
      <c r="V230" s="299"/>
      <c r="W230" s="299"/>
      <c r="X230" s="299"/>
      <c r="Y230" s="360">
        <f t="shared" si="447"/>
        <v>0</v>
      </c>
      <c r="Z230" s="360">
        <f t="shared" si="446"/>
        <v>0</v>
      </c>
      <c r="AA230" s="360">
        <f t="shared" si="446"/>
        <v>0</v>
      </c>
      <c r="AB230" s="342">
        <f t="shared" si="437"/>
        <v>0</v>
      </c>
      <c r="AC230" s="304">
        <f t="shared" si="441"/>
        <v>0</v>
      </c>
      <c r="AD230" s="304">
        <f t="shared" si="442"/>
        <v>0</v>
      </c>
      <c r="AE230" s="304">
        <f t="shared" si="443"/>
        <v>0</v>
      </c>
      <c r="AF230" s="304">
        <f t="shared" si="444"/>
        <v>0</v>
      </c>
      <c r="AG230" s="304">
        <f t="shared" si="445"/>
        <v>0</v>
      </c>
      <c r="AH230" s="304"/>
      <c r="AI230" s="304"/>
      <c r="AJ230" s="299"/>
      <c r="AK230" s="299">
        <f t="shared" si="448"/>
        <v>0</v>
      </c>
      <c r="AL230" s="299"/>
      <c r="AM230" s="299"/>
      <c r="AN230" s="299"/>
      <c r="AO230" s="299"/>
      <c r="AP230" s="300"/>
      <c r="AQ230" s="299"/>
      <c r="AR230" s="304">
        <f t="shared" si="449"/>
        <v>0</v>
      </c>
      <c r="AS230" s="304">
        <f t="shared" si="450"/>
        <v>0</v>
      </c>
      <c r="AT230" s="304">
        <f t="shared" si="451"/>
        <v>0</v>
      </c>
      <c r="AU230" s="304">
        <f t="shared" si="452"/>
        <v>0</v>
      </c>
      <c r="AV230" s="347">
        <f t="shared" si="453"/>
        <v>0</v>
      </c>
      <c r="AW230" s="343"/>
      <c r="AX230" s="299"/>
      <c r="AY230" s="299"/>
      <c r="AZ230" s="299"/>
      <c r="BA230" s="300"/>
      <c r="BB230" s="322"/>
      <c r="BC230" s="299"/>
      <c r="BD230" s="299"/>
      <c r="BE230" s="299"/>
      <c r="BF230" s="299"/>
    </row>
    <row r="231" spans="1:58" s="294" customFormat="1" ht="25.5" customHeight="1">
      <c r="A231" s="529"/>
      <c r="B231" s="299"/>
      <c r="C231" s="332" t="s">
        <v>487</v>
      </c>
      <c r="D231" s="299"/>
      <c r="E231" s="299"/>
      <c r="F231" s="299"/>
      <c r="G231" s="299">
        <v>439330</v>
      </c>
      <c r="H231" s="299"/>
      <c r="I231" s="299"/>
      <c r="J231" s="299"/>
      <c r="K231" s="299"/>
      <c r="L231" s="299"/>
      <c r="M231" s="299"/>
      <c r="N231" s="299"/>
      <c r="O231" s="299"/>
      <c r="P231" s="299"/>
      <c r="Q231" s="299"/>
      <c r="R231" s="299"/>
      <c r="S231" s="299"/>
      <c r="T231" s="299"/>
      <c r="U231" s="299"/>
      <c r="V231" s="299"/>
      <c r="W231" s="299"/>
      <c r="X231" s="299"/>
      <c r="Y231" s="360">
        <f t="shared" si="447"/>
        <v>439330</v>
      </c>
      <c r="Z231" s="360">
        <f t="shared" si="446"/>
        <v>0</v>
      </c>
      <c r="AA231" s="360">
        <f t="shared" si="446"/>
        <v>0</v>
      </c>
      <c r="AB231" s="342">
        <f t="shared" si="437"/>
        <v>439330</v>
      </c>
      <c r="AC231" s="304">
        <f t="shared" si="441"/>
        <v>439330</v>
      </c>
      <c r="AD231" s="304">
        <f t="shared" si="442"/>
        <v>0</v>
      </c>
      <c r="AE231" s="304">
        <f t="shared" si="443"/>
        <v>0</v>
      </c>
      <c r="AF231" s="304">
        <f t="shared" si="444"/>
        <v>0</v>
      </c>
      <c r="AG231" s="304">
        <f t="shared" si="445"/>
        <v>439330</v>
      </c>
      <c r="AH231" s="304"/>
      <c r="AI231" s="304"/>
      <c r="AJ231" s="299"/>
      <c r="AK231" s="299">
        <f t="shared" si="448"/>
        <v>0</v>
      </c>
      <c r="AL231" s="299"/>
      <c r="AM231" s="299"/>
      <c r="AN231" s="299"/>
      <c r="AO231" s="299"/>
      <c r="AP231" s="300"/>
      <c r="AQ231" s="299"/>
      <c r="AR231" s="304">
        <f t="shared" si="449"/>
        <v>439330</v>
      </c>
      <c r="AS231" s="304">
        <f t="shared" si="450"/>
        <v>0</v>
      </c>
      <c r="AT231" s="304">
        <f t="shared" si="451"/>
        <v>0</v>
      </c>
      <c r="AU231" s="304">
        <f t="shared" si="452"/>
        <v>0</v>
      </c>
      <c r="AV231" s="347">
        <f t="shared" si="453"/>
        <v>439330</v>
      </c>
      <c r="AW231" s="343"/>
      <c r="AX231" s="299"/>
      <c r="AY231" s="299"/>
      <c r="AZ231" s="299"/>
      <c r="BA231" s="300"/>
      <c r="BB231" s="322"/>
      <c r="BC231" s="299"/>
      <c r="BD231" s="299"/>
      <c r="BE231" s="299"/>
      <c r="BF231" s="299"/>
    </row>
    <row r="232" spans="1:58" s="294" customFormat="1" ht="25.5" customHeight="1">
      <c r="A232" s="529"/>
      <c r="B232" s="299"/>
      <c r="C232" s="26" t="s">
        <v>488</v>
      </c>
      <c r="D232" s="301">
        <v>3340526</v>
      </c>
      <c r="E232" s="301">
        <v>2286794</v>
      </c>
      <c r="F232" s="299"/>
      <c r="G232" s="299"/>
      <c r="H232" s="299"/>
      <c r="I232" s="299"/>
      <c r="J232" s="299"/>
      <c r="K232" s="299"/>
      <c r="L232" s="299"/>
      <c r="M232" s="299"/>
      <c r="N232" s="299"/>
      <c r="O232" s="299"/>
      <c r="P232" s="299"/>
      <c r="Q232" s="299"/>
      <c r="R232" s="299"/>
      <c r="S232" s="299"/>
      <c r="T232" s="299"/>
      <c r="U232" s="299"/>
      <c r="V232" s="299"/>
      <c r="W232" s="299"/>
      <c r="X232" s="299"/>
      <c r="Y232" s="360">
        <f t="shared" si="447"/>
        <v>3340526</v>
      </c>
      <c r="Z232" s="360">
        <f t="shared" si="446"/>
        <v>2286794</v>
      </c>
      <c r="AA232" s="360">
        <f t="shared" si="446"/>
        <v>0</v>
      </c>
      <c r="AB232" s="342">
        <f t="shared" si="437"/>
        <v>5627320</v>
      </c>
      <c r="AC232" s="304">
        <f t="shared" si="441"/>
        <v>3340526</v>
      </c>
      <c r="AD232" s="304">
        <f t="shared" si="442"/>
        <v>2286794</v>
      </c>
      <c r="AE232" s="304">
        <f t="shared" si="443"/>
        <v>0</v>
      </c>
      <c r="AF232" s="304">
        <f t="shared" si="444"/>
        <v>0</v>
      </c>
      <c r="AG232" s="304">
        <f t="shared" si="445"/>
        <v>5627320</v>
      </c>
      <c r="AH232" s="304"/>
      <c r="AI232" s="304"/>
      <c r="AJ232" s="299"/>
      <c r="AK232" s="299">
        <f t="shared" si="448"/>
        <v>0</v>
      </c>
      <c r="AL232" s="299"/>
      <c r="AM232" s="299"/>
      <c r="AN232" s="299"/>
      <c r="AO232" s="299"/>
      <c r="AP232" s="300"/>
      <c r="AQ232" s="299"/>
      <c r="AR232" s="304">
        <f t="shared" si="449"/>
        <v>3340526</v>
      </c>
      <c r="AS232" s="304">
        <f t="shared" si="450"/>
        <v>2286794</v>
      </c>
      <c r="AT232" s="304">
        <f t="shared" si="451"/>
        <v>0</v>
      </c>
      <c r="AU232" s="304">
        <f t="shared" si="452"/>
        <v>0</v>
      </c>
      <c r="AV232" s="347">
        <f t="shared" si="453"/>
        <v>5627320</v>
      </c>
      <c r="AW232" s="343"/>
      <c r="AX232" s="299"/>
      <c r="AY232" s="299"/>
      <c r="AZ232" s="299"/>
      <c r="BA232" s="300"/>
      <c r="BB232" s="322"/>
      <c r="BC232" s="299"/>
      <c r="BD232" s="299"/>
      <c r="BE232" s="299"/>
      <c r="BF232" s="299"/>
    </row>
    <row r="233" spans="1:58" s="294" customFormat="1" ht="25.5" customHeight="1">
      <c r="A233" s="529"/>
      <c r="B233" s="299"/>
      <c r="C233" s="26" t="s">
        <v>489</v>
      </c>
      <c r="D233" s="299"/>
      <c r="E233" s="299"/>
      <c r="F233" s="299"/>
      <c r="G233" s="299"/>
      <c r="H233" s="299"/>
      <c r="I233" s="299"/>
      <c r="J233" s="299"/>
      <c r="K233" s="299"/>
      <c r="L233" s="299"/>
      <c r="M233" s="299"/>
      <c r="N233" s="299"/>
      <c r="O233" s="299"/>
      <c r="P233" s="299"/>
      <c r="Q233" s="299"/>
      <c r="R233" s="299"/>
      <c r="S233" s="299"/>
      <c r="T233" s="299"/>
      <c r="U233" s="299"/>
      <c r="V233" s="299"/>
      <c r="W233" s="299"/>
      <c r="X233" s="299"/>
      <c r="Y233" s="360">
        <f t="shared" si="447"/>
        <v>0</v>
      </c>
      <c r="Z233" s="360">
        <f t="shared" si="446"/>
        <v>0</v>
      </c>
      <c r="AA233" s="360">
        <f t="shared" si="446"/>
        <v>0</v>
      </c>
      <c r="AB233" s="342">
        <f t="shared" si="437"/>
        <v>0</v>
      </c>
      <c r="AC233" s="304">
        <f t="shared" si="441"/>
        <v>0</v>
      </c>
      <c r="AD233" s="304">
        <f t="shared" si="442"/>
        <v>0</v>
      </c>
      <c r="AE233" s="304">
        <f t="shared" si="443"/>
        <v>0</v>
      </c>
      <c r="AF233" s="304">
        <f t="shared" si="444"/>
        <v>0</v>
      </c>
      <c r="AG233" s="304">
        <f t="shared" si="445"/>
        <v>0</v>
      </c>
      <c r="AH233" s="304"/>
      <c r="AI233" s="304"/>
      <c r="AJ233" s="299"/>
      <c r="AK233" s="299">
        <f t="shared" si="448"/>
        <v>0</v>
      </c>
      <c r="AL233" s="299"/>
      <c r="AM233" s="299"/>
      <c r="AN233" s="299"/>
      <c r="AO233" s="299"/>
      <c r="AP233" s="300"/>
      <c r="AQ233" s="299"/>
      <c r="AR233" s="304">
        <f t="shared" si="449"/>
        <v>0</v>
      </c>
      <c r="AS233" s="304">
        <f t="shared" si="450"/>
        <v>0</v>
      </c>
      <c r="AT233" s="304">
        <f t="shared" si="451"/>
        <v>0</v>
      </c>
      <c r="AU233" s="304">
        <f t="shared" si="452"/>
        <v>0</v>
      </c>
      <c r="AV233" s="347">
        <f t="shared" si="453"/>
        <v>0</v>
      </c>
      <c r="AW233" s="343"/>
      <c r="AX233" s="299"/>
      <c r="AY233" s="299"/>
      <c r="AZ233" s="299"/>
      <c r="BA233" s="300"/>
      <c r="BB233" s="322"/>
      <c r="BC233" s="299"/>
      <c r="BD233" s="299"/>
      <c r="BE233" s="299"/>
      <c r="BF233" s="299"/>
    </row>
    <row r="234" spans="1:58" s="294" customFormat="1" ht="25.5" customHeight="1">
      <c r="A234" s="529"/>
      <c r="B234" s="299"/>
      <c r="C234" s="26" t="s">
        <v>490</v>
      </c>
      <c r="D234" s="299"/>
      <c r="E234" s="299"/>
      <c r="F234" s="299"/>
      <c r="G234" s="299"/>
      <c r="H234" s="299"/>
      <c r="I234" s="299"/>
      <c r="J234" s="299"/>
      <c r="K234" s="299"/>
      <c r="L234" s="299"/>
      <c r="M234" s="299"/>
      <c r="N234" s="299"/>
      <c r="O234" s="299"/>
      <c r="P234" s="299"/>
      <c r="Q234" s="299"/>
      <c r="R234" s="299"/>
      <c r="S234" s="299"/>
      <c r="T234" s="299"/>
      <c r="U234" s="299"/>
      <c r="V234" s="299"/>
      <c r="W234" s="299"/>
      <c r="X234" s="299"/>
      <c r="Y234" s="360">
        <f t="shared" si="447"/>
        <v>0</v>
      </c>
      <c r="Z234" s="360">
        <f t="shared" si="446"/>
        <v>0</v>
      </c>
      <c r="AA234" s="360">
        <f t="shared" si="446"/>
        <v>0</v>
      </c>
      <c r="AB234" s="342">
        <f t="shared" si="437"/>
        <v>0</v>
      </c>
      <c r="AC234" s="304">
        <f t="shared" si="441"/>
        <v>0</v>
      </c>
      <c r="AD234" s="304">
        <f t="shared" si="442"/>
        <v>0</v>
      </c>
      <c r="AE234" s="304">
        <f t="shared" si="443"/>
        <v>0</v>
      </c>
      <c r="AF234" s="304">
        <f t="shared" si="444"/>
        <v>0</v>
      </c>
      <c r="AG234" s="304">
        <f t="shared" si="445"/>
        <v>0</v>
      </c>
      <c r="AH234" s="304"/>
      <c r="AI234" s="304"/>
      <c r="AJ234" s="299"/>
      <c r="AK234" s="299">
        <f t="shared" si="448"/>
        <v>0</v>
      </c>
      <c r="AL234" s="299"/>
      <c r="AM234" s="299"/>
      <c r="AN234" s="299"/>
      <c r="AO234" s="299"/>
      <c r="AP234" s="300"/>
      <c r="AQ234" s="299"/>
      <c r="AR234" s="304">
        <f t="shared" si="449"/>
        <v>0</v>
      </c>
      <c r="AS234" s="304">
        <f t="shared" si="450"/>
        <v>0</v>
      </c>
      <c r="AT234" s="304">
        <f t="shared" si="451"/>
        <v>0</v>
      </c>
      <c r="AU234" s="304">
        <f t="shared" si="452"/>
        <v>0</v>
      </c>
      <c r="AV234" s="347">
        <f t="shared" si="453"/>
        <v>0</v>
      </c>
      <c r="AW234" s="343"/>
      <c r="AX234" s="299"/>
      <c r="AY234" s="299"/>
      <c r="AZ234" s="299"/>
      <c r="BA234" s="300"/>
      <c r="BB234" s="322"/>
      <c r="BC234" s="299"/>
      <c r="BD234" s="299"/>
      <c r="BE234" s="299"/>
      <c r="BF234" s="299"/>
    </row>
    <row r="235" spans="1:58" s="294" customFormat="1" ht="25.5" customHeight="1">
      <c r="A235" s="529"/>
      <c r="B235" s="299"/>
      <c r="C235" s="26" t="s">
        <v>491</v>
      </c>
      <c r="D235" s="299"/>
      <c r="E235" s="299"/>
      <c r="F235" s="299"/>
      <c r="G235" s="299"/>
      <c r="H235" s="299"/>
      <c r="I235" s="299"/>
      <c r="J235" s="299"/>
      <c r="K235" s="299"/>
      <c r="L235" s="299"/>
      <c r="M235" s="299"/>
      <c r="N235" s="299"/>
      <c r="O235" s="299"/>
      <c r="P235" s="299"/>
      <c r="Q235" s="299"/>
      <c r="R235" s="299"/>
      <c r="S235" s="299"/>
      <c r="T235" s="299"/>
      <c r="U235" s="299"/>
      <c r="V235" s="299"/>
      <c r="W235" s="299"/>
      <c r="X235" s="299"/>
      <c r="Y235" s="360">
        <f t="shared" si="447"/>
        <v>0</v>
      </c>
      <c r="Z235" s="360">
        <f t="shared" si="446"/>
        <v>0</v>
      </c>
      <c r="AA235" s="360">
        <f t="shared" si="446"/>
        <v>0</v>
      </c>
      <c r="AB235" s="342">
        <f t="shared" si="437"/>
        <v>0</v>
      </c>
      <c r="AC235" s="304">
        <f t="shared" si="441"/>
        <v>0</v>
      </c>
      <c r="AD235" s="304">
        <f t="shared" si="442"/>
        <v>0</v>
      </c>
      <c r="AE235" s="304">
        <f t="shared" si="443"/>
        <v>0</v>
      </c>
      <c r="AF235" s="304">
        <f t="shared" si="444"/>
        <v>0</v>
      </c>
      <c r="AG235" s="304">
        <f t="shared" si="445"/>
        <v>0</v>
      </c>
      <c r="AH235" s="304"/>
      <c r="AI235" s="304"/>
      <c r="AJ235" s="299"/>
      <c r="AK235" s="299">
        <f t="shared" si="448"/>
        <v>0</v>
      </c>
      <c r="AL235" s="299"/>
      <c r="AM235" s="299"/>
      <c r="AN235" s="299"/>
      <c r="AO235" s="299"/>
      <c r="AP235" s="300"/>
      <c r="AQ235" s="299"/>
      <c r="AR235" s="304">
        <f t="shared" si="449"/>
        <v>0</v>
      </c>
      <c r="AS235" s="304">
        <f t="shared" si="450"/>
        <v>0</v>
      </c>
      <c r="AT235" s="304">
        <f t="shared" si="451"/>
        <v>0</v>
      </c>
      <c r="AU235" s="304">
        <f t="shared" si="452"/>
        <v>0</v>
      </c>
      <c r="AV235" s="347">
        <f t="shared" si="453"/>
        <v>0</v>
      </c>
      <c r="AW235" s="343"/>
      <c r="AX235" s="299"/>
      <c r="AY235" s="299"/>
      <c r="AZ235" s="299"/>
      <c r="BA235" s="300"/>
      <c r="BB235" s="322"/>
      <c r="BC235" s="299"/>
      <c r="BD235" s="299"/>
      <c r="BE235" s="299"/>
      <c r="BF235" s="299"/>
    </row>
    <row r="236" spans="1:58" s="294" customFormat="1" ht="25.5" customHeight="1">
      <c r="A236" s="529"/>
      <c r="B236" s="299"/>
      <c r="C236" s="338" t="s">
        <v>455</v>
      </c>
      <c r="D236" s="299">
        <f>SUM(D228:D235)</f>
        <v>3372406</v>
      </c>
      <c r="E236" s="299">
        <f t="shared" ref="E236:AA236" si="454">SUM(E228:E235)</f>
        <v>2300234</v>
      </c>
      <c r="F236" s="299">
        <f t="shared" si="454"/>
        <v>0</v>
      </c>
      <c r="G236" s="299">
        <f t="shared" si="454"/>
        <v>675019.77</v>
      </c>
      <c r="H236" s="299">
        <f t="shared" si="454"/>
        <v>235729</v>
      </c>
      <c r="I236" s="299">
        <f t="shared" si="454"/>
        <v>0</v>
      </c>
      <c r="J236" s="299">
        <f t="shared" si="454"/>
        <v>662585.81000000006</v>
      </c>
      <c r="K236" s="299">
        <f t="shared" si="454"/>
        <v>0</v>
      </c>
      <c r="L236" s="299">
        <f t="shared" si="454"/>
        <v>0</v>
      </c>
      <c r="M236" s="299">
        <f t="shared" si="454"/>
        <v>6157963.8200000003</v>
      </c>
      <c r="N236" s="299">
        <f t="shared" si="454"/>
        <v>367138.11</v>
      </c>
      <c r="O236" s="299">
        <f t="shared" si="454"/>
        <v>0</v>
      </c>
      <c r="P236" s="299">
        <f t="shared" si="454"/>
        <v>13451814.210000001</v>
      </c>
      <c r="Q236" s="299">
        <f t="shared" si="454"/>
        <v>1028200.22</v>
      </c>
      <c r="R236" s="299">
        <f t="shared" si="454"/>
        <v>0</v>
      </c>
      <c r="S236" s="299">
        <f t="shared" si="454"/>
        <v>26363</v>
      </c>
      <c r="T236" s="299">
        <f t="shared" si="454"/>
        <v>0</v>
      </c>
      <c r="U236" s="299">
        <f t="shared" si="454"/>
        <v>0</v>
      </c>
      <c r="V236" s="299">
        <f t="shared" si="454"/>
        <v>5000</v>
      </c>
      <c r="W236" s="299">
        <f t="shared" si="454"/>
        <v>9300</v>
      </c>
      <c r="X236" s="299">
        <f t="shared" si="454"/>
        <v>0</v>
      </c>
      <c r="Y236" s="299">
        <f t="shared" si="454"/>
        <v>24351152.609999999</v>
      </c>
      <c r="Z236" s="299">
        <f t="shared" si="454"/>
        <v>3940601.33</v>
      </c>
      <c r="AA236" s="299">
        <f t="shared" si="454"/>
        <v>0</v>
      </c>
      <c r="AB236" s="342">
        <f t="shared" si="437"/>
        <v>28291753.939999998</v>
      </c>
      <c r="AC236" s="304">
        <f t="shared" si="441"/>
        <v>10899338.4</v>
      </c>
      <c r="AD236" s="304">
        <f t="shared" si="442"/>
        <v>2912401.11</v>
      </c>
      <c r="AE236" s="304">
        <f t="shared" si="443"/>
        <v>0</v>
      </c>
      <c r="AF236" s="304">
        <f t="shared" si="444"/>
        <v>14480014.430000002</v>
      </c>
      <c r="AG236" s="304">
        <f t="shared" si="445"/>
        <v>28291753.940000001</v>
      </c>
      <c r="AH236" s="304"/>
      <c r="AI236" s="304"/>
      <c r="AJ236" s="299"/>
      <c r="AK236" s="299">
        <f>SUM(AK228:AK235)</f>
        <v>14480014.430000002</v>
      </c>
      <c r="AL236" s="299"/>
      <c r="AM236" s="299"/>
      <c r="AN236" s="299"/>
      <c r="AO236" s="299"/>
      <c r="AP236" s="300"/>
      <c r="AQ236" s="299"/>
      <c r="AR236" s="304">
        <f>SUM(AR228:AR235)</f>
        <v>10899338.4</v>
      </c>
      <c r="AS236" s="304">
        <f>SUM(AS228:AS235)</f>
        <v>2912401.11</v>
      </c>
      <c r="AT236" s="304">
        <f t="shared" ref="AT236" si="455">SUM(AT228:AT235)</f>
        <v>0</v>
      </c>
      <c r="AU236" s="304">
        <f t="shared" ref="AU236" si="456">SUM(AU228:AU235)</f>
        <v>14480014.430000002</v>
      </c>
      <c r="AV236" s="347">
        <f>SUM(AR236:AU236)</f>
        <v>28291753.940000001</v>
      </c>
      <c r="AW236" s="343"/>
      <c r="AX236" s="299"/>
      <c r="AY236" s="299"/>
      <c r="AZ236" s="299"/>
      <c r="BA236" s="300"/>
      <c r="BB236" s="322"/>
      <c r="BC236" s="299"/>
      <c r="BD236" s="299"/>
      <c r="BE236" s="299"/>
      <c r="BF236" s="299"/>
    </row>
    <row r="237" spans="1:58" ht="25.5" customHeight="1">
      <c r="A237" s="530" t="s">
        <v>470</v>
      </c>
      <c r="B237" s="297"/>
      <c r="C237" s="626" t="s">
        <v>198</v>
      </c>
      <c r="D237" s="626"/>
      <c r="E237" s="626"/>
      <c r="F237" s="626"/>
      <c r="G237" s="626"/>
      <c r="H237" s="626"/>
      <c r="I237" s="626"/>
      <c r="J237" s="626"/>
      <c r="K237" s="626"/>
      <c r="L237" s="626"/>
      <c r="M237" s="626"/>
      <c r="N237" s="626"/>
      <c r="O237" s="626"/>
      <c r="P237" s="626"/>
      <c r="Q237" s="626"/>
      <c r="R237" s="626"/>
      <c r="S237" s="626"/>
      <c r="T237" s="626"/>
      <c r="U237" s="626"/>
      <c r="V237" s="626"/>
      <c r="W237" s="626"/>
      <c r="X237" s="626"/>
      <c r="Y237" s="626"/>
      <c r="Z237" s="626"/>
      <c r="AA237" s="626"/>
      <c r="AB237" s="342">
        <f t="shared" si="437"/>
        <v>0</v>
      </c>
      <c r="AC237" s="304">
        <f t="shared" si="441"/>
        <v>0</v>
      </c>
      <c r="AD237" s="304">
        <f t="shared" si="442"/>
        <v>0</v>
      </c>
      <c r="AE237" s="304">
        <f t="shared" si="443"/>
        <v>0</v>
      </c>
      <c r="AF237" s="304">
        <f t="shared" si="444"/>
        <v>0</v>
      </c>
      <c r="AG237" s="304">
        <f t="shared" si="445"/>
        <v>0</v>
      </c>
      <c r="AH237" s="304"/>
      <c r="AI237" s="304"/>
      <c r="AJ237" s="303"/>
      <c r="AK237" s="303"/>
      <c r="AL237" s="303"/>
      <c r="AM237" s="303"/>
      <c r="AN237" s="303"/>
      <c r="AO237" s="303"/>
      <c r="AP237" s="308"/>
      <c r="AQ237" s="303"/>
      <c r="AR237" s="303"/>
      <c r="AS237" s="303"/>
      <c r="AT237" s="303"/>
      <c r="AU237" s="303"/>
      <c r="AV237" s="346"/>
      <c r="AW237" s="340"/>
      <c r="AX237" s="303"/>
      <c r="AY237" s="303"/>
      <c r="AZ237" s="303"/>
      <c r="BA237" s="308"/>
      <c r="BB237" s="321"/>
      <c r="BC237" s="303"/>
      <c r="BD237" s="303"/>
      <c r="BE237" s="303"/>
      <c r="BF237" s="303"/>
    </row>
    <row r="238" spans="1:58" ht="25.5" customHeight="1">
      <c r="A238" s="530"/>
      <c r="B238" s="297"/>
      <c r="C238" s="26" t="s">
        <v>484</v>
      </c>
      <c r="D238" s="299"/>
      <c r="E238" s="299"/>
      <c r="F238" s="299"/>
      <c r="G238" s="299"/>
      <c r="H238" s="299"/>
      <c r="I238" s="299"/>
      <c r="J238" s="299"/>
      <c r="K238" s="299">
        <v>72684</v>
      </c>
      <c r="L238" s="299"/>
      <c r="M238" s="299">
        <v>312875.05</v>
      </c>
      <c r="N238" s="299">
        <v>315176.75</v>
      </c>
      <c r="O238" s="299"/>
      <c r="P238" s="299"/>
      <c r="Q238" s="299"/>
      <c r="R238" s="299"/>
      <c r="S238" s="299"/>
      <c r="T238" s="299"/>
      <c r="U238" s="299"/>
      <c r="V238" s="299"/>
      <c r="W238" s="299"/>
      <c r="X238" s="299"/>
      <c r="Y238" s="299">
        <f>D238+G238+J238+M238+P238+S238+V238</f>
        <v>312875.05</v>
      </c>
      <c r="Z238" s="299">
        <f>E238+H238+K238+N238+Q238+T238+W238</f>
        <v>387860.75</v>
      </c>
      <c r="AA238" s="299">
        <f>F238+I238+L238+O238+R238+U238+X238</f>
        <v>0</v>
      </c>
      <c r="AB238" s="342">
        <f t="shared" si="437"/>
        <v>700735.8</v>
      </c>
      <c r="AC238" s="304">
        <f t="shared" si="441"/>
        <v>312875.05</v>
      </c>
      <c r="AD238" s="304">
        <f t="shared" si="442"/>
        <v>387860.75</v>
      </c>
      <c r="AE238" s="304">
        <f t="shared" si="443"/>
        <v>0</v>
      </c>
      <c r="AF238" s="304">
        <f t="shared" si="444"/>
        <v>0</v>
      </c>
      <c r="AG238" s="304">
        <f t="shared" si="445"/>
        <v>700735.8</v>
      </c>
      <c r="AH238" s="304"/>
      <c r="AI238" s="304"/>
      <c r="AJ238" s="303"/>
      <c r="AK238" s="299">
        <f>+AF238</f>
        <v>0</v>
      </c>
      <c r="AL238" s="303"/>
      <c r="AM238" s="303"/>
      <c r="AN238" s="303"/>
      <c r="AO238" s="303"/>
      <c r="AP238" s="308"/>
      <c r="AQ238" s="303"/>
      <c r="AR238" s="304">
        <f>+AC238+AL238</f>
        <v>312875.05</v>
      </c>
      <c r="AS238" s="304">
        <f>+AD238+AM238</f>
        <v>387860.75</v>
      </c>
      <c r="AT238" s="304">
        <f>+AE238+AN238+AQ238</f>
        <v>0</v>
      </c>
      <c r="AU238" s="304">
        <f>+AK238+AO238</f>
        <v>0</v>
      </c>
      <c r="AV238" s="347">
        <f>SUM(AR238:AU238)</f>
        <v>700735.8</v>
      </c>
      <c r="AW238" s="340"/>
      <c r="AX238" s="303"/>
      <c r="AY238" s="303"/>
      <c r="AZ238" s="303"/>
      <c r="BA238" s="308"/>
      <c r="BB238" s="321"/>
      <c r="BC238" s="303"/>
      <c r="BD238" s="303"/>
      <c r="BE238" s="303"/>
      <c r="BF238" s="303"/>
    </row>
    <row r="239" spans="1:58" ht="25.5" customHeight="1">
      <c r="A239" s="530"/>
      <c r="B239" s="297"/>
      <c r="C239" s="26" t="s">
        <v>485</v>
      </c>
      <c r="D239" s="299">
        <v>59350</v>
      </c>
      <c r="E239" s="299"/>
      <c r="F239" s="299"/>
      <c r="G239" s="299">
        <v>4122</v>
      </c>
      <c r="H239" s="299"/>
      <c r="I239" s="299"/>
      <c r="J239" s="299">
        <v>394745.7</v>
      </c>
      <c r="K239" s="299">
        <v>147231.04000000001</v>
      </c>
      <c r="L239" s="299"/>
      <c r="M239" s="299">
        <v>8729730.4499999993</v>
      </c>
      <c r="N239" s="299">
        <v>912908.17</v>
      </c>
      <c r="O239" s="299"/>
      <c r="P239" s="299">
        <v>16523832.550000001</v>
      </c>
      <c r="Q239" s="299">
        <v>3184833.76</v>
      </c>
      <c r="R239" s="299"/>
      <c r="S239" s="299"/>
      <c r="T239" s="299"/>
      <c r="U239" s="299"/>
      <c r="V239" s="299"/>
      <c r="W239" s="299">
        <v>12050000</v>
      </c>
      <c r="X239" s="299"/>
      <c r="Y239" s="299">
        <f t="shared" ref="Y239:AA245" si="457">D239+G239+J239+M239+P239+S239+V239</f>
        <v>25711780.699999999</v>
      </c>
      <c r="Z239" s="299">
        <f t="shared" si="457"/>
        <v>16294972.969999999</v>
      </c>
      <c r="AA239" s="299">
        <f t="shared" si="457"/>
        <v>0</v>
      </c>
      <c r="AB239" s="342">
        <f t="shared" si="437"/>
        <v>42006753.670000002</v>
      </c>
      <c r="AC239" s="304">
        <f t="shared" si="441"/>
        <v>9187948.1499999985</v>
      </c>
      <c r="AD239" s="304">
        <f t="shared" si="442"/>
        <v>13110139.210000001</v>
      </c>
      <c r="AE239" s="304">
        <f t="shared" si="443"/>
        <v>0</v>
      </c>
      <c r="AF239" s="304">
        <f t="shared" si="444"/>
        <v>19708666.310000002</v>
      </c>
      <c r="AG239" s="304">
        <f t="shared" si="445"/>
        <v>42006753.670000002</v>
      </c>
      <c r="AH239" s="304"/>
      <c r="AI239" s="304"/>
      <c r="AJ239" s="303"/>
      <c r="AK239" s="299">
        <f t="shared" ref="AK239:AK245" si="458">+AF239</f>
        <v>19708666.310000002</v>
      </c>
      <c r="AL239" s="303"/>
      <c r="AM239" s="303"/>
      <c r="AN239" s="303"/>
      <c r="AO239" s="303"/>
      <c r="AP239" s="308"/>
      <c r="AQ239" s="303"/>
      <c r="AR239" s="304">
        <f t="shared" ref="AR239:AR245" si="459">+AC239+AL239</f>
        <v>9187948.1499999985</v>
      </c>
      <c r="AS239" s="304">
        <f t="shared" ref="AS239:AS245" si="460">+AD239+AM239</f>
        <v>13110139.210000001</v>
      </c>
      <c r="AT239" s="304">
        <f t="shared" ref="AT239:AT245" si="461">+AE239+AN239+AQ239</f>
        <v>0</v>
      </c>
      <c r="AU239" s="304">
        <f t="shared" ref="AU239:AU245" si="462">+AK239+AO239</f>
        <v>19708666.310000002</v>
      </c>
      <c r="AV239" s="347">
        <f t="shared" ref="AV239:AV245" si="463">SUM(AR239:AU239)</f>
        <v>42006753.670000002</v>
      </c>
      <c r="AW239" s="340"/>
      <c r="AX239" s="303"/>
      <c r="AY239" s="303"/>
      <c r="AZ239" s="303"/>
      <c r="BA239" s="308"/>
      <c r="BB239" s="321"/>
      <c r="BC239" s="303"/>
      <c r="BD239" s="303"/>
      <c r="BE239" s="303"/>
      <c r="BF239" s="303"/>
    </row>
    <row r="240" spans="1:58" ht="25.5" customHeight="1">
      <c r="A240" s="530"/>
      <c r="B240" s="297"/>
      <c r="C240" s="332" t="s">
        <v>486</v>
      </c>
      <c r="D240" s="299"/>
      <c r="E240" s="299"/>
      <c r="F240" s="299"/>
      <c r="G240" s="299"/>
      <c r="H240" s="299"/>
      <c r="I240" s="299"/>
      <c r="J240" s="299"/>
      <c r="K240" s="299"/>
      <c r="L240" s="299"/>
      <c r="M240" s="299"/>
      <c r="N240" s="299"/>
      <c r="O240" s="299"/>
      <c r="P240" s="299"/>
      <c r="Q240" s="299"/>
      <c r="R240" s="299"/>
      <c r="S240" s="299"/>
      <c r="T240" s="299"/>
      <c r="U240" s="299"/>
      <c r="V240" s="299"/>
      <c r="W240" s="299"/>
      <c r="X240" s="299"/>
      <c r="Y240" s="299">
        <f t="shared" si="457"/>
        <v>0</v>
      </c>
      <c r="Z240" s="299">
        <f t="shared" si="457"/>
        <v>0</v>
      </c>
      <c r="AA240" s="299">
        <f t="shared" si="457"/>
        <v>0</v>
      </c>
      <c r="AB240" s="342">
        <f t="shared" si="437"/>
        <v>0</v>
      </c>
      <c r="AC240" s="304">
        <f t="shared" si="441"/>
        <v>0</v>
      </c>
      <c r="AD240" s="304">
        <f t="shared" si="442"/>
        <v>0</v>
      </c>
      <c r="AE240" s="304">
        <f t="shared" si="443"/>
        <v>0</v>
      </c>
      <c r="AF240" s="304">
        <f t="shared" si="444"/>
        <v>0</v>
      </c>
      <c r="AG240" s="304">
        <f t="shared" si="445"/>
        <v>0</v>
      </c>
      <c r="AH240" s="304"/>
      <c r="AI240" s="304"/>
      <c r="AJ240" s="303"/>
      <c r="AK240" s="299">
        <f t="shared" si="458"/>
        <v>0</v>
      </c>
      <c r="AL240" s="303"/>
      <c r="AM240" s="303"/>
      <c r="AN240" s="303"/>
      <c r="AO240" s="303"/>
      <c r="AP240" s="308"/>
      <c r="AQ240" s="303"/>
      <c r="AR240" s="304">
        <f t="shared" si="459"/>
        <v>0</v>
      </c>
      <c r="AS240" s="304">
        <f t="shared" si="460"/>
        <v>0</v>
      </c>
      <c r="AT240" s="304">
        <f t="shared" si="461"/>
        <v>0</v>
      </c>
      <c r="AU240" s="304">
        <f t="shared" si="462"/>
        <v>0</v>
      </c>
      <c r="AV240" s="347">
        <f t="shared" si="463"/>
        <v>0</v>
      </c>
      <c r="AW240" s="340"/>
      <c r="AX240" s="303"/>
      <c r="AY240" s="303"/>
      <c r="AZ240" s="303"/>
      <c r="BA240" s="308"/>
      <c r="BB240" s="321"/>
      <c r="BC240" s="303"/>
      <c r="BD240" s="303"/>
      <c r="BE240" s="303"/>
      <c r="BF240" s="303"/>
    </row>
    <row r="241" spans="1:58" ht="25.5" customHeight="1">
      <c r="A241" s="530"/>
      <c r="B241" s="297"/>
      <c r="C241" s="332" t="s">
        <v>487</v>
      </c>
      <c r="D241" s="299"/>
      <c r="E241" s="299"/>
      <c r="F241" s="299"/>
      <c r="G241" s="299"/>
      <c r="H241" s="299"/>
      <c r="I241" s="299"/>
      <c r="J241" s="299"/>
      <c r="K241" s="299"/>
      <c r="L241" s="299"/>
      <c r="M241" s="299">
        <v>382890</v>
      </c>
      <c r="N241" s="299"/>
      <c r="O241" s="299"/>
      <c r="P241" s="299"/>
      <c r="Q241" s="299"/>
      <c r="R241" s="299"/>
      <c r="S241" s="299"/>
      <c r="T241" s="299"/>
      <c r="U241" s="299"/>
      <c r="V241" s="299"/>
      <c r="W241" s="299"/>
      <c r="X241" s="299"/>
      <c r="Y241" s="299">
        <f t="shared" si="457"/>
        <v>382890</v>
      </c>
      <c r="Z241" s="299">
        <f t="shared" si="457"/>
        <v>0</v>
      </c>
      <c r="AA241" s="299">
        <f t="shared" si="457"/>
        <v>0</v>
      </c>
      <c r="AB241" s="342">
        <f t="shared" si="437"/>
        <v>382890</v>
      </c>
      <c r="AC241" s="304">
        <f t="shared" si="441"/>
        <v>382890</v>
      </c>
      <c r="AD241" s="304">
        <f t="shared" si="442"/>
        <v>0</v>
      </c>
      <c r="AE241" s="304">
        <f t="shared" si="443"/>
        <v>0</v>
      </c>
      <c r="AF241" s="304">
        <f t="shared" si="444"/>
        <v>0</v>
      </c>
      <c r="AG241" s="304">
        <f t="shared" si="445"/>
        <v>382890</v>
      </c>
      <c r="AH241" s="304"/>
      <c r="AI241" s="304"/>
      <c r="AJ241" s="303"/>
      <c r="AK241" s="299">
        <f t="shared" si="458"/>
        <v>0</v>
      </c>
      <c r="AL241" s="303"/>
      <c r="AM241" s="303"/>
      <c r="AN241" s="303"/>
      <c r="AO241" s="303"/>
      <c r="AP241" s="308"/>
      <c r="AQ241" s="303"/>
      <c r="AR241" s="304">
        <f t="shared" si="459"/>
        <v>382890</v>
      </c>
      <c r="AS241" s="304">
        <f t="shared" si="460"/>
        <v>0</v>
      </c>
      <c r="AT241" s="304">
        <f t="shared" si="461"/>
        <v>0</v>
      </c>
      <c r="AU241" s="304">
        <f t="shared" si="462"/>
        <v>0</v>
      </c>
      <c r="AV241" s="347">
        <f t="shared" si="463"/>
        <v>382890</v>
      </c>
      <c r="AW241" s="340"/>
      <c r="AX241" s="303"/>
      <c r="AY241" s="303"/>
      <c r="AZ241" s="303"/>
      <c r="BA241" s="308"/>
      <c r="BB241" s="321"/>
      <c r="BC241" s="303"/>
      <c r="BD241" s="303"/>
      <c r="BE241" s="303"/>
      <c r="BF241" s="303"/>
    </row>
    <row r="242" spans="1:58" ht="25.5" customHeight="1">
      <c r="A242" s="530"/>
      <c r="B242" s="297"/>
      <c r="C242" s="26" t="s">
        <v>488</v>
      </c>
      <c r="D242" s="299">
        <v>5156520</v>
      </c>
      <c r="E242" s="299">
        <v>5419009.9199999999</v>
      </c>
      <c r="F242" s="299">
        <v>75110</v>
      </c>
      <c r="G242" s="299"/>
      <c r="H242" s="299"/>
      <c r="I242" s="299"/>
      <c r="J242" s="299"/>
      <c r="K242" s="299"/>
      <c r="L242" s="299"/>
      <c r="M242" s="299"/>
      <c r="N242" s="299"/>
      <c r="O242" s="299"/>
      <c r="P242" s="299"/>
      <c r="Q242" s="299"/>
      <c r="R242" s="299"/>
      <c r="S242" s="299"/>
      <c r="T242" s="299"/>
      <c r="U242" s="299"/>
      <c r="V242" s="299"/>
      <c r="W242" s="299"/>
      <c r="X242" s="299"/>
      <c r="Y242" s="299">
        <f t="shared" si="457"/>
        <v>5156520</v>
      </c>
      <c r="Z242" s="299">
        <f t="shared" si="457"/>
        <v>5419009.9199999999</v>
      </c>
      <c r="AA242" s="299">
        <f t="shared" si="457"/>
        <v>75110</v>
      </c>
      <c r="AB242" s="342">
        <f t="shared" si="437"/>
        <v>10650639.92</v>
      </c>
      <c r="AC242" s="304">
        <f t="shared" si="441"/>
        <v>5156520</v>
      </c>
      <c r="AD242" s="304">
        <f t="shared" si="442"/>
        <v>5419009.9199999999</v>
      </c>
      <c r="AE242" s="304">
        <f t="shared" si="443"/>
        <v>75110</v>
      </c>
      <c r="AF242" s="304">
        <f t="shared" si="444"/>
        <v>0</v>
      </c>
      <c r="AG242" s="304">
        <f t="shared" si="445"/>
        <v>10650639.92</v>
      </c>
      <c r="AH242" s="304"/>
      <c r="AI242" s="304"/>
      <c r="AJ242" s="303"/>
      <c r="AK242" s="299">
        <f t="shared" si="458"/>
        <v>0</v>
      </c>
      <c r="AL242" s="303"/>
      <c r="AM242" s="303"/>
      <c r="AN242" s="303"/>
      <c r="AO242" s="303"/>
      <c r="AP242" s="308"/>
      <c r="AQ242" s="303"/>
      <c r="AR242" s="304">
        <f t="shared" si="459"/>
        <v>5156520</v>
      </c>
      <c r="AS242" s="304">
        <f t="shared" si="460"/>
        <v>5419009.9199999999</v>
      </c>
      <c r="AT242" s="304">
        <f t="shared" si="461"/>
        <v>75110</v>
      </c>
      <c r="AU242" s="304">
        <f t="shared" si="462"/>
        <v>0</v>
      </c>
      <c r="AV242" s="347">
        <f t="shared" si="463"/>
        <v>10650639.92</v>
      </c>
      <c r="AW242" s="340"/>
      <c r="AX242" s="303"/>
      <c r="AY242" s="303"/>
      <c r="AZ242" s="303"/>
      <c r="BA242" s="308"/>
      <c r="BB242" s="321"/>
      <c r="BC242" s="303"/>
      <c r="BD242" s="303"/>
      <c r="BE242" s="303"/>
      <c r="BF242" s="303"/>
    </row>
    <row r="243" spans="1:58" ht="25.5" customHeight="1">
      <c r="A243" s="530"/>
      <c r="B243" s="297"/>
      <c r="C243" s="26" t="s">
        <v>489</v>
      </c>
      <c r="D243" s="299"/>
      <c r="E243" s="299"/>
      <c r="F243" s="299"/>
      <c r="G243" s="299"/>
      <c r="H243" s="299"/>
      <c r="I243" s="299"/>
      <c r="J243" s="299"/>
      <c r="K243" s="299"/>
      <c r="L243" s="299"/>
      <c r="M243" s="299"/>
      <c r="N243" s="299"/>
      <c r="O243" s="299"/>
      <c r="P243" s="299"/>
      <c r="Q243" s="299"/>
      <c r="R243" s="299"/>
      <c r="S243" s="299"/>
      <c r="T243" s="299"/>
      <c r="U243" s="299"/>
      <c r="V243" s="299"/>
      <c r="W243" s="299"/>
      <c r="X243" s="299"/>
      <c r="Y243" s="299">
        <f t="shared" si="457"/>
        <v>0</v>
      </c>
      <c r="Z243" s="299">
        <f t="shared" si="457"/>
        <v>0</v>
      </c>
      <c r="AA243" s="299">
        <f t="shared" si="457"/>
        <v>0</v>
      </c>
      <c r="AB243" s="342">
        <f t="shared" si="437"/>
        <v>0</v>
      </c>
      <c r="AC243" s="304">
        <f t="shared" si="441"/>
        <v>0</v>
      </c>
      <c r="AD243" s="304">
        <f t="shared" si="442"/>
        <v>0</v>
      </c>
      <c r="AE243" s="304">
        <f t="shared" si="443"/>
        <v>0</v>
      </c>
      <c r="AF243" s="304">
        <f t="shared" si="444"/>
        <v>0</v>
      </c>
      <c r="AG243" s="304">
        <f t="shared" si="445"/>
        <v>0</v>
      </c>
      <c r="AH243" s="304"/>
      <c r="AI243" s="304"/>
      <c r="AJ243" s="303"/>
      <c r="AK243" s="299">
        <f t="shared" si="458"/>
        <v>0</v>
      </c>
      <c r="AL243" s="303"/>
      <c r="AM243" s="303"/>
      <c r="AN243" s="303"/>
      <c r="AO243" s="303"/>
      <c r="AP243" s="308"/>
      <c r="AQ243" s="303"/>
      <c r="AR243" s="304">
        <f t="shared" si="459"/>
        <v>0</v>
      </c>
      <c r="AS243" s="304">
        <f t="shared" si="460"/>
        <v>0</v>
      </c>
      <c r="AT243" s="304">
        <f t="shared" si="461"/>
        <v>0</v>
      </c>
      <c r="AU243" s="304">
        <f t="shared" si="462"/>
        <v>0</v>
      </c>
      <c r="AV243" s="347">
        <f t="shared" si="463"/>
        <v>0</v>
      </c>
      <c r="AW243" s="340"/>
      <c r="AX243" s="303"/>
      <c r="AY243" s="303"/>
      <c r="AZ243" s="303"/>
      <c r="BA243" s="308"/>
      <c r="BB243" s="321"/>
      <c r="BC243" s="303"/>
      <c r="BD243" s="303"/>
      <c r="BE243" s="303"/>
      <c r="BF243" s="303"/>
    </row>
    <row r="244" spans="1:58" ht="25.5" customHeight="1">
      <c r="A244" s="530"/>
      <c r="B244" s="297"/>
      <c r="C244" s="26" t="s">
        <v>490</v>
      </c>
      <c r="D244" s="299"/>
      <c r="E244" s="299"/>
      <c r="F244" s="299"/>
      <c r="G244" s="299"/>
      <c r="H244" s="299"/>
      <c r="I244" s="299"/>
      <c r="J244" s="299"/>
      <c r="K244" s="299"/>
      <c r="L244" s="299"/>
      <c r="M244" s="299"/>
      <c r="N244" s="299"/>
      <c r="O244" s="299"/>
      <c r="P244" s="299"/>
      <c r="Q244" s="299"/>
      <c r="R244" s="299"/>
      <c r="S244" s="299"/>
      <c r="T244" s="299"/>
      <c r="U244" s="299"/>
      <c r="V244" s="299"/>
      <c r="W244" s="299"/>
      <c r="X244" s="299"/>
      <c r="Y244" s="299">
        <f t="shared" si="457"/>
        <v>0</v>
      </c>
      <c r="Z244" s="299">
        <f t="shared" si="457"/>
        <v>0</v>
      </c>
      <c r="AA244" s="299">
        <f t="shared" si="457"/>
        <v>0</v>
      </c>
      <c r="AB244" s="342">
        <f t="shared" si="437"/>
        <v>0</v>
      </c>
      <c r="AC244" s="304">
        <f t="shared" si="441"/>
        <v>0</v>
      </c>
      <c r="AD244" s="304">
        <f t="shared" si="442"/>
        <v>0</v>
      </c>
      <c r="AE244" s="304">
        <f t="shared" si="443"/>
        <v>0</v>
      </c>
      <c r="AF244" s="304">
        <f t="shared" si="444"/>
        <v>0</v>
      </c>
      <c r="AG244" s="304">
        <f t="shared" si="445"/>
        <v>0</v>
      </c>
      <c r="AH244" s="304"/>
      <c r="AI244" s="304"/>
      <c r="AJ244" s="303"/>
      <c r="AK244" s="299">
        <f t="shared" si="458"/>
        <v>0</v>
      </c>
      <c r="AL244" s="303"/>
      <c r="AM244" s="303"/>
      <c r="AN244" s="303"/>
      <c r="AO244" s="303"/>
      <c r="AP244" s="308"/>
      <c r="AQ244" s="303"/>
      <c r="AR244" s="304">
        <f t="shared" si="459"/>
        <v>0</v>
      </c>
      <c r="AS244" s="304">
        <f t="shared" si="460"/>
        <v>0</v>
      </c>
      <c r="AT244" s="304">
        <f t="shared" si="461"/>
        <v>0</v>
      </c>
      <c r="AU244" s="304">
        <f t="shared" si="462"/>
        <v>0</v>
      </c>
      <c r="AV244" s="347">
        <f t="shared" si="463"/>
        <v>0</v>
      </c>
      <c r="AW244" s="340"/>
      <c r="AX244" s="303"/>
      <c r="AY244" s="303"/>
      <c r="AZ244" s="303"/>
      <c r="BA244" s="308"/>
      <c r="BB244" s="321"/>
      <c r="BC244" s="303"/>
      <c r="BD244" s="303"/>
      <c r="BE244" s="303"/>
      <c r="BF244" s="303"/>
    </row>
    <row r="245" spans="1:58" ht="25.5" customHeight="1">
      <c r="A245" s="530"/>
      <c r="B245" s="297"/>
      <c r="C245" s="26" t="s">
        <v>491</v>
      </c>
      <c r="D245" s="299"/>
      <c r="E245" s="299"/>
      <c r="F245" s="299"/>
      <c r="G245" s="299"/>
      <c r="H245" s="299"/>
      <c r="I245" s="299"/>
      <c r="J245" s="299"/>
      <c r="K245" s="299"/>
      <c r="L245" s="299"/>
      <c r="M245" s="299"/>
      <c r="N245" s="299"/>
      <c r="O245" s="299"/>
      <c r="P245" s="299"/>
      <c r="Q245" s="299"/>
      <c r="R245" s="299"/>
      <c r="S245" s="299"/>
      <c r="T245" s="299"/>
      <c r="U245" s="299"/>
      <c r="V245" s="299"/>
      <c r="W245" s="299"/>
      <c r="X245" s="299"/>
      <c r="Y245" s="299">
        <f t="shared" si="457"/>
        <v>0</v>
      </c>
      <c r="Z245" s="299">
        <f t="shared" si="457"/>
        <v>0</v>
      </c>
      <c r="AA245" s="299">
        <f t="shared" si="457"/>
        <v>0</v>
      </c>
      <c r="AB245" s="342">
        <f t="shared" si="437"/>
        <v>0</v>
      </c>
      <c r="AC245" s="304">
        <f t="shared" si="441"/>
        <v>0</v>
      </c>
      <c r="AD245" s="304">
        <f t="shared" si="442"/>
        <v>0</v>
      </c>
      <c r="AE245" s="304">
        <f t="shared" si="443"/>
        <v>0</v>
      </c>
      <c r="AF245" s="304">
        <f t="shared" si="444"/>
        <v>0</v>
      </c>
      <c r="AG245" s="304">
        <f t="shared" si="445"/>
        <v>0</v>
      </c>
      <c r="AH245" s="304"/>
      <c r="AI245" s="304"/>
      <c r="AJ245" s="303"/>
      <c r="AK245" s="299">
        <f t="shared" si="458"/>
        <v>0</v>
      </c>
      <c r="AL245" s="303"/>
      <c r="AM245" s="303"/>
      <c r="AN245" s="303"/>
      <c r="AO245" s="303"/>
      <c r="AP245" s="308"/>
      <c r="AQ245" s="303"/>
      <c r="AR245" s="304">
        <f t="shared" si="459"/>
        <v>0</v>
      </c>
      <c r="AS245" s="304">
        <f t="shared" si="460"/>
        <v>0</v>
      </c>
      <c r="AT245" s="304">
        <f t="shared" si="461"/>
        <v>0</v>
      </c>
      <c r="AU245" s="304">
        <f t="shared" si="462"/>
        <v>0</v>
      </c>
      <c r="AV245" s="347">
        <f t="shared" si="463"/>
        <v>0</v>
      </c>
      <c r="AW245" s="340"/>
      <c r="AX245" s="303"/>
      <c r="AY245" s="303"/>
      <c r="AZ245" s="303"/>
      <c r="BA245" s="308"/>
      <c r="BB245" s="321"/>
      <c r="BC245" s="303"/>
      <c r="BD245" s="303"/>
      <c r="BE245" s="303"/>
      <c r="BF245" s="303"/>
    </row>
    <row r="246" spans="1:58" ht="25.5" customHeight="1">
      <c r="A246" s="530"/>
      <c r="B246" s="297"/>
      <c r="C246" s="334" t="s">
        <v>455</v>
      </c>
      <c r="D246" s="339">
        <f>SUM(D238:D245)</f>
        <v>5215870</v>
      </c>
      <c r="E246" s="339">
        <f t="shared" ref="E246:X246" si="464">SUM(E238:E245)</f>
        <v>5419009.9199999999</v>
      </c>
      <c r="F246" s="339">
        <f t="shared" si="464"/>
        <v>75110</v>
      </c>
      <c r="G246" s="339">
        <f t="shared" si="464"/>
        <v>4122</v>
      </c>
      <c r="H246" s="339">
        <f t="shared" si="464"/>
        <v>0</v>
      </c>
      <c r="I246" s="339">
        <f t="shared" si="464"/>
        <v>0</v>
      </c>
      <c r="J246" s="339">
        <f t="shared" si="464"/>
        <v>394745.7</v>
      </c>
      <c r="K246" s="339">
        <f t="shared" si="464"/>
        <v>219915.04</v>
      </c>
      <c r="L246" s="339">
        <f t="shared" si="464"/>
        <v>0</v>
      </c>
      <c r="M246" s="339">
        <f t="shared" si="464"/>
        <v>9425495.5</v>
      </c>
      <c r="N246" s="339">
        <f t="shared" si="464"/>
        <v>1228084.92</v>
      </c>
      <c r="O246" s="339">
        <f t="shared" si="464"/>
        <v>0</v>
      </c>
      <c r="P246" s="339">
        <f t="shared" si="464"/>
        <v>16523832.550000001</v>
      </c>
      <c r="Q246" s="339">
        <f t="shared" si="464"/>
        <v>3184833.76</v>
      </c>
      <c r="R246" s="339">
        <f t="shared" si="464"/>
        <v>0</v>
      </c>
      <c r="S246" s="339">
        <f t="shared" si="464"/>
        <v>0</v>
      </c>
      <c r="T246" s="339">
        <f t="shared" si="464"/>
        <v>0</v>
      </c>
      <c r="U246" s="339">
        <f t="shared" si="464"/>
        <v>0</v>
      </c>
      <c r="V246" s="339">
        <f t="shared" si="464"/>
        <v>0</v>
      </c>
      <c r="W246" s="339">
        <f t="shared" si="464"/>
        <v>12050000</v>
      </c>
      <c r="X246" s="339">
        <f t="shared" si="464"/>
        <v>0</v>
      </c>
      <c r="Y246" s="339">
        <f>SUM(Y238:Y245)</f>
        <v>31564065.75</v>
      </c>
      <c r="Z246" s="339">
        <f>SUM(Z238:Z245)</f>
        <v>22101843.640000001</v>
      </c>
      <c r="AA246" s="339">
        <f>SUM(AA238:AA245)</f>
        <v>75110</v>
      </c>
      <c r="AB246" s="342">
        <f t="shared" si="437"/>
        <v>53741019.390000001</v>
      </c>
      <c r="AC246" s="304">
        <f t="shared" si="441"/>
        <v>15040233.199999999</v>
      </c>
      <c r="AD246" s="304">
        <f t="shared" si="442"/>
        <v>18917009.879999999</v>
      </c>
      <c r="AE246" s="304">
        <f t="shared" si="443"/>
        <v>75110</v>
      </c>
      <c r="AF246" s="304">
        <f t="shared" si="444"/>
        <v>19708666.310000002</v>
      </c>
      <c r="AG246" s="304">
        <f t="shared" si="445"/>
        <v>53741019.390000001</v>
      </c>
      <c r="AH246" s="304"/>
      <c r="AI246" s="304"/>
      <c r="AJ246" s="303"/>
      <c r="AK246" s="299">
        <f>SUM(AK238:AK245)</f>
        <v>19708666.310000002</v>
      </c>
      <c r="AL246" s="303"/>
      <c r="AM246" s="303"/>
      <c r="AN246" s="303"/>
      <c r="AO246" s="303"/>
      <c r="AP246" s="308"/>
      <c r="AQ246" s="303"/>
      <c r="AR246" s="304">
        <f>SUM(AR238:AR245)</f>
        <v>15040233.199999999</v>
      </c>
      <c r="AS246" s="304">
        <f>SUM(AS238:AS245)</f>
        <v>18917009.880000003</v>
      </c>
      <c r="AT246" s="304">
        <f t="shared" ref="AT246" si="465">SUM(AT238:AT245)</f>
        <v>75110</v>
      </c>
      <c r="AU246" s="304">
        <f t="shared" ref="AU246" si="466">SUM(AU238:AU245)</f>
        <v>19708666.310000002</v>
      </c>
      <c r="AV246" s="347">
        <f>SUM(AR246:AU246)</f>
        <v>53741019.390000001</v>
      </c>
      <c r="AW246" s="340"/>
      <c r="AX246" s="303"/>
      <c r="AY246" s="303"/>
      <c r="AZ246" s="303"/>
      <c r="BA246" s="308"/>
      <c r="BB246" s="321"/>
      <c r="BC246" s="303"/>
      <c r="BD246" s="303"/>
      <c r="BE246" s="303"/>
      <c r="BF246" s="303"/>
    </row>
    <row r="247" spans="1:58" ht="25.5" customHeight="1">
      <c r="A247" s="530" t="s">
        <v>471</v>
      </c>
      <c r="B247" s="297"/>
      <c r="C247" s="626" t="s">
        <v>472</v>
      </c>
      <c r="D247" s="626"/>
      <c r="E247" s="626"/>
      <c r="F247" s="626"/>
      <c r="G247" s="626"/>
      <c r="H247" s="626"/>
      <c r="I247" s="626"/>
      <c r="J247" s="626"/>
      <c r="K247" s="626"/>
      <c r="L247" s="626"/>
      <c r="M247" s="626"/>
      <c r="N247" s="626"/>
      <c r="O247" s="626"/>
      <c r="P247" s="626"/>
      <c r="Q247" s="626"/>
      <c r="R247" s="626"/>
      <c r="S247" s="626"/>
      <c r="T247" s="626"/>
      <c r="U247" s="626"/>
      <c r="V247" s="626"/>
      <c r="W247" s="626"/>
      <c r="X247" s="626"/>
      <c r="Y247" s="626"/>
      <c r="Z247" s="626"/>
      <c r="AA247" s="626"/>
      <c r="AB247" s="342">
        <f t="shared" si="437"/>
        <v>0</v>
      </c>
      <c r="AC247" s="304">
        <f t="shared" si="441"/>
        <v>0</v>
      </c>
      <c r="AD247" s="304">
        <f t="shared" si="442"/>
        <v>0</v>
      </c>
      <c r="AE247" s="304">
        <f t="shared" si="443"/>
        <v>0</v>
      </c>
      <c r="AF247" s="304">
        <f t="shared" si="444"/>
        <v>0</v>
      </c>
      <c r="AG247" s="304">
        <f t="shared" si="445"/>
        <v>0</v>
      </c>
      <c r="AH247" s="304"/>
      <c r="AI247" s="304"/>
      <c r="AJ247" s="303"/>
      <c r="AK247" s="303"/>
      <c r="AL247" s="303"/>
      <c r="AM247" s="303"/>
      <c r="AN247" s="303"/>
      <c r="AO247" s="303"/>
      <c r="AP247" s="308"/>
      <c r="AQ247" s="303"/>
      <c r="AR247" s="303"/>
      <c r="AS247" s="303"/>
      <c r="AT247" s="303"/>
      <c r="AU247" s="303"/>
      <c r="AV247" s="346"/>
      <c r="AW247" s="340"/>
      <c r="AX247" s="303"/>
      <c r="AY247" s="303"/>
      <c r="AZ247" s="303"/>
      <c r="BA247" s="308"/>
      <c r="BB247" s="321"/>
      <c r="BC247" s="303"/>
      <c r="BD247" s="303"/>
      <c r="BE247" s="303"/>
      <c r="BF247" s="303"/>
    </row>
    <row r="248" spans="1:58" ht="25.5" customHeight="1">
      <c r="A248" s="530"/>
      <c r="B248" s="297"/>
      <c r="C248" s="26" t="s">
        <v>484</v>
      </c>
      <c r="D248" s="360"/>
      <c r="E248" s="360"/>
      <c r="F248" s="360"/>
      <c r="G248" s="360"/>
      <c r="H248" s="360"/>
      <c r="I248" s="360"/>
      <c r="J248" s="360"/>
      <c r="K248" s="360"/>
      <c r="L248" s="360"/>
      <c r="M248" s="360"/>
      <c r="N248" s="360"/>
      <c r="O248" s="360"/>
      <c r="P248" s="360"/>
      <c r="Q248" s="360"/>
      <c r="R248" s="360"/>
      <c r="S248" s="360"/>
      <c r="T248" s="360"/>
      <c r="U248" s="360"/>
      <c r="V248" s="360"/>
      <c r="W248" s="360"/>
      <c r="X248" s="360"/>
      <c r="Y248" s="360">
        <f>D248+G248+J248+M248+P248+S248+V248</f>
        <v>0</v>
      </c>
      <c r="Z248" s="360">
        <f>E248+H248+K248+N248+Q248+T248+W248</f>
        <v>0</v>
      </c>
      <c r="AA248" s="360">
        <f>F248+I248+L248+O248+R248+U248+X248</f>
        <v>0</v>
      </c>
      <c r="AB248" s="342">
        <f t="shared" si="437"/>
        <v>0</v>
      </c>
      <c r="AC248" s="304">
        <f t="shared" si="441"/>
        <v>0</v>
      </c>
      <c r="AD248" s="304">
        <f t="shared" si="442"/>
        <v>0</v>
      </c>
      <c r="AE248" s="304">
        <f t="shared" si="443"/>
        <v>0</v>
      </c>
      <c r="AF248" s="304">
        <f t="shared" si="444"/>
        <v>0</v>
      </c>
      <c r="AG248" s="304">
        <f t="shared" si="445"/>
        <v>0</v>
      </c>
      <c r="AH248" s="304"/>
      <c r="AI248" s="304"/>
      <c r="AJ248" s="303"/>
      <c r="AK248" s="299">
        <f>+AF248</f>
        <v>0</v>
      </c>
      <c r="AL248" s="303"/>
      <c r="AM248" s="303"/>
      <c r="AN248" s="303"/>
      <c r="AO248" s="303"/>
      <c r="AP248" s="308"/>
      <c r="AQ248" s="303"/>
      <c r="AR248" s="304">
        <f>+AC248+AL248</f>
        <v>0</v>
      </c>
      <c r="AS248" s="304">
        <f>+AD248+AM248</f>
        <v>0</v>
      </c>
      <c r="AT248" s="304">
        <f>+AE248+AN248+AQ248</f>
        <v>0</v>
      </c>
      <c r="AU248" s="304">
        <f>+AK248+AO248</f>
        <v>0</v>
      </c>
      <c r="AV248" s="347">
        <f>SUM(AR248:AU248)</f>
        <v>0</v>
      </c>
      <c r="AW248" s="340"/>
      <c r="AX248" s="303"/>
      <c r="AY248" s="303"/>
      <c r="AZ248" s="303"/>
      <c r="BA248" s="308"/>
      <c r="BB248" s="321"/>
      <c r="BC248" s="303"/>
      <c r="BD248" s="303"/>
      <c r="BE248" s="303"/>
      <c r="BF248" s="303"/>
    </row>
    <row r="249" spans="1:58" ht="25.5" customHeight="1">
      <c r="A249" s="530"/>
      <c r="B249" s="297"/>
      <c r="C249" s="26" t="s">
        <v>485</v>
      </c>
      <c r="D249" s="360">
        <v>39060</v>
      </c>
      <c r="E249" s="360"/>
      <c r="F249" s="360"/>
      <c r="G249" s="360"/>
      <c r="H249" s="360"/>
      <c r="I249" s="360"/>
      <c r="J249" s="360"/>
      <c r="K249" s="360">
        <v>78095</v>
      </c>
      <c r="L249" s="360"/>
      <c r="M249" s="360">
        <v>3310355.66</v>
      </c>
      <c r="N249" s="360">
        <v>656589.59</v>
      </c>
      <c r="O249" s="360"/>
      <c r="P249" s="360">
        <v>1034870.78</v>
      </c>
      <c r="Q249" s="360">
        <v>85301.97</v>
      </c>
      <c r="R249" s="360"/>
      <c r="S249" s="360"/>
      <c r="T249" s="360">
        <v>68000</v>
      </c>
      <c r="U249" s="360"/>
      <c r="V249" s="360"/>
      <c r="W249" s="360">
        <v>2416000</v>
      </c>
      <c r="X249" s="360"/>
      <c r="Y249" s="360">
        <f t="shared" ref="Y249:AA255" si="467">D249+G249+J249+M249+P249+S249+V249</f>
        <v>4384286.4400000004</v>
      </c>
      <c r="Z249" s="360">
        <f t="shared" si="467"/>
        <v>3303986.56</v>
      </c>
      <c r="AA249" s="360">
        <f t="shared" si="467"/>
        <v>0</v>
      </c>
      <c r="AB249" s="342">
        <f t="shared" si="437"/>
        <v>7688273</v>
      </c>
      <c r="AC249" s="304">
        <f t="shared" si="441"/>
        <v>3349415.66</v>
      </c>
      <c r="AD249" s="304">
        <f t="shared" si="442"/>
        <v>3218684.59</v>
      </c>
      <c r="AE249" s="304">
        <f t="shared" si="443"/>
        <v>0</v>
      </c>
      <c r="AF249" s="304">
        <f t="shared" si="444"/>
        <v>1120172.75</v>
      </c>
      <c r="AG249" s="304">
        <f t="shared" si="445"/>
        <v>7688273</v>
      </c>
      <c r="AH249" s="304"/>
      <c r="AI249" s="304"/>
      <c r="AJ249" s="303"/>
      <c r="AK249" s="299">
        <f t="shared" ref="AK249:AK255" si="468">+AF249</f>
        <v>1120172.75</v>
      </c>
      <c r="AL249" s="303"/>
      <c r="AM249" s="303"/>
      <c r="AN249" s="303"/>
      <c r="AO249" s="303"/>
      <c r="AP249" s="308"/>
      <c r="AQ249" s="303"/>
      <c r="AR249" s="304">
        <f t="shared" ref="AR249:AR255" si="469">+AC249+AL249</f>
        <v>3349415.66</v>
      </c>
      <c r="AS249" s="304">
        <f t="shared" ref="AS249:AS255" si="470">+AD249+AM249</f>
        <v>3218684.59</v>
      </c>
      <c r="AT249" s="304">
        <f t="shared" ref="AT249:AT255" si="471">+AE249+AN249+AQ249</f>
        <v>0</v>
      </c>
      <c r="AU249" s="304">
        <f t="shared" ref="AU249:AU255" si="472">+AK249+AO249</f>
        <v>1120172.75</v>
      </c>
      <c r="AV249" s="347">
        <f t="shared" ref="AV249:AV255" si="473">SUM(AR249:AU249)</f>
        <v>7688273</v>
      </c>
      <c r="AW249" s="340"/>
      <c r="AX249" s="303"/>
      <c r="AY249" s="303"/>
      <c r="AZ249" s="303"/>
      <c r="BA249" s="308"/>
      <c r="BB249" s="321"/>
      <c r="BC249" s="303"/>
      <c r="BD249" s="303"/>
      <c r="BE249" s="303"/>
      <c r="BF249" s="303"/>
    </row>
    <row r="250" spans="1:58" ht="25.5" customHeight="1">
      <c r="A250" s="530"/>
      <c r="B250" s="297"/>
      <c r="C250" s="332" t="s">
        <v>486</v>
      </c>
      <c r="D250" s="360"/>
      <c r="E250" s="360"/>
      <c r="F250" s="360"/>
      <c r="G250" s="360">
        <v>1400</v>
      </c>
      <c r="H250" s="360"/>
      <c r="I250" s="360"/>
      <c r="J250" s="360"/>
      <c r="K250" s="360"/>
      <c r="L250" s="360"/>
      <c r="M250" s="360">
        <v>18570</v>
      </c>
      <c r="N250" s="360"/>
      <c r="O250" s="360"/>
      <c r="P250" s="360"/>
      <c r="Q250" s="360"/>
      <c r="R250" s="360"/>
      <c r="S250" s="360"/>
      <c r="T250" s="360"/>
      <c r="U250" s="360"/>
      <c r="V250" s="360"/>
      <c r="W250" s="360"/>
      <c r="X250" s="360"/>
      <c r="Y250" s="360">
        <f t="shared" si="467"/>
        <v>19970</v>
      </c>
      <c r="Z250" s="360">
        <f t="shared" si="467"/>
        <v>0</v>
      </c>
      <c r="AA250" s="360">
        <f t="shared" si="467"/>
        <v>0</v>
      </c>
      <c r="AB250" s="342">
        <f t="shared" si="437"/>
        <v>19970</v>
      </c>
      <c r="AC250" s="304">
        <f t="shared" si="441"/>
        <v>19970</v>
      </c>
      <c r="AD250" s="304">
        <f t="shared" si="442"/>
        <v>0</v>
      </c>
      <c r="AE250" s="304">
        <f t="shared" si="443"/>
        <v>0</v>
      </c>
      <c r="AF250" s="304">
        <f t="shared" si="444"/>
        <v>0</v>
      </c>
      <c r="AG250" s="304">
        <f t="shared" si="445"/>
        <v>19970</v>
      </c>
      <c r="AH250" s="304"/>
      <c r="AI250" s="304"/>
      <c r="AJ250" s="303"/>
      <c r="AK250" s="299">
        <f t="shared" si="468"/>
        <v>0</v>
      </c>
      <c r="AL250" s="303"/>
      <c r="AM250" s="303"/>
      <c r="AN250" s="303"/>
      <c r="AO250" s="303"/>
      <c r="AP250" s="308"/>
      <c r="AQ250" s="303"/>
      <c r="AR250" s="304">
        <f t="shared" si="469"/>
        <v>19970</v>
      </c>
      <c r="AS250" s="304">
        <f t="shared" si="470"/>
        <v>0</v>
      </c>
      <c r="AT250" s="304">
        <f t="shared" si="471"/>
        <v>0</v>
      </c>
      <c r="AU250" s="304">
        <f t="shared" si="472"/>
        <v>0</v>
      </c>
      <c r="AV250" s="347">
        <f t="shared" si="473"/>
        <v>19970</v>
      </c>
      <c r="AW250" s="340"/>
      <c r="AX250" s="303"/>
      <c r="AY250" s="303"/>
      <c r="AZ250" s="303"/>
      <c r="BA250" s="308"/>
      <c r="BB250" s="321"/>
      <c r="BC250" s="303"/>
      <c r="BD250" s="303"/>
      <c r="BE250" s="303"/>
      <c r="BF250" s="303"/>
    </row>
    <row r="251" spans="1:58" ht="25.5" customHeight="1">
      <c r="A251" s="530"/>
      <c r="B251" s="297"/>
      <c r="C251" s="332" t="s">
        <v>487</v>
      </c>
      <c r="D251" s="360"/>
      <c r="E251" s="360"/>
      <c r="F251" s="360"/>
      <c r="G251" s="360"/>
      <c r="H251" s="360"/>
      <c r="I251" s="360"/>
      <c r="J251" s="360"/>
      <c r="K251" s="360"/>
      <c r="L251" s="360"/>
      <c r="M251" s="360">
        <v>70862</v>
      </c>
      <c r="N251" s="360"/>
      <c r="O251" s="360"/>
      <c r="P251" s="360"/>
      <c r="Q251" s="360"/>
      <c r="R251" s="360"/>
      <c r="S251" s="360"/>
      <c r="T251" s="360"/>
      <c r="U251" s="360"/>
      <c r="V251" s="360"/>
      <c r="W251" s="360"/>
      <c r="X251" s="360"/>
      <c r="Y251" s="360">
        <f t="shared" si="467"/>
        <v>70862</v>
      </c>
      <c r="Z251" s="360">
        <f t="shared" si="467"/>
        <v>0</v>
      </c>
      <c r="AA251" s="360">
        <f t="shared" si="467"/>
        <v>0</v>
      </c>
      <c r="AB251" s="342">
        <f t="shared" si="437"/>
        <v>70862</v>
      </c>
      <c r="AC251" s="304">
        <f t="shared" si="441"/>
        <v>70862</v>
      </c>
      <c r="AD251" s="304">
        <f t="shared" si="442"/>
        <v>0</v>
      </c>
      <c r="AE251" s="304">
        <f t="shared" si="443"/>
        <v>0</v>
      </c>
      <c r="AF251" s="304">
        <f t="shared" si="444"/>
        <v>0</v>
      </c>
      <c r="AG251" s="304">
        <f t="shared" si="445"/>
        <v>70862</v>
      </c>
      <c r="AH251" s="304"/>
      <c r="AI251" s="304"/>
      <c r="AJ251" s="303"/>
      <c r="AK251" s="299">
        <f t="shared" si="468"/>
        <v>0</v>
      </c>
      <c r="AL251" s="303"/>
      <c r="AM251" s="303"/>
      <c r="AN251" s="303"/>
      <c r="AO251" s="303"/>
      <c r="AP251" s="308"/>
      <c r="AQ251" s="303"/>
      <c r="AR251" s="304">
        <f t="shared" si="469"/>
        <v>70862</v>
      </c>
      <c r="AS251" s="304">
        <f t="shared" si="470"/>
        <v>0</v>
      </c>
      <c r="AT251" s="304">
        <f t="shared" si="471"/>
        <v>0</v>
      </c>
      <c r="AU251" s="304">
        <f t="shared" si="472"/>
        <v>0</v>
      </c>
      <c r="AV251" s="347">
        <f t="shared" si="473"/>
        <v>70862</v>
      </c>
      <c r="AW251" s="340"/>
      <c r="AX251" s="303"/>
      <c r="AY251" s="303"/>
      <c r="AZ251" s="303"/>
      <c r="BA251" s="308"/>
      <c r="BB251" s="321"/>
      <c r="BC251" s="303"/>
      <c r="BD251" s="303"/>
      <c r="BE251" s="303"/>
      <c r="BF251" s="303"/>
    </row>
    <row r="252" spans="1:58" ht="25.5" customHeight="1">
      <c r="A252" s="530"/>
      <c r="B252" s="297"/>
      <c r="C252" s="26" t="s">
        <v>488</v>
      </c>
      <c r="D252" s="360">
        <v>2065440</v>
      </c>
      <c r="E252" s="360">
        <v>1095701.07</v>
      </c>
      <c r="F252" s="360">
        <v>5500</v>
      </c>
      <c r="G252" s="360"/>
      <c r="H252" s="360"/>
      <c r="I252" s="360"/>
      <c r="J252" s="360"/>
      <c r="K252" s="360"/>
      <c r="L252" s="360"/>
      <c r="M252" s="360"/>
      <c r="N252" s="360"/>
      <c r="O252" s="360"/>
      <c r="P252" s="360"/>
      <c r="Q252" s="360"/>
      <c r="R252" s="360"/>
      <c r="S252" s="360"/>
      <c r="T252" s="360"/>
      <c r="U252" s="360"/>
      <c r="V252" s="360"/>
      <c r="W252" s="360"/>
      <c r="X252" s="360"/>
      <c r="Y252" s="360">
        <f t="shared" si="467"/>
        <v>2065440</v>
      </c>
      <c r="Z252" s="360">
        <f t="shared" si="467"/>
        <v>1095701.07</v>
      </c>
      <c r="AA252" s="360">
        <f t="shared" si="467"/>
        <v>5500</v>
      </c>
      <c r="AB252" s="342">
        <f t="shared" si="437"/>
        <v>3166641.0700000003</v>
      </c>
      <c r="AC252" s="304">
        <f t="shared" si="441"/>
        <v>2065440</v>
      </c>
      <c r="AD252" s="304">
        <f t="shared" si="442"/>
        <v>1095701.07</v>
      </c>
      <c r="AE252" s="304">
        <f t="shared" si="443"/>
        <v>5500</v>
      </c>
      <c r="AF252" s="304">
        <f t="shared" si="444"/>
        <v>0</v>
      </c>
      <c r="AG252" s="304">
        <f t="shared" si="445"/>
        <v>3166641.0700000003</v>
      </c>
      <c r="AH252" s="304"/>
      <c r="AI252" s="304"/>
      <c r="AJ252" s="303"/>
      <c r="AK252" s="299">
        <f t="shared" si="468"/>
        <v>0</v>
      </c>
      <c r="AL252" s="303"/>
      <c r="AM252" s="303"/>
      <c r="AN252" s="303"/>
      <c r="AO252" s="303"/>
      <c r="AP252" s="308"/>
      <c r="AQ252" s="303"/>
      <c r="AR252" s="304">
        <f t="shared" si="469"/>
        <v>2065440</v>
      </c>
      <c r="AS252" s="304">
        <f t="shared" si="470"/>
        <v>1095701.07</v>
      </c>
      <c r="AT252" s="304">
        <f t="shared" si="471"/>
        <v>5500</v>
      </c>
      <c r="AU252" s="304">
        <f t="shared" si="472"/>
        <v>0</v>
      </c>
      <c r="AV252" s="347">
        <f t="shared" si="473"/>
        <v>3166641.0700000003</v>
      </c>
      <c r="AW252" s="340"/>
      <c r="AX252" s="303"/>
      <c r="AY252" s="303"/>
      <c r="AZ252" s="303"/>
      <c r="BA252" s="308"/>
      <c r="BB252" s="321"/>
      <c r="BC252" s="303"/>
      <c r="BD252" s="303"/>
      <c r="BE252" s="303"/>
      <c r="BF252" s="303"/>
    </row>
    <row r="253" spans="1:58" ht="25.5" customHeight="1">
      <c r="A253" s="530"/>
      <c r="B253" s="297"/>
      <c r="C253" s="26" t="s">
        <v>489</v>
      </c>
      <c r="D253" s="360"/>
      <c r="E253" s="360"/>
      <c r="F253" s="360"/>
      <c r="G253" s="360"/>
      <c r="H253" s="360"/>
      <c r="I253" s="360"/>
      <c r="J253" s="360"/>
      <c r="K253" s="360"/>
      <c r="L253" s="360"/>
      <c r="M253" s="360"/>
      <c r="N253" s="360"/>
      <c r="O253" s="360"/>
      <c r="P253" s="360"/>
      <c r="Q253" s="360"/>
      <c r="R253" s="360"/>
      <c r="S253" s="360"/>
      <c r="T253" s="360"/>
      <c r="U253" s="360"/>
      <c r="V253" s="360"/>
      <c r="W253" s="360"/>
      <c r="X253" s="360"/>
      <c r="Y253" s="360">
        <f t="shared" si="467"/>
        <v>0</v>
      </c>
      <c r="Z253" s="360">
        <f t="shared" si="467"/>
        <v>0</v>
      </c>
      <c r="AA253" s="360">
        <f t="shared" si="467"/>
        <v>0</v>
      </c>
      <c r="AB253" s="342">
        <f t="shared" si="437"/>
        <v>0</v>
      </c>
      <c r="AC253" s="304">
        <f t="shared" si="441"/>
        <v>0</v>
      </c>
      <c r="AD253" s="304">
        <f t="shared" si="442"/>
        <v>0</v>
      </c>
      <c r="AE253" s="304">
        <f t="shared" si="443"/>
        <v>0</v>
      </c>
      <c r="AF253" s="304">
        <f t="shared" si="444"/>
        <v>0</v>
      </c>
      <c r="AG253" s="304">
        <f t="shared" si="445"/>
        <v>0</v>
      </c>
      <c r="AH253" s="304"/>
      <c r="AI253" s="304"/>
      <c r="AJ253" s="303"/>
      <c r="AK253" s="299">
        <f t="shared" si="468"/>
        <v>0</v>
      </c>
      <c r="AL253" s="303"/>
      <c r="AM253" s="303"/>
      <c r="AN253" s="303"/>
      <c r="AO253" s="303"/>
      <c r="AP253" s="308"/>
      <c r="AQ253" s="303"/>
      <c r="AR253" s="304">
        <f t="shared" si="469"/>
        <v>0</v>
      </c>
      <c r="AS253" s="304">
        <f t="shared" si="470"/>
        <v>0</v>
      </c>
      <c r="AT253" s="304">
        <f t="shared" si="471"/>
        <v>0</v>
      </c>
      <c r="AU253" s="304">
        <f t="shared" si="472"/>
        <v>0</v>
      </c>
      <c r="AV253" s="347">
        <f t="shared" si="473"/>
        <v>0</v>
      </c>
      <c r="AW253" s="340"/>
      <c r="AX253" s="303"/>
      <c r="AY253" s="303"/>
      <c r="AZ253" s="303"/>
      <c r="BA253" s="308"/>
      <c r="BB253" s="321"/>
      <c r="BC253" s="303"/>
      <c r="BD253" s="303"/>
      <c r="BE253" s="303"/>
      <c r="BF253" s="303"/>
    </row>
    <row r="254" spans="1:58" ht="25.5" customHeight="1">
      <c r="A254" s="530"/>
      <c r="B254" s="297"/>
      <c r="C254" s="26" t="s">
        <v>490</v>
      </c>
      <c r="D254" s="360"/>
      <c r="E254" s="360"/>
      <c r="F254" s="360"/>
      <c r="G254" s="360"/>
      <c r="H254" s="360"/>
      <c r="I254" s="360"/>
      <c r="J254" s="360"/>
      <c r="K254" s="360"/>
      <c r="L254" s="360"/>
      <c r="M254" s="360"/>
      <c r="N254" s="360"/>
      <c r="O254" s="360"/>
      <c r="P254" s="360"/>
      <c r="Q254" s="360"/>
      <c r="R254" s="360"/>
      <c r="S254" s="360"/>
      <c r="T254" s="360"/>
      <c r="U254" s="360"/>
      <c r="V254" s="360"/>
      <c r="W254" s="360"/>
      <c r="X254" s="360"/>
      <c r="Y254" s="360">
        <f t="shared" si="467"/>
        <v>0</v>
      </c>
      <c r="Z254" s="360">
        <f t="shared" si="467"/>
        <v>0</v>
      </c>
      <c r="AA254" s="360">
        <f t="shared" si="467"/>
        <v>0</v>
      </c>
      <c r="AB254" s="342">
        <f t="shared" si="437"/>
        <v>0</v>
      </c>
      <c r="AC254" s="304">
        <f t="shared" si="441"/>
        <v>0</v>
      </c>
      <c r="AD254" s="304">
        <f t="shared" si="442"/>
        <v>0</v>
      </c>
      <c r="AE254" s="304">
        <f t="shared" si="443"/>
        <v>0</v>
      </c>
      <c r="AF254" s="304">
        <f t="shared" si="444"/>
        <v>0</v>
      </c>
      <c r="AG254" s="304">
        <f t="shared" si="445"/>
        <v>0</v>
      </c>
      <c r="AH254" s="304"/>
      <c r="AI254" s="304"/>
      <c r="AJ254" s="303"/>
      <c r="AK254" s="299">
        <f t="shared" si="468"/>
        <v>0</v>
      </c>
      <c r="AL254" s="303"/>
      <c r="AM254" s="303"/>
      <c r="AN254" s="303"/>
      <c r="AO254" s="303"/>
      <c r="AP254" s="308"/>
      <c r="AQ254" s="303"/>
      <c r="AR254" s="304">
        <f t="shared" si="469"/>
        <v>0</v>
      </c>
      <c r="AS254" s="304">
        <f t="shared" si="470"/>
        <v>0</v>
      </c>
      <c r="AT254" s="304">
        <f t="shared" si="471"/>
        <v>0</v>
      </c>
      <c r="AU254" s="304">
        <f t="shared" si="472"/>
        <v>0</v>
      </c>
      <c r="AV254" s="347">
        <f t="shared" si="473"/>
        <v>0</v>
      </c>
      <c r="AW254" s="340"/>
      <c r="AX254" s="303"/>
      <c r="AY254" s="303"/>
      <c r="AZ254" s="303"/>
      <c r="BA254" s="308"/>
      <c r="BB254" s="321"/>
      <c r="BC254" s="303"/>
      <c r="BD254" s="303"/>
      <c r="BE254" s="303"/>
      <c r="BF254" s="303"/>
    </row>
    <row r="255" spans="1:58" ht="25.5" customHeight="1">
      <c r="A255" s="530"/>
      <c r="B255" s="297"/>
      <c r="C255" s="26" t="s">
        <v>491</v>
      </c>
      <c r="D255" s="360"/>
      <c r="E255" s="360"/>
      <c r="F255" s="360"/>
      <c r="G255" s="360"/>
      <c r="H255" s="360"/>
      <c r="I255" s="360"/>
      <c r="J255" s="360"/>
      <c r="K255" s="360"/>
      <c r="L255" s="360"/>
      <c r="M255" s="360"/>
      <c r="N255" s="360"/>
      <c r="O255" s="360"/>
      <c r="P255" s="360"/>
      <c r="Q255" s="360"/>
      <c r="R255" s="360"/>
      <c r="S255" s="360"/>
      <c r="T255" s="360"/>
      <c r="U255" s="360"/>
      <c r="V255" s="360"/>
      <c r="W255" s="360"/>
      <c r="X255" s="360"/>
      <c r="Y255" s="360">
        <f t="shared" si="467"/>
        <v>0</v>
      </c>
      <c r="Z255" s="360">
        <f t="shared" si="467"/>
        <v>0</v>
      </c>
      <c r="AA255" s="360">
        <f t="shared" si="467"/>
        <v>0</v>
      </c>
      <c r="AB255" s="342">
        <f t="shared" si="437"/>
        <v>0</v>
      </c>
      <c r="AC255" s="304">
        <f t="shared" si="441"/>
        <v>0</v>
      </c>
      <c r="AD255" s="304">
        <f t="shared" si="442"/>
        <v>0</v>
      </c>
      <c r="AE255" s="304">
        <f t="shared" si="443"/>
        <v>0</v>
      </c>
      <c r="AF255" s="304">
        <f t="shared" si="444"/>
        <v>0</v>
      </c>
      <c r="AG255" s="304">
        <f t="shared" si="445"/>
        <v>0</v>
      </c>
      <c r="AH255" s="304"/>
      <c r="AI255" s="304"/>
      <c r="AJ255" s="303"/>
      <c r="AK255" s="299">
        <f t="shared" si="468"/>
        <v>0</v>
      </c>
      <c r="AL255" s="303"/>
      <c r="AM255" s="303"/>
      <c r="AN255" s="303"/>
      <c r="AO255" s="303"/>
      <c r="AP255" s="308"/>
      <c r="AQ255" s="303"/>
      <c r="AR255" s="304">
        <f t="shared" si="469"/>
        <v>0</v>
      </c>
      <c r="AS255" s="304">
        <f t="shared" si="470"/>
        <v>0</v>
      </c>
      <c r="AT255" s="304">
        <f t="shared" si="471"/>
        <v>0</v>
      </c>
      <c r="AU255" s="304">
        <f t="shared" si="472"/>
        <v>0</v>
      </c>
      <c r="AV255" s="347">
        <f t="shared" si="473"/>
        <v>0</v>
      </c>
      <c r="AW255" s="340"/>
      <c r="AX255" s="303"/>
      <c r="AY255" s="303"/>
      <c r="AZ255" s="303"/>
      <c r="BA255" s="308"/>
      <c r="BB255" s="321"/>
      <c r="BC255" s="303"/>
      <c r="BD255" s="303"/>
      <c r="BE255" s="303"/>
      <c r="BF255" s="303"/>
    </row>
    <row r="256" spans="1:58" ht="25.5" customHeight="1">
      <c r="A256" s="530"/>
      <c r="B256" s="297"/>
      <c r="C256" s="334" t="s">
        <v>455</v>
      </c>
      <c r="D256" s="333">
        <f>SUM(D248:D255)</f>
        <v>2104500</v>
      </c>
      <c r="E256" s="333">
        <f t="shared" ref="E256:X256" si="474">SUM(E248:E255)</f>
        <v>1095701.07</v>
      </c>
      <c r="F256" s="333">
        <f t="shared" si="474"/>
        <v>5500</v>
      </c>
      <c r="G256" s="333">
        <f t="shared" si="474"/>
        <v>1400</v>
      </c>
      <c r="H256" s="333">
        <f t="shared" si="474"/>
        <v>0</v>
      </c>
      <c r="I256" s="333">
        <f t="shared" si="474"/>
        <v>0</v>
      </c>
      <c r="J256" s="333">
        <f t="shared" si="474"/>
        <v>0</v>
      </c>
      <c r="K256" s="333">
        <f t="shared" si="474"/>
        <v>78095</v>
      </c>
      <c r="L256" s="333">
        <f t="shared" si="474"/>
        <v>0</v>
      </c>
      <c r="M256" s="333">
        <f t="shared" si="474"/>
        <v>3399787.66</v>
      </c>
      <c r="N256" s="333">
        <f t="shared" si="474"/>
        <v>656589.59</v>
      </c>
      <c r="O256" s="333">
        <f t="shared" si="474"/>
        <v>0</v>
      </c>
      <c r="P256" s="333">
        <f t="shared" si="474"/>
        <v>1034870.78</v>
      </c>
      <c r="Q256" s="333">
        <f t="shared" si="474"/>
        <v>85301.97</v>
      </c>
      <c r="R256" s="333">
        <f t="shared" si="474"/>
        <v>0</v>
      </c>
      <c r="S256" s="333">
        <f t="shared" si="474"/>
        <v>0</v>
      </c>
      <c r="T256" s="333">
        <f t="shared" si="474"/>
        <v>68000</v>
      </c>
      <c r="U256" s="333">
        <f t="shared" si="474"/>
        <v>0</v>
      </c>
      <c r="V256" s="333">
        <f t="shared" si="474"/>
        <v>0</v>
      </c>
      <c r="W256" s="333">
        <f t="shared" si="474"/>
        <v>2416000</v>
      </c>
      <c r="X256" s="333">
        <f t="shared" si="474"/>
        <v>0</v>
      </c>
      <c r="Y256" s="333">
        <f>SUM(Y248:Y255)</f>
        <v>6540558.4400000004</v>
      </c>
      <c r="Z256" s="333">
        <f>SUM(Z248:Z255)</f>
        <v>4399687.63</v>
      </c>
      <c r="AA256" s="333">
        <f>SUM(AA248:AA255)</f>
        <v>5500</v>
      </c>
      <c r="AB256" s="342">
        <f t="shared" si="437"/>
        <v>10945746.07</v>
      </c>
      <c r="AC256" s="304">
        <f t="shared" si="441"/>
        <v>5505687.6600000001</v>
      </c>
      <c r="AD256" s="304">
        <f t="shared" si="442"/>
        <v>4314385.66</v>
      </c>
      <c r="AE256" s="304">
        <f t="shared" si="443"/>
        <v>5500</v>
      </c>
      <c r="AF256" s="304">
        <f t="shared" si="444"/>
        <v>1120172.75</v>
      </c>
      <c r="AG256" s="304">
        <f t="shared" si="445"/>
        <v>10945746.07</v>
      </c>
      <c r="AH256" s="304"/>
      <c r="AI256" s="304"/>
      <c r="AJ256" s="303"/>
      <c r="AK256" s="299">
        <f>SUM(AK248:AK255)</f>
        <v>1120172.75</v>
      </c>
      <c r="AL256" s="303"/>
      <c r="AM256" s="303"/>
      <c r="AN256" s="303"/>
      <c r="AO256" s="303"/>
      <c r="AP256" s="308"/>
      <c r="AQ256" s="303"/>
      <c r="AR256" s="304">
        <f>SUM(AR248:AR255)</f>
        <v>5505687.6600000001</v>
      </c>
      <c r="AS256" s="304">
        <f>SUM(AS248:AS255)</f>
        <v>4314385.66</v>
      </c>
      <c r="AT256" s="304">
        <f t="shared" ref="AT256" si="475">SUM(AT248:AT255)</f>
        <v>5500</v>
      </c>
      <c r="AU256" s="304">
        <f t="shared" ref="AU256" si="476">SUM(AU248:AU255)</f>
        <v>1120172.75</v>
      </c>
      <c r="AV256" s="347">
        <f>SUM(AR256:AU256)</f>
        <v>10945746.07</v>
      </c>
      <c r="AW256" s="340"/>
      <c r="AX256" s="303"/>
      <c r="AY256" s="303"/>
      <c r="AZ256" s="303"/>
      <c r="BA256" s="308"/>
      <c r="BB256" s="321"/>
      <c r="BC256" s="303"/>
      <c r="BD256" s="303"/>
      <c r="BE256" s="303"/>
      <c r="BF256" s="303"/>
    </row>
    <row r="257" spans="1:58" ht="25.5" customHeight="1">
      <c r="A257" s="530" t="s">
        <v>473</v>
      </c>
      <c r="B257" s="297"/>
      <c r="C257" s="626" t="s">
        <v>474</v>
      </c>
      <c r="D257" s="626"/>
      <c r="E257" s="626"/>
      <c r="F257" s="626"/>
      <c r="G257" s="626"/>
      <c r="H257" s="626"/>
      <c r="I257" s="626"/>
      <c r="J257" s="626"/>
      <c r="K257" s="626"/>
      <c r="L257" s="626"/>
      <c r="M257" s="626"/>
      <c r="N257" s="626"/>
      <c r="O257" s="626"/>
      <c r="P257" s="626"/>
      <c r="Q257" s="626"/>
      <c r="R257" s="626"/>
      <c r="S257" s="626"/>
      <c r="T257" s="626"/>
      <c r="U257" s="626"/>
      <c r="V257" s="626"/>
      <c r="W257" s="626"/>
      <c r="X257" s="626"/>
      <c r="Y257" s="626"/>
      <c r="Z257" s="626"/>
      <c r="AA257" s="626"/>
      <c r="AB257" s="342">
        <f t="shared" si="437"/>
        <v>0</v>
      </c>
      <c r="AC257" s="304">
        <f t="shared" si="441"/>
        <v>0</v>
      </c>
      <c r="AD257" s="304">
        <f t="shared" si="442"/>
        <v>0</v>
      </c>
      <c r="AE257" s="304">
        <f t="shared" si="443"/>
        <v>0</v>
      </c>
      <c r="AF257" s="304">
        <f t="shared" si="444"/>
        <v>0</v>
      </c>
      <c r="AG257" s="304">
        <f t="shared" si="445"/>
        <v>0</v>
      </c>
      <c r="AH257" s="304"/>
      <c r="AI257" s="304"/>
      <c r="AJ257" s="303"/>
      <c r="AK257" s="303"/>
      <c r="AL257" s="303"/>
      <c r="AM257" s="303"/>
      <c r="AN257" s="303"/>
      <c r="AO257" s="303"/>
      <c r="AP257" s="308"/>
      <c r="AQ257" s="303"/>
      <c r="AR257" s="303"/>
      <c r="AS257" s="303"/>
      <c r="AT257" s="303"/>
      <c r="AU257" s="303"/>
      <c r="AV257" s="346"/>
      <c r="AW257" s="340"/>
      <c r="AX257" s="303"/>
      <c r="AY257" s="303"/>
      <c r="AZ257" s="303"/>
      <c r="BA257" s="308"/>
      <c r="BB257" s="321"/>
      <c r="BC257" s="303"/>
      <c r="BD257" s="303"/>
      <c r="BE257" s="303"/>
      <c r="BF257" s="303"/>
    </row>
    <row r="258" spans="1:58" ht="25.5" customHeight="1">
      <c r="A258" s="530"/>
      <c r="B258" s="297"/>
      <c r="C258" s="26" t="s">
        <v>484</v>
      </c>
      <c r="D258" s="299"/>
      <c r="E258" s="299"/>
      <c r="F258" s="299"/>
      <c r="G258" s="299"/>
      <c r="H258" s="299"/>
      <c r="I258" s="299"/>
      <c r="J258" s="299"/>
      <c r="K258" s="299"/>
      <c r="L258" s="299"/>
      <c r="M258" s="299"/>
      <c r="N258" s="299"/>
      <c r="O258" s="299"/>
      <c r="P258" s="299"/>
      <c r="Q258" s="299"/>
      <c r="R258" s="299"/>
      <c r="S258" s="299"/>
      <c r="T258" s="299"/>
      <c r="U258" s="299"/>
      <c r="V258" s="299"/>
      <c r="W258" s="299"/>
      <c r="X258" s="299"/>
      <c r="Y258" s="299">
        <f>D258+G258+J258+M258+P258+S258+V258</f>
        <v>0</v>
      </c>
      <c r="Z258" s="299">
        <f>E258+H258+K258+N258+Q258+T258+W258</f>
        <v>0</v>
      </c>
      <c r="AA258" s="299">
        <f>F258+I258+L258+O258+R258+U258+X258</f>
        <v>0</v>
      </c>
      <c r="AB258" s="342">
        <f t="shared" si="437"/>
        <v>0</v>
      </c>
      <c r="AC258" s="304">
        <f t="shared" si="441"/>
        <v>0</v>
      </c>
      <c r="AD258" s="304">
        <f t="shared" si="442"/>
        <v>0</v>
      </c>
      <c r="AE258" s="304">
        <f t="shared" si="443"/>
        <v>0</v>
      </c>
      <c r="AF258" s="304">
        <f t="shared" si="444"/>
        <v>0</v>
      </c>
      <c r="AG258" s="304">
        <f t="shared" si="445"/>
        <v>0</v>
      </c>
      <c r="AH258" s="304"/>
      <c r="AI258" s="304"/>
      <c r="AJ258" s="303"/>
      <c r="AK258" s="299">
        <f>+AF258</f>
        <v>0</v>
      </c>
      <c r="AL258" s="303"/>
      <c r="AM258" s="303"/>
      <c r="AN258" s="303"/>
      <c r="AO258" s="303"/>
      <c r="AP258" s="308"/>
      <c r="AQ258" s="303"/>
      <c r="AR258" s="304">
        <f>+AC258+AL258</f>
        <v>0</v>
      </c>
      <c r="AS258" s="304">
        <f>+AD258+AM258</f>
        <v>0</v>
      </c>
      <c r="AT258" s="304">
        <f>+AE258+AN258+AQ258</f>
        <v>0</v>
      </c>
      <c r="AU258" s="304">
        <f>+AK258+AO258</f>
        <v>0</v>
      </c>
      <c r="AV258" s="347">
        <f>SUM(AR258:AU258)</f>
        <v>0</v>
      </c>
      <c r="AW258" s="340"/>
      <c r="AX258" s="303"/>
      <c r="AY258" s="303"/>
      <c r="AZ258" s="303"/>
      <c r="BA258" s="308"/>
      <c r="BB258" s="321"/>
      <c r="BC258" s="303"/>
      <c r="BD258" s="303"/>
      <c r="BE258" s="303"/>
      <c r="BF258" s="303"/>
    </row>
    <row r="259" spans="1:58" ht="25.5" customHeight="1">
      <c r="A259" s="530"/>
      <c r="B259" s="297"/>
      <c r="C259" s="26" t="s">
        <v>485</v>
      </c>
      <c r="D259" s="299"/>
      <c r="E259" s="299"/>
      <c r="F259" s="299"/>
      <c r="G259" s="299">
        <v>122724</v>
      </c>
      <c r="H259" s="299"/>
      <c r="I259" s="299"/>
      <c r="J259" s="299">
        <v>572862</v>
      </c>
      <c r="K259" s="299"/>
      <c r="L259" s="299"/>
      <c r="M259" s="299">
        <v>2452291.52</v>
      </c>
      <c r="N259" s="299">
        <v>158513.1</v>
      </c>
      <c r="O259" s="299"/>
      <c r="P259" s="299">
        <v>55577.95</v>
      </c>
      <c r="Q259" s="299">
        <v>134121.06</v>
      </c>
      <c r="R259" s="299"/>
      <c r="S259" s="299"/>
      <c r="T259" s="299"/>
      <c r="U259" s="299"/>
      <c r="V259" s="299"/>
      <c r="W259" s="299"/>
      <c r="X259" s="299"/>
      <c r="Y259" s="299">
        <f t="shared" ref="Y259:AA265" si="477">D259+G259+J259+M259+P259+S259+V259</f>
        <v>3203455.47</v>
      </c>
      <c r="Z259" s="299">
        <f t="shared" si="477"/>
        <v>292634.16000000003</v>
      </c>
      <c r="AA259" s="299">
        <f t="shared" si="477"/>
        <v>0</v>
      </c>
      <c r="AB259" s="342">
        <f t="shared" si="437"/>
        <v>3496089.6300000004</v>
      </c>
      <c r="AC259" s="304">
        <f t="shared" si="441"/>
        <v>3147877.52</v>
      </c>
      <c r="AD259" s="304">
        <f t="shared" si="442"/>
        <v>158513.1</v>
      </c>
      <c r="AE259" s="304">
        <f t="shared" si="443"/>
        <v>0</v>
      </c>
      <c r="AF259" s="304">
        <f t="shared" si="444"/>
        <v>189699.01</v>
      </c>
      <c r="AG259" s="304">
        <f t="shared" si="445"/>
        <v>3496089.63</v>
      </c>
      <c r="AH259" s="304"/>
      <c r="AI259" s="304"/>
      <c r="AJ259" s="303"/>
      <c r="AK259" s="299">
        <f t="shared" ref="AK259:AK265" si="478">+AF259</f>
        <v>189699.01</v>
      </c>
      <c r="AL259" s="303"/>
      <c r="AM259" s="303"/>
      <c r="AN259" s="303"/>
      <c r="AO259" s="303"/>
      <c r="AP259" s="308"/>
      <c r="AQ259" s="303"/>
      <c r="AR259" s="304">
        <f t="shared" ref="AR259:AR265" si="479">+AC259+AL259</f>
        <v>3147877.52</v>
      </c>
      <c r="AS259" s="304">
        <f t="shared" ref="AS259:AS265" si="480">+AD259+AM259</f>
        <v>158513.1</v>
      </c>
      <c r="AT259" s="304">
        <f t="shared" ref="AT259:AT265" si="481">+AE259+AN259+AQ259</f>
        <v>0</v>
      </c>
      <c r="AU259" s="304">
        <f t="shared" ref="AU259:AU265" si="482">+AK259+AO259</f>
        <v>189699.01</v>
      </c>
      <c r="AV259" s="347">
        <f t="shared" ref="AV259:AV265" si="483">SUM(AR259:AU259)</f>
        <v>3496089.63</v>
      </c>
      <c r="AW259" s="340"/>
      <c r="AX259" s="303"/>
      <c r="AY259" s="303"/>
      <c r="AZ259" s="303"/>
      <c r="BA259" s="308"/>
      <c r="BB259" s="321"/>
      <c r="BC259" s="303"/>
      <c r="BD259" s="303"/>
      <c r="BE259" s="303"/>
      <c r="BF259" s="303"/>
    </row>
    <row r="260" spans="1:58" ht="25.5" customHeight="1">
      <c r="A260" s="530"/>
      <c r="B260" s="297"/>
      <c r="C260" s="332" t="s">
        <v>486</v>
      </c>
      <c r="D260" s="299"/>
      <c r="E260" s="299"/>
      <c r="F260" s="299"/>
      <c r="G260" s="299"/>
      <c r="H260" s="299"/>
      <c r="I260" s="299"/>
      <c r="J260" s="299"/>
      <c r="K260" s="299"/>
      <c r="L260" s="299"/>
      <c r="M260" s="299">
        <v>58254</v>
      </c>
      <c r="N260" s="299"/>
      <c r="O260" s="299"/>
      <c r="P260" s="299"/>
      <c r="Q260" s="299"/>
      <c r="R260" s="299"/>
      <c r="S260" s="299"/>
      <c r="T260" s="299"/>
      <c r="U260" s="299"/>
      <c r="V260" s="299"/>
      <c r="W260" s="299"/>
      <c r="X260" s="299"/>
      <c r="Y260" s="299">
        <f t="shared" si="477"/>
        <v>58254</v>
      </c>
      <c r="Z260" s="299">
        <f t="shared" si="477"/>
        <v>0</v>
      </c>
      <c r="AA260" s="299">
        <f t="shared" si="477"/>
        <v>0</v>
      </c>
      <c r="AB260" s="342">
        <f t="shared" si="437"/>
        <v>58254</v>
      </c>
      <c r="AC260" s="304">
        <f t="shared" si="441"/>
        <v>58254</v>
      </c>
      <c r="AD260" s="304">
        <f t="shared" si="442"/>
        <v>0</v>
      </c>
      <c r="AE260" s="304">
        <f t="shared" si="443"/>
        <v>0</v>
      </c>
      <c r="AF260" s="304">
        <f t="shared" si="444"/>
        <v>0</v>
      </c>
      <c r="AG260" s="304">
        <f t="shared" si="445"/>
        <v>58254</v>
      </c>
      <c r="AH260" s="304"/>
      <c r="AI260" s="304"/>
      <c r="AJ260" s="303"/>
      <c r="AK260" s="299">
        <f t="shared" si="478"/>
        <v>0</v>
      </c>
      <c r="AL260" s="303"/>
      <c r="AM260" s="303"/>
      <c r="AN260" s="303"/>
      <c r="AO260" s="303"/>
      <c r="AP260" s="308"/>
      <c r="AQ260" s="303"/>
      <c r="AR260" s="304">
        <f t="shared" si="479"/>
        <v>58254</v>
      </c>
      <c r="AS260" s="304">
        <f t="shared" si="480"/>
        <v>0</v>
      </c>
      <c r="AT260" s="304">
        <f t="shared" si="481"/>
        <v>0</v>
      </c>
      <c r="AU260" s="304">
        <f t="shared" si="482"/>
        <v>0</v>
      </c>
      <c r="AV260" s="347">
        <f t="shared" si="483"/>
        <v>58254</v>
      </c>
      <c r="AW260" s="340"/>
      <c r="AX260" s="303"/>
      <c r="AY260" s="303"/>
      <c r="AZ260" s="303"/>
      <c r="BA260" s="308"/>
      <c r="BB260" s="321"/>
      <c r="BC260" s="303"/>
      <c r="BD260" s="303"/>
      <c r="BE260" s="303"/>
      <c r="BF260" s="303"/>
    </row>
    <row r="261" spans="1:58" ht="25.5" customHeight="1">
      <c r="A261" s="530"/>
      <c r="B261" s="297"/>
      <c r="C261" s="332" t="s">
        <v>487</v>
      </c>
      <c r="D261" s="299"/>
      <c r="E261" s="299"/>
      <c r="F261" s="299"/>
      <c r="G261" s="299"/>
      <c r="H261" s="299"/>
      <c r="I261" s="299"/>
      <c r="J261" s="299"/>
      <c r="K261" s="299"/>
      <c r="L261" s="299"/>
      <c r="M261" s="299"/>
      <c r="N261" s="299"/>
      <c r="O261" s="299"/>
      <c r="P261" s="299"/>
      <c r="Q261" s="299"/>
      <c r="R261" s="299"/>
      <c r="S261" s="299"/>
      <c r="T261" s="299"/>
      <c r="U261" s="299"/>
      <c r="V261" s="299"/>
      <c r="W261" s="299"/>
      <c r="X261" s="299"/>
      <c r="Y261" s="299">
        <f t="shared" si="477"/>
        <v>0</v>
      </c>
      <c r="Z261" s="299">
        <f t="shared" si="477"/>
        <v>0</v>
      </c>
      <c r="AA261" s="299">
        <f t="shared" si="477"/>
        <v>0</v>
      </c>
      <c r="AB261" s="342">
        <f t="shared" si="437"/>
        <v>0</v>
      </c>
      <c r="AC261" s="304">
        <f t="shared" si="441"/>
        <v>0</v>
      </c>
      <c r="AD261" s="304">
        <f t="shared" si="442"/>
        <v>0</v>
      </c>
      <c r="AE261" s="304">
        <f t="shared" si="443"/>
        <v>0</v>
      </c>
      <c r="AF261" s="304">
        <f t="shared" si="444"/>
        <v>0</v>
      </c>
      <c r="AG261" s="304">
        <f t="shared" si="445"/>
        <v>0</v>
      </c>
      <c r="AH261" s="304"/>
      <c r="AI261" s="304"/>
      <c r="AJ261" s="303"/>
      <c r="AK261" s="299">
        <f t="shared" si="478"/>
        <v>0</v>
      </c>
      <c r="AL261" s="303"/>
      <c r="AM261" s="303"/>
      <c r="AN261" s="303"/>
      <c r="AO261" s="303"/>
      <c r="AP261" s="308"/>
      <c r="AQ261" s="303"/>
      <c r="AR261" s="304">
        <f t="shared" si="479"/>
        <v>0</v>
      </c>
      <c r="AS261" s="304">
        <f t="shared" si="480"/>
        <v>0</v>
      </c>
      <c r="AT261" s="304">
        <f t="shared" si="481"/>
        <v>0</v>
      </c>
      <c r="AU261" s="304">
        <f t="shared" si="482"/>
        <v>0</v>
      </c>
      <c r="AV261" s="347">
        <f t="shared" si="483"/>
        <v>0</v>
      </c>
      <c r="AW261" s="340"/>
      <c r="AX261" s="303"/>
      <c r="AY261" s="303"/>
      <c r="AZ261" s="303"/>
      <c r="BA261" s="308"/>
      <c r="BB261" s="321"/>
      <c r="BC261" s="303"/>
      <c r="BD261" s="303"/>
      <c r="BE261" s="303"/>
      <c r="BF261" s="303"/>
    </row>
    <row r="262" spans="1:58" ht="25.5" customHeight="1">
      <c r="A262" s="530"/>
      <c r="B262" s="297"/>
      <c r="C262" s="26" t="s">
        <v>488</v>
      </c>
      <c r="D262" s="299">
        <v>1100820</v>
      </c>
      <c r="E262" s="299">
        <v>180824</v>
      </c>
      <c r="F262" s="299">
        <v>12300</v>
      </c>
      <c r="G262" s="299"/>
      <c r="H262" s="299"/>
      <c r="I262" s="299"/>
      <c r="J262" s="299"/>
      <c r="K262" s="299"/>
      <c r="L262" s="299"/>
      <c r="M262" s="299"/>
      <c r="N262" s="299"/>
      <c r="O262" s="299"/>
      <c r="P262" s="299"/>
      <c r="Q262" s="299"/>
      <c r="R262" s="299"/>
      <c r="S262" s="299"/>
      <c r="T262" s="299"/>
      <c r="U262" s="299"/>
      <c r="V262" s="299"/>
      <c r="W262" s="299"/>
      <c r="X262" s="299"/>
      <c r="Y262" s="299">
        <f t="shared" si="477"/>
        <v>1100820</v>
      </c>
      <c r="Z262" s="299">
        <f t="shared" si="477"/>
        <v>180824</v>
      </c>
      <c r="AA262" s="299">
        <f t="shared" si="477"/>
        <v>12300</v>
      </c>
      <c r="AB262" s="342">
        <f t="shared" si="437"/>
        <v>1293944</v>
      </c>
      <c r="AC262" s="304">
        <f t="shared" si="441"/>
        <v>1100820</v>
      </c>
      <c r="AD262" s="304">
        <f t="shared" si="442"/>
        <v>180824</v>
      </c>
      <c r="AE262" s="304">
        <f t="shared" si="443"/>
        <v>12300</v>
      </c>
      <c r="AF262" s="304">
        <f t="shared" si="444"/>
        <v>0</v>
      </c>
      <c r="AG262" s="304">
        <f t="shared" si="445"/>
        <v>1293944</v>
      </c>
      <c r="AH262" s="304"/>
      <c r="AI262" s="304"/>
      <c r="AJ262" s="303"/>
      <c r="AK262" s="299">
        <f t="shared" si="478"/>
        <v>0</v>
      </c>
      <c r="AL262" s="303"/>
      <c r="AM262" s="303"/>
      <c r="AN262" s="303"/>
      <c r="AO262" s="303"/>
      <c r="AP262" s="308"/>
      <c r="AQ262" s="303"/>
      <c r="AR262" s="304">
        <f t="shared" si="479"/>
        <v>1100820</v>
      </c>
      <c r="AS262" s="304">
        <f t="shared" si="480"/>
        <v>180824</v>
      </c>
      <c r="AT262" s="304">
        <f t="shared" si="481"/>
        <v>12300</v>
      </c>
      <c r="AU262" s="304">
        <f t="shared" si="482"/>
        <v>0</v>
      </c>
      <c r="AV262" s="347">
        <f t="shared" si="483"/>
        <v>1293944</v>
      </c>
      <c r="AW262" s="340"/>
      <c r="AX262" s="303"/>
      <c r="AY262" s="303"/>
      <c r="AZ262" s="303"/>
      <c r="BA262" s="308"/>
      <c r="BB262" s="321"/>
      <c r="BC262" s="303"/>
      <c r="BD262" s="303"/>
      <c r="BE262" s="303"/>
      <c r="BF262" s="303"/>
    </row>
    <row r="263" spans="1:58" ht="25.5" customHeight="1">
      <c r="A263" s="530"/>
      <c r="B263" s="297"/>
      <c r="C263" s="26" t="s">
        <v>489</v>
      </c>
      <c r="D263" s="299"/>
      <c r="E263" s="299"/>
      <c r="F263" s="299"/>
      <c r="G263" s="299"/>
      <c r="H263" s="299"/>
      <c r="I263" s="299"/>
      <c r="J263" s="299"/>
      <c r="K263" s="299"/>
      <c r="L263" s="299"/>
      <c r="M263" s="299"/>
      <c r="N263" s="299"/>
      <c r="O263" s="299"/>
      <c r="P263" s="299"/>
      <c r="Q263" s="299"/>
      <c r="R263" s="299"/>
      <c r="S263" s="299"/>
      <c r="T263" s="299"/>
      <c r="U263" s="299"/>
      <c r="V263" s="299"/>
      <c r="W263" s="299"/>
      <c r="X263" s="299"/>
      <c r="Y263" s="299">
        <f t="shared" si="477"/>
        <v>0</v>
      </c>
      <c r="Z263" s="299">
        <f t="shared" si="477"/>
        <v>0</v>
      </c>
      <c r="AA263" s="299">
        <f t="shared" si="477"/>
        <v>0</v>
      </c>
      <c r="AB263" s="342">
        <f t="shared" si="437"/>
        <v>0</v>
      </c>
      <c r="AC263" s="304">
        <f t="shared" si="441"/>
        <v>0</v>
      </c>
      <c r="AD263" s="304">
        <f t="shared" si="442"/>
        <v>0</v>
      </c>
      <c r="AE263" s="304">
        <f t="shared" si="443"/>
        <v>0</v>
      </c>
      <c r="AF263" s="304">
        <f t="shared" si="444"/>
        <v>0</v>
      </c>
      <c r="AG263" s="304">
        <f t="shared" si="445"/>
        <v>0</v>
      </c>
      <c r="AH263" s="304"/>
      <c r="AI263" s="304"/>
      <c r="AJ263" s="303"/>
      <c r="AK263" s="299">
        <f t="shared" si="478"/>
        <v>0</v>
      </c>
      <c r="AL263" s="303"/>
      <c r="AM263" s="303"/>
      <c r="AN263" s="303"/>
      <c r="AO263" s="303"/>
      <c r="AP263" s="308"/>
      <c r="AQ263" s="303"/>
      <c r="AR263" s="304">
        <f t="shared" si="479"/>
        <v>0</v>
      </c>
      <c r="AS263" s="304">
        <f t="shared" si="480"/>
        <v>0</v>
      </c>
      <c r="AT263" s="304">
        <f t="shared" si="481"/>
        <v>0</v>
      </c>
      <c r="AU263" s="304">
        <f t="shared" si="482"/>
        <v>0</v>
      </c>
      <c r="AV263" s="347">
        <f t="shared" si="483"/>
        <v>0</v>
      </c>
      <c r="AW263" s="340"/>
      <c r="AX263" s="303"/>
      <c r="AY263" s="303"/>
      <c r="AZ263" s="303"/>
      <c r="BA263" s="308"/>
      <c r="BB263" s="321"/>
      <c r="BC263" s="303"/>
      <c r="BD263" s="303"/>
      <c r="BE263" s="303"/>
      <c r="BF263" s="303"/>
    </row>
    <row r="264" spans="1:58" ht="25.5" customHeight="1">
      <c r="A264" s="530"/>
      <c r="B264" s="297"/>
      <c r="C264" s="26" t="s">
        <v>490</v>
      </c>
      <c r="D264" s="299"/>
      <c r="E264" s="299"/>
      <c r="F264" s="299"/>
      <c r="G264" s="299"/>
      <c r="H264" s="299"/>
      <c r="I264" s="299"/>
      <c r="J264" s="299"/>
      <c r="K264" s="299"/>
      <c r="L264" s="299"/>
      <c r="M264" s="299"/>
      <c r="N264" s="299"/>
      <c r="O264" s="299"/>
      <c r="P264" s="299"/>
      <c r="Q264" s="299"/>
      <c r="R264" s="299"/>
      <c r="S264" s="299"/>
      <c r="T264" s="299"/>
      <c r="U264" s="299"/>
      <c r="V264" s="299"/>
      <c r="W264" s="299"/>
      <c r="X264" s="299"/>
      <c r="Y264" s="299">
        <f t="shared" si="477"/>
        <v>0</v>
      </c>
      <c r="Z264" s="299">
        <f t="shared" si="477"/>
        <v>0</v>
      </c>
      <c r="AA264" s="299">
        <f t="shared" si="477"/>
        <v>0</v>
      </c>
      <c r="AB264" s="342">
        <f t="shared" si="437"/>
        <v>0</v>
      </c>
      <c r="AC264" s="304">
        <f t="shared" si="441"/>
        <v>0</v>
      </c>
      <c r="AD264" s="304">
        <f t="shared" si="442"/>
        <v>0</v>
      </c>
      <c r="AE264" s="304">
        <f t="shared" si="443"/>
        <v>0</v>
      </c>
      <c r="AF264" s="304">
        <f t="shared" si="444"/>
        <v>0</v>
      </c>
      <c r="AG264" s="304">
        <f t="shared" si="445"/>
        <v>0</v>
      </c>
      <c r="AH264" s="304"/>
      <c r="AI264" s="304"/>
      <c r="AJ264" s="303"/>
      <c r="AK264" s="299">
        <f t="shared" si="478"/>
        <v>0</v>
      </c>
      <c r="AL264" s="303"/>
      <c r="AM264" s="303"/>
      <c r="AN264" s="303"/>
      <c r="AO264" s="303"/>
      <c r="AP264" s="308"/>
      <c r="AQ264" s="303"/>
      <c r="AR264" s="304">
        <f t="shared" si="479"/>
        <v>0</v>
      </c>
      <c r="AS264" s="304">
        <f t="shared" si="480"/>
        <v>0</v>
      </c>
      <c r="AT264" s="304">
        <f t="shared" si="481"/>
        <v>0</v>
      </c>
      <c r="AU264" s="304">
        <f t="shared" si="482"/>
        <v>0</v>
      </c>
      <c r="AV264" s="347">
        <f t="shared" si="483"/>
        <v>0</v>
      </c>
      <c r="AW264" s="340"/>
      <c r="AX264" s="303"/>
      <c r="AY264" s="303"/>
      <c r="AZ264" s="303"/>
      <c r="BA264" s="308"/>
      <c r="BB264" s="321"/>
      <c r="BC264" s="303"/>
      <c r="BD264" s="303"/>
      <c r="BE264" s="303"/>
      <c r="BF264" s="303"/>
    </row>
    <row r="265" spans="1:58" ht="25.5" customHeight="1">
      <c r="A265" s="530"/>
      <c r="B265" s="297"/>
      <c r="C265" s="26" t="s">
        <v>491</v>
      </c>
      <c r="D265" s="299"/>
      <c r="E265" s="299"/>
      <c r="F265" s="299"/>
      <c r="G265" s="299"/>
      <c r="H265" s="299"/>
      <c r="I265" s="299"/>
      <c r="J265" s="299"/>
      <c r="K265" s="299"/>
      <c r="L265" s="299"/>
      <c r="M265" s="299"/>
      <c r="N265" s="299"/>
      <c r="O265" s="299"/>
      <c r="P265" s="299"/>
      <c r="Q265" s="299"/>
      <c r="R265" s="299"/>
      <c r="S265" s="299"/>
      <c r="T265" s="299"/>
      <c r="U265" s="299"/>
      <c r="V265" s="299"/>
      <c r="W265" s="299"/>
      <c r="X265" s="299"/>
      <c r="Y265" s="299">
        <f t="shared" si="477"/>
        <v>0</v>
      </c>
      <c r="Z265" s="299">
        <f t="shared" si="477"/>
        <v>0</v>
      </c>
      <c r="AA265" s="299">
        <f t="shared" si="477"/>
        <v>0</v>
      </c>
      <c r="AB265" s="342">
        <f t="shared" si="437"/>
        <v>0</v>
      </c>
      <c r="AC265" s="304">
        <f t="shared" si="441"/>
        <v>0</v>
      </c>
      <c r="AD265" s="304">
        <f t="shared" si="442"/>
        <v>0</v>
      </c>
      <c r="AE265" s="304">
        <f t="shared" si="443"/>
        <v>0</v>
      </c>
      <c r="AF265" s="304">
        <f t="shared" si="444"/>
        <v>0</v>
      </c>
      <c r="AG265" s="304">
        <f t="shared" si="445"/>
        <v>0</v>
      </c>
      <c r="AH265" s="304"/>
      <c r="AI265" s="304"/>
      <c r="AJ265" s="303"/>
      <c r="AK265" s="299">
        <f t="shared" si="478"/>
        <v>0</v>
      </c>
      <c r="AL265" s="303"/>
      <c r="AM265" s="303"/>
      <c r="AN265" s="303"/>
      <c r="AO265" s="303"/>
      <c r="AP265" s="308"/>
      <c r="AQ265" s="303"/>
      <c r="AR265" s="304">
        <f t="shared" si="479"/>
        <v>0</v>
      </c>
      <c r="AS265" s="304">
        <f t="shared" si="480"/>
        <v>0</v>
      </c>
      <c r="AT265" s="304">
        <f t="shared" si="481"/>
        <v>0</v>
      </c>
      <c r="AU265" s="304">
        <f t="shared" si="482"/>
        <v>0</v>
      </c>
      <c r="AV265" s="347">
        <f t="shared" si="483"/>
        <v>0</v>
      </c>
      <c r="AW265" s="340"/>
      <c r="AX265" s="303"/>
      <c r="AY265" s="303"/>
      <c r="AZ265" s="303"/>
      <c r="BA265" s="308"/>
      <c r="BB265" s="321"/>
      <c r="BC265" s="303"/>
      <c r="BD265" s="303"/>
      <c r="BE265" s="303"/>
      <c r="BF265" s="303"/>
    </row>
    <row r="266" spans="1:58" ht="25.5" customHeight="1">
      <c r="A266" s="530"/>
      <c r="B266" s="297"/>
      <c r="C266" s="334" t="s">
        <v>455</v>
      </c>
      <c r="D266" s="339">
        <f>SUM(D258:D265)</f>
        <v>1100820</v>
      </c>
      <c r="E266" s="339">
        <f t="shared" ref="E266:X266" si="484">SUM(E258:E265)</f>
        <v>180824</v>
      </c>
      <c r="F266" s="339">
        <f t="shared" si="484"/>
        <v>12300</v>
      </c>
      <c r="G266" s="339">
        <f t="shared" si="484"/>
        <v>122724</v>
      </c>
      <c r="H266" s="339">
        <f t="shared" si="484"/>
        <v>0</v>
      </c>
      <c r="I266" s="339">
        <f t="shared" si="484"/>
        <v>0</v>
      </c>
      <c r="J266" s="339">
        <f t="shared" si="484"/>
        <v>572862</v>
      </c>
      <c r="K266" s="339">
        <f t="shared" si="484"/>
        <v>0</v>
      </c>
      <c r="L266" s="339">
        <f t="shared" si="484"/>
        <v>0</v>
      </c>
      <c r="M266" s="339">
        <f t="shared" si="484"/>
        <v>2510545.52</v>
      </c>
      <c r="N266" s="339">
        <f t="shared" si="484"/>
        <v>158513.1</v>
      </c>
      <c r="O266" s="339">
        <f t="shared" si="484"/>
        <v>0</v>
      </c>
      <c r="P266" s="339">
        <f t="shared" si="484"/>
        <v>55577.95</v>
      </c>
      <c r="Q266" s="339">
        <f t="shared" si="484"/>
        <v>134121.06</v>
      </c>
      <c r="R266" s="339">
        <f t="shared" si="484"/>
        <v>0</v>
      </c>
      <c r="S266" s="339">
        <f t="shared" si="484"/>
        <v>0</v>
      </c>
      <c r="T266" s="339">
        <f t="shared" si="484"/>
        <v>0</v>
      </c>
      <c r="U266" s="339">
        <f t="shared" si="484"/>
        <v>0</v>
      </c>
      <c r="V266" s="339">
        <f t="shared" si="484"/>
        <v>0</v>
      </c>
      <c r="W266" s="339">
        <f t="shared" si="484"/>
        <v>0</v>
      </c>
      <c r="X266" s="339">
        <f t="shared" si="484"/>
        <v>0</v>
      </c>
      <c r="Y266" s="339">
        <f>SUM(Y258:Y265)</f>
        <v>4362529.4700000007</v>
      </c>
      <c r="Z266" s="339">
        <f>SUM(Z258:Z265)</f>
        <v>473458.16000000003</v>
      </c>
      <c r="AA266" s="339">
        <f>SUM(AA258:AA265)</f>
        <v>12300</v>
      </c>
      <c r="AB266" s="342">
        <f t="shared" si="437"/>
        <v>4848287.6300000008</v>
      </c>
      <c r="AC266" s="304">
        <f t="shared" si="441"/>
        <v>4306951.5199999996</v>
      </c>
      <c r="AD266" s="304">
        <f t="shared" si="442"/>
        <v>339337.1</v>
      </c>
      <c r="AE266" s="304">
        <f t="shared" si="443"/>
        <v>12300</v>
      </c>
      <c r="AF266" s="304">
        <f t="shared" si="444"/>
        <v>189699.01</v>
      </c>
      <c r="AG266" s="304">
        <f t="shared" si="445"/>
        <v>4848287.629999999</v>
      </c>
      <c r="AH266" s="304"/>
      <c r="AI266" s="304"/>
      <c r="AJ266" s="303"/>
      <c r="AK266" s="299">
        <f>SUM(AK258:AK265)</f>
        <v>189699.01</v>
      </c>
      <c r="AL266" s="303"/>
      <c r="AM266" s="303"/>
      <c r="AN266" s="303"/>
      <c r="AO266" s="303"/>
      <c r="AP266" s="308"/>
      <c r="AQ266" s="303"/>
      <c r="AR266" s="304">
        <f>SUM(AR258:AR265)</f>
        <v>4306951.5199999996</v>
      </c>
      <c r="AS266" s="304">
        <f>SUM(AS258:AS265)</f>
        <v>339337.1</v>
      </c>
      <c r="AT266" s="304">
        <f t="shared" ref="AT266" si="485">SUM(AT258:AT265)</f>
        <v>12300</v>
      </c>
      <c r="AU266" s="304">
        <f t="shared" ref="AU266" si="486">SUM(AU258:AU265)</f>
        <v>189699.01</v>
      </c>
      <c r="AV266" s="347">
        <f>SUM(AR266:AU266)</f>
        <v>4848287.629999999</v>
      </c>
      <c r="AW266" s="340"/>
      <c r="AX266" s="303"/>
      <c r="AY266" s="303"/>
      <c r="AZ266" s="303"/>
      <c r="BA266" s="308"/>
      <c r="BB266" s="321"/>
      <c r="BC266" s="303"/>
      <c r="BD266" s="303"/>
      <c r="BE266" s="303"/>
      <c r="BF266" s="303"/>
    </row>
    <row r="267" spans="1:58" ht="25.5" customHeight="1">
      <c r="A267" s="530"/>
      <c r="B267" s="297"/>
      <c r="C267" s="334" t="s">
        <v>475</v>
      </c>
      <c r="D267" s="333">
        <f t="shared" ref="D267:AB267" si="487">+D206+D216+D226+D236+D246+D256+D266</f>
        <v>452904737.93000001</v>
      </c>
      <c r="E267" s="333">
        <f t="shared" si="487"/>
        <v>18310208.083999999</v>
      </c>
      <c r="F267" s="333">
        <f t="shared" si="487"/>
        <v>13764952.99</v>
      </c>
      <c r="G267" s="333">
        <f t="shared" si="487"/>
        <v>2709207.1100000003</v>
      </c>
      <c r="H267" s="333">
        <f t="shared" si="487"/>
        <v>264314</v>
      </c>
      <c r="I267" s="333">
        <f t="shared" si="487"/>
        <v>0</v>
      </c>
      <c r="J267" s="333">
        <f t="shared" si="487"/>
        <v>4792847.9399999995</v>
      </c>
      <c r="K267" s="333">
        <f t="shared" si="487"/>
        <v>1116201.1099999999</v>
      </c>
      <c r="L267" s="333">
        <f t="shared" si="487"/>
        <v>0</v>
      </c>
      <c r="M267" s="333">
        <f t="shared" si="487"/>
        <v>83047702.179999992</v>
      </c>
      <c r="N267" s="333">
        <f t="shared" si="487"/>
        <v>37779117.430000007</v>
      </c>
      <c r="O267" s="333">
        <f t="shared" si="487"/>
        <v>0</v>
      </c>
      <c r="P267" s="333">
        <f t="shared" si="487"/>
        <v>54009020.079999998</v>
      </c>
      <c r="Q267" s="333">
        <f t="shared" si="487"/>
        <v>15997866.990000002</v>
      </c>
      <c r="R267" s="333">
        <f t="shared" si="487"/>
        <v>0</v>
      </c>
      <c r="S267" s="333">
        <f t="shared" si="487"/>
        <v>1549803</v>
      </c>
      <c r="T267" s="333">
        <f t="shared" si="487"/>
        <v>4324739.5</v>
      </c>
      <c r="U267" s="333">
        <f t="shared" si="487"/>
        <v>0</v>
      </c>
      <c r="V267" s="333">
        <f t="shared" si="487"/>
        <v>26122331.009999998</v>
      </c>
      <c r="W267" s="333">
        <f t="shared" si="487"/>
        <v>20841977.149999999</v>
      </c>
      <c r="X267" s="333">
        <f t="shared" si="487"/>
        <v>0</v>
      </c>
      <c r="Y267" s="333">
        <f t="shared" si="487"/>
        <v>625135649.25000012</v>
      </c>
      <c r="Z267" s="333">
        <f t="shared" si="487"/>
        <v>98634424.263999999</v>
      </c>
      <c r="AA267" s="333">
        <f t="shared" si="487"/>
        <v>13764952.99</v>
      </c>
      <c r="AB267" s="357">
        <f t="shared" si="487"/>
        <v>737535026.50400007</v>
      </c>
      <c r="AC267" s="304">
        <f>+D267+G267+J267+M267+S267+V267</f>
        <v>571126629.16999996</v>
      </c>
      <c r="AD267" s="304">
        <f>+E267+H267+K267+N267+T267+W267</f>
        <v>82636557.274000004</v>
      </c>
      <c r="AE267" s="304">
        <f>+F267+I267+L267+O267+U267+X267</f>
        <v>13764952.99</v>
      </c>
      <c r="AF267" s="304">
        <f>+P267+Q267</f>
        <v>70006887.069999993</v>
      </c>
      <c r="AG267" s="304">
        <f>+AC267+AD267+AE267+AF267</f>
        <v>737535026.50399995</v>
      </c>
      <c r="AH267" s="304"/>
      <c r="AI267" s="304"/>
      <c r="AJ267" s="304"/>
      <c r="AK267" s="296">
        <f>+AK206+AK216+AK226+AK236+AK246+AK256+AK266</f>
        <v>70006887.070000008</v>
      </c>
      <c r="AL267" s="303"/>
      <c r="AM267" s="303"/>
      <c r="AN267" s="303"/>
      <c r="AO267" s="303"/>
      <c r="AP267" s="308"/>
      <c r="AQ267" s="303"/>
      <c r="AR267" s="335">
        <f>+AR206+AR216+AR226+AR236+AR246+AR256+AR266</f>
        <v>560481125.24000001</v>
      </c>
      <c r="AS267" s="335">
        <f>+AS206+AS216+AS226+AS236+AS246+AS256+AS266</f>
        <v>75497426.273999989</v>
      </c>
      <c r="AT267" s="335">
        <f>+AT206+AT216+AT226+AT236+AT246+AT256+AT266</f>
        <v>92910</v>
      </c>
      <c r="AU267" s="335">
        <f>+AU206+AU216+AU226+AU236+AU246+AU256+AU266</f>
        <v>70006887.070000008</v>
      </c>
      <c r="AV267" s="350">
        <f>+AV206+AV216+AV226+AV236+AV246+AV256+AV266</f>
        <v>706078348.58400011</v>
      </c>
      <c r="AW267" s="340"/>
      <c r="AX267" s="303"/>
      <c r="AY267" s="303"/>
      <c r="AZ267" s="303"/>
      <c r="BA267" s="308"/>
      <c r="BB267" s="321"/>
      <c r="BC267" s="303"/>
      <c r="BD267" s="303"/>
      <c r="BE267" s="303"/>
      <c r="BF267" s="303"/>
    </row>
    <row r="268" spans="1:58" ht="25.5" customHeight="1">
      <c r="A268" s="530"/>
      <c r="B268" s="297"/>
      <c r="C268" s="303" t="s">
        <v>155</v>
      </c>
      <c r="D268" s="299">
        <f t="shared" ref="D268:AB268" si="488">+D185+D267</f>
        <v>555784144.37</v>
      </c>
      <c r="E268" s="299">
        <f t="shared" si="488"/>
        <v>64251787.643999994</v>
      </c>
      <c r="F268" s="299">
        <f t="shared" si="488"/>
        <v>14581679.48</v>
      </c>
      <c r="G268" s="299">
        <f t="shared" si="488"/>
        <v>7437247.4900000002</v>
      </c>
      <c r="H268" s="299">
        <f t="shared" si="488"/>
        <v>596544.06000000006</v>
      </c>
      <c r="I268" s="299">
        <f t="shared" si="488"/>
        <v>0</v>
      </c>
      <c r="J268" s="299">
        <f t="shared" si="488"/>
        <v>13150591.009999998</v>
      </c>
      <c r="K268" s="299">
        <f t="shared" si="488"/>
        <v>3203443.11</v>
      </c>
      <c r="L268" s="299">
        <f t="shared" si="488"/>
        <v>0</v>
      </c>
      <c r="M268" s="299">
        <f t="shared" si="488"/>
        <v>145583370.17000002</v>
      </c>
      <c r="N268" s="299">
        <f t="shared" si="488"/>
        <v>86079852.130000025</v>
      </c>
      <c r="O268" s="299">
        <f t="shared" si="488"/>
        <v>0</v>
      </c>
      <c r="P268" s="299">
        <f t="shared" si="488"/>
        <v>226498983.07999998</v>
      </c>
      <c r="Q268" s="299">
        <f t="shared" si="488"/>
        <v>36902794.800000004</v>
      </c>
      <c r="R268" s="299">
        <f t="shared" si="488"/>
        <v>0</v>
      </c>
      <c r="S268" s="299">
        <f t="shared" si="488"/>
        <v>77429957</v>
      </c>
      <c r="T268" s="299">
        <f t="shared" si="488"/>
        <v>12010527.5</v>
      </c>
      <c r="U268" s="299">
        <f t="shared" si="488"/>
        <v>0</v>
      </c>
      <c r="V268" s="299">
        <f t="shared" si="488"/>
        <v>45555216.479999997</v>
      </c>
      <c r="W268" s="299">
        <f t="shared" si="488"/>
        <v>47457312.390000001</v>
      </c>
      <c r="X268" s="299">
        <f t="shared" si="488"/>
        <v>0</v>
      </c>
      <c r="Y268" s="299">
        <f t="shared" si="488"/>
        <v>1071439509.6000001</v>
      </c>
      <c r="Z268" s="299">
        <f t="shared" si="488"/>
        <v>250502261.63399997</v>
      </c>
      <c r="AA268" s="299">
        <f t="shared" si="488"/>
        <v>14581679.48</v>
      </c>
      <c r="AB268" s="294">
        <f t="shared" si="488"/>
        <v>1336523450.7140002</v>
      </c>
      <c r="AC268" s="304">
        <f>+D268+G268+J268+M268+S268+V268</f>
        <v>844940526.51999998</v>
      </c>
      <c r="AD268" s="304">
        <f>+E268+H268+K268+N268+T268+W268</f>
        <v>213599466.83399999</v>
      </c>
      <c r="AE268" s="304">
        <f t="shared" si="443"/>
        <v>14581679.48</v>
      </c>
      <c r="AF268" s="304">
        <f t="shared" si="444"/>
        <v>263401777.88</v>
      </c>
      <c r="AG268" s="304">
        <f>+AC268+AD268+AE268+AF268</f>
        <v>1336523450.714</v>
      </c>
      <c r="AH268" s="304"/>
      <c r="AI268" s="304"/>
      <c r="AJ268" s="303"/>
      <c r="AK268" s="294">
        <f>+AK185+AK267</f>
        <v>263401777.88000005</v>
      </c>
      <c r="AL268" s="303"/>
      <c r="AM268" s="303"/>
      <c r="AN268" s="303"/>
      <c r="AO268" s="303"/>
      <c r="AP268" s="308"/>
      <c r="AQ268" s="303"/>
      <c r="AR268" s="304">
        <f>+AR185+AR267</f>
        <v>844940526.51999998</v>
      </c>
      <c r="AS268" s="304">
        <f>+AS185+AS267</f>
        <v>213599466.83399999</v>
      </c>
      <c r="AT268" s="304">
        <f>+AT185+AT267+0.01</f>
        <v>14581679.48</v>
      </c>
      <c r="AU268" s="304">
        <f>+AU185+AU267</f>
        <v>263401777.88000005</v>
      </c>
      <c r="AV268" s="347">
        <f>+AR268+AS268+AT268+AU268</f>
        <v>1336523450.714</v>
      </c>
      <c r="AW268" s="340"/>
      <c r="AX268" s="303"/>
      <c r="AY268" s="303"/>
      <c r="AZ268" s="303"/>
      <c r="BA268" s="308"/>
      <c r="BB268" s="321"/>
      <c r="BC268" s="303"/>
      <c r="BD268" s="303"/>
      <c r="BE268" s="303"/>
      <c r="BF268" s="303"/>
    </row>
    <row r="270" spans="1:58" ht="25.5" hidden="1" customHeight="1">
      <c r="F270" s="294"/>
      <c r="G270" s="294"/>
      <c r="H270" s="294"/>
      <c r="I270" s="294"/>
      <c r="J270" s="294"/>
      <c r="K270" s="294"/>
      <c r="L270" s="294"/>
      <c r="M270" s="294"/>
      <c r="N270" s="294"/>
      <c r="O270" s="294"/>
      <c r="P270" s="294"/>
      <c r="Q270" s="294"/>
      <c r="R270" s="294"/>
      <c r="U270" s="294"/>
      <c r="X270" s="294"/>
      <c r="Y270" s="294"/>
      <c r="Z270" s="294"/>
      <c r="AA270" s="294"/>
      <c r="AB270" s="294"/>
      <c r="AF270" s="294">
        <f>226498983.08+36902794.8</f>
        <v>263401777.88</v>
      </c>
      <c r="AI270" s="305"/>
    </row>
    <row r="271" spans="1:58" ht="25.5" hidden="1" customHeight="1">
      <c r="C271" s="293" t="s">
        <v>477</v>
      </c>
      <c r="AI271" s="305"/>
      <c r="AR271" s="294">
        <f>1071439509.6-226498983.08</f>
        <v>844940526.51999998</v>
      </c>
      <c r="AS271" s="294">
        <f>250502261.63-36902794.8</f>
        <v>213599466.82999998</v>
      </c>
      <c r="AT271" s="294">
        <v>14581679.48</v>
      </c>
      <c r="AU271" s="294">
        <f>226498983.08+36902794.8</f>
        <v>263401777.88</v>
      </c>
      <c r="AV271" s="351">
        <f>+AR271+AS271+AT271+AU271</f>
        <v>1336523450.71</v>
      </c>
    </row>
    <row r="272" spans="1:58" ht="25.5" hidden="1" customHeight="1">
      <c r="F272" s="294"/>
      <c r="G272" s="294"/>
      <c r="H272" s="294"/>
      <c r="I272" s="294"/>
      <c r="J272" s="294"/>
      <c r="K272" s="294"/>
      <c r="L272" s="294"/>
      <c r="M272" s="294"/>
      <c r="N272" s="294"/>
      <c r="O272" s="294"/>
      <c r="P272" s="294"/>
      <c r="Q272" s="294"/>
      <c r="R272" s="294"/>
      <c r="U272" s="294"/>
      <c r="X272" s="294"/>
      <c r="Y272" s="294"/>
      <c r="Z272" s="294"/>
      <c r="AA272" s="294"/>
      <c r="AB272" s="294"/>
    </row>
    <row r="273" spans="3:53" ht="25.5" hidden="1" customHeight="1">
      <c r="C273" s="628" t="s">
        <v>256</v>
      </c>
      <c r="D273" s="628"/>
      <c r="E273" s="628"/>
      <c r="F273" s="628"/>
      <c r="G273" s="628"/>
      <c r="H273" s="628"/>
      <c r="AR273" s="305"/>
      <c r="AS273" s="305"/>
      <c r="BA273" s="305"/>
    </row>
    <row r="274" spans="3:53" ht="25.5" hidden="1" customHeight="1">
      <c r="C274" s="26" t="s">
        <v>484</v>
      </c>
      <c r="AC274" s="304">
        <f>+AC198+AC218+AC228+AC238+AC248+AC258</f>
        <v>4717239.18</v>
      </c>
      <c r="AD274" s="304">
        <f t="shared" ref="AD274:AF274" si="489">+AD198+AD218+AD228+AD238+AD248+AD258</f>
        <v>8792006.1799999997</v>
      </c>
      <c r="AE274" s="304">
        <f t="shared" si="489"/>
        <v>0</v>
      </c>
      <c r="AF274" s="304">
        <f t="shared" si="489"/>
        <v>0</v>
      </c>
      <c r="AG274" s="304">
        <f t="shared" ref="AG274:AG282" si="490">SUM(AC274:AF274)</f>
        <v>13509245.359999999</v>
      </c>
      <c r="AS274" s="294"/>
    </row>
    <row r="275" spans="3:53" ht="25.5" hidden="1" customHeight="1">
      <c r="C275" s="26" t="s">
        <v>485</v>
      </c>
      <c r="AC275" s="304">
        <f t="shared" ref="AC275:AF281" si="491">+AC199+AC219+AC229+AC239+AC249+AC259</f>
        <v>90101197.63000001</v>
      </c>
      <c r="AD275" s="304">
        <f t="shared" si="491"/>
        <v>49883353.010000013</v>
      </c>
      <c r="AE275" s="304">
        <f t="shared" si="491"/>
        <v>0</v>
      </c>
      <c r="AF275" s="304">
        <f t="shared" si="491"/>
        <v>70006887.070000008</v>
      </c>
      <c r="AG275" s="304">
        <f t="shared" si="490"/>
        <v>209991437.71000004</v>
      </c>
    </row>
    <row r="276" spans="3:53" ht="25.5" hidden="1" customHeight="1">
      <c r="C276" s="332" t="s">
        <v>486</v>
      </c>
      <c r="AC276" s="304">
        <f t="shared" si="491"/>
        <v>7055259.5</v>
      </c>
      <c r="AD276" s="304">
        <f t="shared" si="491"/>
        <v>0</v>
      </c>
      <c r="AE276" s="304">
        <f t="shared" si="491"/>
        <v>0</v>
      </c>
      <c r="AF276" s="304">
        <f t="shared" si="491"/>
        <v>0</v>
      </c>
      <c r="AG276" s="304">
        <f t="shared" si="490"/>
        <v>7055259.5</v>
      </c>
    </row>
    <row r="277" spans="3:53" ht="25.5" hidden="1" customHeight="1">
      <c r="C277" s="332" t="s">
        <v>487</v>
      </c>
      <c r="AC277" s="304">
        <f t="shared" si="491"/>
        <v>4305041</v>
      </c>
      <c r="AD277" s="304">
        <f t="shared" si="491"/>
        <v>0</v>
      </c>
      <c r="AE277" s="304">
        <f t="shared" si="491"/>
        <v>0</v>
      </c>
      <c r="AF277" s="304">
        <f t="shared" si="491"/>
        <v>0</v>
      </c>
      <c r="AG277" s="304">
        <f t="shared" si="490"/>
        <v>4305041</v>
      </c>
    </row>
    <row r="278" spans="3:53" ht="25.5" hidden="1" customHeight="1">
      <c r="C278" s="26" t="s">
        <v>488</v>
      </c>
      <c r="AC278" s="304">
        <f t="shared" si="491"/>
        <v>454302387.93000001</v>
      </c>
      <c r="AD278" s="304">
        <f t="shared" si="491"/>
        <v>16822067.083999999</v>
      </c>
      <c r="AE278" s="304">
        <f>+AE202+AE222+AE232+AE242+AE252+AE262-13672042.99</f>
        <v>92910</v>
      </c>
      <c r="AF278" s="304">
        <f t="shared" si="491"/>
        <v>0</v>
      </c>
      <c r="AG278" s="304">
        <f t="shared" si="490"/>
        <v>471217365.014</v>
      </c>
    </row>
    <row r="279" spans="3:53" ht="25.5" hidden="1" customHeight="1">
      <c r="C279" s="26" t="s">
        <v>489</v>
      </c>
      <c r="AC279" s="304">
        <f t="shared" si="491"/>
        <v>0</v>
      </c>
      <c r="AD279" s="304">
        <f t="shared" si="491"/>
        <v>0</v>
      </c>
      <c r="AE279" s="304">
        <f t="shared" si="491"/>
        <v>0</v>
      </c>
      <c r="AF279" s="304">
        <f t="shared" si="491"/>
        <v>0</v>
      </c>
      <c r="AG279" s="304">
        <f t="shared" si="490"/>
        <v>0</v>
      </c>
    </row>
    <row r="280" spans="3:53" ht="25.5" hidden="1" customHeight="1">
      <c r="C280" s="26" t="s">
        <v>490</v>
      </c>
      <c r="AC280" s="304">
        <f t="shared" si="491"/>
        <v>0</v>
      </c>
      <c r="AD280" s="304">
        <f t="shared" si="491"/>
        <v>0</v>
      </c>
      <c r="AE280" s="304">
        <f t="shared" si="491"/>
        <v>0</v>
      </c>
      <c r="AF280" s="304">
        <f t="shared" si="491"/>
        <v>0</v>
      </c>
      <c r="AG280" s="304">
        <f t="shared" si="490"/>
        <v>0</v>
      </c>
    </row>
    <row r="281" spans="3:53" ht="25.5" hidden="1" customHeight="1">
      <c r="C281" s="26" t="s">
        <v>491</v>
      </c>
      <c r="AC281" s="304">
        <f t="shared" si="491"/>
        <v>0</v>
      </c>
      <c r="AD281" s="304">
        <f t="shared" si="491"/>
        <v>0</v>
      </c>
      <c r="AE281" s="304">
        <f t="shared" si="491"/>
        <v>0</v>
      </c>
      <c r="AF281" s="304">
        <f t="shared" si="491"/>
        <v>0</v>
      </c>
      <c r="AG281" s="304">
        <f t="shared" si="490"/>
        <v>0</v>
      </c>
    </row>
    <row r="282" spans="3:53" ht="25.5" hidden="1" customHeight="1">
      <c r="C282" s="334" t="s">
        <v>455</v>
      </c>
      <c r="AC282" s="304">
        <f>SUM(AC274:AC281)</f>
        <v>560481125.24000001</v>
      </c>
      <c r="AD282" s="304">
        <f>SUM(AD274:AD281)</f>
        <v>75497426.274000019</v>
      </c>
      <c r="AE282" s="304">
        <f>SUM(AE274:AE281)</f>
        <v>92910</v>
      </c>
      <c r="AF282" s="304">
        <f>SUM(AF274:AF281)</f>
        <v>70006887.070000008</v>
      </c>
      <c r="AG282" s="304">
        <f t="shared" si="490"/>
        <v>706078348.58400011</v>
      </c>
    </row>
    <row r="283" spans="3:53" ht="25.5" hidden="1" customHeight="1"/>
    <row r="284" spans="3:53" ht="25.5" hidden="1" customHeight="1"/>
    <row r="285" spans="3:53" ht="25.5" hidden="1" customHeight="1"/>
    <row r="286" spans="3:53" ht="25.5" hidden="1" customHeight="1"/>
    <row r="287" spans="3:53" ht="25.5" hidden="1" customHeight="1"/>
    <row r="288" spans="3:53" ht="25.5" hidden="1" customHeight="1"/>
  </sheetData>
  <mergeCells count="50">
    <mergeCell ref="AR208:AV216"/>
    <mergeCell ref="A3:A4"/>
    <mergeCell ref="AH3:AH4"/>
    <mergeCell ref="AI3:AI4"/>
    <mergeCell ref="AJ3:AJ4"/>
    <mergeCell ref="AC3:AG3"/>
    <mergeCell ref="B3:B4"/>
    <mergeCell ref="C3:C4"/>
    <mergeCell ref="D3:F3"/>
    <mergeCell ref="G3:I3"/>
    <mergeCell ref="J3:L3"/>
    <mergeCell ref="AB3:AB4"/>
    <mergeCell ref="C35:AA35"/>
    <mergeCell ref="C155:AA155"/>
    <mergeCell ref="C165:AA165"/>
    <mergeCell ref="C65:AA65"/>
    <mergeCell ref="A1:BF1"/>
    <mergeCell ref="A2:BF2"/>
    <mergeCell ref="C45:AA45"/>
    <mergeCell ref="C15:AA15"/>
    <mergeCell ref="C25:AA25"/>
    <mergeCell ref="AW3:BA3"/>
    <mergeCell ref="BB3:BF3"/>
    <mergeCell ref="AK3:AK4"/>
    <mergeCell ref="AL3:AP3"/>
    <mergeCell ref="C5:AA5"/>
    <mergeCell ref="AR3:AV3"/>
    <mergeCell ref="M3:O3"/>
    <mergeCell ref="P3:R3"/>
    <mergeCell ref="S3:U3"/>
    <mergeCell ref="V3:X3"/>
    <mergeCell ref="Y3:AA3"/>
    <mergeCell ref="C273:H273"/>
    <mergeCell ref="C257:AA257"/>
    <mergeCell ref="C197:AA197"/>
    <mergeCell ref="C207:AA207"/>
    <mergeCell ref="C217:AA217"/>
    <mergeCell ref="C227:AA227"/>
    <mergeCell ref="C237:AA237"/>
    <mergeCell ref="C247:AA247"/>
    <mergeCell ref="C175:AA175"/>
    <mergeCell ref="C55:AA55"/>
    <mergeCell ref="C75:AA75"/>
    <mergeCell ref="C85:AA85"/>
    <mergeCell ref="C95:AA95"/>
    <mergeCell ref="C135:AA135"/>
    <mergeCell ref="C145:AA145"/>
    <mergeCell ref="C105:AA105"/>
    <mergeCell ref="C115:AA115"/>
    <mergeCell ref="C125:AA125"/>
  </mergeCells>
  <printOptions horizontalCentered="1"/>
  <pageMargins left="0.15748031496062992" right="0.15748031496062992" top="0.43307086614173229" bottom="0.43307086614173229" header="0.31496062992125984" footer="0.31496062992125984"/>
  <pageSetup scale="65" orientation="landscape" verticalDpi="0" r:id="rId1"/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>
  <dimension ref="A1:I29"/>
  <sheetViews>
    <sheetView topLeftCell="A7" workbookViewId="0">
      <selection activeCell="F24" sqref="F24"/>
    </sheetView>
  </sheetViews>
  <sheetFormatPr defaultRowHeight="24.75" customHeight="1"/>
  <cols>
    <col min="1" max="1" width="5.140625" style="9" customWidth="1"/>
    <col min="2" max="2" width="31.28515625" style="2" customWidth="1"/>
    <col min="3" max="3" width="41.5703125" style="2" customWidth="1"/>
    <col min="4" max="4" width="16" style="2" customWidth="1"/>
    <col min="5" max="5" width="16" style="2" bestFit="1" customWidth="1"/>
    <col min="6" max="6" width="13.5703125" style="2" bestFit="1" customWidth="1"/>
    <col min="7" max="7" width="12.5703125" style="2" customWidth="1"/>
    <col min="8" max="8" width="15.42578125" style="2" customWidth="1"/>
    <col min="9" max="9" width="14.85546875" style="2" customWidth="1"/>
    <col min="10" max="10" width="14.5703125" style="2" customWidth="1"/>
    <col min="11" max="16384" width="9.140625" style="2"/>
  </cols>
  <sheetData>
    <row r="1" spans="1:9" s="18" customFormat="1" ht="23.25">
      <c r="A1" s="651" t="s">
        <v>391</v>
      </c>
      <c r="B1" s="651"/>
      <c r="C1" s="651"/>
      <c r="D1" s="651"/>
      <c r="E1" s="651"/>
      <c r="F1" s="651"/>
      <c r="G1" s="651"/>
      <c r="H1" s="651"/>
      <c r="I1" s="651"/>
    </row>
    <row r="2" spans="1:9" s="18" customFormat="1" ht="23.25">
      <c r="A2" s="651" t="s">
        <v>36</v>
      </c>
      <c r="B2" s="651"/>
      <c r="C2" s="651"/>
      <c r="D2" s="651"/>
      <c r="E2" s="651"/>
      <c r="F2" s="651"/>
      <c r="G2" s="651"/>
      <c r="H2" s="651"/>
      <c r="I2" s="651"/>
    </row>
    <row r="3" spans="1:9" s="11" customFormat="1" ht="21">
      <c r="A3" s="10"/>
      <c r="E3" s="243">
        <v>560481125.24000001</v>
      </c>
      <c r="F3" s="243">
        <v>75497426.269999996</v>
      </c>
      <c r="G3" s="243">
        <v>92910</v>
      </c>
      <c r="H3" s="243">
        <v>70006887.069999993</v>
      </c>
      <c r="I3" s="243">
        <f>SUM(E3:H3)</f>
        <v>706078348.57999992</v>
      </c>
    </row>
    <row r="4" spans="1:9" s="20" customFormat="1" ht="42">
      <c r="A4" s="7" t="s">
        <v>64</v>
      </c>
      <c r="B4" s="7" t="s">
        <v>184</v>
      </c>
      <c r="C4" s="7" t="s">
        <v>185</v>
      </c>
      <c r="D4" s="135" t="s">
        <v>370</v>
      </c>
      <c r="E4" s="7" t="s">
        <v>163</v>
      </c>
      <c r="F4" s="7" t="s">
        <v>164</v>
      </c>
      <c r="G4" s="7" t="s">
        <v>10</v>
      </c>
      <c r="H4" s="7" t="s">
        <v>196</v>
      </c>
      <c r="I4" s="19" t="s">
        <v>200</v>
      </c>
    </row>
    <row r="5" spans="1:9" s="6" customFormat="1" ht="21">
      <c r="A5" s="652">
        <v>1</v>
      </c>
      <c r="B5" s="655" t="s">
        <v>167</v>
      </c>
      <c r="C5" s="13" t="s">
        <v>186</v>
      </c>
      <c r="D5" s="136">
        <v>125565600</v>
      </c>
      <c r="E5" s="658">
        <f>+E3*D9/D21</f>
        <v>429857013.28366107</v>
      </c>
      <c r="F5" s="658">
        <f>+F3*D9/D21</f>
        <v>57902214.19700633</v>
      </c>
      <c r="G5" s="658">
        <f>+G3*D9/D21</f>
        <v>71256.663794134642</v>
      </c>
      <c r="H5" s="661">
        <f>+H3*D9/D21</f>
        <v>53691284.202141225</v>
      </c>
      <c r="I5" s="662">
        <f>+E5+F5+G5+H5</f>
        <v>541521768.3466028</v>
      </c>
    </row>
    <row r="6" spans="1:9" s="6" customFormat="1" ht="21">
      <c r="A6" s="653"/>
      <c r="B6" s="656"/>
      <c r="C6" s="14" t="s">
        <v>187</v>
      </c>
      <c r="D6" s="137">
        <v>76755100</v>
      </c>
      <c r="E6" s="659"/>
      <c r="F6" s="659"/>
      <c r="G6" s="659"/>
      <c r="H6" s="661"/>
      <c r="I6" s="653"/>
    </row>
    <row r="7" spans="1:9" s="6" customFormat="1" ht="21">
      <c r="A7" s="653"/>
      <c r="B7" s="656"/>
      <c r="C7" s="14" t="s">
        <v>198</v>
      </c>
      <c r="D7" s="137">
        <v>28785900</v>
      </c>
      <c r="E7" s="659"/>
      <c r="F7" s="659"/>
      <c r="G7" s="659"/>
      <c r="H7" s="661"/>
      <c r="I7" s="653"/>
    </row>
    <row r="8" spans="1:9" s="6" customFormat="1" ht="21">
      <c r="A8" s="653"/>
      <c r="B8" s="656"/>
      <c r="C8" s="14" t="s">
        <v>330</v>
      </c>
      <c r="D8" s="138">
        <f>1439600+1537100+2181900+5001500+450000</f>
        <v>10610100</v>
      </c>
      <c r="E8" s="660"/>
      <c r="F8" s="660"/>
      <c r="G8" s="660"/>
      <c r="H8" s="661"/>
      <c r="I8" s="654"/>
    </row>
    <row r="9" spans="1:9" s="21" customFormat="1" ht="21">
      <c r="A9" s="654"/>
      <c r="B9" s="657"/>
      <c r="C9" s="3" t="s">
        <v>201</v>
      </c>
      <c r="D9" s="139">
        <f>SUM(D5:D8)</f>
        <v>241716700</v>
      </c>
      <c r="E9" s="16">
        <f>SUM(E5:E8)</f>
        <v>429857013.28366107</v>
      </c>
      <c r="F9" s="16">
        <f t="shared" ref="F9:H9" si="0">SUM(F5:F8)</f>
        <v>57902214.19700633</v>
      </c>
      <c r="G9" s="16">
        <f t="shared" si="0"/>
        <v>71256.663794134642</v>
      </c>
      <c r="H9" s="16">
        <f t="shared" si="0"/>
        <v>53691284.202141225</v>
      </c>
      <c r="I9" s="16">
        <f>SUM(I5:I8)</f>
        <v>541521768.3466028</v>
      </c>
    </row>
    <row r="10" spans="1:9" ht="21">
      <c r="A10" s="8">
        <v>2</v>
      </c>
      <c r="B10" s="5" t="s">
        <v>168</v>
      </c>
      <c r="C10" s="4" t="s">
        <v>188</v>
      </c>
      <c r="D10" s="140">
        <v>8130100</v>
      </c>
      <c r="E10" s="15">
        <f>+E3*D10/D21</f>
        <v>14458167.365752937</v>
      </c>
      <c r="F10" s="15">
        <f>+F3*D10/D21</f>
        <v>1947531.104152428</v>
      </c>
      <c r="G10" s="15">
        <f>+G3*D10/D21</f>
        <v>2396.7057398710722</v>
      </c>
      <c r="H10" s="15">
        <f>+H3*D10/D21</f>
        <v>1805897.1915958989</v>
      </c>
      <c r="I10" s="17">
        <f>SUM(E10:H10)</f>
        <v>18213992.367241137</v>
      </c>
    </row>
    <row r="11" spans="1:9" ht="21">
      <c r="A11" s="8">
        <v>3</v>
      </c>
      <c r="B11" s="5" t="s">
        <v>169</v>
      </c>
      <c r="C11" s="4" t="s">
        <v>189</v>
      </c>
      <c r="D11" s="140">
        <v>5208000</v>
      </c>
      <c r="E11" s="15">
        <f>+E3*D11/D21</f>
        <v>9261649.3820299003</v>
      </c>
      <c r="F11" s="15">
        <f>+F3*D11/D21</f>
        <v>1247554.3954472693</v>
      </c>
      <c r="G11" s="15">
        <f>+G3*D11/D21</f>
        <v>1535.2878185075886</v>
      </c>
      <c r="H11" s="15">
        <f>+H3*D11/D21</f>
        <v>1156826.1858810396</v>
      </c>
      <c r="I11" s="17">
        <f t="shared" ref="I11:I19" si="1">SUM(E11:H11)</f>
        <v>11667565.251176717</v>
      </c>
    </row>
    <row r="12" spans="1:9" ht="21">
      <c r="A12" s="8">
        <v>4</v>
      </c>
      <c r="B12" s="5" t="s">
        <v>170</v>
      </c>
      <c r="C12" s="4" t="s">
        <v>190</v>
      </c>
      <c r="D12" s="140">
        <v>3507900</v>
      </c>
      <c r="E12" s="15">
        <f>+E3*D12/D21</f>
        <v>6238275.7041518223</v>
      </c>
      <c r="F12" s="15">
        <f>+F3*D12/D21</f>
        <v>840302.62361549085</v>
      </c>
      <c r="G12" s="15">
        <f>+G3*D12/D21</f>
        <v>1034.1083215327899</v>
      </c>
      <c r="H12" s="15">
        <f>+H3*D12/D21</f>
        <v>779191.73914210801</v>
      </c>
      <c r="I12" s="17">
        <f t="shared" si="1"/>
        <v>7858804.1752309538</v>
      </c>
    </row>
    <row r="13" spans="1:9" ht="21">
      <c r="A13" s="8">
        <v>5</v>
      </c>
      <c r="B13" s="5" t="s">
        <v>171</v>
      </c>
      <c r="C13" s="4" t="s">
        <v>191</v>
      </c>
      <c r="D13" s="140">
        <v>8900600</v>
      </c>
      <c r="E13" s="15">
        <f>+E3*D13/D21</f>
        <v>15828386.422752561</v>
      </c>
      <c r="F13" s="15">
        <f>+F3*D13/D21</f>
        <v>2132101.123678565</v>
      </c>
      <c r="G13" s="15">
        <f>+G3*D13/D21</f>
        <v>2623.8446154778499</v>
      </c>
      <c r="H13" s="15">
        <f>+H3*D13/D21</f>
        <v>1977044.3836506875</v>
      </c>
      <c r="I13" s="17">
        <f t="shared" si="1"/>
        <v>19940155.774697289</v>
      </c>
    </row>
    <row r="14" spans="1:9" ht="21">
      <c r="A14" s="8">
        <v>6</v>
      </c>
      <c r="B14" s="5" t="s">
        <v>172</v>
      </c>
      <c r="C14" s="4" t="s">
        <v>192</v>
      </c>
      <c r="D14" s="140">
        <v>2296700</v>
      </c>
      <c r="E14" s="15">
        <f>+E3*D14/D21</f>
        <v>4084337.5836613043</v>
      </c>
      <c r="F14" s="15">
        <f>+F3*D14/D21</f>
        <v>550164.78111054981</v>
      </c>
      <c r="G14" s="15">
        <f>+G3*D14/D21</f>
        <v>677.05367372626313</v>
      </c>
      <c r="H14" s="15">
        <f>+H3*D14/D21</f>
        <v>510154.12847791542</v>
      </c>
      <c r="I14" s="17">
        <f t="shared" si="1"/>
        <v>5145333.5469234958</v>
      </c>
    </row>
    <row r="15" spans="1:9" ht="21">
      <c r="A15" s="8">
        <v>7</v>
      </c>
      <c r="B15" s="5" t="s">
        <v>173</v>
      </c>
      <c r="C15" s="4" t="s">
        <v>193</v>
      </c>
      <c r="D15" s="140">
        <v>3331300</v>
      </c>
      <c r="E15" s="15">
        <f>+E3*D15/D21</f>
        <v>5924219.0065968139</v>
      </c>
      <c r="F15" s="15">
        <f>+F3*D15/D21</f>
        <v>797998.83977601549</v>
      </c>
      <c r="G15" s="15">
        <f>+G3*D15/D21</f>
        <v>982.04767853193732</v>
      </c>
      <c r="H15" s="15">
        <f>+H3*D15/D21</f>
        <v>739964.4917483693</v>
      </c>
      <c r="I15" s="17">
        <f t="shared" si="1"/>
        <v>7463164.3857997311</v>
      </c>
    </row>
    <row r="16" spans="1:9" s="6" customFormat="1" ht="26.25" customHeight="1">
      <c r="A16" s="49">
        <v>8</v>
      </c>
      <c r="B16" s="5" t="s">
        <v>174</v>
      </c>
      <c r="C16" s="504" t="s">
        <v>197</v>
      </c>
      <c r="D16" s="505">
        <f>5124700+1841400</f>
        <v>6966100</v>
      </c>
      <c r="E16" s="506">
        <f>+E3*D16/D21</f>
        <v>12388167.388663305</v>
      </c>
      <c r="F16" s="506">
        <f>+F3*D16/D21</f>
        <v>1668699.8222206649</v>
      </c>
      <c r="G16" s="506">
        <f>+G3*D16/D21</f>
        <v>2053.5653749050907</v>
      </c>
      <c r="H16" s="506">
        <f>+H3*D16/D21</f>
        <v>1547343.8735533622</v>
      </c>
      <c r="I16" s="507">
        <f t="shared" si="1"/>
        <v>15606264.649812236</v>
      </c>
    </row>
    <row r="17" spans="1:9" ht="21">
      <c r="A17" s="8">
        <v>9</v>
      </c>
      <c r="B17" s="5" t="s">
        <v>175</v>
      </c>
      <c r="C17" s="4" t="s">
        <v>194</v>
      </c>
      <c r="D17" s="140">
        <v>15825600</v>
      </c>
      <c r="E17" s="15">
        <f>+E3*D17/D21</f>
        <v>28143463.606039248</v>
      </c>
      <c r="F17" s="15">
        <f>+F3*D17/D21</f>
        <v>3790955.6145526702</v>
      </c>
      <c r="G17" s="15">
        <f>+G3*D17/D21</f>
        <v>4665.2939517230589</v>
      </c>
      <c r="H17" s="15">
        <f>+H3*D17/D21</f>
        <v>3515258.9261288363</v>
      </c>
      <c r="I17" s="17">
        <f t="shared" si="1"/>
        <v>35454343.44067248</v>
      </c>
    </row>
    <row r="18" spans="1:9" s="6" customFormat="1" ht="37.5">
      <c r="A18" s="8">
        <v>10</v>
      </c>
      <c r="B18" s="5" t="s">
        <v>176</v>
      </c>
      <c r="C18" s="508" t="s">
        <v>199</v>
      </c>
      <c r="D18" s="505">
        <f>8750400+5027400</f>
        <v>13777800</v>
      </c>
      <c r="E18" s="506">
        <f>+E3*D18/D21</f>
        <v>24501757.46077795</v>
      </c>
      <c r="F18" s="506">
        <f>+F3*D18/D21</f>
        <v>3300413.7768036462</v>
      </c>
      <c r="G18" s="506">
        <f>+G3*D18/D21</f>
        <v>4061.6145364504323</v>
      </c>
      <c r="H18" s="506">
        <f>+H3*D18/D21</f>
        <v>3060391.6712426627</v>
      </c>
      <c r="I18" s="507">
        <f t="shared" si="1"/>
        <v>30866624.523360707</v>
      </c>
    </row>
    <row r="19" spans="1:9" ht="21">
      <c r="A19" s="8">
        <v>11</v>
      </c>
      <c r="B19" s="5" t="s">
        <v>177</v>
      </c>
      <c r="C19" s="4" t="s">
        <v>195</v>
      </c>
      <c r="D19" s="140">
        <v>5508300</v>
      </c>
      <c r="E19" s="15">
        <f>+E3*D19/D21</f>
        <v>9795688.0359130763</v>
      </c>
      <c r="F19" s="15">
        <f>+F3*D19/D21</f>
        <v>1319489.9916363661</v>
      </c>
      <c r="G19" s="15">
        <f>+G3*D19/D21</f>
        <v>1623.814495139276</v>
      </c>
      <c r="H19" s="15">
        <f>+H3*D19/D21</f>
        <v>1223530.2764378898</v>
      </c>
      <c r="I19" s="17">
        <f t="shared" si="1"/>
        <v>12340332.118482471</v>
      </c>
    </row>
    <row r="20" spans="1:9" ht="21.75" thickBot="1">
      <c r="D20" s="141">
        <f>SUM(D10:D19)</f>
        <v>73452400</v>
      </c>
      <c r="E20" s="141">
        <f>SUM(E10:E19)</f>
        <v>130624111.95633893</v>
      </c>
      <c r="F20" s="141">
        <f>SUM(F10:F19)</f>
        <v>17595212.072993666</v>
      </c>
      <c r="G20" s="141">
        <f t="shared" ref="G20:H20" si="2">SUM(G10:G19)</f>
        <v>21653.336205865358</v>
      </c>
      <c r="H20" s="141">
        <f t="shared" si="2"/>
        <v>16315602.867858771</v>
      </c>
      <c r="I20" s="141">
        <f>SUM(I10:I19)</f>
        <v>164556580.23339722</v>
      </c>
    </row>
    <row r="21" spans="1:9" ht="22.5" thickTop="1" thickBot="1">
      <c r="C21" s="242"/>
      <c r="D21" s="142">
        <f>+D9+D20</f>
        <v>315169100</v>
      </c>
      <c r="E21" s="143">
        <f>+E9+E20</f>
        <v>560481125.24000001</v>
      </c>
      <c r="F21" s="143">
        <f t="shared" ref="F21:H21" si="3">+F9+F20</f>
        <v>75497426.269999996</v>
      </c>
      <c r="G21" s="143">
        <f t="shared" si="3"/>
        <v>92910</v>
      </c>
      <c r="H21" s="143">
        <f t="shared" si="3"/>
        <v>70006887.069999993</v>
      </c>
      <c r="I21" s="143">
        <f>+I9+I20</f>
        <v>706078348.58000004</v>
      </c>
    </row>
    <row r="22" spans="1:9" ht="21.75" thickTop="1">
      <c r="D22" s="11"/>
      <c r="I22" s="12"/>
    </row>
    <row r="23" spans="1:9" ht="21">
      <c r="D23" s="11"/>
      <c r="E23" s="12"/>
      <c r="F23" s="12"/>
      <c r="G23" s="12"/>
      <c r="H23" s="12"/>
      <c r="I23" s="12"/>
    </row>
    <row r="24" spans="1:9" ht="24.75" customHeight="1">
      <c r="E24" s="12"/>
      <c r="F24" s="12"/>
      <c r="G24" s="12"/>
      <c r="H24" s="12"/>
      <c r="I24" s="12"/>
    </row>
    <row r="25" spans="1:9" ht="21">
      <c r="D25" s="11"/>
      <c r="E25" s="11"/>
      <c r="F25" s="11"/>
      <c r="G25" s="11"/>
      <c r="H25" s="11"/>
      <c r="I25" s="11"/>
    </row>
    <row r="26" spans="1:9" ht="24.75" customHeight="1">
      <c r="B26" s="11"/>
    </row>
    <row r="27" spans="1:9" ht="24.75" customHeight="1">
      <c r="B27" s="12"/>
      <c r="D27" s="12"/>
    </row>
    <row r="29" spans="1:9" ht="24.75" customHeight="1">
      <c r="B29" s="12"/>
      <c r="D29" s="12"/>
    </row>
  </sheetData>
  <mergeCells count="9">
    <mergeCell ref="A1:I1"/>
    <mergeCell ref="A2:I2"/>
    <mergeCell ref="A5:A9"/>
    <mergeCell ref="B5:B9"/>
    <mergeCell ref="E5:E8"/>
    <mergeCell ref="F5:F8"/>
    <mergeCell ref="G5:G8"/>
    <mergeCell ref="H5:H8"/>
    <mergeCell ref="I5:I8"/>
  </mergeCells>
  <printOptions horizontalCentered="1"/>
  <pageMargins left="0.16" right="0.15" top="0.42" bottom="0.35" header="0.31496062992125984" footer="0.31496062992125984"/>
  <pageSetup paperSize="9" scale="80" orientation="landscape" verticalDpi="0" r:id="rId1"/>
</worksheet>
</file>

<file path=xl/worksheets/sheet14.xml><?xml version="1.0" encoding="utf-8"?>
<worksheet xmlns="http://schemas.openxmlformats.org/spreadsheetml/2006/main" xmlns:r="http://schemas.openxmlformats.org/officeDocument/2006/relationships">
  <dimension ref="A1:AM281"/>
  <sheetViews>
    <sheetView zoomScale="90" zoomScaleNormal="90" workbookViewId="0">
      <selection activeCell="X16" sqref="X16"/>
    </sheetView>
  </sheetViews>
  <sheetFormatPr defaultRowHeight="21" customHeight="1"/>
  <cols>
    <col min="1" max="1" width="5.7109375" style="254" bestFit="1" customWidth="1"/>
    <col min="2" max="2" width="28.85546875" style="254" customWidth="1"/>
    <col min="3" max="3" width="10.5703125" style="254" hidden="1" customWidth="1"/>
    <col min="4" max="4" width="8.42578125" style="254" hidden="1" customWidth="1"/>
    <col min="5" max="5" width="10.5703125" style="254" hidden="1" customWidth="1"/>
    <col min="6" max="6" width="8.42578125" style="254" hidden="1" customWidth="1"/>
    <col min="7" max="7" width="10.5703125" style="254" hidden="1" customWidth="1"/>
    <col min="8" max="8" width="8.42578125" style="254" hidden="1" customWidth="1"/>
    <col min="9" max="9" width="10.5703125" style="254" hidden="1" customWidth="1"/>
    <col min="10" max="10" width="8.42578125" style="254" hidden="1" customWidth="1"/>
    <col min="11" max="11" width="10.5703125" style="254" hidden="1" customWidth="1"/>
    <col min="12" max="12" width="8.42578125" style="254" hidden="1" customWidth="1"/>
    <col min="13" max="13" width="10.5703125" style="254" hidden="1" customWidth="1"/>
    <col min="14" max="14" width="8.42578125" style="254" hidden="1" customWidth="1"/>
    <col min="15" max="15" width="10.5703125" style="254" hidden="1" customWidth="1"/>
    <col min="16" max="16" width="8.42578125" style="254" hidden="1" customWidth="1"/>
    <col min="17" max="17" width="10.5703125" style="254" hidden="1" customWidth="1"/>
    <col min="18" max="18" width="8.42578125" style="254" hidden="1" customWidth="1"/>
    <col min="19" max="19" width="11.42578125" style="254" hidden="1" customWidth="1"/>
    <col min="20" max="20" width="10.140625" style="254" hidden="1" customWidth="1"/>
    <col min="21" max="21" width="10.5703125" style="262" bestFit="1" customWidth="1"/>
    <col min="22" max="22" width="8.42578125" style="254" bestFit="1" customWidth="1"/>
    <col min="23" max="23" width="10.5703125" style="254" bestFit="1" customWidth="1"/>
    <col min="24" max="24" width="8.42578125" style="254" bestFit="1" customWidth="1"/>
    <col min="25" max="25" width="10.5703125" style="254" bestFit="1" customWidth="1"/>
    <col min="26" max="26" width="8.42578125" style="254" bestFit="1" customWidth="1"/>
    <col min="27" max="27" width="10.5703125" style="254" bestFit="1" customWidth="1"/>
    <col min="28" max="28" width="8.42578125" style="254" bestFit="1" customWidth="1"/>
    <col min="29" max="29" width="10.5703125" style="254" bestFit="1" customWidth="1"/>
    <col min="30" max="30" width="8.42578125" style="254" bestFit="1" customWidth="1"/>
    <col min="31" max="31" width="10.5703125" style="254" bestFit="1" customWidth="1"/>
    <col min="32" max="32" width="8.42578125" style="254" bestFit="1" customWidth="1"/>
    <col min="33" max="33" width="10.5703125" style="254" bestFit="1" customWidth="1"/>
    <col min="34" max="34" width="8.42578125" style="254" bestFit="1" customWidth="1"/>
    <col min="35" max="35" width="10.5703125" style="254" bestFit="1" customWidth="1"/>
    <col min="36" max="36" width="8.42578125" style="254" bestFit="1" customWidth="1"/>
    <col min="37" max="38" width="11.42578125" style="254" bestFit="1" customWidth="1"/>
    <col min="39" max="39" width="9.140625" style="254"/>
  </cols>
  <sheetData>
    <row r="1" spans="1:38" ht="21" customHeight="1">
      <c r="A1" s="663" t="s">
        <v>354</v>
      </c>
      <c r="B1" s="664"/>
      <c r="C1" s="664"/>
      <c r="D1" s="664"/>
      <c r="E1" s="664"/>
      <c r="F1" s="664"/>
      <c r="G1" s="664"/>
      <c r="H1" s="664"/>
      <c r="I1" s="664"/>
      <c r="J1" s="664"/>
      <c r="K1" s="664"/>
      <c r="L1" s="664"/>
      <c r="M1" s="664"/>
      <c r="N1" s="664"/>
      <c r="O1" s="664"/>
      <c r="P1" s="664"/>
      <c r="Q1" s="664"/>
      <c r="R1" s="664"/>
      <c r="S1" s="664"/>
      <c r="T1" s="664"/>
      <c r="U1" s="664"/>
      <c r="V1" s="664"/>
      <c r="W1" s="664"/>
      <c r="X1" s="664"/>
      <c r="Y1" s="664"/>
      <c r="Z1" s="664"/>
      <c r="AA1" s="664"/>
      <c r="AB1" s="664"/>
      <c r="AC1" s="664"/>
      <c r="AD1" s="664"/>
      <c r="AE1" s="664"/>
      <c r="AF1" s="664"/>
      <c r="AG1" s="664"/>
      <c r="AH1" s="664"/>
      <c r="AI1" s="664"/>
      <c r="AJ1" s="664"/>
      <c r="AK1" s="664"/>
      <c r="AL1" s="665"/>
    </row>
    <row r="2" spans="1:38" ht="21" customHeight="1">
      <c r="A2" s="666" t="s">
        <v>421</v>
      </c>
      <c r="B2" s="667"/>
      <c r="C2" s="667"/>
      <c r="D2" s="667"/>
      <c r="E2" s="667"/>
      <c r="F2" s="667"/>
      <c r="G2" s="667"/>
      <c r="H2" s="667"/>
      <c r="I2" s="667"/>
      <c r="J2" s="667"/>
      <c r="K2" s="667"/>
      <c r="L2" s="667"/>
      <c r="M2" s="667"/>
      <c r="N2" s="667"/>
      <c r="O2" s="667"/>
      <c r="P2" s="667"/>
      <c r="Q2" s="667"/>
      <c r="R2" s="667"/>
      <c r="S2" s="667"/>
      <c r="T2" s="667"/>
      <c r="U2" s="667"/>
      <c r="V2" s="667"/>
      <c r="W2" s="667"/>
      <c r="X2" s="667"/>
      <c r="Y2" s="667"/>
      <c r="Z2" s="667"/>
      <c r="AA2" s="667"/>
      <c r="AB2" s="667"/>
      <c r="AC2" s="667"/>
      <c r="AD2" s="667"/>
      <c r="AE2" s="667"/>
      <c r="AF2" s="667"/>
      <c r="AG2" s="667"/>
      <c r="AH2" s="667"/>
      <c r="AI2" s="667"/>
      <c r="AJ2" s="667"/>
      <c r="AK2" s="667"/>
      <c r="AL2" s="668"/>
    </row>
    <row r="3" spans="1:38" ht="21" customHeight="1">
      <c r="A3" s="666" t="s">
        <v>224</v>
      </c>
      <c r="B3" s="667"/>
      <c r="C3" s="667"/>
      <c r="D3" s="667"/>
      <c r="E3" s="667"/>
      <c r="F3" s="667"/>
      <c r="G3" s="667"/>
      <c r="H3" s="667"/>
      <c r="I3" s="667"/>
      <c r="J3" s="667"/>
      <c r="K3" s="667"/>
      <c r="L3" s="667"/>
      <c r="M3" s="667"/>
      <c r="N3" s="667"/>
      <c r="O3" s="667"/>
      <c r="P3" s="667"/>
      <c r="Q3" s="667"/>
      <c r="R3" s="667"/>
      <c r="S3" s="667"/>
      <c r="T3" s="667"/>
      <c r="U3" s="667"/>
      <c r="V3" s="667"/>
      <c r="W3" s="667"/>
      <c r="X3" s="667"/>
      <c r="Y3" s="667"/>
      <c r="Z3" s="667"/>
      <c r="AA3" s="667"/>
      <c r="AB3" s="667"/>
      <c r="AC3" s="667"/>
      <c r="AD3" s="667"/>
      <c r="AE3" s="667"/>
      <c r="AF3" s="667"/>
      <c r="AG3" s="667"/>
      <c r="AH3" s="667"/>
      <c r="AI3" s="667"/>
      <c r="AJ3" s="667"/>
      <c r="AK3" s="667"/>
      <c r="AL3" s="668"/>
    </row>
    <row r="4" spans="1:38" ht="21" customHeight="1">
      <c r="A4" s="669" t="s">
        <v>202</v>
      </c>
      <c r="B4" s="669" t="s">
        <v>355</v>
      </c>
      <c r="C4" s="672" t="s">
        <v>422</v>
      </c>
      <c r="D4" s="673"/>
      <c r="E4" s="673"/>
      <c r="F4" s="673"/>
      <c r="G4" s="673"/>
      <c r="H4" s="673"/>
      <c r="I4" s="673"/>
      <c r="J4" s="673"/>
      <c r="K4" s="673"/>
      <c r="L4" s="673"/>
      <c r="M4" s="673"/>
      <c r="N4" s="673"/>
      <c r="O4" s="673"/>
      <c r="P4" s="673"/>
      <c r="Q4" s="673"/>
      <c r="R4" s="673"/>
      <c r="S4" s="673"/>
      <c r="T4" s="674"/>
      <c r="U4" s="672" t="s">
        <v>381</v>
      </c>
      <c r="V4" s="673"/>
      <c r="W4" s="673"/>
      <c r="X4" s="673"/>
      <c r="Y4" s="673"/>
      <c r="Z4" s="673"/>
      <c r="AA4" s="673"/>
      <c r="AB4" s="673"/>
      <c r="AC4" s="673"/>
      <c r="AD4" s="673"/>
      <c r="AE4" s="673"/>
      <c r="AF4" s="673"/>
      <c r="AG4" s="673"/>
      <c r="AH4" s="673"/>
      <c r="AI4" s="673"/>
      <c r="AJ4" s="673"/>
      <c r="AK4" s="673"/>
      <c r="AL4" s="674"/>
    </row>
    <row r="5" spans="1:38" ht="21" customHeight="1">
      <c r="A5" s="670"/>
      <c r="B5" s="670"/>
      <c r="C5" s="672" t="s">
        <v>203</v>
      </c>
      <c r="D5" s="673"/>
      <c r="E5" s="673"/>
      <c r="F5" s="673"/>
      <c r="G5" s="673"/>
      <c r="H5" s="674"/>
      <c r="I5" s="672" t="s">
        <v>204</v>
      </c>
      <c r="J5" s="673"/>
      <c r="K5" s="673"/>
      <c r="L5" s="673"/>
      <c r="M5" s="673"/>
      <c r="N5" s="674"/>
      <c r="O5" s="672" t="s">
        <v>205</v>
      </c>
      <c r="P5" s="673"/>
      <c r="Q5" s="673"/>
      <c r="R5" s="673"/>
      <c r="S5" s="673"/>
      <c r="T5" s="674"/>
      <c r="U5" s="672" t="s">
        <v>203</v>
      </c>
      <c r="V5" s="673"/>
      <c r="W5" s="673"/>
      <c r="X5" s="673"/>
      <c r="Y5" s="673"/>
      <c r="Z5" s="674"/>
      <c r="AA5" s="672" t="s">
        <v>204</v>
      </c>
      <c r="AB5" s="673"/>
      <c r="AC5" s="673"/>
      <c r="AD5" s="673"/>
      <c r="AE5" s="673"/>
      <c r="AF5" s="674"/>
      <c r="AG5" s="672" t="s">
        <v>205</v>
      </c>
      <c r="AH5" s="673"/>
      <c r="AI5" s="673"/>
      <c r="AJ5" s="673"/>
      <c r="AK5" s="673"/>
      <c r="AL5" s="674"/>
    </row>
    <row r="6" spans="1:38" ht="21" customHeight="1">
      <c r="A6" s="670"/>
      <c r="B6" s="670"/>
      <c r="C6" s="672" t="s">
        <v>206</v>
      </c>
      <c r="D6" s="674"/>
      <c r="E6" s="672" t="s">
        <v>207</v>
      </c>
      <c r="F6" s="674"/>
      <c r="G6" s="672" t="s">
        <v>8</v>
      </c>
      <c r="H6" s="674"/>
      <c r="I6" s="672" t="s">
        <v>206</v>
      </c>
      <c r="J6" s="674"/>
      <c r="K6" s="672" t="s">
        <v>207</v>
      </c>
      <c r="L6" s="674"/>
      <c r="M6" s="672" t="s">
        <v>8</v>
      </c>
      <c r="N6" s="674"/>
      <c r="O6" s="672" t="s">
        <v>206</v>
      </c>
      <c r="P6" s="674"/>
      <c r="Q6" s="672" t="s">
        <v>207</v>
      </c>
      <c r="R6" s="674"/>
      <c r="S6" s="672" t="s">
        <v>8</v>
      </c>
      <c r="T6" s="674"/>
      <c r="U6" s="672" t="s">
        <v>206</v>
      </c>
      <c r="V6" s="674"/>
      <c r="W6" s="672" t="s">
        <v>207</v>
      </c>
      <c r="X6" s="674"/>
      <c r="Y6" s="672" t="s">
        <v>8</v>
      </c>
      <c r="Z6" s="674"/>
      <c r="AA6" s="672" t="s">
        <v>206</v>
      </c>
      <c r="AB6" s="674"/>
      <c r="AC6" s="672" t="s">
        <v>207</v>
      </c>
      <c r="AD6" s="674"/>
      <c r="AE6" s="672" t="s">
        <v>8</v>
      </c>
      <c r="AF6" s="674"/>
      <c r="AG6" s="672" t="s">
        <v>206</v>
      </c>
      <c r="AH6" s="674"/>
      <c r="AI6" s="672" t="s">
        <v>207</v>
      </c>
      <c r="AJ6" s="674"/>
      <c r="AK6" s="672" t="s">
        <v>8</v>
      </c>
      <c r="AL6" s="674"/>
    </row>
    <row r="7" spans="1:38" ht="21" customHeight="1">
      <c r="A7" s="671"/>
      <c r="B7" s="671"/>
      <c r="C7" s="252" t="s">
        <v>101</v>
      </c>
      <c r="D7" s="252" t="s">
        <v>356</v>
      </c>
      <c r="E7" s="252" t="s">
        <v>101</v>
      </c>
      <c r="F7" s="252" t="s">
        <v>356</v>
      </c>
      <c r="G7" s="252" t="s">
        <v>101</v>
      </c>
      <c r="H7" s="252" t="s">
        <v>356</v>
      </c>
      <c r="I7" s="252" t="s">
        <v>101</v>
      </c>
      <c r="J7" s="252" t="s">
        <v>356</v>
      </c>
      <c r="K7" s="252" t="s">
        <v>101</v>
      </c>
      <c r="L7" s="252" t="s">
        <v>356</v>
      </c>
      <c r="M7" s="252" t="s">
        <v>101</v>
      </c>
      <c r="N7" s="252" t="s">
        <v>356</v>
      </c>
      <c r="O7" s="252" t="s">
        <v>101</v>
      </c>
      <c r="P7" s="252" t="s">
        <v>356</v>
      </c>
      <c r="Q7" s="252" t="s">
        <v>101</v>
      </c>
      <c r="R7" s="252" t="s">
        <v>356</v>
      </c>
      <c r="S7" s="252" t="s">
        <v>101</v>
      </c>
      <c r="T7" s="257" t="s">
        <v>356</v>
      </c>
      <c r="U7" s="259" t="s">
        <v>101</v>
      </c>
      <c r="V7" s="252" t="s">
        <v>356</v>
      </c>
      <c r="W7" s="252" t="s">
        <v>101</v>
      </c>
      <c r="X7" s="252" t="s">
        <v>356</v>
      </c>
      <c r="Y7" s="252" t="s">
        <v>101</v>
      </c>
      <c r="Z7" s="252" t="s">
        <v>356</v>
      </c>
      <c r="AA7" s="252" t="s">
        <v>101</v>
      </c>
      <c r="AB7" s="252" t="s">
        <v>356</v>
      </c>
      <c r="AC7" s="252" t="s">
        <v>101</v>
      </c>
      <c r="AD7" s="252" t="s">
        <v>356</v>
      </c>
      <c r="AE7" s="252" t="s">
        <v>101</v>
      </c>
      <c r="AF7" s="252" t="s">
        <v>356</v>
      </c>
      <c r="AG7" s="252" t="s">
        <v>101</v>
      </c>
      <c r="AH7" s="252" t="s">
        <v>356</v>
      </c>
      <c r="AI7" s="252" t="s">
        <v>101</v>
      </c>
      <c r="AJ7" s="252" t="s">
        <v>356</v>
      </c>
      <c r="AK7" s="252" t="s">
        <v>101</v>
      </c>
      <c r="AL7" s="252" t="s">
        <v>356</v>
      </c>
    </row>
    <row r="8" spans="1:38" ht="21" customHeight="1">
      <c r="A8" s="251">
        <v>1</v>
      </c>
      <c r="B8" s="250" t="s">
        <v>225</v>
      </c>
      <c r="C8" s="255"/>
      <c r="D8" s="255"/>
      <c r="E8" s="255"/>
      <c r="F8" s="255"/>
      <c r="G8" s="252">
        <v>0</v>
      </c>
      <c r="H8" s="252">
        <v>0</v>
      </c>
      <c r="I8" s="252">
        <v>112</v>
      </c>
      <c r="J8" s="252">
        <v>63.75</v>
      </c>
      <c r="K8" s="255"/>
      <c r="L8" s="255"/>
      <c r="M8" s="252">
        <v>112</v>
      </c>
      <c r="N8" s="252">
        <v>63.75</v>
      </c>
      <c r="O8" s="255"/>
      <c r="P8" s="255"/>
      <c r="Q8" s="255"/>
      <c r="R8" s="255"/>
      <c r="S8" s="252">
        <v>0</v>
      </c>
      <c r="T8" s="257">
        <v>0</v>
      </c>
      <c r="U8" s="260"/>
      <c r="V8" s="255"/>
      <c r="W8" s="255"/>
      <c r="X8" s="255"/>
      <c r="Y8" s="252">
        <v>0</v>
      </c>
      <c r="Z8" s="252">
        <v>0</v>
      </c>
      <c r="AA8" s="252">
        <v>148</v>
      </c>
      <c r="AB8" s="252">
        <v>127.69</v>
      </c>
      <c r="AC8" s="255"/>
      <c r="AD8" s="255"/>
      <c r="AE8" s="252">
        <v>148</v>
      </c>
      <c r="AF8" s="252">
        <v>127.69</v>
      </c>
      <c r="AG8" s="255"/>
      <c r="AH8" s="255"/>
      <c r="AI8" s="255"/>
      <c r="AJ8" s="255"/>
      <c r="AK8" s="252">
        <v>0</v>
      </c>
      <c r="AL8" s="252">
        <v>0</v>
      </c>
    </row>
    <row r="9" spans="1:38" ht="21" customHeight="1">
      <c r="A9" s="251">
        <v>2</v>
      </c>
      <c r="B9" s="250" t="s">
        <v>226</v>
      </c>
      <c r="C9" s="255"/>
      <c r="D9" s="255"/>
      <c r="E9" s="255"/>
      <c r="F9" s="255"/>
      <c r="G9" s="252">
        <v>0</v>
      </c>
      <c r="H9" s="252">
        <v>0</v>
      </c>
      <c r="I9" s="252">
        <v>32</v>
      </c>
      <c r="J9" s="252">
        <v>15.78</v>
      </c>
      <c r="K9" s="255"/>
      <c r="L9" s="255"/>
      <c r="M9" s="252">
        <v>32</v>
      </c>
      <c r="N9" s="252">
        <v>15.78</v>
      </c>
      <c r="O9" s="255"/>
      <c r="P9" s="255"/>
      <c r="Q9" s="255"/>
      <c r="R9" s="255"/>
      <c r="S9" s="252">
        <v>0</v>
      </c>
      <c r="T9" s="257">
        <v>0</v>
      </c>
      <c r="U9" s="260"/>
      <c r="V9" s="255"/>
      <c r="W9" s="255"/>
      <c r="X9" s="255"/>
      <c r="Y9" s="252">
        <v>0</v>
      </c>
      <c r="Z9" s="252">
        <v>0</v>
      </c>
      <c r="AA9" s="252">
        <v>43</v>
      </c>
      <c r="AB9" s="252">
        <v>31.56</v>
      </c>
      <c r="AC9" s="255"/>
      <c r="AD9" s="255"/>
      <c r="AE9" s="252">
        <v>43</v>
      </c>
      <c r="AF9" s="252">
        <v>31.56</v>
      </c>
      <c r="AG9" s="255"/>
      <c r="AH9" s="255"/>
      <c r="AI9" s="255"/>
      <c r="AJ9" s="255"/>
      <c r="AK9" s="252">
        <v>0</v>
      </c>
      <c r="AL9" s="252">
        <v>0</v>
      </c>
    </row>
    <row r="10" spans="1:38" ht="21" customHeight="1">
      <c r="A10" s="251">
        <v>3</v>
      </c>
      <c r="B10" s="250" t="s">
        <v>233</v>
      </c>
      <c r="C10" s="255"/>
      <c r="D10" s="255"/>
      <c r="E10" s="255"/>
      <c r="F10" s="255"/>
      <c r="G10" s="252">
        <v>0</v>
      </c>
      <c r="H10" s="252">
        <v>0</v>
      </c>
      <c r="I10" s="255"/>
      <c r="J10" s="255"/>
      <c r="K10" s="255"/>
      <c r="L10" s="255"/>
      <c r="M10" s="252">
        <v>0</v>
      </c>
      <c r="N10" s="252">
        <v>0</v>
      </c>
      <c r="O10" s="255"/>
      <c r="P10" s="255"/>
      <c r="Q10" s="255"/>
      <c r="R10" s="255"/>
      <c r="S10" s="252">
        <v>0</v>
      </c>
      <c r="T10" s="257">
        <v>0</v>
      </c>
      <c r="U10" s="260"/>
      <c r="V10" s="255"/>
      <c r="W10" s="255"/>
      <c r="X10" s="255"/>
      <c r="Y10" s="252">
        <v>0</v>
      </c>
      <c r="Z10" s="252">
        <v>0</v>
      </c>
      <c r="AA10" s="255"/>
      <c r="AB10" s="255"/>
      <c r="AC10" s="255"/>
      <c r="AD10" s="255"/>
      <c r="AE10" s="252">
        <v>0</v>
      </c>
      <c r="AF10" s="252">
        <v>0</v>
      </c>
      <c r="AG10" s="255"/>
      <c r="AH10" s="255"/>
      <c r="AI10" s="255"/>
      <c r="AJ10" s="255"/>
      <c r="AK10" s="252">
        <v>0</v>
      </c>
      <c r="AL10" s="252">
        <v>0</v>
      </c>
    </row>
    <row r="11" spans="1:38" ht="21" customHeight="1">
      <c r="A11" s="251">
        <v>4</v>
      </c>
      <c r="B11" s="250" t="s">
        <v>357</v>
      </c>
      <c r="C11" s="255"/>
      <c r="D11" s="255"/>
      <c r="E11" s="255"/>
      <c r="F11" s="255"/>
      <c r="G11" s="252">
        <v>0</v>
      </c>
      <c r="H11" s="252">
        <v>0</v>
      </c>
      <c r="I11" s="252">
        <v>68</v>
      </c>
      <c r="J11" s="252">
        <v>37.44</v>
      </c>
      <c r="K11" s="255"/>
      <c r="L11" s="255"/>
      <c r="M11" s="252">
        <v>68</v>
      </c>
      <c r="N11" s="252">
        <v>37.44</v>
      </c>
      <c r="O11" s="255"/>
      <c r="P11" s="255"/>
      <c r="Q11" s="255"/>
      <c r="R11" s="255"/>
      <c r="S11" s="252">
        <v>0</v>
      </c>
      <c r="T11" s="257">
        <v>0</v>
      </c>
      <c r="U11" s="260"/>
      <c r="V11" s="255"/>
      <c r="W11" s="255"/>
      <c r="X11" s="255"/>
      <c r="Y11" s="252">
        <v>0</v>
      </c>
      <c r="Z11" s="252">
        <v>0</v>
      </c>
      <c r="AA11" s="252">
        <v>68</v>
      </c>
      <c r="AB11" s="252">
        <v>51.53</v>
      </c>
      <c r="AC11" s="255"/>
      <c r="AD11" s="255"/>
      <c r="AE11" s="252">
        <v>68</v>
      </c>
      <c r="AF11" s="252">
        <v>51.53</v>
      </c>
      <c r="AG11" s="255"/>
      <c r="AH11" s="255"/>
      <c r="AI11" s="255"/>
      <c r="AJ11" s="255"/>
      <c r="AK11" s="252">
        <v>0</v>
      </c>
      <c r="AL11" s="252">
        <v>0</v>
      </c>
    </row>
    <row r="12" spans="1:38" ht="21" customHeight="1">
      <c r="A12" s="251">
        <v>5</v>
      </c>
      <c r="B12" s="250" t="s">
        <v>219</v>
      </c>
      <c r="C12" s="255"/>
      <c r="D12" s="255"/>
      <c r="E12" s="255"/>
      <c r="F12" s="255"/>
      <c r="G12" s="252">
        <v>0</v>
      </c>
      <c r="H12" s="252">
        <v>0</v>
      </c>
      <c r="I12" s="252">
        <v>60</v>
      </c>
      <c r="J12" s="252">
        <v>30.39</v>
      </c>
      <c r="K12" s="255"/>
      <c r="L12" s="255"/>
      <c r="M12" s="252">
        <v>60</v>
      </c>
      <c r="N12" s="252">
        <v>30.39</v>
      </c>
      <c r="O12" s="255"/>
      <c r="P12" s="255"/>
      <c r="Q12" s="255"/>
      <c r="R12" s="255"/>
      <c r="S12" s="252">
        <v>0</v>
      </c>
      <c r="T12" s="257">
        <v>0</v>
      </c>
      <c r="U12" s="260"/>
      <c r="V12" s="255"/>
      <c r="W12" s="255"/>
      <c r="X12" s="255"/>
      <c r="Y12" s="252">
        <v>0</v>
      </c>
      <c r="Z12" s="252">
        <v>0</v>
      </c>
      <c r="AA12" s="252">
        <v>92</v>
      </c>
      <c r="AB12" s="252">
        <v>67</v>
      </c>
      <c r="AC12" s="255"/>
      <c r="AD12" s="255"/>
      <c r="AE12" s="252">
        <v>92</v>
      </c>
      <c r="AF12" s="252">
        <v>67</v>
      </c>
      <c r="AG12" s="255"/>
      <c r="AH12" s="255"/>
      <c r="AI12" s="255"/>
      <c r="AJ12" s="255"/>
      <c r="AK12" s="252">
        <v>0</v>
      </c>
      <c r="AL12" s="252">
        <v>0</v>
      </c>
    </row>
    <row r="13" spans="1:38" ht="21" customHeight="1">
      <c r="A13" s="251">
        <v>6</v>
      </c>
      <c r="B13" s="250" t="s">
        <v>227</v>
      </c>
      <c r="C13" s="255"/>
      <c r="D13" s="255"/>
      <c r="E13" s="255"/>
      <c r="F13" s="255"/>
      <c r="G13" s="252">
        <v>0</v>
      </c>
      <c r="H13" s="252">
        <v>0</v>
      </c>
      <c r="I13" s="255"/>
      <c r="J13" s="255"/>
      <c r="K13" s="255"/>
      <c r="L13" s="255"/>
      <c r="M13" s="252">
        <v>0</v>
      </c>
      <c r="N13" s="252">
        <v>0</v>
      </c>
      <c r="O13" s="255"/>
      <c r="P13" s="255"/>
      <c r="Q13" s="255"/>
      <c r="R13" s="255"/>
      <c r="S13" s="252">
        <v>0</v>
      </c>
      <c r="T13" s="257">
        <v>0</v>
      </c>
      <c r="U13" s="260"/>
      <c r="V13" s="255"/>
      <c r="W13" s="255"/>
      <c r="X13" s="255"/>
      <c r="Y13" s="252">
        <v>0</v>
      </c>
      <c r="Z13" s="252">
        <v>0</v>
      </c>
      <c r="AA13" s="252">
        <v>7</v>
      </c>
      <c r="AB13" s="252">
        <v>1.42</v>
      </c>
      <c r="AC13" s="255"/>
      <c r="AD13" s="255"/>
      <c r="AE13" s="252">
        <v>7</v>
      </c>
      <c r="AF13" s="252">
        <v>1.42</v>
      </c>
      <c r="AG13" s="255"/>
      <c r="AH13" s="255"/>
      <c r="AI13" s="255"/>
      <c r="AJ13" s="255"/>
      <c r="AK13" s="252">
        <v>0</v>
      </c>
      <c r="AL13" s="252">
        <v>0</v>
      </c>
    </row>
    <row r="14" spans="1:38" ht="21" customHeight="1">
      <c r="A14" s="251">
        <v>7</v>
      </c>
      <c r="B14" s="250" t="s">
        <v>228</v>
      </c>
      <c r="C14" s="255"/>
      <c r="D14" s="255"/>
      <c r="E14" s="255"/>
      <c r="F14" s="255"/>
      <c r="G14" s="252">
        <v>0</v>
      </c>
      <c r="H14" s="252">
        <v>0</v>
      </c>
      <c r="I14" s="252">
        <v>31</v>
      </c>
      <c r="J14" s="252">
        <v>11.81</v>
      </c>
      <c r="K14" s="255"/>
      <c r="L14" s="255"/>
      <c r="M14" s="252">
        <v>31</v>
      </c>
      <c r="N14" s="252">
        <v>11.81</v>
      </c>
      <c r="O14" s="255"/>
      <c r="P14" s="255"/>
      <c r="Q14" s="255"/>
      <c r="R14" s="255"/>
      <c r="S14" s="252">
        <v>0</v>
      </c>
      <c r="T14" s="257">
        <v>0</v>
      </c>
      <c r="U14" s="260"/>
      <c r="V14" s="255"/>
      <c r="W14" s="255"/>
      <c r="X14" s="255"/>
      <c r="Y14" s="252">
        <v>0</v>
      </c>
      <c r="Z14" s="252">
        <v>0</v>
      </c>
      <c r="AA14" s="252">
        <v>62</v>
      </c>
      <c r="AB14" s="252">
        <v>40.19</v>
      </c>
      <c r="AC14" s="255"/>
      <c r="AD14" s="255"/>
      <c r="AE14" s="252">
        <v>62</v>
      </c>
      <c r="AF14" s="252">
        <v>40.19</v>
      </c>
      <c r="AG14" s="255"/>
      <c r="AH14" s="255"/>
      <c r="AI14" s="255"/>
      <c r="AJ14" s="255"/>
      <c r="AK14" s="252">
        <v>0</v>
      </c>
      <c r="AL14" s="252">
        <v>0</v>
      </c>
    </row>
    <row r="15" spans="1:38" ht="21" customHeight="1">
      <c r="A15" s="251">
        <v>8</v>
      </c>
      <c r="B15" s="250" t="s">
        <v>229</v>
      </c>
      <c r="C15" s="255"/>
      <c r="D15" s="255"/>
      <c r="E15" s="255"/>
      <c r="F15" s="255"/>
      <c r="G15" s="252">
        <v>0</v>
      </c>
      <c r="H15" s="252">
        <v>0</v>
      </c>
      <c r="I15" s="252">
        <v>15</v>
      </c>
      <c r="J15" s="252">
        <v>8.25</v>
      </c>
      <c r="K15" s="255"/>
      <c r="L15" s="255"/>
      <c r="M15" s="252">
        <v>15</v>
      </c>
      <c r="N15" s="252">
        <v>8.25</v>
      </c>
      <c r="O15" s="255"/>
      <c r="P15" s="255"/>
      <c r="Q15" s="255"/>
      <c r="R15" s="255"/>
      <c r="S15" s="252">
        <v>0</v>
      </c>
      <c r="T15" s="257">
        <v>0</v>
      </c>
      <c r="U15" s="260"/>
      <c r="V15" s="255"/>
      <c r="W15" s="255"/>
      <c r="X15" s="255"/>
      <c r="Y15" s="252">
        <v>0</v>
      </c>
      <c r="Z15" s="252">
        <v>0</v>
      </c>
      <c r="AA15" s="252">
        <v>22</v>
      </c>
      <c r="AB15" s="252">
        <v>16</v>
      </c>
      <c r="AC15" s="255"/>
      <c r="AD15" s="255"/>
      <c r="AE15" s="252">
        <v>22</v>
      </c>
      <c r="AF15" s="252">
        <v>16</v>
      </c>
      <c r="AG15" s="255"/>
      <c r="AH15" s="255"/>
      <c r="AI15" s="255"/>
      <c r="AJ15" s="255"/>
      <c r="AK15" s="252">
        <v>0</v>
      </c>
      <c r="AL15" s="252">
        <v>0</v>
      </c>
    </row>
    <row r="16" spans="1:38" ht="21" customHeight="1">
      <c r="A16" s="251">
        <v>9</v>
      </c>
      <c r="B16" s="250" t="s">
        <v>358</v>
      </c>
      <c r="C16" s="255"/>
      <c r="D16" s="255"/>
      <c r="E16" s="255"/>
      <c r="F16" s="255"/>
      <c r="G16" s="252">
        <v>0</v>
      </c>
      <c r="H16" s="252">
        <v>0</v>
      </c>
      <c r="I16" s="252">
        <v>39</v>
      </c>
      <c r="J16" s="252">
        <v>21.83</v>
      </c>
      <c r="K16" s="255"/>
      <c r="L16" s="255"/>
      <c r="M16" s="252">
        <v>39</v>
      </c>
      <c r="N16" s="252">
        <v>21.83</v>
      </c>
      <c r="O16" s="255"/>
      <c r="P16" s="255"/>
      <c r="Q16" s="255"/>
      <c r="R16" s="255"/>
      <c r="S16" s="252">
        <v>0</v>
      </c>
      <c r="T16" s="257">
        <v>0</v>
      </c>
      <c r="U16" s="260"/>
      <c r="V16" s="255"/>
      <c r="W16" s="255"/>
      <c r="X16" s="255"/>
      <c r="Y16" s="252">
        <v>0</v>
      </c>
      <c r="Z16" s="252">
        <v>0</v>
      </c>
      <c r="AA16" s="252">
        <v>39</v>
      </c>
      <c r="AB16" s="252">
        <v>30.67</v>
      </c>
      <c r="AC16" s="255"/>
      <c r="AD16" s="255"/>
      <c r="AE16" s="252">
        <v>39</v>
      </c>
      <c r="AF16" s="252">
        <v>30.67</v>
      </c>
      <c r="AG16" s="255"/>
      <c r="AH16" s="255"/>
      <c r="AI16" s="255"/>
      <c r="AJ16" s="255"/>
      <c r="AK16" s="252">
        <v>0</v>
      </c>
      <c r="AL16" s="252">
        <v>0</v>
      </c>
    </row>
    <row r="17" spans="1:38" ht="21" customHeight="1">
      <c r="A17" s="251">
        <v>10</v>
      </c>
      <c r="B17" s="250" t="s">
        <v>230</v>
      </c>
      <c r="C17" s="255"/>
      <c r="D17" s="255"/>
      <c r="E17" s="255"/>
      <c r="F17" s="255"/>
      <c r="G17" s="252">
        <v>0</v>
      </c>
      <c r="H17" s="252">
        <v>0</v>
      </c>
      <c r="I17" s="252">
        <v>279</v>
      </c>
      <c r="J17" s="252">
        <v>149.53</v>
      </c>
      <c r="K17" s="255"/>
      <c r="L17" s="255"/>
      <c r="M17" s="252">
        <v>279</v>
      </c>
      <c r="N17" s="252">
        <v>149.53</v>
      </c>
      <c r="O17" s="255"/>
      <c r="P17" s="255"/>
      <c r="Q17" s="255"/>
      <c r="R17" s="255"/>
      <c r="S17" s="252">
        <v>0</v>
      </c>
      <c r="T17" s="257">
        <v>0</v>
      </c>
      <c r="U17" s="260"/>
      <c r="V17" s="255"/>
      <c r="W17" s="255"/>
      <c r="X17" s="255"/>
      <c r="Y17" s="252">
        <v>0</v>
      </c>
      <c r="Z17" s="252">
        <v>0</v>
      </c>
      <c r="AA17" s="252">
        <v>349</v>
      </c>
      <c r="AB17" s="252">
        <v>282.31</v>
      </c>
      <c r="AC17" s="255"/>
      <c r="AD17" s="255"/>
      <c r="AE17" s="252">
        <v>349</v>
      </c>
      <c r="AF17" s="252">
        <v>282.31</v>
      </c>
      <c r="AG17" s="255"/>
      <c r="AH17" s="255"/>
      <c r="AI17" s="255"/>
      <c r="AJ17" s="255"/>
      <c r="AK17" s="252">
        <v>0</v>
      </c>
      <c r="AL17" s="252">
        <v>0</v>
      </c>
    </row>
    <row r="18" spans="1:38" ht="21" customHeight="1">
      <c r="A18" s="251">
        <v>11</v>
      </c>
      <c r="B18" s="250" t="s">
        <v>217</v>
      </c>
      <c r="C18" s="255"/>
      <c r="D18" s="255"/>
      <c r="E18" s="255"/>
      <c r="F18" s="255"/>
      <c r="G18" s="252">
        <v>0</v>
      </c>
      <c r="H18" s="252">
        <v>0</v>
      </c>
      <c r="I18" s="252">
        <v>27</v>
      </c>
      <c r="J18" s="252">
        <v>15.33</v>
      </c>
      <c r="K18" s="255"/>
      <c r="L18" s="255"/>
      <c r="M18" s="252">
        <v>27</v>
      </c>
      <c r="N18" s="252">
        <v>15.33</v>
      </c>
      <c r="O18" s="255"/>
      <c r="P18" s="255"/>
      <c r="Q18" s="255"/>
      <c r="R18" s="255"/>
      <c r="S18" s="252">
        <v>0</v>
      </c>
      <c r="T18" s="257">
        <v>0</v>
      </c>
      <c r="U18" s="260"/>
      <c r="V18" s="255"/>
      <c r="W18" s="255"/>
      <c r="X18" s="255"/>
      <c r="Y18" s="252">
        <v>0</v>
      </c>
      <c r="Z18" s="252">
        <v>0</v>
      </c>
      <c r="AA18" s="252">
        <v>52</v>
      </c>
      <c r="AB18" s="252">
        <v>39</v>
      </c>
      <c r="AC18" s="255"/>
      <c r="AD18" s="255"/>
      <c r="AE18" s="252">
        <v>52</v>
      </c>
      <c r="AF18" s="252">
        <v>39</v>
      </c>
      <c r="AG18" s="255"/>
      <c r="AH18" s="255"/>
      <c r="AI18" s="255"/>
      <c r="AJ18" s="255"/>
      <c r="AK18" s="252">
        <v>0</v>
      </c>
      <c r="AL18" s="252">
        <v>0</v>
      </c>
    </row>
    <row r="19" spans="1:38" ht="21" customHeight="1">
      <c r="A19" s="675" t="s">
        <v>8</v>
      </c>
      <c r="B19" s="676"/>
      <c r="C19" s="252"/>
      <c r="D19" s="252"/>
      <c r="E19" s="252"/>
      <c r="F19" s="252"/>
      <c r="G19" s="252">
        <f>SUM(G8:G18)</f>
        <v>0</v>
      </c>
      <c r="H19" s="252">
        <f>SUM(H8:H18)</f>
        <v>0</v>
      </c>
      <c r="I19" s="252">
        <f>SUM(I8:I18)</f>
        <v>663</v>
      </c>
      <c r="J19" s="252">
        <f>SUM(J8:J18)</f>
        <v>354.10999999999996</v>
      </c>
      <c r="K19" s="252"/>
      <c r="L19" s="252"/>
      <c r="M19" s="252">
        <f>SUM(M8:M18)</f>
        <v>663</v>
      </c>
      <c r="N19" s="252">
        <f>SUM(N8:N18)</f>
        <v>354.10999999999996</v>
      </c>
      <c r="O19" s="252"/>
      <c r="P19" s="252"/>
      <c r="Q19" s="252"/>
      <c r="R19" s="252"/>
      <c r="S19" s="252">
        <f>SUM(S8:S18)</f>
        <v>0</v>
      </c>
      <c r="T19" s="257">
        <f>SUM(T8:T18)</f>
        <v>0</v>
      </c>
      <c r="U19" s="259"/>
      <c r="V19" s="252"/>
      <c r="W19" s="252"/>
      <c r="X19" s="252"/>
      <c r="Y19" s="252">
        <f>SUM(Y8:Y18)</f>
        <v>0</v>
      </c>
      <c r="Z19" s="252">
        <f>SUM(Z8:Z18)</f>
        <v>0</v>
      </c>
      <c r="AA19" s="252">
        <f>SUM(AA8:AA18)</f>
        <v>882</v>
      </c>
      <c r="AB19" s="252">
        <f>SUM(AB8:AB18)</f>
        <v>687.37</v>
      </c>
      <c r="AC19" s="252"/>
      <c r="AD19" s="252"/>
      <c r="AE19" s="252">
        <f>SUM(AE8:AE18)</f>
        <v>882</v>
      </c>
      <c r="AF19" s="252">
        <f>SUM(AF8:AF18)</f>
        <v>687.37</v>
      </c>
      <c r="AG19" s="252"/>
      <c r="AH19" s="252"/>
      <c r="AI19" s="252"/>
      <c r="AJ19" s="252"/>
      <c r="AK19" s="252">
        <f>SUM(AK8:AK18)</f>
        <v>0</v>
      </c>
      <c r="AL19" s="252">
        <f>SUM(AL8:AL18)</f>
        <v>0</v>
      </c>
    </row>
    <row r="20" spans="1:38" ht="21" customHeight="1">
      <c r="A20" s="666" t="s">
        <v>421</v>
      </c>
      <c r="B20" s="667"/>
      <c r="C20" s="667"/>
      <c r="D20" s="667"/>
      <c r="E20" s="667"/>
      <c r="F20" s="667"/>
      <c r="G20" s="667"/>
      <c r="H20" s="667"/>
      <c r="I20" s="667"/>
      <c r="J20" s="667"/>
      <c r="K20" s="667"/>
      <c r="L20" s="667"/>
      <c r="M20" s="667"/>
      <c r="N20" s="667"/>
      <c r="O20" s="667"/>
      <c r="P20" s="667"/>
      <c r="Q20" s="667"/>
      <c r="R20" s="667"/>
      <c r="S20" s="667"/>
      <c r="T20" s="667"/>
      <c r="U20" s="667"/>
      <c r="V20" s="667"/>
      <c r="W20" s="667"/>
      <c r="X20" s="667"/>
      <c r="Y20" s="667"/>
      <c r="Z20" s="667"/>
      <c r="AA20" s="667"/>
      <c r="AB20" s="667"/>
      <c r="AC20" s="667"/>
      <c r="AD20" s="667"/>
      <c r="AE20" s="667"/>
      <c r="AF20" s="667"/>
      <c r="AG20" s="667"/>
      <c r="AH20" s="667"/>
      <c r="AI20" s="667"/>
      <c r="AJ20" s="667"/>
      <c r="AK20" s="667"/>
      <c r="AL20" s="668"/>
    </row>
    <row r="21" spans="1:38" ht="21" customHeight="1">
      <c r="A21" s="666" t="s">
        <v>231</v>
      </c>
      <c r="B21" s="667"/>
      <c r="C21" s="667"/>
      <c r="D21" s="667"/>
      <c r="E21" s="667"/>
      <c r="F21" s="667"/>
      <c r="G21" s="667"/>
      <c r="H21" s="667"/>
      <c r="I21" s="667"/>
      <c r="J21" s="667"/>
      <c r="K21" s="667"/>
      <c r="L21" s="667"/>
      <c r="M21" s="667"/>
      <c r="N21" s="667"/>
      <c r="O21" s="667"/>
      <c r="P21" s="667"/>
      <c r="Q21" s="667"/>
      <c r="R21" s="667"/>
      <c r="S21" s="667"/>
      <c r="T21" s="667"/>
      <c r="U21" s="667"/>
      <c r="V21" s="667"/>
      <c r="W21" s="667"/>
      <c r="X21" s="667"/>
      <c r="Y21" s="667"/>
      <c r="Z21" s="667"/>
      <c r="AA21" s="667"/>
      <c r="AB21" s="667"/>
      <c r="AC21" s="667"/>
      <c r="AD21" s="667"/>
      <c r="AE21" s="667"/>
      <c r="AF21" s="667"/>
      <c r="AG21" s="667"/>
      <c r="AH21" s="667"/>
      <c r="AI21" s="667"/>
      <c r="AJ21" s="667"/>
      <c r="AK21" s="667"/>
      <c r="AL21" s="668"/>
    </row>
    <row r="22" spans="1:38" ht="21" customHeight="1">
      <c r="A22" s="669" t="s">
        <v>202</v>
      </c>
      <c r="B22" s="669" t="s">
        <v>355</v>
      </c>
      <c r="C22" s="672" t="s">
        <v>422</v>
      </c>
      <c r="D22" s="673"/>
      <c r="E22" s="673"/>
      <c r="F22" s="673"/>
      <c r="G22" s="673"/>
      <c r="H22" s="673"/>
      <c r="I22" s="673"/>
      <c r="J22" s="673"/>
      <c r="K22" s="673"/>
      <c r="L22" s="673"/>
      <c r="M22" s="673"/>
      <c r="N22" s="673"/>
      <c r="O22" s="673"/>
      <c r="P22" s="673"/>
      <c r="Q22" s="673"/>
      <c r="R22" s="673"/>
      <c r="S22" s="673"/>
      <c r="T22" s="674"/>
      <c r="U22" s="672" t="s">
        <v>381</v>
      </c>
      <c r="V22" s="673"/>
      <c r="W22" s="673"/>
      <c r="X22" s="673"/>
      <c r="Y22" s="673"/>
      <c r="Z22" s="673"/>
      <c r="AA22" s="673"/>
      <c r="AB22" s="673"/>
      <c r="AC22" s="673"/>
      <c r="AD22" s="673"/>
      <c r="AE22" s="673"/>
      <c r="AF22" s="673"/>
      <c r="AG22" s="673"/>
      <c r="AH22" s="673"/>
      <c r="AI22" s="673"/>
      <c r="AJ22" s="673"/>
      <c r="AK22" s="673"/>
      <c r="AL22" s="674"/>
    </row>
    <row r="23" spans="1:38" ht="21" customHeight="1">
      <c r="A23" s="670"/>
      <c r="B23" s="670"/>
      <c r="C23" s="672" t="s">
        <v>203</v>
      </c>
      <c r="D23" s="673"/>
      <c r="E23" s="673"/>
      <c r="F23" s="673"/>
      <c r="G23" s="673"/>
      <c r="H23" s="674"/>
      <c r="I23" s="672" t="s">
        <v>204</v>
      </c>
      <c r="J23" s="673"/>
      <c r="K23" s="673"/>
      <c r="L23" s="673"/>
      <c r="M23" s="673"/>
      <c r="N23" s="674"/>
      <c r="O23" s="672" t="s">
        <v>205</v>
      </c>
      <c r="P23" s="673"/>
      <c r="Q23" s="673"/>
      <c r="R23" s="673"/>
      <c r="S23" s="673"/>
      <c r="T23" s="674"/>
      <c r="U23" s="672" t="s">
        <v>203</v>
      </c>
      <c r="V23" s="673"/>
      <c r="W23" s="673"/>
      <c r="X23" s="673"/>
      <c r="Y23" s="673"/>
      <c r="Z23" s="674"/>
      <c r="AA23" s="672" t="s">
        <v>204</v>
      </c>
      <c r="AB23" s="673"/>
      <c r="AC23" s="673"/>
      <c r="AD23" s="673"/>
      <c r="AE23" s="673"/>
      <c r="AF23" s="674"/>
      <c r="AG23" s="672" t="s">
        <v>205</v>
      </c>
      <c r="AH23" s="673"/>
      <c r="AI23" s="673"/>
      <c r="AJ23" s="673"/>
      <c r="AK23" s="673"/>
      <c r="AL23" s="674"/>
    </row>
    <row r="24" spans="1:38" ht="21" customHeight="1">
      <c r="A24" s="670"/>
      <c r="B24" s="670"/>
      <c r="C24" s="672" t="s">
        <v>206</v>
      </c>
      <c r="D24" s="674"/>
      <c r="E24" s="672" t="s">
        <v>207</v>
      </c>
      <c r="F24" s="674"/>
      <c r="G24" s="672" t="s">
        <v>8</v>
      </c>
      <c r="H24" s="674"/>
      <c r="I24" s="672" t="s">
        <v>206</v>
      </c>
      <c r="J24" s="674"/>
      <c r="K24" s="672" t="s">
        <v>207</v>
      </c>
      <c r="L24" s="674"/>
      <c r="M24" s="672" t="s">
        <v>8</v>
      </c>
      <c r="N24" s="674"/>
      <c r="O24" s="672" t="s">
        <v>206</v>
      </c>
      <c r="P24" s="674"/>
      <c r="Q24" s="672" t="s">
        <v>207</v>
      </c>
      <c r="R24" s="674"/>
      <c r="S24" s="672" t="s">
        <v>8</v>
      </c>
      <c r="T24" s="674"/>
      <c r="U24" s="672" t="s">
        <v>206</v>
      </c>
      <c r="V24" s="674"/>
      <c r="W24" s="672" t="s">
        <v>207</v>
      </c>
      <c r="X24" s="674"/>
      <c r="Y24" s="672" t="s">
        <v>8</v>
      </c>
      <c r="Z24" s="674"/>
      <c r="AA24" s="672" t="s">
        <v>206</v>
      </c>
      <c r="AB24" s="674"/>
      <c r="AC24" s="672" t="s">
        <v>207</v>
      </c>
      <c r="AD24" s="674"/>
      <c r="AE24" s="672" t="s">
        <v>8</v>
      </c>
      <c r="AF24" s="674"/>
      <c r="AG24" s="672" t="s">
        <v>206</v>
      </c>
      <c r="AH24" s="674"/>
      <c r="AI24" s="672" t="s">
        <v>207</v>
      </c>
      <c r="AJ24" s="674"/>
      <c r="AK24" s="672" t="s">
        <v>8</v>
      </c>
      <c r="AL24" s="674"/>
    </row>
    <row r="25" spans="1:38" ht="21" customHeight="1">
      <c r="A25" s="671"/>
      <c r="B25" s="671"/>
      <c r="C25" s="252" t="s">
        <v>101</v>
      </c>
      <c r="D25" s="252" t="s">
        <v>356</v>
      </c>
      <c r="E25" s="252" t="s">
        <v>101</v>
      </c>
      <c r="F25" s="252" t="s">
        <v>356</v>
      </c>
      <c r="G25" s="252" t="s">
        <v>101</v>
      </c>
      <c r="H25" s="252" t="s">
        <v>356</v>
      </c>
      <c r="I25" s="252" t="s">
        <v>101</v>
      </c>
      <c r="J25" s="252" t="s">
        <v>356</v>
      </c>
      <c r="K25" s="252" t="s">
        <v>101</v>
      </c>
      <c r="L25" s="252" t="s">
        <v>356</v>
      </c>
      <c r="M25" s="252" t="s">
        <v>101</v>
      </c>
      <c r="N25" s="252" t="s">
        <v>356</v>
      </c>
      <c r="O25" s="252" t="s">
        <v>101</v>
      </c>
      <c r="P25" s="252" t="s">
        <v>356</v>
      </c>
      <c r="Q25" s="252" t="s">
        <v>101</v>
      </c>
      <c r="R25" s="252" t="s">
        <v>356</v>
      </c>
      <c r="S25" s="252" t="s">
        <v>101</v>
      </c>
      <c r="T25" s="257" t="s">
        <v>356</v>
      </c>
      <c r="U25" s="259" t="s">
        <v>101</v>
      </c>
      <c r="V25" s="252" t="s">
        <v>356</v>
      </c>
      <c r="W25" s="252" t="s">
        <v>101</v>
      </c>
      <c r="X25" s="252" t="s">
        <v>356</v>
      </c>
      <c r="Y25" s="252" t="s">
        <v>101</v>
      </c>
      <c r="Z25" s="252" t="s">
        <v>356</v>
      </c>
      <c r="AA25" s="252" t="s">
        <v>101</v>
      </c>
      <c r="AB25" s="252" t="s">
        <v>356</v>
      </c>
      <c r="AC25" s="252" t="s">
        <v>101</v>
      </c>
      <c r="AD25" s="252" t="s">
        <v>356</v>
      </c>
      <c r="AE25" s="252" t="s">
        <v>101</v>
      </c>
      <c r="AF25" s="252" t="s">
        <v>356</v>
      </c>
      <c r="AG25" s="252" t="s">
        <v>101</v>
      </c>
      <c r="AH25" s="252" t="s">
        <v>356</v>
      </c>
      <c r="AI25" s="252" t="s">
        <v>101</v>
      </c>
      <c r="AJ25" s="252" t="s">
        <v>356</v>
      </c>
      <c r="AK25" s="252" t="s">
        <v>101</v>
      </c>
      <c r="AL25" s="252" t="s">
        <v>356</v>
      </c>
    </row>
    <row r="26" spans="1:38" ht="21" customHeight="1">
      <c r="A26" s="251">
        <v>1</v>
      </c>
      <c r="B26" s="250" t="s">
        <v>232</v>
      </c>
      <c r="C26" s="255"/>
      <c r="D26" s="255"/>
      <c r="E26" s="255"/>
      <c r="F26" s="255"/>
      <c r="G26" s="252">
        <v>0</v>
      </c>
      <c r="H26" s="252">
        <v>0</v>
      </c>
      <c r="I26" s="255"/>
      <c r="J26" s="255"/>
      <c r="K26" s="255"/>
      <c r="L26" s="255"/>
      <c r="M26" s="252">
        <v>0</v>
      </c>
      <c r="N26" s="252">
        <v>0</v>
      </c>
      <c r="O26" s="252">
        <v>6</v>
      </c>
      <c r="P26" s="252">
        <v>1.83</v>
      </c>
      <c r="Q26" s="255"/>
      <c r="R26" s="255"/>
      <c r="S26" s="252">
        <v>6</v>
      </c>
      <c r="T26" s="257">
        <v>1.83</v>
      </c>
      <c r="U26" s="260"/>
      <c r="V26" s="255"/>
      <c r="W26" s="255"/>
      <c r="X26" s="255"/>
      <c r="Y26" s="252">
        <v>0</v>
      </c>
      <c r="Z26" s="252">
        <v>0</v>
      </c>
      <c r="AA26" s="255"/>
      <c r="AB26" s="255"/>
      <c r="AC26" s="255"/>
      <c r="AD26" s="255"/>
      <c r="AE26" s="252">
        <v>0</v>
      </c>
      <c r="AF26" s="252">
        <v>0</v>
      </c>
      <c r="AG26" s="252">
        <v>6</v>
      </c>
      <c r="AH26" s="252">
        <v>3.67</v>
      </c>
      <c r="AI26" s="255"/>
      <c r="AJ26" s="255"/>
      <c r="AK26" s="252">
        <v>6</v>
      </c>
      <c r="AL26" s="252">
        <v>3.67</v>
      </c>
    </row>
    <row r="27" spans="1:38" ht="21" customHeight="1">
      <c r="A27" s="251">
        <v>2</v>
      </c>
      <c r="B27" s="250" t="s">
        <v>233</v>
      </c>
      <c r="C27" s="255"/>
      <c r="D27" s="255"/>
      <c r="E27" s="255"/>
      <c r="F27" s="255"/>
      <c r="G27" s="252">
        <v>0</v>
      </c>
      <c r="H27" s="252">
        <v>0</v>
      </c>
      <c r="I27" s="255"/>
      <c r="J27" s="255"/>
      <c r="K27" s="255"/>
      <c r="L27" s="255"/>
      <c r="M27" s="252">
        <v>0</v>
      </c>
      <c r="N27" s="252">
        <v>0</v>
      </c>
      <c r="O27" s="255"/>
      <c r="P27" s="255"/>
      <c r="Q27" s="255"/>
      <c r="R27" s="255"/>
      <c r="S27" s="252">
        <v>0</v>
      </c>
      <c r="T27" s="257">
        <v>0</v>
      </c>
      <c r="U27" s="260"/>
      <c r="V27" s="255"/>
      <c r="W27" s="255"/>
      <c r="X27" s="255"/>
      <c r="Y27" s="252">
        <v>0</v>
      </c>
      <c r="Z27" s="252">
        <v>0</v>
      </c>
      <c r="AA27" s="255"/>
      <c r="AB27" s="255"/>
      <c r="AC27" s="255"/>
      <c r="AD27" s="255"/>
      <c r="AE27" s="252">
        <v>0</v>
      </c>
      <c r="AF27" s="252">
        <v>0</v>
      </c>
      <c r="AG27" s="255"/>
      <c r="AH27" s="255"/>
      <c r="AI27" s="255"/>
      <c r="AJ27" s="255"/>
      <c r="AK27" s="252">
        <v>0</v>
      </c>
      <c r="AL27" s="252">
        <v>0</v>
      </c>
    </row>
    <row r="28" spans="1:38" ht="21" customHeight="1">
      <c r="A28" s="251">
        <v>3</v>
      </c>
      <c r="B28" s="250" t="s">
        <v>234</v>
      </c>
      <c r="C28" s="255"/>
      <c r="D28" s="255"/>
      <c r="E28" s="255"/>
      <c r="F28" s="255"/>
      <c r="G28" s="252">
        <v>0</v>
      </c>
      <c r="H28" s="252">
        <v>0</v>
      </c>
      <c r="I28" s="252">
        <v>136</v>
      </c>
      <c r="J28" s="252">
        <v>65.19</v>
      </c>
      <c r="K28" s="255"/>
      <c r="L28" s="255"/>
      <c r="M28" s="252">
        <v>136</v>
      </c>
      <c r="N28" s="252">
        <v>65.19</v>
      </c>
      <c r="O28" s="255"/>
      <c r="P28" s="255"/>
      <c r="Q28" s="255"/>
      <c r="R28" s="255"/>
      <c r="S28" s="252">
        <v>0</v>
      </c>
      <c r="T28" s="257">
        <v>0</v>
      </c>
      <c r="U28" s="260"/>
      <c r="V28" s="255"/>
      <c r="W28" s="255"/>
      <c r="X28" s="255"/>
      <c r="Y28" s="252">
        <v>0</v>
      </c>
      <c r="Z28" s="252">
        <v>0</v>
      </c>
      <c r="AA28" s="252">
        <v>166</v>
      </c>
      <c r="AB28" s="252">
        <v>120.69</v>
      </c>
      <c r="AC28" s="255"/>
      <c r="AD28" s="255"/>
      <c r="AE28" s="252">
        <v>166</v>
      </c>
      <c r="AF28" s="252">
        <v>120.69</v>
      </c>
      <c r="AG28" s="255"/>
      <c r="AH28" s="255"/>
      <c r="AI28" s="255"/>
      <c r="AJ28" s="255"/>
      <c r="AK28" s="252">
        <v>0</v>
      </c>
      <c r="AL28" s="252">
        <v>0</v>
      </c>
    </row>
    <row r="29" spans="1:38" ht="21" customHeight="1">
      <c r="A29" s="251">
        <v>4</v>
      </c>
      <c r="B29" s="250" t="s">
        <v>235</v>
      </c>
      <c r="C29" s="255"/>
      <c r="D29" s="255"/>
      <c r="E29" s="255"/>
      <c r="F29" s="255"/>
      <c r="G29" s="252">
        <v>0</v>
      </c>
      <c r="H29" s="252">
        <v>0</v>
      </c>
      <c r="I29" s="252">
        <v>109</v>
      </c>
      <c r="J29" s="252">
        <v>52.86</v>
      </c>
      <c r="K29" s="255"/>
      <c r="L29" s="255"/>
      <c r="M29" s="252">
        <v>109</v>
      </c>
      <c r="N29" s="252">
        <v>52.86</v>
      </c>
      <c r="O29" s="255"/>
      <c r="P29" s="255"/>
      <c r="Q29" s="255"/>
      <c r="R29" s="255"/>
      <c r="S29" s="252">
        <v>0</v>
      </c>
      <c r="T29" s="257">
        <v>0</v>
      </c>
      <c r="U29" s="260"/>
      <c r="V29" s="255"/>
      <c r="W29" s="255"/>
      <c r="X29" s="255"/>
      <c r="Y29" s="252">
        <v>0</v>
      </c>
      <c r="Z29" s="252">
        <v>0</v>
      </c>
      <c r="AA29" s="252">
        <v>123</v>
      </c>
      <c r="AB29" s="252">
        <v>89.83</v>
      </c>
      <c r="AC29" s="255"/>
      <c r="AD29" s="255"/>
      <c r="AE29" s="252">
        <v>123</v>
      </c>
      <c r="AF29" s="252">
        <v>89.83</v>
      </c>
      <c r="AG29" s="255"/>
      <c r="AH29" s="255"/>
      <c r="AI29" s="255"/>
      <c r="AJ29" s="255"/>
      <c r="AK29" s="252">
        <v>0</v>
      </c>
      <c r="AL29" s="252">
        <v>0</v>
      </c>
    </row>
    <row r="30" spans="1:38" ht="21" customHeight="1">
      <c r="A30" s="251">
        <v>5</v>
      </c>
      <c r="B30" s="250" t="s">
        <v>236</v>
      </c>
      <c r="C30" s="255"/>
      <c r="D30" s="255"/>
      <c r="E30" s="255"/>
      <c r="F30" s="255"/>
      <c r="G30" s="252">
        <v>0</v>
      </c>
      <c r="H30" s="252">
        <v>0</v>
      </c>
      <c r="I30" s="252">
        <v>171</v>
      </c>
      <c r="J30" s="252">
        <v>85.11</v>
      </c>
      <c r="K30" s="255"/>
      <c r="L30" s="255"/>
      <c r="M30" s="252">
        <v>171</v>
      </c>
      <c r="N30" s="252">
        <v>85.11</v>
      </c>
      <c r="O30" s="255"/>
      <c r="P30" s="255"/>
      <c r="Q30" s="255"/>
      <c r="R30" s="255"/>
      <c r="S30" s="252">
        <v>0</v>
      </c>
      <c r="T30" s="257">
        <v>0</v>
      </c>
      <c r="U30" s="260"/>
      <c r="V30" s="255"/>
      <c r="W30" s="255"/>
      <c r="X30" s="255"/>
      <c r="Y30" s="252">
        <v>0</v>
      </c>
      <c r="Z30" s="252">
        <v>0</v>
      </c>
      <c r="AA30" s="252">
        <v>225</v>
      </c>
      <c r="AB30" s="252">
        <v>167.64</v>
      </c>
      <c r="AC30" s="255"/>
      <c r="AD30" s="255"/>
      <c r="AE30" s="252">
        <v>225</v>
      </c>
      <c r="AF30" s="252">
        <v>167.64</v>
      </c>
      <c r="AG30" s="255"/>
      <c r="AH30" s="255"/>
      <c r="AI30" s="255"/>
      <c r="AJ30" s="255"/>
      <c r="AK30" s="252">
        <v>0</v>
      </c>
      <c r="AL30" s="252">
        <v>0</v>
      </c>
    </row>
    <row r="31" spans="1:38" ht="21" customHeight="1">
      <c r="A31" s="251">
        <v>6</v>
      </c>
      <c r="B31" s="250" t="s">
        <v>237</v>
      </c>
      <c r="C31" s="255"/>
      <c r="D31" s="255"/>
      <c r="E31" s="255"/>
      <c r="F31" s="255"/>
      <c r="G31" s="252">
        <v>0</v>
      </c>
      <c r="H31" s="252">
        <v>0</v>
      </c>
      <c r="I31" s="252">
        <v>133</v>
      </c>
      <c r="J31" s="252">
        <v>62.64</v>
      </c>
      <c r="K31" s="255"/>
      <c r="L31" s="255"/>
      <c r="M31" s="252">
        <v>133</v>
      </c>
      <c r="N31" s="252">
        <v>62.64</v>
      </c>
      <c r="O31" s="252">
        <v>2</v>
      </c>
      <c r="P31" s="252">
        <v>0.83</v>
      </c>
      <c r="Q31" s="255"/>
      <c r="R31" s="255"/>
      <c r="S31" s="252">
        <v>2</v>
      </c>
      <c r="T31" s="257">
        <v>0.83</v>
      </c>
      <c r="U31" s="260"/>
      <c r="V31" s="255"/>
      <c r="W31" s="255"/>
      <c r="X31" s="255"/>
      <c r="Y31" s="252">
        <v>0</v>
      </c>
      <c r="Z31" s="252">
        <v>0</v>
      </c>
      <c r="AA31" s="252">
        <v>179</v>
      </c>
      <c r="AB31" s="252">
        <v>127</v>
      </c>
      <c r="AC31" s="255"/>
      <c r="AD31" s="255"/>
      <c r="AE31" s="252">
        <v>179</v>
      </c>
      <c r="AF31" s="252">
        <v>127</v>
      </c>
      <c r="AG31" s="252">
        <v>3</v>
      </c>
      <c r="AH31" s="252">
        <v>1.39</v>
      </c>
      <c r="AI31" s="255"/>
      <c r="AJ31" s="255"/>
      <c r="AK31" s="252">
        <v>3</v>
      </c>
      <c r="AL31" s="252">
        <v>1.39</v>
      </c>
    </row>
    <row r="32" spans="1:38" ht="21" customHeight="1">
      <c r="A32" s="251">
        <v>7</v>
      </c>
      <c r="B32" s="250" t="s">
        <v>238</v>
      </c>
      <c r="C32" s="255"/>
      <c r="D32" s="255"/>
      <c r="E32" s="255"/>
      <c r="F32" s="255"/>
      <c r="G32" s="252">
        <v>0</v>
      </c>
      <c r="H32" s="252">
        <v>0</v>
      </c>
      <c r="I32" s="252">
        <v>36</v>
      </c>
      <c r="J32" s="252">
        <v>10.17</v>
      </c>
      <c r="K32" s="255"/>
      <c r="L32" s="255"/>
      <c r="M32" s="252">
        <v>36</v>
      </c>
      <c r="N32" s="252">
        <v>10.17</v>
      </c>
      <c r="O32" s="255"/>
      <c r="P32" s="255"/>
      <c r="Q32" s="255"/>
      <c r="R32" s="255"/>
      <c r="S32" s="252">
        <v>0</v>
      </c>
      <c r="T32" s="257">
        <v>0</v>
      </c>
      <c r="U32" s="260"/>
      <c r="V32" s="255"/>
      <c r="W32" s="255"/>
      <c r="X32" s="255"/>
      <c r="Y32" s="252">
        <v>0</v>
      </c>
      <c r="Z32" s="252">
        <v>0</v>
      </c>
      <c r="AA32" s="252">
        <v>53</v>
      </c>
      <c r="AB32" s="252">
        <v>36.08</v>
      </c>
      <c r="AC32" s="255"/>
      <c r="AD32" s="255"/>
      <c r="AE32" s="252">
        <v>53</v>
      </c>
      <c r="AF32" s="252">
        <v>36.08</v>
      </c>
      <c r="AG32" s="255"/>
      <c r="AH32" s="255"/>
      <c r="AI32" s="255"/>
      <c r="AJ32" s="255"/>
      <c r="AK32" s="252">
        <v>0</v>
      </c>
      <c r="AL32" s="252">
        <v>0</v>
      </c>
    </row>
    <row r="33" spans="1:39" ht="21" customHeight="1">
      <c r="A33" s="251">
        <v>8</v>
      </c>
      <c r="B33" s="250" t="s">
        <v>239</v>
      </c>
      <c r="C33" s="255"/>
      <c r="D33" s="255"/>
      <c r="E33" s="255"/>
      <c r="F33" s="255"/>
      <c r="G33" s="252">
        <v>0</v>
      </c>
      <c r="H33" s="252">
        <v>0</v>
      </c>
      <c r="I33" s="255"/>
      <c r="J33" s="255"/>
      <c r="K33" s="255"/>
      <c r="L33" s="255"/>
      <c r="M33" s="252">
        <v>0</v>
      </c>
      <c r="N33" s="252">
        <v>0</v>
      </c>
      <c r="O33" s="252">
        <v>1</v>
      </c>
      <c r="P33" s="252">
        <v>0.33</v>
      </c>
      <c r="Q33" s="255"/>
      <c r="R33" s="255"/>
      <c r="S33" s="252">
        <v>1</v>
      </c>
      <c r="T33" s="257">
        <v>0.33</v>
      </c>
      <c r="U33" s="260"/>
      <c r="V33" s="255"/>
      <c r="W33" s="255"/>
      <c r="X33" s="255"/>
      <c r="Y33" s="252">
        <v>0</v>
      </c>
      <c r="Z33" s="252">
        <v>0</v>
      </c>
      <c r="AA33" s="255"/>
      <c r="AB33" s="255"/>
      <c r="AC33" s="255"/>
      <c r="AD33" s="255"/>
      <c r="AE33" s="252">
        <v>0</v>
      </c>
      <c r="AF33" s="252">
        <v>0</v>
      </c>
      <c r="AG33" s="252">
        <v>1</v>
      </c>
      <c r="AH33" s="252">
        <v>1</v>
      </c>
      <c r="AI33" s="255"/>
      <c r="AJ33" s="255"/>
      <c r="AK33" s="252">
        <v>1</v>
      </c>
      <c r="AL33" s="252">
        <v>1</v>
      </c>
    </row>
    <row r="34" spans="1:39" ht="21" customHeight="1">
      <c r="A34" s="251">
        <v>9</v>
      </c>
      <c r="B34" s="250" t="s">
        <v>240</v>
      </c>
      <c r="C34" s="255"/>
      <c r="D34" s="255"/>
      <c r="E34" s="255"/>
      <c r="F34" s="255"/>
      <c r="G34" s="252">
        <v>0</v>
      </c>
      <c r="H34" s="252">
        <v>0</v>
      </c>
      <c r="I34" s="252">
        <v>22</v>
      </c>
      <c r="J34" s="252">
        <v>12.53</v>
      </c>
      <c r="K34" s="255"/>
      <c r="L34" s="255"/>
      <c r="M34" s="252">
        <v>22</v>
      </c>
      <c r="N34" s="252">
        <v>12.53</v>
      </c>
      <c r="O34" s="255"/>
      <c r="P34" s="255"/>
      <c r="Q34" s="255"/>
      <c r="R34" s="255"/>
      <c r="S34" s="252">
        <v>0</v>
      </c>
      <c r="T34" s="257">
        <v>0</v>
      </c>
      <c r="U34" s="260"/>
      <c r="V34" s="255"/>
      <c r="W34" s="255"/>
      <c r="X34" s="255"/>
      <c r="Y34" s="252">
        <v>0</v>
      </c>
      <c r="Z34" s="252">
        <v>0</v>
      </c>
      <c r="AA34" s="252">
        <v>28</v>
      </c>
      <c r="AB34" s="252">
        <v>17.28</v>
      </c>
      <c r="AC34" s="255"/>
      <c r="AD34" s="255"/>
      <c r="AE34" s="252">
        <v>28</v>
      </c>
      <c r="AF34" s="252">
        <v>17.28</v>
      </c>
      <c r="AG34" s="255"/>
      <c r="AH34" s="255"/>
      <c r="AI34" s="255"/>
      <c r="AJ34" s="255"/>
      <c r="AK34" s="252">
        <v>0</v>
      </c>
      <c r="AL34" s="252">
        <v>0</v>
      </c>
    </row>
    <row r="35" spans="1:39" ht="21" customHeight="1">
      <c r="A35" s="251">
        <v>10</v>
      </c>
      <c r="B35" s="250" t="s">
        <v>221</v>
      </c>
      <c r="C35" s="255"/>
      <c r="D35" s="255"/>
      <c r="E35" s="255"/>
      <c r="F35" s="255"/>
      <c r="G35" s="252">
        <v>0</v>
      </c>
      <c r="H35" s="252">
        <v>0</v>
      </c>
      <c r="I35" s="252">
        <v>114</v>
      </c>
      <c r="J35" s="252">
        <v>58.72</v>
      </c>
      <c r="K35" s="255"/>
      <c r="L35" s="255"/>
      <c r="M35" s="252">
        <v>114</v>
      </c>
      <c r="N35" s="252">
        <v>58.72</v>
      </c>
      <c r="O35" s="255"/>
      <c r="P35" s="255"/>
      <c r="Q35" s="255"/>
      <c r="R35" s="255"/>
      <c r="S35" s="252">
        <v>0</v>
      </c>
      <c r="T35" s="257">
        <v>0</v>
      </c>
      <c r="U35" s="260"/>
      <c r="V35" s="255"/>
      <c r="W35" s="255"/>
      <c r="X35" s="255"/>
      <c r="Y35" s="252">
        <v>0</v>
      </c>
      <c r="Z35" s="252">
        <v>0</v>
      </c>
      <c r="AA35" s="252">
        <v>124</v>
      </c>
      <c r="AB35" s="252">
        <v>102.89</v>
      </c>
      <c r="AC35" s="255"/>
      <c r="AD35" s="255"/>
      <c r="AE35" s="252">
        <v>124</v>
      </c>
      <c r="AF35" s="252">
        <v>102.89</v>
      </c>
      <c r="AG35" s="255"/>
      <c r="AH35" s="255"/>
      <c r="AI35" s="255"/>
      <c r="AJ35" s="255"/>
      <c r="AK35" s="252">
        <v>0</v>
      </c>
      <c r="AL35" s="252">
        <v>0</v>
      </c>
    </row>
    <row r="36" spans="1:39" ht="21" customHeight="1">
      <c r="A36" s="675" t="s">
        <v>8</v>
      </c>
      <c r="B36" s="676"/>
      <c r="C36" s="252"/>
      <c r="D36" s="252"/>
      <c r="E36" s="252"/>
      <c r="F36" s="252"/>
      <c r="G36" s="252">
        <f>SUM(G26:G35)</f>
        <v>0</v>
      </c>
      <c r="H36" s="252">
        <f>SUM(H26:H35)</f>
        <v>0</v>
      </c>
      <c r="I36" s="252">
        <f>SUM(I26:I35)</f>
        <v>721</v>
      </c>
      <c r="J36" s="252">
        <f>SUM(J26:J35)</f>
        <v>347.22</v>
      </c>
      <c r="K36" s="252"/>
      <c r="L36" s="252"/>
      <c r="M36" s="252">
        <f>SUM(M26:M35)</f>
        <v>721</v>
      </c>
      <c r="N36" s="252">
        <f>SUM(N26:N35)</f>
        <v>347.22</v>
      </c>
      <c r="O36" s="252">
        <f>SUM(O26:O35)</f>
        <v>9</v>
      </c>
      <c r="P36" s="252">
        <f>SUM(P26:P35)</f>
        <v>2.99</v>
      </c>
      <c r="Q36" s="252"/>
      <c r="R36" s="252"/>
      <c r="S36" s="252">
        <f>SUM(S26:S35)</f>
        <v>9</v>
      </c>
      <c r="T36" s="257">
        <f>SUM(T26:T35)</f>
        <v>2.99</v>
      </c>
      <c r="U36" s="259"/>
      <c r="V36" s="252"/>
      <c r="W36" s="252"/>
      <c r="X36" s="252"/>
      <c r="Y36" s="252">
        <f>SUM(Y26:Y35)</f>
        <v>0</v>
      </c>
      <c r="Z36" s="252">
        <f>SUM(Z26:Z35)</f>
        <v>0</v>
      </c>
      <c r="AA36" s="252">
        <f>SUM(AA26:AA35)</f>
        <v>898</v>
      </c>
      <c r="AB36" s="252">
        <f>SUM(AB26:AB35)</f>
        <v>661.41</v>
      </c>
      <c r="AC36" s="252"/>
      <c r="AD36" s="252"/>
      <c r="AE36" s="252">
        <f>SUM(AE26:AE35)</f>
        <v>898</v>
      </c>
      <c r="AF36" s="252">
        <f>SUM(AF26:AF35)</f>
        <v>661.41</v>
      </c>
      <c r="AG36" s="252">
        <f>SUM(AG26:AG35)</f>
        <v>10</v>
      </c>
      <c r="AH36" s="252">
        <f>SUM(AH26:AH35)</f>
        <v>6.06</v>
      </c>
      <c r="AI36" s="252"/>
      <c r="AJ36" s="252"/>
      <c r="AK36" s="252">
        <f>SUM(AK26:AK35)</f>
        <v>10</v>
      </c>
      <c r="AL36" s="252">
        <f>SUM(AL26:AL35)</f>
        <v>6.06</v>
      </c>
    </row>
    <row r="37" spans="1:39" ht="21" customHeight="1">
      <c r="A37" s="666" t="s">
        <v>421</v>
      </c>
      <c r="B37" s="667"/>
      <c r="C37" s="667"/>
      <c r="D37" s="667"/>
      <c r="E37" s="667"/>
      <c r="F37" s="667"/>
      <c r="G37" s="667"/>
      <c r="H37" s="667"/>
      <c r="I37" s="667"/>
      <c r="J37" s="667"/>
      <c r="K37" s="667"/>
      <c r="L37" s="667"/>
      <c r="M37" s="667"/>
      <c r="N37" s="667"/>
      <c r="O37" s="667"/>
      <c r="P37" s="667"/>
      <c r="Q37" s="667"/>
      <c r="R37" s="667"/>
      <c r="S37" s="667"/>
      <c r="T37" s="667"/>
      <c r="U37" s="667"/>
      <c r="V37" s="667"/>
      <c r="W37" s="667"/>
      <c r="X37" s="667"/>
      <c r="Y37" s="667"/>
      <c r="Z37" s="667"/>
      <c r="AA37" s="667"/>
      <c r="AB37" s="667"/>
      <c r="AC37" s="667"/>
      <c r="AD37" s="667"/>
      <c r="AE37" s="667"/>
      <c r="AF37" s="667"/>
      <c r="AG37" s="667"/>
      <c r="AH37" s="667"/>
      <c r="AI37" s="667"/>
      <c r="AJ37" s="667"/>
      <c r="AK37" s="667"/>
      <c r="AL37" s="668"/>
    </row>
    <row r="38" spans="1:39" ht="21" customHeight="1">
      <c r="A38" s="666" t="s">
        <v>241</v>
      </c>
      <c r="B38" s="667"/>
      <c r="C38" s="667"/>
      <c r="D38" s="667"/>
      <c r="E38" s="667"/>
      <c r="F38" s="667"/>
      <c r="G38" s="667"/>
      <c r="H38" s="667"/>
      <c r="I38" s="667"/>
      <c r="J38" s="667"/>
      <c r="K38" s="667"/>
      <c r="L38" s="667"/>
      <c r="M38" s="667"/>
      <c r="N38" s="667"/>
      <c r="O38" s="667"/>
      <c r="P38" s="667"/>
      <c r="Q38" s="667"/>
      <c r="R38" s="667"/>
      <c r="S38" s="667"/>
      <c r="T38" s="667"/>
      <c r="U38" s="667"/>
      <c r="V38" s="667"/>
      <c r="W38" s="667"/>
      <c r="X38" s="667"/>
      <c r="Y38" s="667"/>
      <c r="Z38" s="667"/>
      <c r="AA38" s="667"/>
      <c r="AB38" s="667"/>
      <c r="AC38" s="667"/>
      <c r="AD38" s="667"/>
      <c r="AE38" s="667"/>
      <c r="AF38" s="667"/>
      <c r="AG38" s="667"/>
      <c r="AH38" s="667"/>
      <c r="AI38" s="667"/>
      <c r="AJ38" s="667"/>
      <c r="AK38" s="667"/>
      <c r="AL38" s="668"/>
      <c r="AM38" s="256"/>
    </row>
    <row r="39" spans="1:39" ht="21" customHeight="1">
      <c r="A39" s="669" t="s">
        <v>202</v>
      </c>
      <c r="B39" s="669" t="s">
        <v>355</v>
      </c>
      <c r="C39" s="672" t="s">
        <v>422</v>
      </c>
      <c r="D39" s="673"/>
      <c r="E39" s="673"/>
      <c r="F39" s="673"/>
      <c r="G39" s="673"/>
      <c r="H39" s="673"/>
      <c r="I39" s="673"/>
      <c r="J39" s="673"/>
      <c r="K39" s="673"/>
      <c r="L39" s="673"/>
      <c r="M39" s="673"/>
      <c r="N39" s="673"/>
      <c r="O39" s="673"/>
      <c r="P39" s="673"/>
      <c r="Q39" s="673"/>
      <c r="R39" s="673"/>
      <c r="S39" s="673"/>
      <c r="T39" s="674"/>
      <c r="U39" s="672" t="s">
        <v>381</v>
      </c>
      <c r="V39" s="673"/>
      <c r="W39" s="673"/>
      <c r="X39" s="673"/>
      <c r="Y39" s="673"/>
      <c r="Z39" s="673"/>
      <c r="AA39" s="673"/>
      <c r="AB39" s="673"/>
      <c r="AC39" s="673"/>
      <c r="AD39" s="673"/>
      <c r="AE39" s="673"/>
      <c r="AF39" s="673"/>
      <c r="AG39" s="673"/>
      <c r="AH39" s="673"/>
      <c r="AI39" s="673"/>
      <c r="AJ39" s="673"/>
      <c r="AK39" s="673"/>
      <c r="AL39" s="674"/>
      <c r="AM39" s="256"/>
    </row>
    <row r="40" spans="1:39" ht="21" customHeight="1">
      <c r="A40" s="670"/>
      <c r="B40" s="670"/>
      <c r="C40" s="672" t="s">
        <v>203</v>
      </c>
      <c r="D40" s="673"/>
      <c r="E40" s="673"/>
      <c r="F40" s="673"/>
      <c r="G40" s="673"/>
      <c r="H40" s="674"/>
      <c r="I40" s="672" t="s">
        <v>204</v>
      </c>
      <c r="J40" s="673"/>
      <c r="K40" s="673"/>
      <c r="L40" s="673"/>
      <c r="M40" s="673"/>
      <c r="N40" s="674"/>
      <c r="O40" s="672" t="s">
        <v>205</v>
      </c>
      <c r="P40" s="673"/>
      <c r="Q40" s="673"/>
      <c r="R40" s="673"/>
      <c r="S40" s="673"/>
      <c r="T40" s="674"/>
      <c r="U40" s="672" t="s">
        <v>203</v>
      </c>
      <c r="V40" s="673"/>
      <c r="W40" s="673"/>
      <c r="X40" s="673"/>
      <c r="Y40" s="673"/>
      <c r="Z40" s="674"/>
      <c r="AA40" s="672" t="s">
        <v>204</v>
      </c>
      <c r="AB40" s="673"/>
      <c r="AC40" s="673"/>
      <c r="AD40" s="673"/>
      <c r="AE40" s="673"/>
      <c r="AF40" s="674"/>
      <c r="AG40" s="672" t="s">
        <v>205</v>
      </c>
      <c r="AH40" s="673"/>
      <c r="AI40" s="673"/>
      <c r="AJ40" s="673"/>
      <c r="AK40" s="673"/>
      <c r="AL40" s="674"/>
      <c r="AM40" s="256"/>
    </row>
    <row r="41" spans="1:39" ht="21" customHeight="1">
      <c r="A41" s="670"/>
      <c r="B41" s="670"/>
      <c r="C41" s="672" t="s">
        <v>206</v>
      </c>
      <c r="D41" s="674"/>
      <c r="E41" s="672" t="s">
        <v>207</v>
      </c>
      <c r="F41" s="674"/>
      <c r="G41" s="672" t="s">
        <v>8</v>
      </c>
      <c r="H41" s="674"/>
      <c r="I41" s="672" t="s">
        <v>206</v>
      </c>
      <c r="J41" s="674"/>
      <c r="K41" s="672" t="s">
        <v>207</v>
      </c>
      <c r="L41" s="674"/>
      <c r="M41" s="672" t="s">
        <v>8</v>
      </c>
      <c r="N41" s="674"/>
      <c r="O41" s="672" t="s">
        <v>206</v>
      </c>
      <c r="P41" s="674"/>
      <c r="Q41" s="672" t="s">
        <v>207</v>
      </c>
      <c r="R41" s="674"/>
      <c r="S41" s="672" t="s">
        <v>8</v>
      </c>
      <c r="T41" s="674"/>
      <c r="U41" s="672" t="s">
        <v>206</v>
      </c>
      <c r="V41" s="674"/>
      <c r="W41" s="672" t="s">
        <v>207</v>
      </c>
      <c r="X41" s="674"/>
      <c r="Y41" s="672" t="s">
        <v>8</v>
      </c>
      <c r="Z41" s="674"/>
      <c r="AA41" s="672" t="s">
        <v>206</v>
      </c>
      <c r="AB41" s="674"/>
      <c r="AC41" s="672" t="s">
        <v>207</v>
      </c>
      <c r="AD41" s="674"/>
      <c r="AE41" s="672" t="s">
        <v>8</v>
      </c>
      <c r="AF41" s="674"/>
      <c r="AG41" s="672" t="s">
        <v>206</v>
      </c>
      <c r="AH41" s="674"/>
      <c r="AI41" s="672" t="s">
        <v>207</v>
      </c>
      <c r="AJ41" s="674"/>
      <c r="AK41" s="672" t="s">
        <v>8</v>
      </c>
      <c r="AL41" s="674"/>
      <c r="AM41" s="256"/>
    </row>
    <row r="42" spans="1:39" ht="21" customHeight="1">
      <c r="A42" s="671"/>
      <c r="B42" s="671"/>
      <c r="C42" s="252" t="s">
        <v>101</v>
      </c>
      <c r="D42" s="252" t="s">
        <v>356</v>
      </c>
      <c r="E42" s="252" t="s">
        <v>101</v>
      </c>
      <c r="F42" s="252" t="s">
        <v>356</v>
      </c>
      <c r="G42" s="252" t="s">
        <v>101</v>
      </c>
      <c r="H42" s="252" t="s">
        <v>356</v>
      </c>
      <c r="I42" s="252" t="s">
        <v>101</v>
      </c>
      <c r="J42" s="252" t="s">
        <v>356</v>
      </c>
      <c r="K42" s="252" t="s">
        <v>101</v>
      </c>
      <c r="L42" s="252" t="s">
        <v>356</v>
      </c>
      <c r="M42" s="252" t="s">
        <v>101</v>
      </c>
      <c r="N42" s="252" t="s">
        <v>356</v>
      </c>
      <c r="O42" s="252" t="s">
        <v>101</v>
      </c>
      <c r="P42" s="252" t="s">
        <v>356</v>
      </c>
      <c r="Q42" s="252" t="s">
        <v>101</v>
      </c>
      <c r="R42" s="252" t="s">
        <v>356</v>
      </c>
      <c r="S42" s="252" t="s">
        <v>101</v>
      </c>
      <c r="T42" s="257" t="s">
        <v>356</v>
      </c>
      <c r="U42" s="259" t="s">
        <v>101</v>
      </c>
      <c r="V42" s="252" t="s">
        <v>356</v>
      </c>
      <c r="W42" s="252" t="s">
        <v>101</v>
      </c>
      <c r="X42" s="252" t="s">
        <v>356</v>
      </c>
      <c r="Y42" s="252" t="s">
        <v>101</v>
      </c>
      <c r="Z42" s="252" t="s">
        <v>356</v>
      </c>
      <c r="AA42" s="252" t="s">
        <v>101</v>
      </c>
      <c r="AB42" s="252" t="s">
        <v>356</v>
      </c>
      <c r="AC42" s="252" t="s">
        <v>101</v>
      </c>
      <c r="AD42" s="252" t="s">
        <v>356</v>
      </c>
      <c r="AE42" s="252" t="s">
        <v>101</v>
      </c>
      <c r="AF42" s="252" t="s">
        <v>356</v>
      </c>
      <c r="AG42" s="252" t="s">
        <v>101</v>
      </c>
      <c r="AH42" s="252" t="s">
        <v>356</v>
      </c>
      <c r="AI42" s="252" t="s">
        <v>101</v>
      </c>
      <c r="AJ42" s="252" t="s">
        <v>356</v>
      </c>
      <c r="AK42" s="252" t="s">
        <v>101</v>
      </c>
      <c r="AL42" s="252" t="s">
        <v>356</v>
      </c>
      <c r="AM42" s="256"/>
    </row>
    <row r="43" spans="1:39" ht="21" customHeight="1">
      <c r="A43" s="251">
        <v>1</v>
      </c>
      <c r="B43" s="250" t="s">
        <v>289</v>
      </c>
      <c r="C43" s="255"/>
      <c r="D43" s="255"/>
      <c r="E43" s="255"/>
      <c r="F43" s="255"/>
      <c r="G43" s="252">
        <v>0</v>
      </c>
      <c r="H43" s="252">
        <v>0</v>
      </c>
      <c r="I43" s="252">
        <v>219</v>
      </c>
      <c r="J43" s="252">
        <v>116.61</v>
      </c>
      <c r="K43" s="252">
        <v>14</v>
      </c>
      <c r="L43" s="252">
        <v>6.72</v>
      </c>
      <c r="M43" s="252">
        <v>233</v>
      </c>
      <c r="N43" s="252">
        <v>123.33</v>
      </c>
      <c r="O43" s="255"/>
      <c r="P43" s="255"/>
      <c r="Q43" s="255"/>
      <c r="R43" s="255"/>
      <c r="S43" s="252">
        <v>0</v>
      </c>
      <c r="T43" s="257">
        <v>0</v>
      </c>
      <c r="U43" s="260"/>
      <c r="V43" s="255"/>
      <c r="W43" s="255"/>
      <c r="X43" s="255"/>
      <c r="Y43" s="252">
        <v>0</v>
      </c>
      <c r="Z43" s="252">
        <v>0</v>
      </c>
      <c r="AA43" s="252">
        <v>357</v>
      </c>
      <c r="AB43" s="252">
        <v>235.83</v>
      </c>
      <c r="AC43" s="252">
        <v>38</v>
      </c>
      <c r="AD43" s="252">
        <v>22.03</v>
      </c>
      <c r="AE43" s="252">
        <v>395</v>
      </c>
      <c r="AF43" s="252">
        <v>257.86</v>
      </c>
      <c r="AG43" s="255"/>
      <c r="AH43" s="255"/>
      <c r="AI43" s="255"/>
      <c r="AJ43" s="255"/>
      <c r="AK43" s="252">
        <v>0</v>
      </c>
      <c r="AL43" s="252">
        <v>0</v>
      </c>
      <c r="AM43" s="256"/>
    </row>
    <row r="44" spans="1:39" ht="21" customHeight="1">
      <c r="A44" s="251">
        <v>2</v>
      </c>
      <c r="B44" s="250" t="s">
        <v>359</v>
      </c>
      <c r="C44" s="255"/>
      <c r="D44" s="255"/>
      <c r="E44" s="255"/>
      <c r="F44" s="255"/>
      <c r="G44" s="252">
        <v>0</v>
      </c>
      <c r="H44" s="252">
        <v>0</v>
      </c>
      <c r="I44" s="252">
        <v>58</v>
      </c>
      <c r="J44" s="252">
        <v>27.72</v>
      </c>
      <c r="K44" s="255"/>
      <c r="L44" s="255"/>
      <c r="M44" s="252">
        <v>58</v>
      </c>
      <c r="N44" s="252">
        <v>27.72</v>
      </c>
      <c r="O44" s="255"/>
      <c r="P44" s="255"/>
      <c r="Q44" s="255"/>
      <c r="R44" s="255"/>
      <c r="S44" s="252">
        <v>0</v>
      </c>
      <c r="T44" s="257">
        <v>0</v>
      </c>
      <c r="U44" s="260"/>
      <c r="V44" s="255"/>
      <c r="W44" s="255"/>
      <c r="X44" s="255"/>
      <c r="Y44" s="252">
        <v>0</v>
      </c>
      <c r="Z44" s="252">
        <v>0</v>
      </c>
      <c r="AA44" s="252">
        <v>58</v>
      </c>
      <c r="AB44" s="252">
        <v>37.97</v>
      </c>
      <c r="AC44" s="255"/>
      <c r="AD44" s="255"/>
      <c r="AE44" s="252">
        <v>58</v>
      </c>
      <c r="AF44" s="252">
        <v>37.97</v>
      </c>
      <c r="AG44" s="255"/>
      <c r="AH44" s="255"/>
      <c r="AI44" s="255"/>
      <c r="AJ44" s="255"/>
      <c r="AK44" s="252">
        <v>0</v>
      </c>
      <c r="AL44" s="252">
        <v>0</v>
      </c>
    </row>
    <row r="45" spans="1:39" ht="21" customHeight="1">
      <c r="A45" s="251">
        <v>3</v>
      </c>
      <c r="B45" s="250" t="s">
        <v>360</v>
      </c>
      <c r="C45" s="255"/>
      <c r="D45" s="255"/>
      <c r="E45" s="255"/>
      <c r="F45" s="255"/>
      <c r="G45" s="252">
        <v>0</v>
      </c>
      <c r="H45" s="252">
        <v>0</v>
      </c>
      <c r="I45" s="252">
        <v>31</v>
      </c>
      <c r="J45" s="252">
        <v>15.5</v>
      </c>
      <c r="K45" s="255"/>
      <c r="L45" s="255"/>
      <c r="M45" s="252">
        <v>31</v>
      </c>
      <c r="N45" s="252">
        <v>15.5</v>
      </c>
      <c r="O45" s="255"/>
      <c r="P45" s="255"/>
      <c r="Q45" s="255"/>
      <c r="R45" s="255"/>
      <c r="S45" s="252">
        <v>0</v>
      </c>
      <c r="T45" s="257">
        <v>0</v>
      </c>
      <c r="U45" s="260"/>
      <c r="V45" s="255"/>
      <c r="W45" s="255"/>
      <c r="X45" s="255"/>
      <c r="Y45" s="252">
        <v>0</v>
      </c>
      <c r="Z45" s="252">
        <v>0</v>
      </c>
      <c r="AA45" s="252">
        <v>36</v>
      </c>
      <c r="AB45" s="252">
        <v>27.83</v>
      </c>
      <c r="AC45" s="255"/>
      <c r="AD45" s="255"/>
      <c r="AE45" s="252">
        <v>36</v>
      </c>
      <c r="AF45" s="252">
        <v>27.83</v>
      </c>
      <c r="AG45" s="255"/>
      <c r="AH45" s="255"/>
      <c r="AI45" s="255"/>
      <c r="AJ45" s="255"/>
      <c r="AK45" s="252">
        <v>0</v>
      </c>
      <c r="AL45" s="252">
        <v>0</v>
      </c>
    </row>
    <row r="46" spans="1:39" ht="21" customHeight="1">
      <c r="A46" s="251">
        <v>4</v>
      </c>
      <c r="B46" s="250" t="s">
        <v>361</v>
      </c>
      <c r="C46" s="255"/>
      <c r="D46" s="255"/>
      <c r="E46" s="255"/>
      <c r="F46" s="255"/>
      <c r="G46" s="252">
        <v>0</v>
      </c>
      <c r="H46" s="252">
        <v>0</v>
      </c>
      <c r="I46" s="252">
        <v>62</v>
      </c>
      <c r="J46" s="252">
        <v>34.81</v>
      </c>
      <c r="K46" s="255"/>
      <c r="L46" s="255"/>
      <c r="M46" s="252">
        <v>62</v>
      </c>
      <c r="N46" s="252">
        <v>34.81</v>
      </c>
      <c r="O46" s="255"/>
      <c r="P46" s="255"/>
      <c r="Q46" s="255"/>
      <c r="R46" s="255"/>
      <c r="S46" s="252">
        <v>0</v>
      </c>
      <c r="T46" s="257">
        <v>0</v>
      </c>
      <c r="U46" s="260"/>
      <c r="V46" s="255"/>
      <c r="W46" s="255"/>
      <c r="X46" s="255"/>
      <c r="Y46" s="252">
        <v>0</v>
      </c>
      <c r="Z46" s="252">
        <v>0</v>
      </c>
      <c r="AA46" s="252">
        <v>63</v>
      </c>
      <c r="AB46" s="252">
        <v>55.94</v>
      </c>
      <c r="AC46" s="255"/>
      <c r="AD46" s="255"/>
      <c r="AE46" s="252">
        <v>63</v>
      </c>
      <c r="AF46" s="252">
        <v>55.94</v>
      </c>
      <c r="AG46" s="255"/>
      <c r="AH46" s="255"/>
      <c r="AI46" s="255"/>
      <c r="AJ46" s="255"/>
      <c r="AK46" s="252">
        <v>0</v>
      </c>
      <c r="AL46" s="252">
        <v>0</v>
      </c>
    </row>
    <row r="47" spans="1:39" ht="21" customHeight="1">
      <c r="A47" s="251">
        <v>5</v>
      </c>
      <c r="B47" s="250" t="s">
        <v>290</v>
      </c>
      <c r="C47" s="255"/>
      <c r="D47" s="255"/>
      <c r="E47" s="255"/>
      <c r="F47" s="255"/>
      <c r="G47" s="252">
        <v>0</v>
      </c>
      <c r="H47" s="252">
        <v>0</v>
      </c>
      <c r="I47" s="252">
        <v>217</v>
      </c>
      <c r="J47" s="252">
        <v>110.22</v>
      </c>
      <c r="K47" s="255"/>
      <c r="L47" s="255"/>
      <c r="M47" s="252">
        <v>217</v>
      </c>
      <c r="N47" s="252">
        <v>110.22</v>
      </c>
      <c r="O47" s="255"/>
      <c r="P47" s="255"/>
      <c r="Q47" s="255"/>
      <c r="R47" s="255"/>
      <c r="S47" s="252">
        <v>0</v>
      </c>
      <c r="T47" s="257">
        <v>0</v>
      </c>
      <c r="U47" s="260"/>
      <c r="V47" s="255"/>
      <c r="W47" s="255"/>
      <c r="X47" s="255"/>
      <c r="Y47" s="252">
        <v>0</v>
      </c>
      <c r="Z47" s="252">
        <v>0</v>
      </c>
      <c r="AA47" s="252">
        <v>247</v>
      </c>
      <c r="AB47" s="252">
        <v>199.44</v>
      </c>
      <c r="AC47" s="255"/>
      <c r="AD47" s="255"/>
      <c r="AE47" s="252">
        <v>247</v>
      </c>
      <c r="AF47" s="252">
        <v>199.44</v>
      </c>
      <c r="AG47" s="255"/>
      <c r="AH47" s="255"/>
      <c r="AI47" s="255"/>
      <c r="AJ47" s="255"/>
      <c r="AK47" s="252">
        <v>0</v>
      </c>
      <c r="AL47" s="252">
        <v>0</v>
      </c>
    </row>
    <row r="48" spans="1:39" ht="21" customHeight="1">
      <c r="A48" s="251">
        <v>6</v>
      </c>
      <c r="B48" s="250" t="s">
        <v>209</v>
      </c>
      <c r="C48" s="255"/>
      <c r="D48" s="255"/>
      <c r="E48" s="255"/>
      <c r="F48" s="255"/>
      <c r="G48" s="252">
        <v>0</v>
      </c>
      <c r="H48" s="252">
        <v>0</v>
      </c>
      <c r="I48" s="252">
        <v>52</v>
      </c>
      <c r="J48" s="252">
        <v>22.81</v>
      </c>
      <c r="K48" s="255"/>
      <c r="L48" s="255"/>
      <c r="M48" s="252">
        <v>52</v>
      </c>
      <c r="N48" s="252">
        <v>22.81</v>
      </c>
      <c r="O48" s="255"/>
      <c r="P48" s="255"/>
      <c r="Q48" s="255"/>
      <c r="R48" s="255"/>
      <c r="S48" s="252">
        <v>0</v>
      </c>
      <c r="T48" s="257">
        <v>0</v>
      </c>
      <c r="U48" s="260"/>
      <c r="V48" s="255"/>
      <c r="W48" s="255"/>
      <c r="X48" s="255"/>
      <c r="Y48" s="252">
        <v>0</v>
      </c>
      <c r="Z48" s="252">
        <v>0</v>
      </c>
      <c r="AA48" s="252">
        <v>106</v>
      </c>
      <c r="AB48" s="252">
        <v>67.44</v>
      </c>
      <c r="AC48" s="255"/>
      <c r="AD48" s="255"/>
      <c r="AE48" s="252">
        <v>106</v>
      </c>
      <c r="AF48" s="252">
        <v>67.44</v>
      </c>
      <c r="AG48" s="255"/>
      <c r="AH48" s="255"/>
      <c r="AI48" s="255"/>
      <c r="AJ48" s="255"/>
      <c r="AK48" s="252">
        <v>0</v>
      </c>
      <c r="AL48" s="252">
        <v>0</v>
      </c>
    </row>
    <row r="49" spans="1:38" ht="21" customHeight="1">
      <c r="A49" s="251">
        <v>7</v>
      </c>
      <c r="B49" s="250" t="s">
        <v>210</v>
      </c>
      <c r="C49" s="255"/>
      <c r="D49" s="255"/>
      <c r="E49" s="255"/>
      <c r="F49" s="255"/>
      <c r="G49" s="252">
        <v>0</v>
      </c>
      <c r="H49" s="252">
        <v>0</v>
      </c>
      <c r="I49" s="252">
        <v>213</v>
      </c>
      <c r="J49" s="252">
        <v>101.69</v>
      </c>
      <c r="K49" s="252">
        <v>20</v>
      </c>
      <c r="L49" s="252">
        <v>8.5</v>
      </c>
      <c r="M49" s="252">
        <v>233</v>
      </c>
      <c r="N49" s="252">
        <v>110.19</v>
      </c>
      <c r="O49" s="255"/>
      <c r="P49" s="255"/>
      <c r="Q49" s="255"/>
      <c r="R49" s="255"/>
      <c r="S49" s="252">
        <v>0</v>
      </c>
      <c r="T49" s="257">
        <v>0</v>
      </c>
      <c r="U49" s="260"/>
      <c r="V49" s="255"/>
      <c r="W49" s="255"/>
      <c r="X49" s="255"/>
      <c r="Y49" s="252">
        <v>0</v>
      </c>
      <c r="Z49" s="252">
        <v>0</v>
      </c>
      <c r="AA49" s="252">
        <v>393</v>
      </c>
      <c r="AB49" s="252">
        <v>296.64</v>
      </c>
      <c r="AC49" s="252">
        <v>78</v>
      </c>
      <c r="AD49" s="252">
        <v>64.5</v>
      </c>
      <c r="AE49" s="252">
        <v>471</v>
      </c>
      <c r="AF49" s="252">
        <v>361.14</v>
      </c>
      <c r="AG49" s="255"/>
      <c r="AH49" s="255"/>
      <c r="AI49" s="255"/>
      <c r="AJ49" s="255"/>
      <c r="AK49" s="252">
        <v>0</v>
      </c>
      <c r="AL49" s="252">
        <v>0</v>
      </c>
    </row>
    <row r="50" spans="1:38" ht="21" customHeight="1">
      <c r="A50" s="251">
        <v>8</v>
      </c>
      <c r="B50" s="250" t="s">
        <v>211</v>
      </c>
      <c r="C50" s="255"/>
      <c r="D50" s="255"/>
      <c r="E50" s="255"/>
      <c r="F50" s="255"/>
      <c r="G50" s="252">
        <v>0</v>
      </c>
      <c r="H50" s="252">
        <v>0</v>
      </c>
      <c r="I50" s="252">
        <v>108</v>
      </c>
      <c r="J50" s="252">
        <v>58.11</v>
      </c>
      <c r="K50" s="255"/>
      <c r="L50" s="255"/>
      <c r="M50" s="252">
        <v>108</v>
      </c>
      <c r="N50" s="252">
        <v>58.11</v>
      </c>
      <c r="O50" s="255"/>
      <c r="P50" s="255"/>
      <c r="Q50" s="255"/>
      <c r="R50" s="255"/>
      <c r="S50" s="252">
        <v>0</v>
      </c>
      <c r="T50" s="257">
        <v>0</v>
      </c>
      <c r="U50" s="260"/>
      <c r="V50" s="255"/>
      <c r="W50" s="255"/>
      <c r="X50" s="255"/>
      <c r="Y50" s="252">
        <v>0</v>
      </c>
      <c r="Z50" s="252">
        <v>0</v>
      </c>
      <c r="AA50" s="252">
        <v>137</v>
      </c>
      <c r="AB50" s="252">
        <v>103.64</v>
      </c>
      <c r="AC50" s="255"/>
      <c r="AD50" s="255"/>
      <c r="AE50" s="252">
        <v>137</v>
      </c>
      <c r="AF50" s="252">
        <v>103.64</v>
      </c>
      <c r="AG50" s="255"/>
      <c r="AH50" s="255"/>
      <c r="AI50" s="255"/>
      <c r="AJ50" s="255"/>
      <c r="AK50" s="252">
        <v>0</v>
      </c>
      <c r="AL50" s="252">
        <v>0</v>
      </c>
    </row>
    <row r="51" spans="1:38" ht="21" customHeight="1">
      <c r="A51" s="251">
        <v>9</v>
      </c>
      <c r="B51" s="250" t="s">
        <v>291</v>
      </c>
      <c r="C51" s="255"/>
      <c r="D51" s="255"/>
      <c r="E51" s="255"/>
      <c r="F51" s="255"/>
      <c r="G51" s="252">
        <v>0</v>
      </c>
      <c r="H51" s="252">
        <v>0</v>
      </c>
      <c r="I51" s="252">
        <v>6</v>
      </c>
      <c r="J51" s="252">
        <v>0.57999999999999996</v>
      </c>
      <c r="K51" s="255"/>
      <c r="L51" s="255"/>
      <c r="M51" s="252">
        <v>6</v>
      </c>
      <c r="N51" s="252">
        <v>0.57999999999999996</v>
      </c>
      <c r="O51" s="255"/>
      <c r="P51" s="255"/>
      <c r="Q51" s="255"/>
      <c r="R51" s="255"/>
      <c r="S51" s="252">
        <v>0</v>
      </c>
      <c r="T51" s="257">
        <v>0</v>
      </c>
      <c r="U51" s="260"/>
      <c r="V51" s="255"/>
      <c r="W51" s="255"/>
      <c r="X51" s="255"/>
      <c r="Y51" s="252">
        <v>0</v>
      </c>
      <c r="Z51" s="252">
        <v>0</v>
      </c>
      <c r="AA51" s="252">
        <v>12</v>
      </c>
      <c r="AB51" s="252">
        <v>4.42</v>
      </c>
      <c r="AC51" s="255"/>
      <c r="AD51" s="255"/>
      <c r="AE51" s="252">
        <v>12</v>
      </c>
      <c r="AF51" s="252">
        <v>4.42</v>
      </c>
      <c r="AG51" s="255"/>
      <c r="AH51" s="255"/>
      <c r="AI51" s="255"/>
      <c r="AJ51" s="255"/>
      <c r="AK51" s="252">
        <v>0</v>
      </c>
      <c r="AL51" s="252">
        <v>0</v>
      </c>
    </row>
    <row r="52" spans="1:38" ht="21" customHeight="1">
      <c r="A52" s="251">
        <v>10</v>
      </c>
      <c r="B52" s="250" t="s">
        <v>212</v>
      </c>
      <c r="C52" s="255"/>
      <c r="D52" s="255"/>
      <c r="E52" s="255"/>
      <c r="F52" s="255"/>
      <c r="G52" s="252">
        <v>0</v>
      </c>
      <c r="H52" s="252">
        <v>0</v>
      </c>
      <c r="I52" s="252">
        <v>33</v>
      </c>
      <c r="J52" s="252">
        <v>8.81</v>
      </c>
      <c r="K52" s="252">
        <v>1</v>
      </c>
      <c r="L52" s="252">
        <v>0.08</v>
      </c>
      <c r="M52" s="252">
        <v>34</v>
      </c>
      <c r="N52" s="252">
        <v>8.89</v>
      </c>
      <c r="O52" s="255"/>
      <c r="P52" s="255"/>
      <c r="Q52" s="255"/>
      <c r="R52" s="255"/>
      <c r="S52" s="252">
        <v>0</v>
      </c>
      <c r="T52" s="257">
        <v>0</v>
      </c>
      <c r="U52" s="260"/>
      <c r="V52" s="255"/>
      <c r="W52" s="255"/>
      <c r="X52" s="255"/>
      <c r="Y52" s="252">
        <v>0</v>
      </c>
      <c r="Z52" s="252">
        <v>0</v>
      </c>
      <c r="AA52" s="252">
        <v>183</v>
      </c>
      <c r="AB52" s="252">
        <v>95.81</v>
      </c>
      <c r="AC52" s="252">
        <v>1</v>
      </c>
      <c r="AD52" s="252">
        <v>0.08</v>
      </c>
      <c r="AE52" s="252">
        <v>184</v>
      </c>
      <c r="AF52" s="252">
        <v>95.89</v>
      </c>
      <c r="AG52" s="255"/>
      <c r="AH52" s="255"/>
      <c r="AI52" s="255"/>
      <c r="AJ52" s="255"/>
      <c r="AK52" s="252">
        <v>0</v>
      </c>
      <c r="AL52" s="252">
        <v>0</v>
      </c>
    </row>
    <row r="53" spans="1:38" ht="21" customHeight="1">
      <c r="A53" s="675" t="s">
        <v>8</v>
      </c>
      <c r="B53" s="676"/>
      <c r="C53" s="252"/>
      <c r="D53" s="252"/>
      <c r="E53" s="252"/>
      <c r="F53" s="252"/>
      <c r="G53" s="252">
        <f t="shared" ref="G53:N53" si="0">SUM(G43:G52)</f>
        <v>0</v>
      </c>
      <c r="H53" s="252">
        <f t="shared" si="0"/>
        <v>0</v>
      </c>
      <c r="I53" s="252">
        <f t="shared" si="0"/>
        <v>999</v>
      </c>
      <c r="J53" s="252">
        <f t="shared" si="0"/>
        <v>496.86</v>
      </c>
      <c r="K53" s="252">
        <f t="shared" si="0"/>
        <v>35</v>
      </c>
      <c r="L53" s="252">
        <f t="shared" si="0"/>
        <v>15.299999999999999</v>
      </c>
      <c r="M53" s="252">
        <f t="shared" si="0"/>
        <v>1034</v>
      </c>
      <c r="N53" s="252">
        <f t="shared" si="0"/>
        <v>512.16000000000008</v>
      </c>
      <c r="O53" s="252"/>
      <c r="P53" s="252"/>
      <c r="Q53" s="252"/>
      <c r="R53" s="252"/>
      <c r="S53" s="252">
        <f>SUM(S43:S52)</f>
        <v>0</v>
      </c>
      <c r="T53" s="257">
        <f>SUM(T43:T52)</f>
        <v>0</v>
      </c>
      <c r="U53" s="259"/>
      <c r="V53" s="252"/>
      <c r="W53" s="252"/>
      <c r="X53" s="252"/>
      <c r="Y53" s="252">
        <f t="shared" ref="Y53:AF53" si="1">SUM(Y43:Y52)</f>
        <v>0</v>
      </c>
      <c r="Z53" s="252">
        <f t="shared" si="1"/>
        <v>0</v>
      </c>
      <c r="AA53" s="252">
        <f t="shared" si="1"/>
        <v>1592</v>
      </c>
      <c r="AB53" s="252">
        <f t="shared" si="1"/>
        <v>1124.96</v>
      </c>
      <c r="AC53" s="252">
        <f t="shared" si="1"/>
        <v>117</v>
      </c>
      <c r="AD53" s="252">
        <f t="shared" si="1"/>
        <v>86.61</v>
      </c>
      <c r="AE53" s="252">
        <f t="shared" si="1"/>
        <v>1709</v>
      </c>
      <c r="AF53" s="252">
        <f t="shared" si="1"/>
        <v>1211.5700000000002</v>
      </c>
      <c r="AG53" s="252"/>
      <c r="AH53" s="252"/>
      <c r="AI53" s="252"/>
      <c r="AJ53" s="252"/>
      <c r="AK53" s="252">
        <f>SUM(AK43:AK52)</f>
        <v>0</v>
      </c>
      <c r="AL53" s="252">
        <f>SUM(AL43:AL52)</f>
        <v>0</v>
      </c>
    </row>
    <row r="54" spans="1:38" ht="21" customHeight="1">
      <c r="A54" s="666" t="s">
        <v>421</v>
      </c>
      <c r="B54" s="667"/>
      <c r="C54" s="667"/>
      <c r="D54" s="667"/>
      <c r="E54" s="667"/>
      <c r="F54" s="667"/>
      <c r="G54" s="667"/>
      <c r="H54" s="667"/>
      <c r="I54" s="667"/>
      <c r="J54" s="667"/>
      <c r="K54" s="667"/>
      <c r="L54" s="667"/>
      <c r="M54" s="667"/>
      <c r="N54" s="667"/>
      <c r="O54" s="667"/>
      <c r="P54" s="667"/>
      <c r="Q54" s="667"/>
      <c r="R54" s="667"/>
      <c r="S54" s="667"/>
      <c r="T54" s="667"/>
      <c r="U54" s="667"/>
      <c r="V54" s="667"/>
      <c r="W54" s="667"/>
      <c r="X54" s="667"/>
      <c r="Y54" s="667"/>
      <c r="Z54" s="667"/>
      <c r="AA54" s="667"/>
      <c r="AB54" s="667"/>
      <c r="AC54" s="667"/>
      <c r="AD54" s="667"/>
      <c r="AE54" s="667"/>
      <c r="AF54" s="667"/>
      <c r="AG54" s="667"/>
      <c r="AH54" s="667"/>
      <c r="AI54" s="667"/>
      <c r="AJ54" s="667"/>
      <c r="AK54" s="667"/>
      <c r="AL54" s="668"/>
    </row>
    <row r="55" spans="1:38" ht="21" customHeight="1">
      <c r="A55" s="666" t="s">
        <v>224</v>
      </c>
      <c r="B55" s="667"/>
      <c r="C55" s="667"/>
      <c r="D55" s="667"/>
      <c r="E55" s="667"/>
      <c r="F55" s="667"/>
      <c r="G55" s="667"/>
      <c r="H55" s="667"/>
      <c r="I55" s="667"/>
      <c r="J55" s="667"/>
      <c r="K55" s="667"/>
      <c r="L55" s="667"/>
      <c r="M55" s="667"/>
      <c r="N55" s="667"/>
      <c r="O55" s="667"/>
      <c r="P55" s="667"/>
      <c r="Q55" s="667"/>
      <c r="R55" s="667"/>
      <c r="S55" s="667"/>
      <c r="T55" s="667"/>
      <c r="U55" s="667"/>
      <c r="V55" s="667"/>
      <c r="W55" s="667"/>
      <c r="X55" s="667"/>
      <c r="Y55" s="667"/>
      <c r="Z55" s="667"/>
      <c r="AA55" s="667"/>
      <c r="AB55" s="667"/>
      <c r="AC55" s="667"/>
      <c r="AD55" s="667"/>
      <c r="AE55" s="667"/>
      <c r="AF55" s="667"/>
      <c r="AG55" s="667"/>
      <c r="AH55" s="667"/>
      <c r="AI55" s="667"/>
      <c r="AJ55" s="667"/>
      <c r="AK55" s="667"/>
      <c r="AL55" s="668"/>
    </row>
    <row r="56" spans="1:38" ht="21" customHeight="1">
      <c r="A56" s="669" t="s">
        <v>202</v>
      </c>
      <c r="B56" s="669" t="s">
        <v>355</v>
      </c>
      <c r="C56" s="672" t="s">
        <v>422</v>
      </c>
      <c r="D56" s="673"/>
      <c r="E56" s="673"/>
      <c r="F56" s="673"/>
      <c r="G56" s="673"/>
      <c r="H56" s="673"/>
      <c r="I56" s="673"/>
      <c r="J56" s="673"/>
      <c r="K56" s="673"/>
      <c r="L56" s="673"/>
      <c r="M56" s="673"/>
      <c r="N56" s="673"/>
      <c r="O56" s="673"/>
      <c r="P56" s="673"/>
      <c r="Q56" s="673"/>
      <c r="R56" s="673"/>
      <c r="S56" s="673"/>
      <c r="T56" s="674"/>
      <c r="U56" s="672" t="s">
        <v>381</v>
      </c>
      <c r="V56" s="673"/>
      <c r="W56" s="673"/>
      <c r="X56" s="673"/>
      <c r="Y56" s="673"/>
      <c r="Z56" s="673"/>
      <c r="AA56" s="673"/>
      <c r="AB56" s="673"/>
      <c r="AC56" s="673"/>
      <c r="AD56" s="673"/>
      <c r="AE56" s="673"/>
      <c r="AF56" s="673"/>
      <c r="AG56" s="673"/>
      <c r="AH56" s="673"/>
      <c r="AI56" s="673"/>
      <c r="AJ56" s="673"/>
      <c r="AK56" s="673"/>
      <c r="AL56" s="674"/>
    </row>
    <row r="57" spans="1:38" ht="21" customHeight="1">
      <c r="A57" s="670"/>
      <c r="B57" s="670"/>
      <c r="C57" s="672" t="s">
        <v>203</v>
      </c>
      <c r="D57" s="673"/>
      <c r="E57" s="673"/>
      <c r="F57" s="673"/>
      <c r="G57" s="673"/>
      <c r="H57" s="674"/>
      <c r="I57" s="672" t="s">
        <v>204</v>
      </c>
      <c r="J57" s="673"/>
      <c r="K57" s="673"/>
      <c r="L57" s="673"/>
      <c r="M57" s="673"/>
      <c r="N57" s="674"/>
      <c r="O57" s="672" t="s">
        <v>205</v>
      </c>
      <c r="P57" s="673"/>
      <c r="Q57" s="673"/>
      <c r="R57" s="673"/>
      <c r="S57" s="673"/>
      <c r="T57" s="674"/>
      <c r="U57" s="672" t="s">
        <v>203</v>
      </c>
      <c r="V57" s="673"/>
      <c r="W57" s="673"/>
      <c r="X57" s="673"/>
      <c r="Y57" s="673"/>
      <c r="Z57" s="674"/>
      <c r="AA57" s="672" t="s">
        <v>204</v>
      </c>
      <c r="AB57" s="673"/>
      <c r="AC57" s="673"/>
      <c r="AD57" s="673"/>
      <c r="AE57" s="673"/>
      <c r="AF57" s="674"/>
      <c r="AG57" s="672" t="s">
        <v>205</v>
      </c>
      <c r="AH57" s="673"/>
      <c r="AI57" s="673"/>
      <c r="AJ57" s="673"/>
      <c r="AK57" s="673"/>
      <c r="AL57" s="674"/>
    </row>
    <row r="58" spans="1:38" ht="21" customHeight="1">
      <c r="A58" s="670"/>
      <c r="B58" s="670"/>
      <c r="C58" s="672" t="s">
        <v>206</v>
      </c>
      <c r="D58" s="674"/>
      <c r="E58" s="672" t="s">
        <v>207</v>
      </c>
      <c r="F58" s="674"/>
      <c r="G58" s="672" t="s">
        <v>8</v>
      </c>
      <c r="H58" s="674"/>
      <c r="I58" s="672" t="s">
        <v>206</v>
      </c>
      <c r="J58" s="674"/>
      <c r="K58" s="672" t="s">
        <v>207</v>
      </c>
      <c r="L58" s="674"/>
      <c r="M58" s="672" t="s">
        <v>8</v>
      </c>
      <c r="N58" s="674"/>
      <c r="O58" s="672" t="s">
        <v>206</v>
      </c>
      <c r="P58" s="674"/>
      <c r="Q58" s="672" t="s">
        <v>207</v>
      </c>
      <c r="R58" s="674"/>
      <c r="S58" s="672" t="s">
        <v>8</v>
      </c>
      <c r="T58" s="674"/>
      <c r="U58" s="672" t="s">
        <v>206</v>
      </c>
      <c r="V58" s="674"/>
      <c r="W58" s="672" t="s">
        <v>207</v>
      </c>
      <c r="X58" s="674"/>
      <c r="Y58" s="672" t="s">
        <v>8</v>
      </c>
      <c r="Z58" s="674"/>
      <c r="AA58" s="672" t="s">
        <v>206</v>
      </c>
      <c r="AB58" s="674"/>
      <c r="AC58" s="672" t="s">
        <v>207</v>
      </c>
      <c r="AD58" s="674"/>
      <c r="AE58" s="672" t="s">
        <v>8</v>
      </c>
      <c r="AF58" s="674"/>
      <c r="AG58" s="672" t="s">
        <v>206</v>
      </c>
      <c r="AH58" s="674"/>
      <c r="AI58" s="672" t="s">
        <v>207</v>
      </c>
      <c r="AJ58" s="674"/>
      <c r="AK58" s="672" t="s">
        <v>8</v>
      </c>
      <c r="AL58" s="674"/>
    </row>
    <row r="59" spans="1:38" ht="21" customHeight="1">
      <c r="A59" s="671"/>
      <c r="B59" s="671"/>
      <c r="C59" s="252" t="s">
        <v>101</v>
      </c>
      <c r="D59" s="252" t="s">
        <v>356</v>
      </c>
      <c r="E59" s="252" t="s">
        <v>101</v>
      </c>
      <c r="F59" s="252" t="s">
        <v>356</v>
      </c>
      <c r="G59" s="252" t="s">
        <v>101</v>
      </c>
      <c r="H59" s="252" t="s">
        <v>356</v>
      </c>
      <c r="I59" s="252" t="s">
        <v>101</v>
      </c>
      <c r="J59" s="252" t="s">
        <v>356</v>
      </c>
      <c r="K59" s="252" t="s">
        <v>101</v>
      </c>
      <c r="L59" s="252" t="s">
        <v>356</v>
      </c>
      <c r="M59" s="252" t="s">
        <v>101</v>
      </c>
      <c r="N59" s="252" t="s">
        <v>356</v>
      </c>
      <c r="O59" s="252" t="s">
        <v>101</v>
      </c>
      <c r="P59" s="252" t="s">
        <v>356</v>
      </c>
      <c r="Q59" s="252" t="s">
        <v>101</v>
      </c>
      <c r="R59" s="252" t="s">
        <v>356</v>
      </c>
      <c r="S59" s="252" t="s">
        <v>101</v>
      </c>
      <c r="T59" s="257" t="s">
        <v>356</v>
      </c>
      <c r="U59" s="259" t="s">
        <v>101</v>
      </c>
      <c r="V59" s="252" t="s">
        <v>356</v>
      </c>
      <c r="W59" s="252" t="s">
        <v>101</v>
      </c>
      <c r="X59" s="252" t="s">
        <v>356</v>
      </c>
      <c r="Y59" s="252" t="s">
        <v>101</v>
      </c>
      <c r="Z59" s="252" t="s">
        <v>356</v>
      </c>
      <c r="AA59" s="252" t="s">
        <v>101</v>
      </c>
      <c r="AB59" s="252" t="s">
        <v>356</v>
      </c>
      <c r="AC59" s="252" t="s">
        <v>101</v>
      </c>
      <c r="AD59" s="252" t="s">
        <v>356</v>
      </c>
      <c r="AE59" s="252" t="s">
        <v>101</v>
      </c>
      <c r="AF59" s="252" t="s">
        <v>356</v>
      </c>
      <c r="AG59" s="252" t="s">
        <v>101</v>
      </c>
      <c r="AH59" s="252" t="s">
        <v>356</v>
      </c>
      <c r="AI59" s="252" t="s">
        <v>101</v>
      </c>
      <c r="AJ59" s="252" t="s">
        <v>356</v>
      </c>
      <c r="AK59" s="252" t="s">
        <v>101</v>
      </c>
      <c r="AL59" s="252" t="s">
        <v>356</v>
      </c>
    </row>
    <row r="60" spans="1:38" ht="21" customHeight="1">
      <c r="A60" s="251">
        <v>1</v>
      </c>
      <c r="B60" s="250" t="s">
        <v>230</v>
      </c>
      <c r="C60" s="255"/>
      <c r="D60" s="255"/>
      <c r="E60" s="255"/>
      <c r="F60" s="255"/>
      <c r="G60" s="252">
        <v>0</v>
      </c>
      <c r="H60" s="252">
        <v>0</v>
      </c>
      <c r="I60" s="252">
        <v>20</v>
      </c>
      <c r="J60" s="252">
        <v>8.81</v>
      </c>
      <c r="K60" s="255"/>
      <c r="L60" s="255"/>
      <c r="M60" s="252">
        <v>20</v>
      </c>
      <c r="N60" s="252">
        <v>8.81</v>
      </c>
      <c r="O60" s="255"/>
      <c r="P60" s="255"/>
      <c r="Q60" s="255"/>
      <c r="R60" s="255"/>
      <c r="S60" s="252">
        <v>0</v>
      </c>
      <c r="T60" s="257">
        <v>0</v>
      </c>
      <c r="U60" s="260"/>
      <c r="V60" s="255"/>
      <c r="W60" s="255"/>
      <c r="X60" s="255"/>
      <c r="Y60" s="252">
        <v>0</v>
      </c>
      <c r="Z60" s="252">
        <v>0</v>
      </c>
      <c r="AA60" s="252">
        <v>30</v>
      </c>
      <c r="AB60" s="252">
        <v>21.17</v>
      </c>
      <c r="AC60" s="255"/>
      <c r="AD60" s="255"/>
      <c r="AE60" s="252">
        <v>30</v>
      </c>
      <c r="AF60" s="252">
        <v>21.17</v>
      </c>
      <c r="AG60" s="255"/>
      <c r="AH60" s="255"/>
      <c r="AI60" s="255"/>
      <c r="AJ60" s="255"/>
      <c r="AK60" s="252">
        <v>0</v>
      </c>
      <c r="AL60" s="252">
        <v>0</v>
      </c>
    </row>
    <row r="61" spans="1:38" ht="21" customHeight="1">
      <c r="A61" s="675" t="s">
        <v>8</v>
      </c>
      <c r="B61" s="676"/>
      <c r="C61" s="252"/>
      <c r="D61" s="252"/>
      <c r="E61" s="252"/>
      <c r="F61" s="252"/>
      <c r="G61" s="252">
        <f>SUM(G60)</f>
        <v>0</v>
      </c>
      <c r="H61" s="252">
        <f>SUM(H60)</f>
        <v>0</v>
      </c>
      <c r="I61" s="252">
        <f>SUM(I60)</f>
        <v>20</v>
      </c>
      <c r="J61" s="252">
        <f>SUM(J60)</f>
        <v>8.81</v>
      </c>
      <c r="K61" s="252"/>
      <c r="L61" s="252"/>
      <c r="M61" s="252">
        <f>SUM(M60)</f>
        <v>20</v>
      </c>
      <c r="N61" s="252">
        <f>SUM(N60)</f>
        <v>8.81</v>
      </c>
      <c r="O61" s="252"/>
      <c r="P61" s="252"/>
      <c r="Q61" s="252"/>
      <c r="R61" s="252"/>
      <c r="S61" s="252">
        <f>SUM(S60)</f>
        <v>0</v>
      </c>
      <c r="T61" s="257">
        <f>SUM(T60)</f>
        <v>0</v>
      </c>
      <c r="U61" s="259"/>
      <c r="V61" s="252"/>
      <c r="W61" s="252"/>
      <c r="X61" s="252"/>
      <c r="Y61" s="252">
        <f>SUM(Y60)</f>
        <v>0</v>
      </c>
      <c r="Z61" s="252">
        <f>SUM(Z60)</f>
        <v>0</v>
      </c>
      <c r="AA61" s="252">
        <f>SUM(AA60)</f>
        <v>30</v>
      </c>
      <c r="AB61" s="252">
        <f>SUM(AB60)</f>
        <v>21.17</v>
      </c>
      <c r="AC61" s="252"/>
      <c r="AD61" s="252"/>
      <c r="AE61" s="252">
        <f>SUM(AE60)</f>
        <v>30</v>
      </c>
      <c r="AF61" s="252">
        <f>SUM(AF60)</f>
        <v>21.17</v>
      </c>
      <c r="AG61" s="252"/>
      <c r="AH61" s="252"/>
      <c r="AI61" s="252"/>
      <c r="AJ61" s="252"/>
      <c r="AK61" s="252">
        <f>SUM(AK60)</f>
        <v>0</v>
      </c>
      <c r="AL61" s="252">
        <f>SUM(AL60)</f>
        <v>0</v>
      </c>
    </row>
    <row r="62" spans="1:38" ht="21" customHeight="1">
      <c r="A62" s="666" t="s">
        <v>421</v>
      </c>
      <c r="B62" s="667"/>
      <c r="C62" s="667"/>
      <c r="D62" s="667"/>
      <c r="E62" s="667"/>
      <c r="F62" s="667"/>
      <c r="G62" s="667"/>
      <c r="H62" s="667"/>
      <c r="I62" s="667"/>
      <c r="J62" s="667"/>
      <c r="K62" s="667"/>
      <c r="L62" s="667"/>
      <c r="M62" s="667"/>
      <c r="N62" s="667"/>
      <c r="O62" s="667"/>
      <c r="P62" s="667"/>
      <c r="Q62" s="667"/>
      <c r="R62" s="667"/>
      <c r="S62" s="667"/>
      <c r="T62" s="667"/>
      <c r="U62" s="667"/>
      <c r="V62" s="667"/>
      <c r="W62" s="667"/>
      <c r="X62" s="667"/>
      <c r="Y62" s="667"/>
      <c r="Z62" s="667"/>
      <c r="AA62" s="667"/>
      <c r="AB62" s="667"/>
      <c r="AC62" s="667"/>
      <c r="AD62" s="667"/>
      <c r="AE62" s="667"/>
      <c r="AF62" s="667"/>
      <c r="AG62" s="667"/>
      <c r="AH62" s="667"/>
      <c r="AI62" s="667"/>
      <c r="AJ62" s="667"/>
      <c r="AK62" s="667"/>
      <c r="AL62" s="668"/>
    </row>
    <row r="63" spans="1:38" ht="21" customHeight="1">
      <c r="A63" s="666" t="s">
        <v>242</v>
      </c>
      <c r="B63" s="667"/>
      <c r="C63" s="667"/>
      <c r="D63" s="667"/>
      <c r="E63" s="667"/>
      <c r="F63" s="667"/>
      <c r="G63" s="667"/>
      <c r="H63" s="667"/>
      <c r="I63" s="667"/>
      <c r="J63" s="667"/>
      <c r="K63" s="667"/>
      <c r="L63" s="667"/>
      <c r="M63" s="667"/>
      <c r="N63" s="667"/>
      <c r="O63" s="667"/>
      <c r="P63" s="667"/>
      <c r="Q63" s="667"/>
      <c r="R63" s="667"/>
      <c r="S63" s="667"/>
      <c r="T63" s="667"/>
      <c r="U63" s="667"/>
      <c r="V63" s="667"/>
      <c r="W63" s="667"/>
      <c r="X63" s="667"/>
      <c r="Y63" s="667"/>
      <c r="Z63" s="667"/>
      <c r="AA63" s="667"/>
      <c r="AB63" s="667"/>
      <c r="AC63" s="667"/>
      <c r="AD63" s="667"/>
      <c r="AE63" s="667"/>
      <c r="AF63" s="667"/>
      <c r="AG63" s="667"/>
      <c r="AH63" s="667"/>
      <c r="AI63" s="667"/>
      <c r="AJ63" s="667"/>
      <c r="AK63" s="667"/>
      <c r="AL63" s="668"/>
    </row>
    <row r="64" spans="1:38" ht="21" customHeight="1">
      <c r="A64" s="669" t="s">
        <v>202</v>
      </c>
      <c r="B64" s="669" t="s">
        <v>355</v>
      </c>
      <c r="C64" s="672" t="s">
        <v>422</v>
      </c>
      <c r="D64" s="673"/>
      <c r="E64" s="673"/>
      <c r="F64" s="673"/>
      <c r="G64" s="673"/>
      <c r="H64" s="673"/>
      <c r="I64" s="673"/>
      <c r="J64" s="673"/>
      <c r="K64" s="673"/>
      <c r="L64" s="673"/>
      <c r="M64" s="673"/>
      <c r="N64" s="673"/>
      <c r="O64" s="673"/>
      <c r="P64" s="673"/>
      <c r="Q64" s="673"/>
      <c r="R64" s="673"/>
      <c r="S64" s="673"/>
      <c r="T64" s="674"/>
      <c r="U64" s="672" t="s">
        <v>381</v>
      </c>
      <c r="V64" s="673"/>
      <c r="W64" s="673"/>
      <c r="X64" s="673"/>
      <c r="Y64" s="673"/>
      <c r="Z64" s="673"/>
      <c r="AA64" s="673"/>
      <c r="AB64" s="673"/>
      <c r="AC64" s="673"/>
      <c r="AD64" s="673"/>
      <c r="AE64" s="673"/>
      <c r="AF64" s="673"/>
      <c r="AG64" s="673"/>
      <c r="AH64" s="673"/>
      <c r="AI64" s="673"/>
      <c r="AJ64" s="673"/>
      <c r="AK64" s="673"/>
      <c r="AL64" s="674"/>
    </row>
    <row r="65" spans="1:38" ht="21" customHeight="1">
      <c r="A65" s="670"/>
      <c r="B65" s="670"/>
      <c r="C65" s="672" t="s">
        <v>203</v>
      </c>
      <c r="D65" s="673"/>
      <c r="E65" s="673"/>
      <c r="F65" s="673"/>
      <c r="G65" s="673"/>
      <c r="H65" s="674"/>
      <c r="I65" s="672" t="s">
        <v>204</v>
      </c>
      <c r="J65" s="673"/>
      <c r="K65" s="673"/>
      <c r="L65" s="673"/>
      <c r="M65" s="673"/>
      <c r="N65" s="674"/>
      <c r="O65" s="672" t="s">
        <v>205</v>
      </c>
      <c r="P65" s="673"/>
      <c r="Q65" s="673"/>
      <c r="R65" s="673"/>
      <c r="S65" s="673"/>
      <c r="T65" s="674"/>
      <c r="U65" s="672" t="s">
        <v>203</v>
      </c>
      <c r="V65" s="673"/>
      <c r="W65" s="673"/>
      <c r="X65" s="673"/>
      <c r="Y65" s="673"/>
      <c r="Z65" s="674"/>
      <c r="AA65" s="672" t="s">
        <v>204</v>
      </c>
      <c r="AB65" s="673"/>
      <c r="AC65" s="673"/>
      <c r="AD65" s="673"/>
      <c r="AE65" s="673"/>
      <c r="AF65" s="674"/>
      <c r="AG65" s="672" t="s">
        <v>205</v>
      </c>
      <c r="AH65" s="673"/>
      <c r="AI65" s="673"/>
      <c r="AJ65" s="673"/>
      <c r="AK65" s="673"/>
      <c r="AL65" s="674"/>
    </row>
    <row r="66" spans="1:38" ht="21" customHeight="1">
      <c r="A66" s="670"/>
      <c r="B66" s="670"/>
      <c r="C66" s="672" t="s">
        <v>206</v>
      </c>
      <c r="D66" s="674"/>
      <c r="E66" s="672" t="s">
        <v>207</v>
      </c>
      <c r="F66" s="674"/>
      <c r="G66" s="672" t="s">
        <v>8</v>
      </c>
      <c r="H66" s="674"/>
      <c r="I66" s="672" t="s">
        <v>206</v>
      </c>
      <c r="J66" s="674"/>
      <c r="K66" s="672" t="s">
        <v>207</v>
      </c>
      <c r="L66" s="674"/>
      <c r="M66" s="672" t="s">
        <v>8</v>
      </c>
      <c r="N66" s="674"/>
      <c r="O66" s="672" t="s">
        <v>206</v>
      </c>
      <c r="P66" s="674"/>
      <c r="Q66" s="672" t="s">
        <v>207</v>
      </c>
      <c r="R66" s="674"/>
      <c r="S66" s="672" t="s">
        <v>8</v>
      </c>
      <c r="T66" s="674"/>
      <c r="U66" s="672" t="s">
        <v>206</v>
      </c>
      <c r="V66" s="674"/>
      <c r="W66" s="672" t="s">
        <v>207</v>
      </c>
      <c r="X66" s="674"/>
      <c r="Y66" s="672" t="s">
        <v>8</v>
      </c>
      <c r="Z66" s="674"/>
      <c r="AA66" s="672" t="s">
        <v>206</v>
      </c>
      <c r="AB66" s="674"/>
      <c r="AC66" s="672" t="s">
        <v>207</v>
      </c>
      <c r="AD66" s="674"/>
      <c r="AE66" s="672" t="s">
        <v>8</v>
      </c>
      <c r="AF66" s="674"/>
      <c r="AG66" s="672" t="s">
        <v>206</v>
      </c>
      <c r="AH66" s="674"/>
      <c r="AI66" s="672" t="s">
        <v>207</v>
      </c>
      <c r="AJ66" s="674"/>
      <c r="AK66" s="672" t="s">
        <v>8</v>
      </c>
      <c r="AL66" s="674"/>
    </row>
    <row r="67" spans="1:38" ht="21" customHeight="1">
      <c r="A67" s="671"/>
      <c r="B67" s="671"/>
      <c r="C67" s="252" t="s">
        <v>101</v>
      </c>
      <c r="D67" s="252" t="s">
        <v>356</v>
      </c>
      <c r="E67" s="252" t="s">
        <v>101</v>
      </c>
      <c r="F67" s="252" t="s">
        <v>356</v>
      </c>
      <c r="G67" s="252" t="s">
        <v>101</v>
      </c>
      <c r="H67" s="252" t="s">
        <v>356</v>
      </c>
      <c r="I67" s="252" t="s">
        <v>101</v>
      </c>
      <c r="J67" s="252" t="s">
        <v>356</v>
      </c>
      <c r="K67" s="252" t="s">
        <v>101</v>
      </c>
      <c r="L67" s="252" t="s">
        <v>356</v>
      </c>
      <c r="M67" s="252" t="s">
        <v>101</v>
      </c>
      <c r="N67" s="252" t="s">
        <v>356</v>
      </c>
      <c r="O67" s="252" t="s">
        <v>101</v>
      </c>
      <c r="P67" s="252" t="s">
        <v>356</v>
      </c>
      <c r="Q67" s="252" t="s">
        <v>101</v>
      </c>
      <c r="R67" s="252" t="s">
        <v>356</v>
      </c>
      <c r="S67" s="252" t="s">
        <v>101</v>
      </c>
      <c r="T67" s="257" t="s">
        <v>356</v>
      </c>
      <c r="U67" s="259" t="s">
        <v>101</v>
      </c>
      <c r="V67" s="252" t="s">
        <v>356</v>
      </c>
      <c r="W67" s="252" t="s">
        <v>101</v>
      </c>
      <c r="X67" s="252" t="s">
        <v>356</v>
      </c>
      <c r="Y67" s="252" t="s">
        <v>101</v>
      </c>
      <c r="Z67" s="252" t="s">
        <v>356</v>
      </c>
      <c r="AA67" s="252" t="s">
        <v>101</v>
      </c>
      <c r="AB67" s="252" t="s">
        <v>356</v>
      </c>
      <c r="AC67" s="252" t="s">
        <v>101</v>
      </c>
      <c r="AD67" s="252" t="s">
        <v>356</v>
      </c>
      <c r="AE67" s="252" t="s">
        <v>101</v>
      </c>
      <c r="AF67" s="252" t="s">
        <v>356</v>
      </c>
      <c r="AG67" s="252" t="s">
        <v>101</v>
      </c>
      <c r="AH67" s="252" t="s">
        <v>356</v>
      </c>
      <c r="AI67" s="252" t="s">
        <v>101</v>
      </c>
      <c r="AJ67" s="252" t="s">
        <v>356</v>
      </c>
      <c r="AK67" s="252" t="s">
        <v>101</v>
      </c>
      <c r="AL67" s="252" t="s">
        <v>356</v>
      </c>
    </row>
    <row r="68" spans="1:38" ht="21" customHeight="1">
      <c r="A68" s="251">
        <v>1</v>
      </c>
      <c r="B68" s="250" t="s">
        <v>242</v>
      </c>
      <c r="C68" s="255"/>
      <c r="D68" s="255"/>
      <c r="E68" s="255"/>
      <c r="F68" s="255"/>
      <c r="G68" s="252">
        <v>0</v>
      </c>
      <c r="H68" s="252">
        <v>0</v>
      </c>
      <c r="I68" s="252">
        <v>203</v>
      </c>
      <c r="J68" s="252">
        <v>122.69</v>
      </c>
      <c r="K68" s="255"/>
      <c r="L68" s="255"/>
      <c r="M68" s="252">
        <v>203</v>
      </c>
      <c r="N68" s="252">
        <v>122.69</v>
      </c>
      <c r="O68" s="255"/>
      <c r="P68" s="255"/>
      <c r="Q68" s="255"/>
      <c r="R68" s="255"/>
      <c r="S68" s="252">
        <v>0</v>
      </c>
      <c r="T68" s="257">
        <v>0</v>
      </c>
      <c r="U68" s="260"/>
      <c r="V68" s="255"/>
      <c r="W68" s="255"/>
      <c r="X68" s="255"/>
      <c r="Y68" s="252">
        <v>0</v>
      </c>
      <c r="Z68" s="252">
        <v>0</v>
      </c>
      <c r="AA68" s="252">
        <v>234</v>
      </c>
      <c r="AB68" s="252">
        <v>226.58</v>
      </c>
      <c r="AC68" s="255"/>
      <c r="AD68" s="255"/>
      <c r="AE68" s="252">
        <v>234</v>
      </c>
      <c r="AF68" s="252">
        <v>226.58</v>
      </c>
      <c r="AG68" s="255"/>
      <c r="AH68" s="255"/>
      <c r="AI68" s="255"/>
      <c r="AJ68" s="255"/>
      <c r="AK68" s="252">
        <v>0</v>
      </c>
      <c r="AL68" s="252">
        <v>0</v>
      </c>
    </row>
    <row r="69" spans="1:38" ht="21" customHeight="1">
      <c r="A69" s="675" t="s">
        <v>8</v>
      </c>
      <c r="B69" s="676"/>
      <c r="C69" s="252"/>
      <c r="D69" s="252"/>
      <c r="E69" s="252"/>
      <c r="F69" s="252"/>
      <c r="G69" s="252">
        <f>SUM(G68)</f>
        <v>0</v>
      </c>
      <c r="H69" s="252">
        <f>SUM(H68)</f>
        <v>0</v>
      </c>
      <c r="I69" s="252">
        <f>SUM(I68)</f>
        <v>203</v>
      </c>
      <c r="J69" s="252">
        <f>SUM(J68)</f>
        <v>122.69</v>
      </c>
      <c r="K69" s="252"/>
      <c r="L69" s="252"/>
      <c r="M69" s="252">
        <f>SUM(M68)</f>
        <v>203</v>
      </c>
      <c r="N69" s="252">
        <f>SUM(N68)</f>
        <v>122.69</v>
      </c>
      <c r="O69" s="252"/>
      <c r="P69" s="252"/>
      <c r="Q69" s="252"/>
      <c r="R69" s="252"/>
      <c r="S69" s="252">
        <f>SUM(S68)</f>
        <v>0</v>
      </c>
      <c r="T69" s="257">
        <f>SUM(T68)</f>
        <v>0</v>
      </c>
      <c r="U69" s="259"/>
      <c r="V69" s="252"/>
      <c r="W69" s="252"/>
      <c r="X69" s="252"/>
      <c r="Y69" s="252">
        <f>SUM(Y68)</f>
        <v>0</v>
      </c>
      <c r="Z69" s="252">
        <f>SUM(Z68)</f>
        <v>0</v>
      </c>
      <c r="AA69" s="252">
        <f>SUM(AA68)</f>
        <v>234</v>
      </c>
      <c r="AB69" s="252">
        <f>SUM(AB68)</f>
        <v>226.58</v>
      </c>
      <c r="AC69" s="252"/>
      <c r="AD69" s="252"/>
      <c r="AE69" s="252">
        <f>SUM(AE68)</f>
        <v>234</v>
      </c>
      <c r="AF69" s="252">
        <f>SUM(AF68)</f>
        <v>226.58</v>
      </c>
      <c r="AG69" s="252"/>
      <c r="AH69" s="252"/>
      <c r="AI69" s="252"/>
      <c r="AJ69" s="252"/>
      <c r="AK69" s="252">
        <f>SUM(AK68)</f>
        <v>0</v>
      </c>
      <c r="AL69" s="252">
        <f>SUM(AL68)</f>
        <v>0</v>
      </c>
    </row>
    <row r="70" spans="1:38" ht="21" customHeight="1">
      <c r="A70" s="666" t="s">
        <v>421</v>
      </c>
      <c r="B70" s="667"/>
      <c r="C70" s="667"/>
      <c r="D70" s="667"/>
      <c r="E70" s="667"/>
      <c r="F70" s="667"/>
      <c r="G70" s="667"/>
      <c r="H70" s="667"/>
      <c r="I70" s="667"/>
      <c r="J70" s="667"/>
      <c r="K70" s="667"/>
      <c r="L70" s="667"/>
      <c r="M70" s="667"/>
      <c r="N70" s="667"/>
      <c r="O70" s="667"/>
      <c r="P70" s="667"/>
      <c r="Q70" s="667"/>
      <c r="R70" s="667"/>
      <c r="S70" s="667"/>
      <c r="T70" s="667"/>
      <c r="U70" s="667"/>
      <c r="V70" s="667"/>
      <c r="W70" s="667"/>
      <c r="X70" s="667"/>
      <c r="Y70" s="667"/>
      <c r="Z70" s="667"/>
      <c r="AA70" s="667"/>
      <c r="AB70" s="667"/>
      <c r="AC70" s="667"/>
      <c r="AD70" s="667"/>
      <c r="AE70" s="667"/>
      <c r="AF70" s="667"/>
      <c r="AG70" s="667"/>
      <c r="AH70" s="667"/>
      <c r="AI70" s="667"/>
      <c r="AJ70" s="667"/>
      <c r="AK70" s="667"/>
      <c r="AL70" s="668"/>
    </row>
    <row r="71" spans="1:38" ht="21" customHeight="1">
      <c r="A71" s="666" t="s">
        <v>243</v>
      </c>
      <c r="B71" s="667"/>
      <c r="C71" s="667"/>
      <c r="D71" s="667"/>
      <c r="E71" s="667"/>
      <c r="F71" s="667"/>
      <c r="G71" s="667"/>
      <c r="H71" s="667"/>
      <c r="I71" s="667"/>
      <c r="J71" s="667"/>
      <c r="K71" s="667"/>
      <c r="L71" s="667"/>
      <c r="M71" s="667"/>
      <c r="N71" s="667"/>
      <c r="O71" s="667"/>
      <c r="P71" s="667"/>
      <c r="Q71" s="667"/>
      <c r="R71" s="667"/>
      <c r="S71" s="667"/>
      <c r="T71" s="667"/>
      <c r="U71" s="667"/>
      <c r="V71" s="667"/>
      <c r="W71" s="667"/>
      <c r="X71" s="667"/>
      <c r="Y71" s="667"/>
      <c r="Z71" s="667"/>
      <c r="AA71" s="667"/>
      <c r="AB71" s="667"/>
      <c r="AC71" s="667"/>
      <c r="AD71" s="667"/>
      <c r="AE71" s="667"/>
      <c r="AF71" s="667"/>
      <c r="AG71" s="667"/>
      <c r="AH71" s="667"/>
      <c r="AI71" s="667"/>
      <c r="AJ71" s="667"/>
      <c r="AK71" s="667"/>
      <c r="AL71" s="668"/>
    </row>
    <row r="72" spans="1:38" ht="21" customHeight="1">
      <c r="A72" s="669" t="s">
        <v>202</v>
      </c>
      <c r="B72" s="669" t="s">
        <v>355</v>
      </c>
      <c r="C72" s="672" t="s">
        <v>422</v>
      </c>
      <c r="D72" s="673"/>
      <c r="E72" s="673"/>
      <c r="F72" s="673"/>
      <c r="G72" s="673"/>
      <c r="H72" s="673"/>
      <c r="I72" s="673"/>
      <c r="J72" s="673"/>
      <c r="K72" s="673"/>
      <c r="L72" s="673"/>
      <c r="M72" s="673"/>
      <c r="N72" s="673"/>
      <c r="O72" s="673"/>
      <c r="P72" s="673"/>
      <c r="Q72" s="673"/>
      <c r="R72" s="673"/>
      <c r="S72" s="673"/>
      <c r="T72" s="674"/>
      <c r="U72" s="672" t="s">
        <v>381</v>
      </c>
      <c r="V72" s="673"/>
      <c r="W72" s="673"/>
      <c r="X72" s="673"/>
      <c r="Y72" s="673"/>
      <c r="Z72" s="673"/>
      <c r="AA72" s="673"/>
      <c r="AB72" s="673"/>
      <c r="AC72" s="673"/>
      <c r="AD72" s="673"/>
      <c r="AE72" s="673"/>
      <c r="AF72" s="673"/>
      <c r="AG72" s="673"/>
      <c r="AH72" s="673"/>
      <c r="AI72" s="673"/>
      <c r="AJ72" s="673"/>
      <c r="AK72" s="673"/>
      <c r="AL72" s="674"/>
    </row>
    <row r="73" spans="1:38" ht="21" customHeight="1">
      <c r="A73" s="670"/>
      <c r="B73" s="670"/>
      <c r="C73" s="672" t="s">
        <v>203</v>
      </c>
      <c r="D73" s="673"/>
      <c r="E73" s="673"/>
      <c r="F73" s="673"/>
      <c r="G73" s="673"/>
      <c r="H73" s="674"/>
      <c r="I73" s="672" t="s">
        <v>204</v>
      </c>
      <c r="J73" s="673"/>
      <c r="K73" s="673"/>
      <c r="L73" s="673"/>
      <c r="M73" s="673"/>
      <c r="N73" s="674"/>
      <c r="O73" s="672" t="s">
        <v>205</v>
      </c>
      <c r="P73" s="673"/>
      <c r="Q73" s="673"/>
      <c r="R73" s="673"/>
      <c r="S73" s="673"/>
      <c r="T73" s="674"/>
      <c r="U73" s="672" t="s">
        <v>203</v>
      </c>
      <c r="V73" s="673"/>
      <c r="W73" s="673"/>
      <c r="X73" s="673"/>
      <c r="Y73" s="673"/>
      <c r="Z73" s="674"/>
      <c r="AA73" s="672" t="s">
        <v>204</v>
      </c>
      <c r="AB73" s="673"/>
      <c r="AC73" s="673"/>
      <c r="AD73" s="673"/>
      <c r="AE73" s="673"/>
      <c r="AF73" s="674"/>
      <c r="AG73" s="672" t="s">
        <v>205</v>
      </c>
      <c r="AH73" s="673"/>
      <c r="AI73" s="673"/>
      <c r="AJ73" s="673"/>
      <c r="AK73" s="673"/>
      <c r="AL73" s="674"/>
    </row>
    <row r="74" spans="1:38" ht="21" customHeight="1">
      <c r="A74" s="670"/>
      <c r="B74" s="670"/>
      <c r="C74" s="672" t="s">
        <v>206</v>
      </c>
      <c r="D74" s="674"/>
      <c r="E74" s="672" t="s">
        <v>207</v>
      </c>
      <c r="F74" s="674"/>
      <c r="G74" s="672" t="s">
        <v>8</v>
      </c>
      <c r="H74" s="674"/>
      <c r="I74" s="672" t="s">
        <v>206</v>
      </c>
      <c r="J74" s="674"/>
      <c r="K74" s="672" t="s">
        <v>207</v>
      </c>
      <c r="L74" s="674"/>
      <c r="M74" s="672" t="s">
        <v>8</v>
      </c>
      <c r="N74" s="674"/>
      <c r="O74" s="672" t="s">
        <v>206</v>
      </c>
      <c r="P74" s="674"/>
      <c r="Q74" s="672" t="s">
        <v>207</v>
      </c>
      <c r="R74" s="674"/>
      <c r="S74" s="672" t="s">
        <v>8</v>
      </c>
      <c r="T74" s="674"/>
      <c r="U74" s="672" t="s">
        <v>206</v>
      </c>
      <c r="V74" s="674"/>
      <c r="W74" s="672" t="s">
        <v>207</v>
      </c>
      <c r="X74" s="674"/>
      <c r="Y74" s="672" t="s">
        <v>8</v>
      </c>
      <c r="Z74" s="674"/>
      <c r="AA74" s="672" t="s">
        <v>206</v>
      </c>
      <c r="AB74" s="674"/>
      <c r="AC74" s="672" t="s">
        <v>207</v>
      </c>
      <c r="AD74" s="674"/>
      <c r="AE74" s="672" t="s">
        <v>8</v>
      </c>
      <c r="AF74" s="674"/>
      <c r="AG74" s="672" t="s">
        <v>206</v>
      </c>
      <c r="AH74" s="674"/>
      <c r="AI74" s="672" t="s">
        <v>207</v>
      </c>
      <c r="AJ74" s="674"/>
      <c r="AK74" s="672" t="s">
        <v>8</v>
      </c>
      <c r="AL74" s="674"/>
    </row>
    <row r="75" spans="1:38" ht="21" customHeight="1">
      <c r="A75" s="671"/>
      <c r="B75" s="671"/>
      <c r="C75" s="252" t="s">
        <v>101</v>
      </c>
      <c r="D75" s="252" t="s">
        <v>356</v>
      </c>
      <c r="E75" s="252" t="s">
        <v>101</v>
      </c>
      <c r="F75" s="252" t="s">
        <v>356</v>
      </c>
      <c r="G75" s="252" t="s">
        <v>101</v>
      </c>
      <c r="H75" s="252" t="s">
        <v>356</v>
      </c>
      <c r="I75" s="252" t="s">
        <v>101</v>
      </c>
      <c r="J75" s="252" t="s">
        <v>356</v>
      </c>
      <c r="K75" s="252" t="s">
        <v>101</v>
      </c>
      <c r="L75" s="252" t="s">
        <v>356</v>
      </c>
      <c r="M75" s="252" t="s">
        <v>101</v>
      </c>
      <c r="N75" s="252" t="s">
        <v>356</v>
      </c>
      <c r="O75" s="252" t="s">
        <v>101</v>
      </c>
      <c r="P75" s="252" t="s">
        <v>356</v>
      </c>
      <c r="Q75" s="252" t="s">
        <v>101</v>
      </c>
      <c r="R75" s="252" t="s">
        <v>356</v>
      </c>
      <c r="S75" s="252" t="s">
        <v>101</v>
      </c>
      <c r="T75" s="257" t="s">
        <v>356</v>
      </c>
      <c r="U75" s="259" t="s">
        <v>101</v>
      </c>
      <c r="V75" s="252" t="s">
        <v>356</v>
      </c>
      <c r="W75" s="252" t="s">
        <v>101</v>
      </c>
      <c r="X75" s="252" t="s">
        <v>356</v>
      </c>
      <c r="Y75" s="252" t="s">
        <v>101</v>
      </c>
      <c r="Z75" s="252" t="s">
        <v>356</v>
      </c>
      <c r="AA75" s="252" t="s">
        <v>101</v>
      </c>
      <c r="AB75" s="252" t="s">
        <v>356</v>
      </c>
      <c r="AC75" s="252" t="s">
        <v>101</v>
      </c>
      <c r="AD75" s="252" t="s">
        <v>356</v>
      </c>
      <c r="AE75" s="252" t="s">
        <v>101</v>
      </c>
      <c r="AF75" s="252" t="s">
        <v>356</v>
      </c>
      <c r="AG75" s="252" t="s">
        <v>101</v>
      </c>
      <c r="AH75" s="252" t="s">
        <v>356</v>
      </c>
      <c r="AI75" s="252" t="s">
        <v>101</v>
      </c>
      <c r="AJ75" s="252" t="s">
        <v>356</v>
      </c>
      <c r="AK75" s="252" t="s">
        <v>101</v>
      </c>
      <c r="AL75" s="252" t="s">
        <v>356</v>
      </c>
    </row>
    <row r="76" spans="1:38" ht="21" customHeight="1">
      <c r="A76" s="251">
        <v>1</v>
      </c>
      <c r="B76" s="250" t="s">
        <v>362</v>
      </c>
      <c r="C76" s="255"/>
      <c r="D76" s="255"/>
      <c r="E76" s="255"/>
      <c r="F76" s="255"/>
      <c r="G76" s="252">
        <v>0</v>
      </c>
      <c r="H76" s="252">
        <v>0</v>
      </c>
      <c r="I76" s="252">
        <v>38</v>
      </c>
      <c r="J76" s="252">
        <v>21.5</v>
      </c>
      <c r="K76" s="255"/>
      <c r="L76" s="255"/>
      <c r="M76" s="252">
        <v>38</v>
      </c>
      <c r="N76" s="252">
        <v>21.5</v>
      </c>
      <c r="O76" s="255"/>
      <c r="P76" s="255"/>
      <c r="Q76" s="255"/>
      <c r="R76" s="255"/>
      <c r="S76" s="252">
        <v>0</v>
      </c>
      <c r="T76" s="257">
        <v>0</v>
      </c>
      <c r="U76" s="260"/>
      <c r="V76" s="255"/>
      <c r="W76" s="255"/>
      <c r="X76" s="255"/>
      <c r="Y76" s="252">
        <v>0</v>
      </c>
      <c r="Z76" s="252">
        <v>0</v>
      </c>
      <c r="AA76" s="252">
        <v>38</v>
      </c>
      <c r="AB76" s="252">
        <v>30.33</v>
      </c>
      <c r="AC76" s="255"/>
      <c r="AD76" s="255"/>
      <c r="AE76" s="252">
        <v>38</v>
      </c>
      <c r="AF76" s="252">
        <v>30.33</v>
      </c>
      <c r="AG76" s="255"/>
      <c r="AH76" s="255"/>
      <c r="AI76" s="255"/>
      <c r="AJ76" s="255"/>
      <c r="AK76" s="252">
        <v>0</v>
      </c>
      <c r="AL76" s="252">
        <v>0</v>
      </c>
    </row>
    <row r="77" spans="1:38" ht="21" customHeight="1">
      <c r="A77" s="251">
        <v>2</v>
      </c>
      <c r="B77" s="250" t="s">
        <v>244</v>
      </c>
      <c r="C77" s="255"/>
      <c r="D77" s="255"/>
      <c r="E77" s="255"/>
      <c r="F77" s="255"/>
      <c r="G77" s="252">
        <v>0</v>
      </c>
      <c r="H77" s="252">
        <v>0</v>
      </c>
      <c r="I77" s="252">
        <v>30</v>
      </c>
      <c r="J77" s="252">
        <v>15.06</v>
      </c>
      <c r="K77" s="255"/>
      <c r="L77" s="255"/>
      <c r="M77" s="252">
        <v>30</v>
      </c>
      <c r="N77" s="252">
        <v>15.06</v>
      </c>
      <c r="O77" s="255"/>
      <c r="P77" s="255"/>
      <c r="Q77" s="255"/>
      <c r="R77" s="255"/>
      <c r="S77" s="252">
        <v>0</v>
      </c>
      <c r="T77" s="257">
        <v>0</v>
      </c>
      <c r="U77" s="260"/>
      <c r="V77" s="255"/>
      <c r="W77" s="255"/>
      <c r="X77" s="255"/>
      <c r="Y77" s="252">
        <v>0</v>
      </c>
      <c r="Z77" s="252">
        <v>0</v>
      </c>
      <c r="AA77" s="252">
        <v>31</v>
      </c>
      <c r="AB77" s="252">
        <v>22.78</v>
      </c>
      <c r="AC77" s="255"/>
      <c r="AD77" s="255"/>
      <c r="AE77" s="252">
        <v>31</v>
      </c>
      <c r="AF77" s="252">
        <v>22.78</v>
      </c>
      <c r="AG77" s="255"/>
      <c r="AH77" s="255"/>
      <c r="AI77" s="255"/>
      <c r="AJ77" s="255"/>
      <c r="AK77" s="252">
        <v>0</v>
      </c>
      <c r="AL77" s="252">
        <v>0</v>
      </c>
    </row>
    <row r="78" spans="1:38" ht="21" customHeight="1">
      <c r="A78" s="251">
        <v>3</v>
      </c>
      <c r="B78" s="250" t="s">
        <v>220</v>
      </c>
      <c r="C78" s="255"/>
      <c r="D78" s="255"/>
      <c r="E78" s="255"/>
      <c r="F78" s="255"/>
      <c r="G78" s="252">
        <v>0</v>
      </c>
      <c r="H78" s="252">
        <v>0</v>
      </c>
      <c r="I78" s="252">
        <v>11</v>
      </c>
      <c r="J78" s="252">
        <v>4.67</v>
      </c>
      <c r="K78" s="255"/>
      <c r="L78" s="255"/>
      <c r="M78" s="252">
        <v>11</v>
      </c>
      <c r="N78" s="252">
        <v>4.67</v>
      </c>
      <c r="O78" s="255"/>
      <c r="P78" s="255"/>
      <c r="Q78" s="255"/>
      <c r="R78" s="255"/>
      <c r="S78" s="252">
        <v>0</v>
      </c>
      <c r="T78" s="257">
        <v>0</v>
      </c>
      <c r="U78" s="260"/>
      <c r="V78" s="255"/>
      <c r="W78" s="255"/>
      <c r="X78" s="255"/>
      <c r="Y78" s="252">
        <v>0</v>
      </c>
      <c r="Z78" s="252">
        <v>0</v>
      </c>
      <c r="AA78" s="252">
        <v>40</v>
      </c>
      <c r="AB78" s="252">
        <v>20.309999999999999</v>
      </c>
      <c r="AC78" s="255"/>
      <c r="AD78" s="255"/>
      <c r="AE78" s="252">
        <v>40</v>
      </c>
      <c r="AF78" s="252">
        <v>20.309999999999999</v>
      </c>
      <c r="AG78" s="255"/>
      <c r="AH78" s="255"/>
      <c r="AI78" s="255"/>
      <c r="AJ78" s="255"/>
      <c r="AK78" s="252">
        <v>0</v>
      </c>
      <c r="AL78" s="252">
        <v>0</v>
      </c>
    </row>
    <row r="79" spans="1:38" ht="21" customHeight="1">
      <c r="A79" s="675" t="s">
        <v>8</v>
      </c>
      <c r="B79" s="676"/>
      <c r="C79" s="252"/>
      <c r="D79" s="252"/>
      <c r="E79" s="252"/>
      <c r="F79" s="252"/>
      <c r="G79" s="252">
        <f>SUM(G76:G78)</f>
        <v>0</v>
      </c>
      <c r="H79" s="252">
        <f>SUM(H76:H78)</f>
        <v>0</v>
      </c>
      <c r="I79" s="252">
        <f>SUM(I76:I78)</f>
        <v>79</v>
      </c>
      <c r="J79" s="252">
        <f>SUM(J76:J78)</f>
        <v>41.230000000000004</v>
      </c>
      <c r="K79" s="252"/>
      <c r="L79" s="252"/>
      <c r="M79" s="252">
        <f>SUM(M76:M78)</f>
        <v>79</v>
      </c>
      <c r="N79" s="252">
        <f>SUM(N76:N78)</f>
        <v>41.230000000000004</v>
      </c>
      <c r="O79" s="252"/>
      <c r="P79" s="252"/>
      <c r="Q79" s="252"/>
      <c r="R79" s="252"/>
      <c r="S79" s="252">
        <f>SUM(S76:S78)</f>
        <v>0</v>
      </c>
      <c r="T79" s="257">
        <f>SUM(T76:T78)</f>
        <v>0</v>
      </c>
      <c r="U79" s="259"/>
      <c r="V79" s="252"/>
      <c r="W79" s="252"/>
      <c r="X79" s="252"/>
      <c r="Y79" s="252">
        <f>SUM(Y76:Y78)</f>
        <v>0</v>
      </c>
      <c r="Z79" s="252">
        <f>SUM(Z76:Z78)</f>
        <v>0</v>
      </c>
      <c r="AA79" s="252">
        <f>SUM(AA76:AA78)</f>
        <v>109</v>
      </c>
      <c r="AB79" s="252">
        <f>SUM(AB76:AB78)</f>
        <v>73.42</v>
      </c>
      <c r="AC79" s="252"/>
      <c r="AD79" s="252"/>
      <c r="AE79" s="252">
        <f>SUM(AE76:AE78)</f>
        <v>109</v>
      </c>
      <c r="AF79" s="252">
        <f>SUM(AF76:AF78)</f>
        <v>73.42</v>
      </c>
      <c r="AG79" s="252"/>
      <c r="AH79" s="252"/>
      <c r="AI79" s="252"/>
      <c r="AJ79" s="252"/>
      <c r="AK79" s="252">
        <f>SUM(AK76:AK78)</f>
        <v>0</v>
      </c>
      <c r="AL79" s="252">
        <f>SUM(AL76:AL78)</f>
        <v>0</v>
      </c>
    </row>
    <row r="80" spans="1:38" ht="21" customHeight="1">
      <c r="A80" s="666" t="s">
        <v>421</v>
      </c>
      <c r="B80" s="667"/>
      <c r="C80" s="667"/>
      <c r="D80" s="667"/>
      <c r="E80" s="667"/>
      <c r="F80" s="667"/>
      <c r="G80" s="667"/>
      <c r="H80" s="667"/>
      <c r="I80" s="667"/>
      <c r="J80" s="667"/>
      <c r="K80" s="667"/>
      <c r="L80" s="667"/>
      <c r="M80" s="667"/>
      <c r="N80" s="667"/>
      <c r="O80" s="667"/>
      <c r="P80" s="667"/>
      <c r="Q80" s="667"/>
      <c r="R80" s="667"/>
      <c r="S80" s="667"/>
      <c r="T80" s="667"/>
      <c r="U80" s="667"/>
      <c r="V80" s="667"/>
      <c r="W80" s="667"/>
      <c r="X80" s="667"/>
      <c r="Y80" s="667"/>
      <c r="Z80" s="667"/>
      <c r="AA80" s="667"/>
      <c r="AB80" s="667"/>
      <c r="AC80" s="667"/>
      <c r="AD80" s="667"/>
      <c r="AE80" s="667"/>
      <c r="AF80" s="667"/>
      <c r="AG80" s="667"/>
      <c r="AH80" s="667"/>
      <c r="AI80" s="667"/>
      <c r="AJ80" s="667"/>
      <c r="AK80" s="667"/>
      <c r="AL80" s="668"/>
    </row>
    <row r="81" spans="1:38" ht="21" customHeight="1">
      <c r="A81" s="666" t="s">
        <v>245</v>
      </c>
      <c r="B81" s="667"/>
      <c r="C81" s="667"/>
      <c r="D81" s="667"/>
      <c r="E81" s="667"/>
      <c r="F81" s="667"/>
      <c r="G81" s="667"/>
      <c r="H81" s="667"/>
      <c r="I81" s="667"/>
      <c r="J81" s="667"/>
      <c r="K81" s="667"/>
      <c r="L81" s="667"/>
      <c r="M81" s="667"/>
      <c r="N81" s="667"/>
      <c r="O81" s="667"/>
      <c r="P81" s="667"/>
      <c r="Q81" s="667"/>
      <c r="R81" s="667"/>
      <c r="S81" s="667"/>
      <c r="T81" s="667"/>
      <c r="U81" s="667"/>
      <c r="V81" s="667"/>
      <c r="W81" s="667"/>
      <c r="X81" s="667"/>
      <c r="Y81" s="667"/>
      <c r="Z81" s="667"/>
      <c r="AA81" s="667"/>
      <c r="AB81" s="667"/>
      <c r="AC81" s="667"/>
      <c r="AD81" s="667"/>
      <c r="AE81" s="667"/>
      <c r="AF81" s="667"/>
      <c r="AG81" s="667"/>
      <c r="AH81" s="667"/>
      <c r="AI81" s="667"/>
      <c r="AJ81" s="667"/>
      <c r="AK81" s="667"/>
      <c r="AL81" s="668"/>
    </row>
    <row r="82" spans="1:38" ht="21" customHeight="1">
      <c r="A82" s="669" t="s">
        <v>202</v>
      </c>
      <c r="B82" s="669" t="s">
        <v>355</v>
      </c>
      <c r="C82" s="672" t="s">
        <v>422</v>
      </c>
      <c r="D82" s="673"/>
      <c r="E82" s="673"/>
      <c r="F82" s="673"/>
      <c r="G82" s="673"/>
      <c r="H82" s="673"/>
      <c r="I82" s="673"/>
      <c r="J82" s="673"/>
      <c r="K82" s="673"/>
      <c r="L82" s="673"/>
      <c r="M82" s="673"/>
      <c r="N82" s="673"/>
      <c r="O82" s="673"/>
      <c r="P82" s="673"/>
      <c r="Q82" s="673"/>
      <c r="R82" s="673"/>
      <c r="S82" s="673"/>
      <c r="T82" s="674"/>
      <c r="U82" s="672" t="s">
        <v>381</v>
      </c>
      <c r="V82" s="673"/>
      <c r="W82" s="673"/>
      <c r="X82" s="673"/>
      <c r="Y82" s="673"/>
      <c r="Z82" s="673"/>
      <c r="AA82" s="673"/>
      <c r="AB82" s="673"/>
      <c r="AC82" s="673"/>
      <c r="AD82" s="673"/>
      <c r="AE82" s="673"/>
      <c r="AF82" s="673"/>
      <c r="AG82" s="673"/>
      <c r="AH82" s="673"/>
      <c r="AI82" s="673"/>
      <c r="AJ82" s="673"/>
      <c r="AK82" s="673"/>
      <c r="AL82" s="674"/>
    </row>
    <row r="83" spans="1:38" ht="21" customHeight="1">
      <c r="A83" s="670"/>
      <c r="B83" s="670"/>
      <c r="C83" s="672" t="s">
        <v>203</v>
      </c>
      <c r="D83" s="673"/>
      <c r="E83" s="673"/>
      <c r="F83" s="673"/>
      <c r="G83" s="673"/>
      <c r="H83" s="674"/>
      <c r="I83" s="672" t="s">
        <v>204</v>
      </c>
      <c r="J83" s="673"/>
      <c r="K83" s="673"/>
      <c r="L83" s="673"/>
      <c r="M83" s="673"/>
      <c r="N83" s="674"/>
      <c r="O83" s="672" t="s">
        <v>205</v>
      </c>
      <c r="P83" s="673"/>
      <c r="Q83" s="673"/>
      <c r="R83" s="673"/>
      <c r="S83" s="673"/>
      <c r="T83" s="674"/>
      <c r="U83" s="672" t="s">
        <v>203</v>
      </c>
      <c r="V83" s="673"/>
      <c r="W83" s="673"/>
      <c r="X83" s="673"/>
      <c r="Y83" s="673"/>
      <c r="Z83" s="674"/>
      <c r="AA83" s="672" t="s">
        <v>204</v>
      </c>
      <c r="AB83" s="673"/>
      <c r="AC83" s="673"/>
      <c r="AD83" s="673"/>
      <c r="AE83" s="673"/>
      <c r="AF83" s="674"/>
      <c r="AG83" s="672" t="s">
        <v>205</v>
      </c>
      <c r="AH83" s="673"/>
      <c r="AI83" s="673"/>
      <c r="AJ83" s="673"/>
      <c r="AK83" s="673"/>
      <c r="AL83" s="674"/>
    </row>
    <row r="84" spans="1:38" ht="21" customHeight="1">
      <c r="A84" s="670"/>
      <c r="B84" s="670"/>
      <c r="C84" s="672" t="s">
        <v>206</v>
      </c>
      <c r="D84" s="674"/>
      <c r="E84" s="672" t="s">
        <v>207</v>
      </c>
      <c r="F84" s="674"/>
      <c r="G84" s="672" t="s">
        <v>8</v>
      </c>
      <c r="H84" s="674"/>
      <c r="I84" s="672" t="s">
        <v>206</v>
      </c>
      <c r="J84" s="674"/>
      <c r="K84" s="672" t="s">
        <v>207</v>
      </c>
      <c r="L84" s="674"/>
      <c r="M84" s="672" t="s">
        <v>8</v>
      </c>
      <c r="N84" s="674"/>
      <c r="O84" s="672" t="s">
        <v>206</v>
      </c>
      <c r="P84" s="674"/>
      <c r="Q84" s="672" t="s">
        <v>207</v>
      </c>
      <c r="R84" s="674"/>
      <c r="S84" s="672" t="s">
        <v>8</v>
      </c>
      <c r="T84" s="674"/>
      <c r="U84" s="672" t="s">
        <v>206</v>
      </c>
      <c r="V84" s="674"/>
      <c r="W84" s="672" t="s">
        <v>207</v>
      </c>
      <c r="X84" s="674"/>
      <c r="Y84" s="672" t="s">
        <v>8</v>
      </c>
      <c r="Z84" s="674"/>
      <c r="AA84" s="672" t="s">
        <v>206</v>
      </c>
      <c r="AB84" s="674"/>
      <c r="AC84" s="672" t="s">
        <v>207</v>
      </c>
      <c r="AD84" s="674"/>
      <c r="AE84" s="672" t="s">
        <v>8</v>
      </c>
      <c r="AF84" s="674"/>
      <c r="AG84" s="672" t="s">
        <v>206</v>
      </c>
      <c r="AH84" s="674"/>
      <c r="AI84" s="672" t="s">
        <v>207</v>
      </c>
      <c r="AJ84" s="674"/>
      <c r="AK84" s="672" t="s">
        <v>8</v>
      </c>
      <c r="AL84" s="674"/>
    </row>
    <row r="85" spans="1:38" ht="21" customHeight="1">
      <c r="A85" s="671"/>
      <c r="B85" s="671"/>
      <c r="C85" s="252" t="s">
        <v>101</v>
      </c>
      <c r="D85" s="252" t="s">
        <v>356</v>
      </c>
      <c r="E85" s="252" t="s">
        <v>101</v>
      </c>
      <c r="F85" s="252" t="s">
        <v>356</v>
      </c>
      <c r="G85" s="252" t="s">
        <v>101</v>
      </c>
      <c r="H85" s="252" t="s">
        <v>356</v>
      </c>
      <c r="I85" s="252" t="s">
        <v>101</v>
      </c>
      <c r="J85" s="252" t="s">
        <v>356</v>
      </c>
      <c r="K85" s="252" t="s">
        <v>101</v>
      </c>
      <c r="L85" s="252" t="s">
        <v>356</v>
      </c>
      <c r="M85" s="252" t="s">
        <v>101</v>
      </c>
      <c r="N85" s="252" t="s">
        <v>356</v>
      </c>
      <c r="O85" s="252" t="s">
        <v>101</v>
      </c>
      <c r="P85" s="252" t="s">
        <v>356</v>
      </c>
      <c r="Q85" s="252" t="s">
        <v>101</v>
      </c>
      <c r="R85" s="252" t="s">
        <v>356</v>
      </c>
      <c r="S85" s="252" t="s">
        <v>101</v>
      </c>
      <c r="T85" s="257" t="s">
        <v>356</v>
      </c>
      <c r="U85" s="259" t="s">
        <v>101</v>
      </c>
      <c r="V85" s="252" t="s">
        <v>356</v>
      </c>
      <c r="W85" s="252" t="s">
        <v>101</v>
      </c>
      <c r="X85" s="252" t="s">
        <v>356</v>
      </c>
      <c r="Y85" s="252" t="s">
        <v>101</v>
      </c>
      <c r="Z85" s="252" t="s">
        <v>356</v>
      </c>
      <c r="AA85" s="252" t="s">
        <v>101</v>
      </c>
      <c r="AB85" s="252" t="s">
        <v>356</v>
      </c>
      <c r="AC85" s="252" t="s">
        <v>101</v>
      </c>
      <c r="AD85" s="252" t="s">
        <v>356</v>
      </c>
      <c r="AE85" s="252" t="s">
        <v>101</v>
      </c>
      <c r="AF85" s="252" t="s">
        <v>356</v>
      </c>
      <c r="AG85" s="252" t="s">
        <v>101</v>
      </c>
      <c r="AH85" s="252" t="s">
        <v>356</v>
      </c>
      <c r="AI85" s="252" t="s">
        <v>101</v>
      </c>
      <c r="AJ85" s="252" t="s">
        <v>356</v>
      </c>
      <c r="AK85" s="252" t="s">
        <v>101</v>
      </c>
      <c r="AL85" s="252" t="s">
        <v>356</v>
      </c>
    </row>
    <row r="86" spans="1:38" ht="21" customHeight="1">
      <c r="A86" s="251">
        <v>1</v>
      </c>
      <c r="B86" s="250" t="s">
        <v>236</v>
      </c>
      <c r="C86" s="255"/>
      <c r="D86" s="255"/>
      <c r="E86" s="255"/>
      <c r="F86" s="255"/>
      <c r="G86" s="252">
        <v>0</v>
      </c>
      <c r="H86" s="252">
        <v>0</v>
      </c>
      <c r="I86" s="252">
        <v>77</v>
      </c>
      <c r="J86" s="252">
        <v>36.08</v>
      </c>
      <c r="K86" s="255"/>
      <c r="L86" s="255"/>
      <c r="M86" s="252">
        <v>77</v>
      </c>
      <c r="N86" s="252">
        <v>36.08</v>
      </c>
      <c r="O86" s="255"/>
      <c r="P86" s="255"/>
      <c r="Q86" s="255"/>
      <c r="R86" s="255"/>
      <c r="S86" s="252">
        <v>0</v>
      </c>
      <c r="T86" s="257">
        <v>0</v>
      </c>
      <c r="U86" s="260"/>
      <c r="V86" s="255"/>
      <c r="W86" s="255"/>
      <c r="X86" s="255"/>
      <c r="Y86" s="252">
        <v>0</v>
      </c>
      <c r="Z86" s="252">
        <v>0</v>
      </c>
      <c r="AA86" s="252">
        <v>92</v>
      </c>
      <c r="AB86" s="252">
        <v>71.72</v>
      </c>
      <c r="AC86" s="255"/>
      <c r="AD86" s="255"/>
      <c r="AE86" s="252">
        <v>92</v>
      </c>
      <c r="AF86" s="252">
        <v>71.72</v>
      </c>
      <c r="AG86" s="255"/>
      <c r="AH86" s="255"/>
      <c r="AI86" s="255"/>
      <c r="AJ86" s="255"/>
      <c r="AK86" s="252">
        <v>0</v>
      </c>
      <c r="AL86" s="252">
        <v>0</v>
      </c>
    </row>
    <row r="87" spans="1:38" ht="21" customHeight="1">
      <c r="A87" s="251">
        <v>2</v>
      </c>
      <c r="B87" s="250" t="s">
        <v>237</v>
      </c>
      <c r="C87" s="255"/>
      <c r="D87" s="255"/>
      <c r="E87" s="255"/>
      <c r="F87" s="255"/>
      <c r="G87" s="252">
        <v>0</v>
      </c>
      <c r="H87" s="252">
        <v>0</v>
      </c>
      <c r="I87" s="252">
        <v>119</v>
      </c>
      <c r="J87" s="252">
        <v>62.56</v>
      </c>
      <c r="K87" s="255"/>
      <c r="L87" s="255"/>
      <c r="M87" s="252">
        <v>119</v>
      </c>
      <c r="N87" s="252">
        <v>62.56</v>
      </c>
      <c r="O87" s="255"/>
      <c r="P87" s="255"/>
      <c r="Q87" s="255"/>
      <c r="R87" s="255"/>
      <c r="S87" s="252">
        <v>0</v>
      </c>
      <c r="T87" s="257">
        <v>0</v>
      </c>
      <c r="U87" s="260"/>
      <c r="V87" s="255"/>
      <c r="W87" s="255"/>
      <c r="X87" s="255"/>
      <c r="Y87" s="252">
        <v>0</v>
      </c>
      <c r="Z87" s="252">
        <v>0</v>
      </c>
      <c r="AA87" s="252">
        <v>148</v>
      </c>
      <c r="AB87" s="252">
        <v>118.5</v>
      </c>
      <c r="AC87" s="255"/>
      <c r="AD87" s="255"/>
      <c r="AE87" s="252">
        <v>148</v>
      </c>
      <c r="AF87" s="252">
        <v>118.5</v>
      </c>
      <c r="AG87" s="255"/>
      <c r="AH87" s="255"/>
      <c r="AI87" s="255"/>
      <c r="AJ87" s="255"/>
      <c r="AK87" s="252">
        <v>0</v>
      </c>
      <c r="AL87" s="252">
        <v>0</v>
      </c>
    </row>
    <row r="88" spans="1:38" ht="21" customHeight="1">
      <c r="A88" s="251">
        <v>3</v>
      </c>
      <c r="B88" s="250" t="s">
        <v>239</v>
      </c>
      <c r="C88" s="255"/>
      <c r="D88" s="255"/>
      <c r="E88" s="255"/>
      <c r="F88" s="255"/>
      <c r="G88" s="252">
        <v>0</v>
      </c>
      <c r="H88" s="252">
        <v>0</v>
      </c>
      <c r="I88" s="255"/>
      <c r="J88" s="255"/>
      <c r="K88" s="255"/>
      <c r="L88" s="255"/>
      <c r="M88" s="252">
        <v>0</v>
      </c>
      <c r="N88" s="252">
        <v>0</v>
      </c>
      <c r="O88" s="252">
        <v>2</v>
      </c>
      <c r="P88" s="252">
        <v>0.94</v>
      </c>
      <c r="Q88" s="255"/>
      <c r="R88" s="255"/>
      <c r="S88" s="252">
        <v>2</v>
      </c>
      <c r="T88" s="257">
        <v>0.94</v>
      </c>
      <c r="U88" s="260"/>
      <c r="V88" s="255"/>
      <c r="W88" s="255"/>
      <c r="X88" s="255"/>
      <c r="Y88" s="252">
        <v>0</v>
      </c>
      <c r="Z88" s="252">
        <v>0</v>
      </c>
      <c r="AA88" s="255"/>
      <c r="AB88" s="255"/>
      <c r="AC88" s="255"/>
      <c r="AD88" s="255"/>
      <c r="AE88" s="252">
        <v>0</v>
      </c>
      <c r="AF88" s="252">
        <v>0</v>
      </c>
      <c r="AG88" s="252">
        <v>3</v>
      </c>
      <c r="AH88" s="252">
        <v>1.5</v>
      </c>
      <c r="AI88" s="255"/>
      <c r="AJ88" s="255"/>
      <c r="AK88" s="252">
        <v>3</v>
      </c>
      <c r="AL88" s="252">
        <v>1.5</v>
      </c>
    </row>
    <row r="89" spans="1:38" ht="21" customHeight="1">
      <c r="A89" s="675" t="s">
        <v>8</v>
      </c>
      <c r="B89" s="676"/>
      <c r="C89" s="252"/>
      <c r="D89" s="252"/>
      <c r="E89" s="252"/>
      <c r="F89" s="252"/>
      <c r="G89" s="252">
        <f>SUM(G86:G88)</f>
        <v>0</v>
      </c>
      <c r="H89" s="252">
        <f>SUM(H86:H88)</f>
        <v>0</v>
      </c>
      <c r="I89" s="252">
        <f>SUM(I86:I88)</f>
        <v>196</v>
      </c>
      <c r="J89" s="252">
        <f>SUM(J86:J88)</f>
        <v>98.64</v>
      </c>
      <c r="K89" s="252"/>
      <c r="L89" s="252"/>
      <c r="M89" s="252">
        <f>SUM(M86:M88)</f>
        <v>196</v>
      </c>
      <c r="N89" s="252">
        <f>SUM(N86:N88)</f>
        <v>98.64</v>
      </c>
      <c r="O89" s="252">
        <f>SUM(O86:O88)</f>
        <v>2</v>
      </c>
      <c r="P89" s="252">
        <f>SUM(P86:P88)</f>
        <v>0.94</v>
      </c>
      <c r="Q89" s="252"/>
      <c r="R89" s="252"/>
      <c r="S89" s="252">
        <f>SUM(S86:S88)</f>
        <v>2</v>
      </c>
      <c r="T89" s="257">
        <f>SUM(T86:T88)</f>
        <v>0.94</v>
      </c>
      <c r="U89" s="259"/>
      <c r="V89" s="252"/>
      <c r="W89" s="252"/>
      <c r="X89" s="252"/>
      <c r="Y89" s="252">
        <f>SUM(Y86:Y88)</f>
        <v>0</v>
      </c>
      <c r="Z89" s="252">
        <f>SUM(Z86:Z88)</f>
        <v>0</v>
      </c>
      <c r="AA89" s="252">
        <f>SUM(AA86:AA88)</f>
        <v>240</v>
      </c>
      <c r="AB89" s="252">
        <f>SUM(AB86:AB88)</f>
        <v>190.22</v>
      </c>
      <c r="AC89" s="252"/>
      <c r="AD89" s="252"/>
      <c r="AE89" s="252">
        <f>SUM(AE86:AE88)</f>
        <v>240</v>
      </c>
      <c r="AF89" s="252">
        <f>SUM(AF86:AF88)</f>
        <v>190.22</v>
      </c>
      <c r="AG89" s="252">
        <f>SUM(AG86:AG88)</f>
        <v>3</v>
      </c>
      <c r="AH89" s="252">
        <f>SUM(AH86:AH88)</f>
        <v>1.5</v>
      </c>
      <c r="AI89" s="252"/>
      <c r="AJ89" s="252"/>
      <c r="AK89" s="252">
        <f>SUM(AK86:AK88)</f>
        <v>3</v>
      </c>
      <c r="AL89" s="252">
        <f>SUM(AL86:AL88)</f>
        <v>1.5</v>
      </c>
    </row>
    <row r="90" spans="1:38" ht="21" customHeight="1">
      <c r="A90" s="666" t="s">
        <v>421</v>
      </c>
      <c r="B90" s="667"/>
      <c r="C90" s="667"/>
      <c r="D90" s="667"/>
      <c r="E90" s="667"/>
      <c r="F90" s="667"/>
      <c r="G90" s="667"/>
      <c r="H90" s="667"/>
      <c r="I90" s="667"/>
      <c r="J90" s="667"/>
      <c r="K90" s="667"/>
      <c r="L90" s="667"/>
      <c r="M90" s="667"/>
      <c r="N90" s="667"/>
      <c r="O90" s="667"/>
      <c r="P90" s="667"/>
      <c r="Q90" s="667"/>
      <c r="R90" s="667"/>
      <c r="S90" s="667"/>
      <c r="T90" s="667"/>
      <c r="U90" s="667"/>
      <c r="V90" s="667"/>
      <c r="W90" s="667"/>
      <c r="X90" s="667"/>
      <c r="Y90" s="667"/>
      <c r="Z90" s="667"/>
      <c r="AA90" s="667"/>
      <c r="AB90" s="667"/>
      <c r="AC90" s="667"/>
      <c r="AD90" s="667"/>
      <c r="AE90" s="667"/>
      <c r="AF90" s="667"/>
      <c r="AG90" s="667"/>
      <c r="AH90" s="667"/>
      <c r="AI90" s="667"/>
      <c r="AJ90" s="667"/>
      <c r="AK90" s="667"/>
      <c r="AL90" s="668"/>
    </row>
    <row r="91" spans="1:38" ht="21" customHeight="1">
      <c r="A91" s="666" t="s">
        <v>59</v>
      </c>
      <c r="B91" s="667"/>
      <c r="C91" s="667"/>
      <c r="D91" s="667"/>
      <c r="E91" s="667"/>
      <c r="F91" s="667"/>
      <c r="G91" s="667"/>
      <c r="H91" s="667"/>
      <c r="I91" s="667"/>
      <c r="J91" s="667"/>
      <c r="K91" s="667"/>
      <c r="L91" s="667"/>
      <c r="M91" s="667"/>
      <c r="N91" s="667"/>
      <c r="O91" s="667"/>
      <c r="P91" s="667"/>
      <c r="Q91" s="667"/>
      <c r="R91" s="667"/>
      <c r="S91" s="667"/>
      <c r="T91" s="667"/>
      <c r="U91" s="667"/>
      <c r="V91" s="667"/>
      <c r="W91" s="667"/>
      <c r="X91" s="667"/>
      <c r="Y91" s="667"/>
      <c r="Z91" s="667"/>
      <c r="AA91" s="667"/>
      <c r="AB91" s="667"/>
      <c r="AC91" s="667"/>
      <c r="AD91" s="667"/>
      <c r="AE91" s="667"/>
      <c r="AF91" s="667"/>
      <c r="AG91" s="667"/>
      <c r="AH91" s="667"/>
      <c r="AI91" s="667"/>
      <c r="AJ91" s="667"/>
      <c r="AK91" s="667"/>
      <c r="AL91" s="668"/>
    </row>
    <row r="92" spans="1:38" ht="21" customHeight="1">
      <c r="A92" s="669" t="s">
        <v>202</v>
      </c>
      <c r="B92" s="669" t="s">
        <v>355</v>
      </c>
      <c r="C92" s="672" t="s">
        <v>422</v>
      </c>
      <c r="D92" s="673"/>
      <c r="E92" s="673"/>
      <c r="F92" s="673"/>
      <c r="G92" s="673"/>
      <c r="H92" s="673"/>
      <c r="I92" s="673"/>
      <c r="J92" s="673"/>
      <c r="K92" s="673"/>
      <c r="L92" s="673"/>
      <c r="M92" s="673"/>
      <c r="N92" s="673"/>
      <c r="O92" s="673"/>
      <c r="P92" s="673"/>
      <c r="Q92" s="673"/>
      <c r="R92" s="673"/>
      <c r="S92" s="673"/>
      <c r="T92" s="674"/>
      <c r="U92" s="672" t="s">
        <v>381</v>
      </c>
      <c r="V92" s="673"/>
      <c r="W92" s="673"/>
      <c r="X92" s="673"/>
      <c r="Y92" s="673"/>
      <c r="Z92" s="673"/>
      <c r="AA92" s="673"/>
      <c r="AB92" s="673"/>
      <c r="AC92" s="673"/>
      <c r="AD92" s="673"/>
      <c r="AE92" s="673"/>
      <c r="AF92" s="673"/>
      <c r="AG92" s="673"/>
      <c r="AH92" s="673"/>
      <c r="AI92" s="673"/>
      <c r="AJ92" s="673"/>
      <c r="AK92" s="673"/>
      <c r="AL92" s="674"/>
    </row>
    <row r="93" spans="1:38" ht="21" customHeight="1">
      <c r="A93" s="670"/>
      <c r="B93" s="670"/>
      <c r="C93" s="672" t="s">
        <v>203</v>
      </c>
      <c r="D93" s="673"/>
      <c r="E93" s="673"/>
      <c r="F93" s="673"/>
      <c r="G93" s="673"/>
      <c r="H93" s="674"/>
      <c r="I93" s="672" t="s">
        <v>204</v>
      </c>
      <c r="J93" s="673"/>
      <c r="K93" s="673"/>
      <c r="L93" s="673"/>
      <c r="M93" s="673"/>
      <c r="N93" s="674"/>
      <c r="O93" s="672" t="s">
        <v>205</v>
      </c>
      <c r="P93" s="673"/>
      <c r="Q93" s="673"/>
      <c r="R93" s="673"/>
      <c r="S93" s="673"/>
      <c r="T93" s="674"/>
      <c r="U93" s="672" t="s">
        <v>203</v>
      </c>
      <c r="V93" s="673"/>
      <c r="W93" s="673"/>
      <c r="X93" s="673"/>
      <c r="Y93" s="673"/>
      <c r="Z93" s="674"/>
      <c r="AA93" s="672" t="s">
        <v>204</v>
      </c>
      <c r="AB93" s="673"/>
      <c r="AC93" s="673"/>
      <c r="AD93" s="673"/>
      <c r="AE93" s="673"/>
      <c r="AF93" s="674"/>
      <c r="AG93" s="672" t="s">
        <v>205</v>
      </c>
      <c r="AH93" s="673"/>
      <c r="AI93" s="673"/>
      <c r="AJ93" s="673"/>
      <c r="AK93" s="673"/>
      <c r="AL93" s="674"/>
    </row>
    <row r="94" spans="1:38" ht="21" customHeight="1">
      <c r="A94" s="670"/>
      <c r="B94" s="670"/>
      <c r="C94" s="672" t="s">
        <v>206</v>
      </c>
      <c r="D94" s="674"/>
      <c r="E94" s="672" t="s">
        <v>207</v>
      </c>
      <c r="F94" s="674"/>
      <c r="G94" s="672" t="s">
        <v>8</v>
      </c>
      <c r="H94" s="674"/>
      <c r="I94" s="672" t="s">
        <v>206</v>
      </c>
      <c r="J94" s="674"/>
      <c r="K94" s="672" t="s">
        <v>207</v>
      </c>
      <c r="L94" s="674"/>
      <c r="M94" s="672" t="s">
        <v>8</v>
      </c>
      <c r="N94" s="674"/>
      <c r="O94" s="672" t="s">
        <v>206</v>
      </c>
      <c r="P94" s="674"/>
      <c r="Q94" s="672" t="s">
        <v>207</v>
      </c>
      <c r="R94" s="674"/>
      <c r="S94" s="672" t="s">
        <v>8</v>
      </c>
      <c r="T94" s="674"/>
      <c r="U94" s="672" t="s">
        <v>206</v>
      </c>
      <c r="V94" s="674"/>
      <c r="W94" s="672" t="s">
        <v>207</v>
      </c>
      <c r="X94" s="674"/>
      <c r="Y94" s="672" t="s">
        <v>8</v>
      </c>
      <c r="Z94" s="674"/>
      <c r="AA94" s="672" t="s">
        <v>206</v>
      </c>
      <c r="AB94" s="674"/>
      <c r="AC94" s="672" t="s">
        <v>207</v>
      </c>
      <c r="AD94" s="674"/>
      <c r="AE94" s="672" t="s">
        <v>8</v>
      </c>
      <c r="AF94" s="674"/>
      <c r="AG94" s="672" t="s">
        <v>206</v>
      </c>
      <c r="AH94" s="674"/>
      <c r="AI94" s="672" t="s">
        <v>207</v>
      </c>
      <c r="AJ94" s="674"/>
      <c r="AK94" s="672" t="s">
        <v>8</v>
      </c>
      <c r="AL94" s="674"/>
    </row>
    <row r="95" spans="1:38" ht="21" customHeight="1">
      <c r="A95" s="671"/>
      <c r="B95" s="671"/>
      <c r="C95" s="252" t="s">
        <v>101</v>
      </c>
      <c r="D95" s="252" t="s">
        <v>356</v>
      </c>
      <c r="E95" s="252" t="s">
        <v>101</v>
      </c>
      <c r="F95" s="252" t="s">
        <v>356</v>
      </c>
      <c r="G95" s="252" t="s">
        <v>101</v>
      </c>
      <c r="H95" s="252" t="s">
        <v>356</v>
      </c>
      <c r="I95" s="252" t="s">
        <v>101</v>
      </c>
      <c r="J95" s="252" t="s">
        <v>356</v>
      </c>
      <c r="K95" s="252" t="s">
        <v>101</v>
      </c>
      <c r="L95" s="252" t="s">
        <v>356</v>
      </c>
      <c r="M95" s="252" t="s">
        <v>101</v>
      </c>
      <c r="N95" s="252" t="s">
        <v>356</v>
      </c>
      <c r="O95" s="252" t="s">
        <v>101</v>
      </c>
      <c r="P95" s="252" t="s">
        <v>356</v>
      </c>
      <c r="Q95" s="252" t="s">
        <v>101</v>
      </c>
      <c r="R95" s="252" t="s">
        <v>356</v>
      </c>
      <c r="S95" s="252" t="s">
        <v>101</v>
      </c>
      <c r="T95" s="257" t="s">
        <v>356</v>
      </c>
      <c r="U95" s="259" t="s">
        <v>101</v>
      </c>
      <c r="V95" s="252" t="s">
        <v>356</v>
      </c>
      <c r="W95" s="252" t="s">
        <v>101</v>
      </c>
      <c r="X95" s="252" t="s">
        <v>356</v>
      </c>
      <c r="Y95" s="252" t="s">
        <v>101</v>
      </c>
      <c r="Z95" s="252" t="s">
        <v>356</v>
      </c>
      <c r="AA95" s="252" t="s">
        <v>101</v>
      </c>
      <c r="AB95" s="252" t="s">
        <v>356</v>
      </c>
      <c r="AC95" s="252" t="s">
        <v>101</v>
      </c>
      <c r="AD95" s="252" t="s">
        <v>356</v>
      </c>
      <c r="AE95" s="252" t="s">
        <v>101</v>
      </c>
      <c r="AF95" s="252" t="s">
        <v>356</v>
      </c>
      <c r="AG95" s="252" t="s">
        <v>101</v>
      </c>
      <c r="AH95" s="252" t="s">
        <v>356</v>
      </c>
      <c r="AI95" s="252" t="s">
        <v>101</v>
      </c>
      <c r="AJ95" s="252" t="s">
        <v>356</v>
      </c>
      <c r="AK95" s="252" t="s">
        <v>101</v>
      </c>
      <c r="AL95" s="252" t="s">
        <v>356</v>
      </c>
    </row>
    <row r="96" spans="1:38" ht="21" customHeight="1">
      <c r="A96" s="251">
        <v>1</v>
      </c>
      <c r="B96" s="250" t="s">
        <v>289</v>
      </c>
      <c r="C96" s="255"/>
      <c r="D96" s="255"/>
      <c r="E96" s="255"/>
      <c r="F96" s="255"/>
      <c r="G96" s="252">
        <v>0</v>
      </c>
      <c r="H96" s="252">
        <v>0</v>
      </c>
      <c r="I96" s="252">
        <v>91</v>
      </c>
      <c r="J96" s="252">
        <v>44.72</v>
      </c>
      <c r="K96" s="255"/>
      <c r="L96" s="255"/>
      <c r="M96" s="252">
        <v>91</v>
      </c>
      <c r="N96" s="252">
        <v>44.72</v>
      </c>
      <c r="O96" s="255"/>
      <c r="P96" s="255"/>
      <c r="Q96" s="255"/>
      <c r="R96" s="255"/>
      <c r="S96" s="252">
        <v>0</v>
      </c>
      <c r="T96" s="257">
        <v>0</v>
      </c>
      <c r="U96" s="260"/>
      <c r="V96" s="255"/>
      <c r="W96" s="255"/>
      <c r="X96" s="255"/>
      <c r="Y96" s="252">
        <v>0</v>
      </c>
      <c r="Z96" s="252">
        <v>0</v>
      </c>
      <c r="AA96" s="252">
        <v>120</v>
      </c>
      <c r="AB96" s="252">
        <v>93.56</v>
      </c>
      <c r="AC96" s="255"/>
      <c r="AD96" s="255"/>
      <c r="AE96" s="252">
        <v>120</v>
      </c>
      <c r="AF96" s="252">
        <v>93.56</v>
      </c>
      <c r="AG96" s="255"/>
      <c r="AH96" s="255"/>
      <c r="AI96" s="255"/>
      <c r="AJ96" s="255"/>
      <c r="AK96" s="252">
        <v>0</v>
      </c>
      <c r="AL96" s="252">
        <v>0</v>
      </c>
    </row>
    <row r="97" spans="1:38" ht="21" customHeight="1">
      <c r="A97" s="251">
        <v>2</v>
      </c>
      <c r="B97" s="250" t="s">
        <v>210</v>
      </c>
      <c r="C97" s="255"/>
      <c r="D97" s="255"/>
      <c r="E97" s="255"/>
      <c r="F97" s="255"/>
      <c r="G97" s="252">
        <v>0</v>
      </c>
      <c r="H97" s="252">
        <v>0</v>
      </c>
      <c r="I97" s="252">
        <v>139</v>
      </c>
      <c r="J97" s="252">
        <v>78.25</v>
      </c>
      <c r="K97" s="255"/>
      <c r="L97" s="255"/>
      <c r="M97" s="252">
        <v>139</v>
      </c>
      <c r="N97" s="252">
        <v>78.25</v>
      </c>
      <c r="O97" s="255"/>
      <c r="P97" s="255"/>
      <c r="Q97" s="255"/>
      <c r="R97" s="255"/>
      <c r="S97" s="252">
        <v>0</v>
      </c>
      <c r="T97" s="257">
        <v>0</v>
      </c>
      <c r="U97" s="260"/>
      <c r="V97" s="255"/>
      <c r="W97" s="255"/>
      <c r="X97" s="255"/>
      <c r="Y97" s="252">
        <v>0</v>
      </c>
      <c r="Z97" s="252">
        <v>0</v>
      </c>
      <c r="AA97" s="252">
        <v>160</v>
      </c>
      <c r="AB97" s="252">
        <v>130.33000000000001</v>
      </c>
      <c r="AC97" s="255"/>
      <c r="AD97" s="255"/>
      <c r="AE97" s="252">
        <v>160</v>
      </c>
      <c r="AF97" s="252">
        <v>130.33000000000001</v>
      </c>
      <c r="AG97" s="255"/>
      <c r="AH97" s="255"/>
      <c r="AI97" s="255"/>
      <c r="AJ97" s="255"/>
      <c r="AK97" s="252">
        <v>0</v>
      </c>
      <c r="AL97" s="252">
        <v>0</v>
      </c>
    </row>
    <row r="98" spans="1:38" ht="21" customHeight="1">
      <c r="A98" s="251">
        <v>3</v>
      </c>
      <c r="B98" s="250" t="s">
        <v>246</v>
      </c>
      <c r="C98" s="255"/>
      <c r="D98" s="255"/>
      <c r="E98" s="255"/>
      <c r="F98" s="255"/>
      <c r="G98" s="252">
        <v>0</v>
      </c>
      <c r="H98" s="252">
        <v>0</v>
      </c>
      <c r="I98" s="252">
        <v>57</v>
      </c>
      <c r="J98" s="252">
        <v>30.92</v>
      </c>
      <c r="K98" s="255"/>
      <c r="L98" s="255"/>
      <c r="M98" s="252">
        <v>57</v>
      </c>
      <c r="N98" s="252">
        <v>30.92</v>
      </c>
      <c r="O98" s="255"/>
      <c r="P98" s="255"/>
      <c r="Q98" s="255"/>
      <c r="R98" s="255"/>
      <c r="S98" s="252">
        <v>0</v>
      </c>
      <c r="T98" s="257">
        <v>0</v>
      </c>
      <c r="U98" s="260"/>
      <c r="V98" s="255"/>
      <c r="W98" s="255"/>
      <c r="X98" s="255"/>
      <c r="Y98" s="252">
        <v>0</v>
      </c>
      <c r="Z98" s="252">
        <v>0</v>
      </c>
      <c r="AA98" s="252">
        <v>66</v>
      </c>
      <c r="AB98" s="252">
        <v>52.75</v>
      </c>
      <c r="AC98" s="255"/>
      <c r="AD98" s="255"/>
      <c r="AE98" s="252">
        <v>66</v>
      </c>
      <c r="AF98" s="252">
        <v>52.75</v>
      </c>
      <c r="AG98" s="255"/>
      <c r="AH98" s="255"/>
      <c r="AI98" s="255"/>
      <c r="AJ98" s="255"/>
      <c r="AK98" s="252">
        <v>0</v>
      </c>
      <c r="AL98" s="252">
        <v>0</v>
      </c>
    </row>
    <row r="99" spans="1:38" ht="21" customHeight="1">
      <c r="A99" s="251">
        <v>4</v>
      </c>
      <c r="B99" s="250" t="s">
        <v>212</v>
      </c>
      <c r="C99" s="255"/>
      <c r="D99" s="255"/>
      <c r="E99" s="255"/>
      <c r="F99" s="255"/>
      <c r="G99" s="252">
        <v>0</v>
      </c>
      <c r="H99" s="252">
        <v>0</v>
      </c>
      <c r="I99" s="252">
        <v>39</v>
      </c>
      <c r="J99" s="252">
        <v>13.72</v>
      </c>
      <c r="K99" s="255"/>
      <c r="L99" s="255"/>
      <c r="M99" s="252">
        <v>39</v>
      </c>
      <c r="N99" s="252">
        <v>13.72</v>
      </c>
      <c r="O99" s="255"/>
      <c r="P99" s="255"/>
      <c r="Q99" s="255"/>
      <c r="R99" s="255"/>
      <c r="S99" s="252">
        <v>0</v>
      </c>
      <c r="T99" s="257">
        <v>0</v>
      </c>
      <c r="U99" s="260"/>
      <c r="V99" s="255"/>
      <c r="W99" s="255"/>
      <c r="X99" s="255"/>
      <c r="Y99" s="252">
        <v>0</v>
      </c>
      <c r="Z99" s="252">
        <v>0</v>
      </c>
      <c r="AA99" s="252">
        <v>41</v>
      </c>
      <c r="AB99" s="252">
        <v>25.61</v>
      </c>
      <c r="AC99" s="255"/>
      <c r="AD99" s="255"/>
      <c r="AE99" s="252">
        <v>41</v>
      </c>
      <c r="AF99" s="252">
        <v>25.61</v>
      </c>
      <c r="AG99" s="255"/>
      <c r="AH99" s="255"/>
      <c r="AI99" s="255"/>
      <c r="AJ99" s="255"/>
      <c r="AK99" s="252">
        <v>0</v>
      </c>
      <c r="AL99" s="252">
        <v>0</v>
      </c>
    </row>
    <row r="100" spans="1:38" ht="21" customHeight="1">
      <c r="A100" s="251">
        <v>5</v>
      </c>
      <c r="B100" s="250" t="s">
        <v>214</v>
      </c>
      <c r="C100" s="255"/>
      <c r="D100" s="255"/>
      <c r="E100" s="255"/>
      <c r="F100" s="255"/>
      <c r="G100" s="252">
        <v>0</v>
      </c>
      <c r="H100" s="252">
        <v>0</v>
      </c>
      <c r="I100" s="252">
        <v>75</v>
      </c>
      <c r="J100" s="252">
        <v>34.44</v>
      </c>
      <c r="K100" s="255"/>
      <c r="L100" s="255"/>
      <c r="M100" s="252">
        <v>75</v>
      </c>
      <c r="N100" s="252">
        <v>34.44</v>
      </c>
      <c r="O100" s="255"/>
      <c r="P100" s="255"/>
      <c r="Q100" s="255"/>
      <c r="R100" s="255"/>
      <c r="S100" s="252">
        <v>0</v>
      </c>
      <c r="T100" s="257">
        <v>0</v>
      </c>
      <c r="U100" s="260"/>
      <c r="V100" s="255"/>
      <c r="W100" s="255"/>
      <c r="X100" s="255"/>
      <c r="Y100" s="252">
        <v>0</v>
      </c>
      <c r="Z100" s="252">
        <v>0</v>
      </c>
      <c r="AA100" s="252">
        <v>84</v>
      </c>
      <c r="AB100" s="252">
        <v>66.53</v>
      </c>
      <c r="AC100" s="255"/>
      <c r="AD100" s="255"/>
      <c r="AE100" s="252">
        <v>84</v>
      </c>
      <c r="AF100" s="252">
        <v>66.53</v>
      </c>
      <c r="AG100" s="255"/>
      <c r="AH100" s="255"/>
      <c r="AI100" s="255"/>
      <c r="AJ100" s="255"/>
      <c r="AK100" s="252">
        <v>0</v>
      </c>
      <c r="AL100" s="252">
        <v>0</v>
      </c>
    </row>
    <row r="101" spans="1:38" ht="21" customHeight="1">
      <c r="A101" s="251">
        <v>6</v>
      </c>
      <c r="B101" s="250" t="s">
        <v>215</v>
      </c>
      <c r="C101" s="255"/>
      <c r="D101" s="255"/>
      <c r="E101" s="255"/>
      <c r="F101" s="255"/>
      <c r="G101" s="252">
        <v>0</v>
      </c>
      <c r="H101" s="252">
        <v>0</v>
      </c>
      <c r="I101" s="252">
        <v>60</v>
      </c>
      <c r="J101" s="252">
        <v>29.28</v>
      </c>
      <c r="K101" s="255"/>
      <c r="L101" s="255"/>
      <c r="M101" s="252">
        <v>60</v>
      </c>
      <c r="N101" s="252">
        <v>29.28</v>
      </c>
      <c r="O101" s="255"/>
      <c r="P101" s="255"/>
      <c r="Q101" s="255"/>
      <c r="R101" s="255"/>
      <c r="S101" s="252">
        <v>0</v>
      </c>
      <c r="T101" s="257">
        <v>0</v>
      </c>
      <c r="U101" s="260"/>
      <c r="V101" s="255"/>
      <c r="W101" s="255"/>
      <c r="X101" s="255"/>
      <c r="Y101" s="252">
        <v>0</v>
      </c>
      <c r="Z101" s="252">
        <v>0</v>
      </c>
      <c r="AA101" s="252">
        <v>76</v>
      </c>
      <c r="AB101" s="252">
        <v>55.64</v>
      </c>
      <c r="AC101" s="255"/>
      <c r="AD101" s="255"/>
      <c r="AE101" s="252">
        <v>76</v>
      </c>
      <c r="AF101" s="252">
        <v>55.64</v>
      </c>
      <c r="AG101" s="255"/>
      <c r="AH101" s="255"/>
      <c r="AI101" s="255"/>
      <c r="AJ101" s="255"/>
      <c r="AK101" s="252">
        <v>0</v>
      </c>
      <c r="AL101" s="252">
        <v>0</v>
      </c>
    </row>
    <row r="102" spans="1:38" ht="21" customHeight="1">
      <c r="A102" s="675" t="s">
        <v>8</v>
      </c>
      <c r="B102" s="676"/>
      <c r="C102" s="252"/>
      <c r="D102" s="252"/>
      <c r="E102" s="252"/>
      <c r="F102" s="252"/>
      <c r="G102" s="252">
        <f>SUM(G96:G101)</f>
        <v>0</v>
      </c>
      <c r="H102" s="252">
        <f>SUM(H96:H101)</f>
        <v>0</v>
      </c>
      <c r="I102" s="252">
        <f>SUM(I96:I101)</f>
        <v>461</v>
      </c>
      <c r="J102" s="252">
        <f>SUM(J96:J101)</f>
        <v>231.32999999999998</v>
      </c>
      <c r="K102" s="252"/>
      <c r="L102" s="252"/>
      <c r="M102" s="252">
        <f>SUM(M96:M101)</f>
        <v>461</v>
      </c>
      <c r="N102" s="252">
        <f>SUM(N96:N101)</f>
        <v>231.32999999999998</v>
      </c>
      <c r="O102" s="252"/>
      <c r="P102" s="252"/>
      <c r="Q102" s="252"/>
      <c r="R102" s="252"/>
      <c r="S102" s="252">
        <f>SUM(S96:S101)</f>
        <v>0</v>
      </c>
      <c r="T102" s="257">
        <f>SUM(T96:T101)</f>
        <v>0</v>
      </c>
      <c r="U102" s="259"/>
      <c r="V102" s="252"/>
      <c r="W102" s="252"/>
      <c r="X102" s="252"/>
      <c r="Y102" s="252">
        <f>SUM(Y96:Y101)</f>
        <v>0</v>
      </c>
      <c r="Z102" s="252">
        <f>SUM(Z96:Z101)</f>
        <v>0</v>
      </c>
      <c r="AA102" s="252">
        <f>SUM(AA96:AA101)</f>
        <v>547</v>
      </c>
      <c r="AB102" s="252">
        <f>SUM(AB96:AB101)</f>
        <v>424.41999999999996</v>
      </c>
      <c r="AC102" s="252"/>
      <c r="AD102" s="252"/>
      <c r="AE102" s="252">
        <f>SUM(AE96:AE101)</f>
        <v>547</v>
      </c>
      <c r="AF102" s="252">
        <f>SUM(AF96:AF101)</f>
        <v>424.41999999999996</v>
      </c>
      <c r="AG102" s="252"/>
      <c r="AH102" s="252"/>
      <c r="AI102" s="252"/>
      <c r="AJ102" s="252"/>
      <c r="AK102" s="252">
        <f>SUM(AK96:AK101)</f>
        <v>0</v>
      </c>
      <c r="AL102" s="252">
        <f>SUM(AL96:AL101)</f>
        <v>0</v>
      </c>
    </row>
    <row r="103" spans="1:38" ht="21" customHeight="1">
      <c r="A103" s="666" t="s">
        <v>421</v>
      </c>
      <c r="B103" s="667"/>
      <c r="C103" s="667"/>
      <c r="D103" s="667"/>
      <c r="E103" s="667"/>
      <c r="F103" s="667"/>
      <c r="G103" s="667"/>
      <c r="H103" s="667"/>
      <c r="I103" s="667"/>
      <c r="J103" s="667"/>
      <c r="K103" s="667"/>
      <c r="L103" s="667"/>
      <c r="M103" s="667"/>
      <c r="N103" s="667"/>
      <c r="O103" s="667"/>
      <c r="P103" s="667"/>
      <c r="Q103" s="667"/>
      <c r="R103" s="667"/>
      <c r="S103" s="667"/>
      <c r="T103" s="667"/>
      <c r="U103" s="667"/>
      <c r="V103" s="667"/>
      <c r="W103" s="667"/>
      <c r="X103" s="667"/>
      <c r="Y103" s="667"/>
      <c r="Z103" s="667"/>
      <c r="AA103" s="667"/>
      <c r="AB103" s="667"/>
      <c r="AC103" s="667"/>
      <c r="AD103" s="667"/>
      <c r="AE103" s="667"/>
      <c r="AF103" s="667"/>
      <c r="AG103" s="667"/>
      <c r="AH103" s="667"/>
      <c r="AI103" s="667"/>
      <c r="AJ103" s="667"/>
      <c r="AK103" s="667"/>
      <c r="AL103" s="668"/>
    </row>
    <row r="104" spans="1:38" ht="21" customHeight="1">
      <c r="A104" s="666" t="s">
        <v>55</v>
      </c>
      <c r="B104" s="667"/>
      <c r="C104" s="667"/>
      <c r="D104" s="667"/>
      <c r="E104" s="667"/>
      <c r="F104" s="667"/>
      <c r="G104" s="667"/>
      <c r="H104" s="667"/>
      <c r="I104" s="667"/>
      <c r="J104" s="667"/>
      <c r="K104" s="667"/>
      <c r="L104" s="667"/>
      <c r="M104" s="667"/>
      <c r="N104" s="667"/>
      <c r="O104" s="667"/>
      <c r="P104" s="667"/>
      <c r="Q104" s="667"/>
      <c r="R104" s="667"/>
      <c r="S104" s="667"/>
      <c r="T104" s="667"/>
      <c r="U104" s="667"/>
      <c r="V104" s="667"/>
      <c r="W104" s="667"/>
      <c r="X104" s="667"/>
      <c r="Y104" s="667"/>
      <c r="Z104" s="667"/>
      <c r="AA104" s="667"/>
      <c r="AB104" s="667"/>
      <c r="AC104" s="667"/>
      <c r="AD104" s="667"/>
      <c r="AE104" s="667"/>
      <c r="AF104" s="667"/>
      <c r="AG104" s="667"/>
      <c r="AH104" s="667"/>
      <c r="AI104" s="667"/>
      <c r="AJ104" s="667"/>
      <c r="AK104" s="667"/>
      <c r="AL104" s="668"/>
    </row>
    <row r="105" spans="1:38" ht="21" customHeight="1">
      <c r="A105" s="669" t="s">
        <v>202</v>
      </c>
      <c r="B105" s="669" t="s">
        <v>355</v>
      </c>
      <c r="C105" s="672" t="s">
        <v>422</v>
      </c>
      <c r="D105" s="673"/>
      <c r="E105" s="673"/>
      <c r="F105" s="673"/>
      <c r="G105" s="673"/>
      <c r="H105" s="673"/>
      <c r="I105" s="673"/>
      <c r="J105" s="673"/>
      <c r="K105" s="673"/>
      <c r="L105" s="673"/>
      <c r="M105" s="673"/>
      <c r="N105" s="673"/>
      <c r="O105" s="673"/>
      <c r="P105" s="673"/>
      <c r="Q105" s="673"/>
      <c r="R105" s="673"/>
      <c r="S105" s="673"/>
      <c r="T105" s="674"/>
      <c r="U105" s="672" t="s">
        <v>381</v>
      </c>
      <c r="V105" s="673"/>
      <c r="W105" s="673"/>
      <c r="X105" s="673"/>
      <c r="Y105" s="673"/>
      <c r="Z105" s="673"/>
      <c r="AA105" s="673"/>
      <c r="AB105" s="673"/>
      <c r="AC105" s="673"/>
      <c r="AD105" s="673"/>
      <c r="AE105" s="673"/>
      <c r="AF105" s="673"/>
      <c r="AG105" s="673"/>
      <c r="AH105" s="673"/>
      <c r="AI105" s="673"/>
      <c r="AJ105" s="673"/>
      <c r="AK105" s="673"/>
      <c r="AL105" s="674"/>
    </row>
    <row r="106" spans="1:38" ht="21" customHeight="1">
      <c r="A106" s="670"/>
      <c r="B106" s="670"/>
      <c r="C106" s="672" t="s">
        <v>203</v>
      </c>
      <c r="D106" s="673"/>
      <c r="E106" s="673"/>
      <c r="F106" s="673"/>
      <c r="G106" s="673"/>
      <c r="H106" s="674"/>
      <c r="I106" s="672" t="s">
        <v>204</v>
      </c>
      <c r="J106" s="673"/>
      <c r="K106" s="673"/>
      <c r="L106" s="673"/>
      <c r="M106" s="673"/>
      <c r="N106" s="674"/>
      <c r="O106" s="672" t="s">
        <v>205</v>
      </c>
      <c r="P106" s="673"/>
      <c r="Q106" s="673"/>
      <c r="R106" s="673"/>
      <c r="S106" s="673"/>
      <c r="T106" s="674"/>
      <c r="U106" s="672" t="s">
        <v>203</v>
      </c>
      <c r="V106" s="673"/>
      <c r="W106" s="673"/>
      <c r="X106" s="673"/>
      <c r="Y106" s="673"/>
      <c r="Z106" s="674"/>
      <c r="AA106" s="672" t="s">
        <v>204</v>
      </c>
      <c r="AB106" s="673"/>
      <c r="AC106" s="673"/>
      <c r="AD106" s="673"/>
      <c r="AE106" s="673"/>
      <c r="AF106" s="674"/>
      <c r="AG106" s="672" t="s">
        <v>205</v>
      </c>
      <c r="AH106" s="673"/>
      <c r="AI106" s="673"/>
      <c r="AJ106" s="673"/>
      <c r="AK106" s="673"/>
      <c r="AL106" s="674"/>
    </row>
    <row r="107" spans="1:38" ht="21" customHeight="1">
      <c r="A107" s="670"/>
      <c r="B107" s="670"/>
      <c r="C107" s="672" t="s">
        <v>206</v>
      </c>
      <c r="D107" s="674"/>
      <c r="E107" s="672" t="s">
        <v>207</v>
      </c>
      <c r="F107" s="674"/>
      <c r="G107" s="672" t="s">
        <v>8</v>
      </c>
      <c r="H107" s="674"/>
      <c r="I107" s="672" t="s">
        <v>206</v>
      </c>
      <c r="J107" s="674"/>
      <c r="K107" s="672" t="s">
        <v>207</v>
      </c>
      <c r="L107" s="674"/>
      <c r="M107" s="672" t="s">
        <v>8</v>
      </c>
      <c r="N107" s="674"/>
      <c r="O107" s="672" t="s">
        <v>206</v>
      </c>
      <c r="P107" s="674"/>
      <c r="Q107" s="672" t="s">
        <v>207</v>
      </c>
      <c r="R107" s="674"/>
      <c r="S107" s="672" t="s">
        <v>8</v>
      </c>
      <c r="T107" s="674"/>
      <c r="U107" s="672" t="s">
        <v>206</v>
      </c>
      <c r="V107" s="674"/>
      <c r="W107" s="672" t="s">
        <v>207</v>
      </c>
      <c r="X107" s="674"/>
      <c r="Y107" s="672" t="s">
        <v>8</v>
      </c>
      <c r="Z107" s="674"/>
      <c r="AA107" s="672" t="s">
        <v>206</v>
      </c>
      <c r="AB107" s="674"/>
      <c r="AC107" s="672" t="s">
        <v>207</v>
      </c>
      <c r="AD107" s="674"/>
      <c r="AE107" s="672" t="s">
        <v>8</v>
      </c>
      <c r="AF107" s="674"/>
      <c r="AG107" s="672" t="s">
        <v>206</v>
      </c>
      <c r="AH107" s="674"/>
      <c r="AI107" s="672" t="s">
        <v>207</v>
      </c>
      <c r="AJ107" s="674"/>
      <c r="AK107" s="672" t="s">
        <v>8</v>
      </c>
      <c r="AL107" s="674"/>
    </row>
    <row r="108" spans="1:38" ht="21" customHeight="1">
      <c r="A108" s="671"/>
      <c r="B108" s="671"/>
      <c r="C108" s="252" t="s">
        <v>101</v>
      </c>
      <c r="D108" s="252" t="s">
        <v>356</v>
      </c>
      <c r="E108" s="252" t="s">
        <v>101</v>
      </c>
      <c r="F108" s="252" t="s">
        <v>356</v>
      </c>
      <c r="G108" s="252" t="s">
        <v>101</v>
      </c>
      <c r="H108" s="252" t="s">
        <v>356</v>
      </c>
      <c r="I108" s="252" t="s">
        <v>101</v>
      </c>
      <c r="J108" s="252" t="s">
        <v>356</v>
      </c>
      <c r="K108" s="252" t="s">
        <v>101</v>
      </c>
      <c r="L108" s="252" t="s">
        <v>356</v>
      </c>
      <c r="M108" s="252" t="s">
        <v>101</v>
      </c>
      <c r="N108" s="252" t="s">
        <v>356</v>
      </c>
      <c r="O108" s="252" t="s">
        <v>101</v>
      </c>
      <c r="P108" s="252" t="s">
        <v>356</v>
      </c>
      <c r="Q108" s="252" t="s">
        <v>101</v>
      </c>
      <c r="R108" s="252" t="s">
        <v>356</v>
      </c>
      <c r="S108" s="252" t="s">
        <v>101</v>
      </c>
      <c r="T108" s="257" t="s">
        <v>356</v>
      </c>
      <c r="U108" s="259" t="s">
        <v>101</v>
      </c>
      <c r="V108" s="252" t="s">
        <v>356</v>
      </c>
      <c r="W108" s="252" t="s">
        <v>101</v>
      </c>
      <c r="X108" s="252" t="s">
        <v>356</v>
      </c>
      <c r="Y108" s="252" t="s">
        <v>101</v>
      </c>
      <c r="Z108" s="252" t="s">
        <v>356</v>
      </c>
      <c r="AA108" s="252" t="s">
        <v>101</v>
      </c>
      <c r="AB108" s="252" t="s">
        <v>356</v>
      </c>
      <c r="AC108" s="252" t="s">
        <v>101</v>
      </c>
      <c r="AD108" s="252" t="s">
        <v>356</v>
      </c>
      <c r="AE108" s="252" t="s">
        <v>101</v>
      </c>
      <c r="AF108" s="252" t="s">
        <v>356</v>
      </c>
      <c r="AG108" s="252" t="s">
        <v>101</v>
      </c>
      <c r="AH108" s="252" t="s">
        <v>356</v>
      </c>
      <c r="AI108" s="252" t="s">
        <v>101</v>
      </c>
      <c r="AJ108" s="252" t="s">
        <v>356</v>
      </c>
      <c r="AK108" s="252" t="s">
        <v>101</v>
      </c>
      <c r="AL108" s="252" t="s">
        <v>356</v>
      </c>
    </row>
    <row r="109" spans="1:38" ht="21" customHeight="1">
      <c r="A109" s="251">
        <v>1</v>
      </c>
      <c r="B109" s="250" t="s">
        <v>248</v>
      </c>
      <c r="C109" s="255"/>
      <c r="D109" s="255"/>
      <c r="E109" s="255"/>
      <c r="F109" s="255"/>
      <c r="G109" s="252">
        <v>0</v>
      </c>
      <c r="H109" s="252">
        <v>0</v>
      </c>
      <c r="I109" s="255"/>
      <c r="J109" s="255"/>
      <c r="K109" s="255"/>
      <c r="L109" s="255"/>
      <c r="M109" s="252">
        <v>0</v>
      </c>
      <c r="N109" s="252">
        <v>0</v>
      </c>
      <c r="O109" s="255"/>
      <c r="P109" s="255"/>
      <c r="Q109" s="255"/>
      <c r="R109" s="255"/>
      <c r="S109" s="252">
        <v>0</v>
      </c>
      <c r="T109" s="257">
        <v>0</v>
      </c>
      <c r="U109" s="260"/>
      <c r="V109" s="255"/>
      <c r="W109" s="255"/>
      <c r="X109" s="255"/>
      <c r="Y109" s="252">
        <v>0</v>
      </c>
      <c r="Z109" s="252">
        <v>0</v>
      </c>
      <c r="AA109" s="255"/>
      <c r="AB109" s="255"/>
      <c r="AC109" s="255"/>
      <c r="AD109" s="255"/>
      <c r="AE109" s="252">
        <v>0</v>
      </c>
      <c r="AF109" s="252">
        <v>0</v>
      </c>
      <c r="AG109" s="255"/>
      <c r="AH109" s="255"/>
      <c r="AI109" s="255"/>
      <c r="AJ109" s="255"/>
      <c r="AK109" s="252">
        <v>0</v>
      </c>
      <c r="AL109" s="252">
        <v>0</v>
      </c>
    </row>
    <row r="110" spans="1:38" ht="21" customHeight="1">
      <c r="A110" s="251">
        <v>2</v>
      </c>
      <c r="B110" s="250" t="s">
        <v>296</v>
      </c>
      <c r="C110" s="255"/>
      <c r="D110" s="255"/>
      <c r="E110" s="255"/>
      <c r="F110" s="255"/>
      <c r="G110" s="252">
        <v>0</v>
      </c>
      <c r="H110" s="252">
        <v>0</v>
      </c>
      <c r="I110" s="252">
        <v>48</v>
      </c>
      <c r="J110" s="252">
        <v>25.47</v>
      </c>
      <c r="K110" s="255"/>
      <c r="L110" s="255"/>
      <c r="M110" s="252">
        <v>48</v>
      </c>
      <c r="N110" s="252">
        <v>25.47</v>
      </c>
      <c r="O110" s="252">
        <v>3</v>
      </c>
      <c r="P110" s="252">
        <v>1.67</v>
      </c>
      <c r="Q110" s="255"/>
      <c r="R110" s="255"/>
      <c r="S110" s="252">
        <v>3</v>
      </c>
      <c r="T110" s="257">
        <v>1.67</v>
      </c>
      <c r="U110" s="260"/>
      <c r="V110" s="255"/>
      <c r="W110" s="255"/>
      <c r="X110" s="255"/>
      <c r="Y110" s="252">
        <v>0</v>
      </c>
      <c r="Z110" s="252">
        <v>0</v>
      </c>
      <c r="AA110" s="252">
        <v>48</v>
      </c>
      <c r="AB110" s="252">
        <v>33.5</v>
      </c>
      <c r="AC110" s="255"/>
      <c r="AD110" s="255"/>
      <c r="AE110" s="252">
        <v>48</v>
      </c>
      <c r="AF110" s="252">
        <v>33.5</v>
      </c>
      <c r="AG110" s="252">
        <v>4</v>
      </c>
      <c r="AH110" s="252">
        <v>2.83</v>
      </c>
      <c r="AI110" s="255"/>
      <c r="AJ110" s="255"/>
      <c r="AK110" s="252">
        <v>4</v>
      </c>
      <c r="AL110" s="252">
        <v>2.83</v>
      </c>
    </row>
    <row r="111" spans="1:38" ht="21" customHeight="1">
      <c r="A111" s="251">
        <v>3</v>
      </c>
      <c r="B111" s="250" t="s">
        <v>249</v>
      </c>
      <c r="C111" s="255"/>
      <c r="D111" s="255"/>
      <c r="E111" s="255"/>
      <c r="F111" s="255"/>
      <c r="G111" s="252">
        <v>0</v>
      </c>
      <c r="H111" s="252">
        <v>0</v>
      </c>
      <c r="I111" s="252">
        <v>67</v>
      </c>
      <c r="J111" s="252">
        <v>33.86</v>
      </c>
      <c r="K111" s="255"/>
      <c r="L111" s="255"/>
      <c r="M111" s="252">
        <v>67</v>
      </c>
      <c r="N111" s="252">
        <v>33.86</v>
      </c>
      <c r="O111" s="255"/>
      <c r="P111" s="255"/>
      <c r="Q111" s="255"/>
      <c r="R111" s="255"/>
      <c r="S111" s="252">
        <v>0</v>
      </c>
      <c r="T111" s="257">
        <v>0</v>
      </c>
      <c r="U111" s="260"/>
      <c r="V111" s="255"/>
      <c r="W111" s="255"/>
      <c r="X111" s="255"/>
      <c r="Y111" s="252">
        <v>0</v>
      </c>
      <c r="Z111" s="252">
        <v>0</v>
      </c>
      <c r="AA111" s="252">
        <v>83</v>
      </c>
      <c r="AB111" s="252">
        <v>59.61</v>
      </c>
      <c r="AC111" s="255"/>
      <c r="AD111" s="255"/>
      <c r="AE111" s="252">
        <v>83</v>
      </c>
      <c r="AF111" s="252">
        <v>59.61</v>
      </c>
      <c r="AG111" s="255"/>
      <c r="AH111" s="255"/>
      <c r="AI111" s="255"/>
      <c r="AJ111" s="255"/>
      <c r="AK111" s="252">
        <v>0</v>
      </c>
      <c r="AL111" s="252">
        <v>0</v>
      </c>
    </row>
    <row r="112" spans="1:38" ht="21" customHeight="1">
      <c r="A112" s="251">
        <v>4</v>
      </c>
      <c r="B112" s="250" t="s">
        <v>423</v>
      </c>
      <c r="C112" s="255"/>
      <c r="D112" s="255"/>
      <c r="E112" s="255"/>
      <c r="F112" s="255"/>
      <c r="G112" s="252">
        <v>0</v>
      </c>
      <c r="H112" s="252">
        <v>0</v>
      </c>
      <c r="I112" s="252">
        <v>14</v>
      </c>
      <c r="J112" s="252">
        <v>5</v>
      </c>
      <c r="K112" s="255"/>
      <c r="L112" s="255"/>
      <c r="M112" s="252">
        <v>14</v>
      </c>
      <c r="N112" s="252">
        <v>5</v>
      </c>
      <c r="O112" s="255"/>
      <c r="P112" s="255"/>
      <c r="Q112" s="255"/>
      <c r="R112" s="255"/>
      <c r="S112" s="252">
        <v>0</v>
      </c>
      <c r="T112" s="257">
        <v>0</v>
      </c>
      <c r="U112" s="260"/>
      <c r="V112" s="255"/>
      <c r="W112" s="255"/>
      <c r="X112" s="255"/>
      <c r="Y112" s="252">
        <v>0</v>
      </c>
      <c r="Z112" s="252">
        <v>0</v>
      </c>
      <c r="AA112" s="252">
        <v>27</v>
      </c>
      <c r="AB112" s="252">
        <v>13.39</v>
      </c>
      <c r="AC112" s="255"/>
      <c r="AD112" s="255"/>
      <c r="AE112" s="252">
        <v>27</v>
      </c>
      <c r="AF112" s="252">
        <v>13.39</v>
      </c>
      <c r="AG112" s="255"/>
      <c r="AH112" s="255"/>
      <c r="AI112" s="255"/>
      <c r="AJ112" s="255"/>
      <c r="AK112" s="252">
        <v>0</v>
      </c>
      <c r="AL112" s="252">
        <v>0</v>
      </c>
    </row>
    <row r="113" spans="1:39" ht="21" customHeight="1">
      <c r="A113" s="251">
        <v>5</v>
      </c>
      <c r="B113" s="250" t="s">
        <v>424</v>
      </c>
      <c r="C113" s="255"/>
      <c r="D113" s="255"/>
      <c r="E113" s="255"/>
      <c r="F113" s="255"/>
      <c r="G113" s="252">
        <v>0</v>
      </c>
      <c r="H113" s="252">
        <v>0</v>
      </c>
      <c r="I113" s="252">
        <v>21</v>
      </c>
      <c r="J113" s="252">
        <v>9.36</v>
      </c>
      <c r="K113" s="255"/>
      <c r="L113" s="255"/>
      <c r="M113" s="252">
        <v>21</v>
      </c>
      <c r="N113" s="252">
        <v>9.36</v>
      </c>
      <c r="O113" s="255"/>
      <c r="P113" s="255"/>
      <c r="Q113" s="255"/>
      <c r="R113" s="255"/>
      <c r="S113" s="252">
        <v>0</v>
      </c>
      <c r="T113" s="257">
        <v>0</v>
      </c>
      <c r="U113" s="260"/>
      <c r="V113" s="255"/>
      <c r="W113" s="255"/>
      <c r="X113" s="255"/>
      <c r="Y113" s="252">
        <v>0</v>
      </c>
      <c r="Z113" s="252">
        <v>0</v>
      </c>
      <c r="AA113" s="252">
        <v>50</v>
      </c>
      <c r="AB113" s="252">
        <v>22.08</v>
      </c>
      <c r="AC113" s="255"/>
      <c r="AD113" s="255"/>
      <c r="AE113" s="252">
        <v>50</v>
      </c>
      <c r="AF113" s="252">
        <v>22.08</v>
      </c>
      <c r="AG113" s="255"/>
      <c r="AH113" s="255"/>
      <c r="AI113" s="255"/>
      <c r="AJ113" s="255"/>
      <c r="AK113" s="252">
        <v>0</v>
      </c>
      <c r="AL113" s="252">
        <v>0</v>
      </c>
    </row>
    <row r="114" spans="1:39" ht="21" customHeight="1">
      <c r="A114" s="251">
        <v>6</v>
      </c>
      <c r="B114" s="250" t="s">
        <v>425</v>
      </c>
      <c r="C114" s="255"/>
      <c r="D114" s="255"/>
      <c r="E114" s="255"/>
      <c r="F114" s="255"/>
      <c r="G114" s="252">
        <v>0</v>
      </c>
      <c r="H114" s="252">
        <v>0</v>
      </c>
      <c r="I114" s="252">
        <v>24</v>
      </c>
      <c r="J114" s="252">
        <v>13.33</v>
      </c>
      <c r="K114" s="255"/>
      <c r="L114" s="255"/>
      <c r="M114" s="252">
        <v>24</v>
      </c>
      <c r="N114" s="252">
        <v>13.33</v>
      </c>
      <c r="O114" s="255"/>
      <c r="P114" s="255"/>
      <c r="Q114" s="255"/>
      <c r="R114" s="255"/>
      <c r="S114" s="252">
        <v>0</v>
      </c>
      <c r="T114" s="257">
        <v>0</v>
      </c>
      <c r="U114" s="260"/>
      <c r="V114" s="255"/>
      <c r="W114" s="255"/>
      <c r="X114" s="255"/>
      <c r="Y114" s="252">
        <v>0</v>
      </c>
      <c r="Z114" s="252">
        <v>0</v>
      </c>
      <c r="AA114" s="252">
        <v>24</v>
      </c>
      <c r="AB114" s="252">
        <v>13.33</v>
      </c>
      <c r="AC114" s="255"/>
      <c r="AD114" s="255"/>
      <c r="AE114" s="252">
        <v>24</v>
      </c>
      <c r="AF114" s="252">
        <v>13.33</v>
      </c>
      <c r="AG114" s="255"/>
      <c r="AH114" s="255"/>
      <c r="AI114" s="255"/>
      <c r="AJ114" s="255"/>
      <c r="AK114" s="252">
        <v>0</v>
      </c>
      <c r="AL114" s="252">
        <v>0</v>
      </c>
    </row>
    <row r="115" spans="1:39" ht="21" customHeight="1">
      <c r="A115" s="251">
        <v>7</v>
      </c>
      <c r="B115" s="250" t="s">
        <v>426</v>
      </c>
      <c r="C115" s="255"/>
      <c r="D115" s="255"/>
      <c r="E115" s="255"/>
      <c r="F115" s="255"/>
      <c r="G115" s="252">
        <v>0</v>
      </c>
      <c r="H115" s="252">
        <v>0</v>
      </c>
      <c r="I115" s="255"/>
      <c r="J115" s="255"/>
      <c r="K115" s="255"/>
      <c r="L115" s="255"/>
      <c r="M115" s="252">
        <v>0</v>
      </c>
      <c r="N115" s="252">
        <v>0</v>
      </c>
      <c r="O115" s="255"/>
      <c r="P115" s="255"/>
      <c r="Q115" s="255"/>
      <c r="R115" s="255"/>
      <c r="S115" s="252">
        <v>0</v>
      </c>
      <c r="T115" s="257">
        <v>0</v>
      </c>
      <c r="U115" s="260"/>
      <c r="V115" s="255"/>
      <c r="W115" s="255"/>
      <c r="X115" s="255"/>
      <c r="Y115" s="252">
        <v>0</v>
      </c>
      <c r="Z115" s="252">
        <v>0</v>
      </c>
      <c r="AA115" s="252">
        <v>8</v>
      </c>
      <c r="AB115" s="252">
        <v>2.56</v>
      </c>
      <c r="AC115" s="255"/>
      <c r="AD115" s="255"/>
      <c r="AE115" s="252">
        <v>8</v>
      </c>
      <c r="AF115" s="252">
        <v>2.56</v>
      </c>
      <c r="AG115" s="255"/>
      <c r="AH115" s="255"/>
      <c r="AI115" s="255"/>
      <c r="AJ115" s="255"/>
      <c r="AK115" s="252">
        <v>0</v>
      </c>
      <c r="AL115" s="252">
        <v>0</v>
      </c>
    </row>
    <row r="116" spans="1:39" ht="21" customHeight="1">
      <c r="A116" s="251">
        <v>8</v>
      </c>
      <c r="B116" s="250" t="s">
        <v>427</v>
      </c>
      <c r="C116" s="255"/>
      <c r="D116" s="255"/>
      <c r="E116" s="255"/>
      <c r="F116" s="255"/>
      <c r="G116" s="252">
        <v>0</v>
      </c>
      <c r="H116" s="252">
        <v>0</v>
      </c>
      <c r="I116" s="252">
        <v>26</v>
      </c>
      <c r="J116" s="252">
        <v>12.86</v>
      </c>
      <c r="K116" s="255"/>
      <c r="L116" s="255"/>
      <c r="M116" s="252">
        <v>26</v>
      </c>
      <c r="N116" s="252">
        <v>12.86</v>
      </c>
      <c r="O116" s="255"/>
      <c r="P116" s="255"/>
      <c r="Q116" s="255"/>
      <c r="R116" s="255"/>
      <c r="S116" s="252">
        <v>0</v>
      </c>
      <c r="T116" s="257">
        <v>0</v>
      </c>
      <c r="U116" s="260"/>
      <c r="V116" s="255"/>
      <c r="W116" s="255"/>
      <c r="X116" s="255"/>
      <c r="Y116" s="252">
        <v>0</v>
      </c>
      <c r="Z116" s="252">
        <v>0</v>
      </c>
      <c r="AA116" s="252">
        <v>34</v>
      </c>
      <c r="AB116" s="252">
        <v>28.53</v>
      </c>
      <c r="AC116" s="255"/>
      <c r="AD116" s="255"/>
      <c r="AE116" s="252">
        <v>34</v>
      </c>
      <c r="AF116" s="252">
        <v>28.53</v>
      </c>
      <c r="AG116" s="255"/>
      <c r="AH116" s="255"/>
      <c r="AI116" s="255"/>
      <c r="AJ116" s="255"/>
      <c r="AK116" s="252">
        <v>0</v>
      </c>
      <c r="AL116" s="252">
        <v>0</v>
      </c>
    </row>
    <row r="117" spans="1:39" ht="21" customHeight="1">
      <c r="A117" s="251">
        <v>9</v>
      </c>
      <c r="B117" s="250" t="s">
        <v>428</v>
      </c>
      <c r="C117" s="255"/>
      <c r="D117" s="255"/>
      <c r="E117" s="255"/>
      <c r="F117" s="255"/>
      <c r="G117" s="252">
        <v>0</v>
      </c>
      <c r="H117" s="252">
        <v>0</v>
      </c>
      <c r="I117" s="252">
        <v>20</v>
      </c>
      <c r="J117" s="252">
        <v>10.72</v>
      </c>
      <c r="K117" s="255"/>
      <c r="L117" s="255"/>
      <c r="M117" s="252">
        <v>20</v>
      </c>
      <c r="N117" s="252">
        <v>10.72</v>
      </c>
      <c r="O117" s="255"/>
      <c r="P117" s="255"/>
      <c r="Q117" s="255"/>
      <c r="R117" s="255"/>
      <c r="S117" s="252">
        <v>0</v>
      </c>
      <c r="T117" s="257">
        <v>0</v>
      </c>
      <c r="U117" s="260"/>
      <c r="V117" s="255"/>
      <c r="W117" s="255"/>
      <c r="X117" s="255"/>
      <c r="Y117" s="252">
        <v>0</v>
      </c>
      <c r="Z117" s="252">
        <v>0</v>
      </c>
      <c r="AA117" s="252">
        <v>35</v>
      </c>
      <c r="AB117" s="252">
        <v>22.75</v>
      </c>
      <c r="AC117" s="255"/>
      <c r="AD117" s="255"/>
      <c r="AE117" s="252">
        <v>35</v>
      </c>
      <c r="AF117" s="252">
        <v>22.75</v>
      </c>
      <c r="AG117" s="255"/>
      <c r="AH117" s="255"/>
      <c r="AI117" s="255"/>
      <c r="AJ117" s="255"/>
      <c r="AK117" s="252">
        <v>0</v>
      </c>
      <c r="AL117" s="252">
        <v>0</v>
      </c>
    </row>
    <row r="118" spans="1:39" ht="21" customHeight="1">
      <c r="A118" s="251">
        <v>10</v>
      </c>
      <c r="B118" s="250" t="s">
        <v>363</v>
      </c>
      <c r="C118" s="255"/>
      <c r="D118" s="255"/>
      <c r="E118" s="255"/>
      <c r="F118" s="255"/>
      <c r="G118" s="252">
        <v>0</v>
      </c>
      <c r="H118" s="252">
        <v>0</v>
      </c>
      <c r="I118" s="252">
        <v>9</v>
      </c>
      <c r="J118" s="252">
        <v>5.0599999999999996</v>
      </c>
      <c r="K118" s="255"/>
      <c r="L118" s="255"/>
      <c r="M118" s="252">
        <v>9</v>
      </c>
      <c r="N118" s="252">
        <v>5.0599999999999996</v>
      </c>
      <c r="O118" s="255"/>
      <c r="P118" s="255"/>
      <c r="Q118" s="255"/>
      <c r="R118" s="255"/>
      <c r="S118" s="252">
        <v>0</v>
      </c>
      <c r="T118" s="257">
        <v>0</v>
      </c>
      <c r="U118" s="260"/>
      <c r="V118" s="255"/>
      <c r="W118" s="255"/>
      <c r="X118" s="255"/>
      <c r="Y118" s="252">
        <v>0</v>
      </c>
      <c r="Z118" s="252">
        <v>0</v>
      </c>
      <c r="AA118" s="252">
        <v>9</v>
      </c>
      <c r="AB118" s="252">
        <v>8.56</v>
      </c>
      <c r="AC118" s="255"/>
      <c r="AD118" s="255"/>
      <c r="AE118" s="252">
        <v>9</v>
      </c>
      <c r="AF118" s="252">
        <v>8.56</v>
      </c>
      <c r="AG118" s="255"/>
      <c r="AH118" s="255"/>
      <c r="AI118" s="255"/>
      <c r="AJ118" s="255"/>
      <c r="AK118" s="252">
        <v>0</v>
      </c>
      <c r="AL118" s="252">
        <v>0</v>
      </c>
    </row>
    <row r="119" spans="1:39" ht="21" customHeight="1">
      <c r="A119" s="251">
        <v>11</v>
      </c>
      <c r="B119" s="250" t="s">
        <v>213</v>
      </c>
      <c r="C119" s="255"/>
      <c r="D119" s="255"/>
      <c r="E119" s="255"/>
      <c r="F119" s="255"/>
      <c r="G119" s="252">
        <v>0</v>
      </c>
      <c r="H119" s="252">
        <v>0</v>
      </c>
      <c r="I119" s="255"/>
      <c r="J119" s="255"/>
      <c r="K119" s="255"/>
      <c r="L119" s="255"/>
      <c r="M119" s="252">
        <v>0</v>
      </c>
      <c r="N119" s="252">
        <v>0</v>
      </c>
      <c r="O119" s="255"/>
      <c r="P119" s="255"/>
      <c r="Q119" s="255"/>
      <c r="R119" s="255"/>
      <c r="S119" s="252">
        <v>0</v>
      </c>
      <c r="T119" s="257">
        <v>0</v>
      </c>
      <c r="U119" s="260"/>
      <c r="V119" s="255"/>
      <c r="W119" s="255"/>
      <c r="X119" s="255"/>
      <c r="Y119" s="252">
        <v>0</v>
      </c>
      <c r="Z119" s="252">
        <v>0</v>
      </c>
      <c r="AA119" s="255"/>
      <c r="AB119" s="255"/>
      <c r="AC119" s="255"/>
      <c r="AD119" s="255"/>
      <c r="AE119" s="252">
        <v>0</v>
      </c>
      <c r="AF119" s="252">
        <v>0</v>
      </c>
      <c r="AG119" s="255"/>
      <c r="AH119" s="255"/>
      <c r="AI119" s="255"/>
      <c r="AJ119" s="255"/>
      <c r="AK119" s="252">
        <v>0</v>
      </c>
      <c r="AL119" s="252">
        <v>0</v>
      </c>
      <c r="AM119" s="256"/>
    </row>
    <row r="120" spans="1:39" ht="21" customHeight="1">
      <c r="A120" s="251">
        <v>12</v>
      </c>
      <c r="B120" s="250" t="s">
        <v>250</v>
      </c>
      <c r="C120" s="255"/>
      <c r="D120" s="255"/>
      <c r="E120" s="255"/>
      <c r="F120" s="255"/>
      <c r="G120" s="252">
        <v>0</v>
      </c>
      <c r="H120" s="252">
        <v>0</v>
      </c>
      <c r="I120" s="252">
        <v>54</v>
      </c>
      <c r="J120" s="252">
        <v>27.53</v>
      </c>
      <c r="K120" s="255"/>
      <c r="L120" s="255"/>
      <c r="M120" s="252">
        <v>54</v>
      </c>
      <c r="N120" s="252">
        <v>27.53</v>
      </c>
      <c r="O120" s="255"/>
      <c r="P120" s="255"/>
      <c r="Q120" s="255"/>
      <c r="R120" s="255"/>
      <c r="S120" s="252">
        <v>0</v>
      </c>
      <c r="T120" s="257">
        <v>0</v>
      </c>
      <c r="U120" s="260"/>
      <c r="V120" s="255"/>
      <c r="W120" s="255"/>
      <c r="X120" s="255"/>
      <c r="Y120" s="252">
        <v>0</v>
      </c>
      <c r="Z120" s="252">
        <v>0</v>
      </c>
      <c r="AA120" s="252">
        <v>64</v>
      </c>
      <c r="AB120" s="252">
        <v>45.33</v>
      </c>
      <c r="AC120" s="255"/>
      <c r="AD120" s="255"/>
      <c r="AE120" s="252">
        <v>64</v>
      </c>
      <c r="AF120" s="252">
        <v>45.33</v>
      </c>
      <c r="AG120" s="255"/>
      <c r="AH120" s="255"/>
      <c r="AI120" s="255"/>
      <c r="AJ120" s="255"/>
      <c r="AK120" s="252">
        <v>0</v>
      </c>
      <c r="AL120" s="252">
        <v>0</v>
      </c>
      <c r="AM120" s="256"/>
    </row>
    <row r="121" spans="1:39" ht="21" customHeight="1">
      <c r="A121" s="251">
        <v>13</v>
      </c>
      <c r="B121" s="250" t="s">
        <v>251</v>
      </c>
      <c r="C121" s="255"/>
      <c r="D121" s="255"/>
      <c r="E121" s="255"/>
      <c r="F121" s="255"/>
      <c r="G121" s="252">
        <v>0</v>
      </c>
      <c r="H121" s="252">
        <v>0</v>
      </c>
      <c r="I121" s="255"/>
      <c r="J121" s="255"/>
      <c r="K121" s="255"/>
      <c r="L121" s="255"/>
      <c r="M121" s="252">
        <v>0</v>
      </c>
      <c r="N121" s="252">
        <v>0</v>
      </c>
      <c r="O121" s="255"/>
      <c r="P121" s="255"/>
      <c r="Q121" s="255"/>
      <c r="R121" s="255"/>
      <c r="S121" s="252">
        <v>0</v>
      </c>
      <c r="T121" s="257">
        <v>0</v>
      </c>
      <c r="U121" s="260"/>
      <c r="V121" s="255"/>
      <c r="W121" s="255"/>
      <c r="X121" s="255"/>
      <c r="Y121" s="252">
        <v>0</v>
      </c>
      <c r="Z121" s="252">
        <v>0</v>
      </c>
      <c r="AA121" s="255"/>
      <c r="AB121" s="255"/>
      <c r="AC121" s="255"/>
      <c r="AD121" s="255"/>
      <c r="AE121" s="252">
        <v>0</v>
      </c>
      <c r="AF121" s="252">
        <v>0</v>
      </c>
      <c r="AG121" s="255"/>
      <c r="AH121" s="255"/>
      <c r="AI121" s="255"/>
      <c r="AJ121" s="255"/>
      <c r="AK121" s="252">
        <v>0</v>
      </c>
      <c r="AL121" s="252">
        <v>0</v>
      </c>
      <c r="AM121" s="256"/>
    </row>
    <row r="122" spans="1:39" ht="21" customHeight="1">
      <c r="A122" s="251">
        <v>14</v>
      </c>
      <c r="B122" s="250" t="s">
        <v>252</v>
      </c>
      <c r="C122" s="255"/>
      <c r="D122" s="255"/>
      <c r="E122" s="255"/>
      <c r="F122" s="255"/>
      <c r="G122" s="252">
        <v>0</v>
      </c>
      <c r="H122" s="252">
        <v>0</v>
      </c>
      <c r="I122" s="255"/>
      <c r="J122" s="255"/>
      <c r="K122" s="255"/>
      <c r="L122" s="255"/>
      <c r="M122" s="252">
        <v>0</v>
      </c>
      <c r="N122" s="252">
        <v>0</v>
      </c>
      <c r="O122" s="252">
        <v>2</v>
      </c>
      <c r="P122" s="252">
        <v>0.44</v>
      </c>
      <c r="Q122" s="255"/>
      <c r="R122" s="255"/>
      <c r="S122" s="252">
        <v>2</v>
      </c>
      <c r="T122" s="257">
        <v>0.44</v>
      </c>
      <c r="U122" s="260"/>
      <c r="V122" s="255"/>
      <c r="W122" s="255"/>
      <c r="X122" s="255"/>
      <c r="Y122" s="252">
        <v>0</v>
      </c>
      <c r="Z122" s="252">
        <v>0</v>
      </c>
      <c r="AA122" s="255"/>
      <c r="AB122" s="255"/>
      <c r="AC122" s="255"/>
      <c r="AD122" s="255"/>
      <c r="AE122" s="252">
        <v>0</v>
      </c>
      <c r="AF122" s="252">
        <v>0</v>
      </c>
      <c r="AG122" s="252">
        <v>2</v>
      </c>
      <c r="AH122" s="252">
        <v>0.5</v>
      </c>
      <c r="AI122" s="255"/>
      <c r="AJ122" s="255"/>
      <c r="AK122" s="252">
        <v>2</v>
      </c>
      <c r="AL122" s="252">
        <v>0.5</v>
      </c>
      <c r="AM122" s="256"/>
    </row>
    <row r="123" spans="1:39" ht="21" customHeight="1">
      <c r="A123" s="251">
        <v>15</v>
      </c>
      <c r="B123" s="250" t="s">
        <v>216</v>
      </c>
      <c r="C123" s="255"/>
      <c r="D123" s="255"/>
      <c r="E123" s="255"/>
      <c r="F123" s="255"/>
      <c r="G123" s="252">
        <v>0</v>
      </c>
      <c r="H123" s="252">
        <v>0</v>
      </c>
      <c r="I123" s="252">
        <v>1</v>
      </c>
      <c r="J123" s="252">
        <v>0.08</v>
      </c>
      <c r="K123" s="255"/>
      <c r="L123" s="255"/>
      <c r="M123" s="252">
        <v>1</v>
      </c>
      <c r="N123" s="252">
        <v>0.08</v>
      </c>
      <c r="O123" s="255"/>
      <c r="P123" s="255"/>
      <c r="Q123" s="255"/>
      <c r="R123" s="255"/>
      <c r="S123" s="252">
        <v>0</v>
      </c>
      <c r="T123" s="257">
        <v>0</v>
      </c>
      <c r="U123" s="260"/>
      <c r="V123" s="255"/>
      <c r="W123" s="255"/>
      <c r="X123" s="255"/>
      <c r="Y123" s="252">
        <v>0</v>
      </c>
      <c r="Z123" s="252">
        <v>0</v>
      </c>
      <c r="AA123" s="252">
        <v>1</v>
      </c>
      <c r="AB123" s="252">
        <v>0.25</v>
      </c>
      <c r="AC123" s="255"/>
      <c r="AD123" s="255"/>
      <c r="AE123" s="252">
        <v>1</v>
      </c>
      <c r="AF123" s="252">
        <v>0.25</v>
      </c>
      <c r="AG123" s="255"/>
      <c r="AH123" s="255"/>
      <c r="AI123" s="255"/>
      <c r="AJ123" s="255"/>
      <c r="AK123" s="252">
        <v>0</v>
      </c>
      <c r="AL123" s="252">
        <v>0</v>
      </c>
      <c r="AM123" s="256"/>
    </row>
    <row r="124" spans="1:39" ht="21" customHeight="1">
      <c r="A124" s="251">
        <v>16</v>
      </c>
      <c r="B124" s="250" t="s">
        <v>253</v>
      </c>
      <c r="C124" s="255"/>
      <c r="D124" s="255"/>
      <c r="E124" s="255"/>
      <c r="F124" s="255"/>
      <c r="G124" s="252">
        <v>0</v>
      </c>
      <c r="H124" s="252">
        <v>0</v>
      </c>
      <c r="I124" s="252">
        <v>2</v>
      </c>
      <c r="J124" s="252">
        <v>0.17</v>
      </c>
      <c r="K124" s="255"/>
      <c r="L124" s="255"/>
      <c r="M124" s="252">
        <v>2</v>
      </c>
      <c r="N124" s="252">
        <v>0.17</v>
      </c>
      <c r="O124" s="255"/>
      <c r="P124" s="255"/>
      <c r="Q124" s="255"/>
      <c r="R124" s="255"/>
      <c r="S124" s="252">
        <v>0</v>
      </c>
      <c r="T124" s="257">
        <v>0</v>
      </c>
      <c r="U124" s="260"/>
      <c r="V124" s="255"/>
      <c r="W124" s="255"/>
      <c r="X124" s="255"/>
      <c r="Y124" s="252">
        <v>0</v>
      </c>
      <c r="Z124" s="252">
        <v>0</v>
      </c>
      <c r="AA124" s="252">
        <v>2</v>
      </c>
      <c r="AB124" s="252">
        <v>0.5</v>
      </c>
      <c r="AC124" s="255"/>
      <c r="AD124" s="255"/>
      <c r="AE124" s="252">
        <v>2</v>
      </c>
      <c r="AF124" s="252">
        <v>0.5</v>
      </c>
      <c r="AG124" s="255"/>
      <c r="AH124" s="255"/>
      <c r="AI124" s="255"/>
      <c r="AJ124" s="255"/>
      <c r="AK124" s="252">
        <v>0</v>
      </c>
      <c r="AL124" s="252">
        <v>0</v>
      </c>
      <c r="AM124" s="256"/>
    </row>
    <row r="125" spans="1:39" ht="21" customHeight="1">
      <c r="A125" s="251">
        <v>17</v>
      </c>
      <c r="B125" s="250" t="s">
        <v>429</v>
      </c>
      <c r="C125" s="255"/>
      <c r="D125" s="255"/>
      <c r="E125" s="255"/>
      <c r="F125" s="255"/>
      <c r="G125" s="252">
        <v>0</v>
      </c>
      <c r="H125" s="252">
        <v>0</v>
      </c>
      <c r="I125" s="255"/>
      <c r="J125" s="255"/>
      <c r="K125" s="255"/>
      <c r="L125" s="255"/>
      <c r="M125" s="252">
        <v>0</v>
      </c>
      <c r="N125" s="252">
        <v>0</v>
      </c>
      <c r="O125" s="255"/>
      <c r="P125" s="255"/>
      <c r="Q125" s="255"/>
      <c r="R125" s="255"/>
      <c r="S125" s="252">
        <v>0</v>
      </c>
      <c r="T125" s="257">
        <v>0</v>
      </c>
      <c r="U125" s="260"/>
      <c r="V125" s="255"/>
      <c r="W125" s="255"/>
      <c r="X125" s="255"/>
      <c r="Y125" s="252">
        <v>0</v>
      </c>
      <c r="Z125" s="252">
        <v>0</v>
      </c>
      <c r="AA125" s="252">
        <v>1</v>
      </c>
      <c r="AB125" s="252">
        <v>0.17</v>
      </c>
      <c r="AC125" s="255"/>
      <c r="AD125" s="255"/>
      <c r="AE125" s="252">
        <v>1</v>
      </c>
      <c r="AF125" s="252">
        <v>0.17</v>
      </c>
      <c r="AG125" s="255"/>
      <c r="AH125" s="255"/>
      <c r="AI125" s="255"/>
      <c r="AJ125" s="255"/>
      <c r="AK125" s="252">
        <v>0</v>
      </c>
      <c r="AL125" s="252">
        <v>0</v>
      </c>
      <c r="AM125" s="256"/>
    </row>
    <row r="126" spans="1:39" ht="21" customHeight="1">
      <c r="A126" s="251">
        <v>18</v>
      </c>
      <c r="B126" s="250" t="s">
        <v>254</v>
      </c>
      <c r="C126" s="255"/>
      <c r="D126" s="255"/>
      <c r="E126" s="255"/>
      <c r="F126" s="255"/>
      <c r="G126" s="252">
        <v>0</v>
      </c>
      <c r="H126" s="252">
        <v>0</v>
      </c>
      <c r="I126" s="252">
        <v>101</v>
      </c>
      <c r="J126" s="252">
        <v>44.78</v>
      </c>
      <c r="K126" s="255"/>
      <c r="L126" s="255"/>
      <c r="M126" s="252">
        <v>101</v>
      </c>
      <c r="N126" s="252">
        <v>44.78</v>
      </c>
      <c r="O126" s="255"/>
      <c r="P126" s="255"/>
      <c r="Q126" s="255"/>
      <c r="R126" s="255"/>
      <c r="S126" s="252">
        <v>0</v>
      </c>
      <c r="T126" s="257">
        <v>0</v>
      </c>
      <c r="U126" s="260"/>
      <c r="V126" s="255"/>
      <c r="W126" s="255"/>
      <c r="X126" s="255"/>
      <c r="Y126" s="252">
        <v>0</v>
      </c>
      <c r="Z126" s="252">
        <v>0</v>
      </c>
      <c r="AA126" s="252">
        <v>130</v>
      </c>
      <c r="AB126" s="252">
        <v>84.53</v>
      </c>
      <c r="AC126" s="255"/>
      <c r="AD126" s="255"/>
      <c r="AE126" s="252">
        <v>130</v>
      </c>
      <c r="AF126" s="252">
        <v>84.53</v>
      </c>
      <c r="AG126" s="255"/>
      <c r="AH126" s="255"/>
      <c r="AI126" s="255"/>
      <c r="AJ126" s="255"/>
      <c r="AK126" s="252">
        <v>0</v>
      </c>
      <c r="AL126" s="252">
        <v>0</v>
      </c>
    </row>
    <row r="127" spans="1:39" ht="21" customHeight="1">
      <c r="A127" s="675" t="s">
        <v>8</v>
      </c>
      <c r="B127" s="676"/>
      <c r="C127" s="252"/>
      <c r="D127" s="252"/>
      <c r="E127" s="252"/>
      <c r="F127" s="252"/>
      <c r="G127" s="252">
        <f>SUM(G109:G126)</f>
        <v>0</v>
      </c>
      <c r="H127" s="252">
        <f>SUM(H109:H126)</f>
        <v>0</v>
      </c>
      <c r="I127" s="252">
        <f>SUM(I109:I126)</f>
        <v>387</v>
      </c>
      <c r="J127" s="252">
        <f>SUM(J109:J126)</f>
        <v>188.22</v>
      </c>
      <c r="K127" s="252"/>
      <c r="L127" s="252"/>
      <c r="M127" s="252">
        <f>SUM(M109:M126)</f>
        <v>387</v>
      </c>
      <c r="N127" s="252">
        <f>SUM(N109:N126)</f>
        <v>188.22</v>
      </c>
      <c r="O127" s="252">
        <f>SUM(O109:O126)</f>
        <v>5</v>
      </c>
      <c r="P127" s="252">
        <f>SUM(P109:P126)</f>
        <v>2.11</v>
      </c>
      <c r="Q127" s="252"/>
      <c r="R127" s="252"/>
      <c r="S127" s="252">
        <f>SUM(S109:S126)</f>
        <v>5</v>
      </c>
      <c r="T127" s="257">
        <f>SUM(T109:T126)</f>
        <v>2.11</v>
      </c>
      <c r="U127" s="259"/>
      <c r="V127" s="252"/>
      <c r="W127" s="252"/>
      <c r="X127" s="252"/>
      <c r="Y127" s="252">
        <f>SUM(Y109:Y126)</f>
        <v>0</v>
      </c>
      <c r="Z127" s="252">
        <f>SUM(Z109:Z126)</f>
        <v>0</v>
      </c>
      <c r="AA127" s="252">
        <f>SUM(AA109:AA126)</f>
        <v>516</v>
      </c>
      <c r="AB127" s="252">
        <f>SUM(AB109:AB126)</f>
        <v>335.09</v>
      </c>
      <c r="AC127" s="252"/>
      <c r="AD127" s="252"/>
      <c r="AE127" s="252">
        <f>SUM(AE109:AE126)</f>
        <v>516</v>
      </c>
      <c r="AF127" s="252">
        <f>SUM(AF109:AF126)</f>
        <v>335.09</v>
      </c>
      <c r="AG127" s="252">
        <f>SUM(AG109:AG126)</f>
        <v>6</v>
      </c>
      <c r="AH127" s="252">
        <f>SUM(AH109:AH126)</f>
        <v>3.33</v>
      </c>
      <c r="AI127" s="252"/>
      <c r="AJ127" s="252"/>
      <c r="AK127" s="252">
        <f>SUM(AK109:AK126)</f>
        <v>6</v>
      </c>
      <c r="AL127" s="252">
        <f>SUM(AL109:AL126)</f>
        <v>3.33</v>
      </c>
    </row>
    <row r="128" spans="1:39" ht="21" customHeight="1">
      <c r="A128" s="666" t="s">
        <v>421</v>
      </c>
      <c r="B128" s="667"/>
      <c r="C128" s="667"/>
      <c r="D128" s="667"/>
      <c r="E128" s="667"/>
      <c r="F128" s="667"/>
      <c r="G128" s="667"/>
      <c r="H128" s="667"/>
      <c r="I128" s="667"/>
      <c r="J128" s="667"/>
      <c r="K128" s="667"/>
      <c r="L128" s="667"/>
      <c r="M128" s="667"/>
      <c r="N128" s="667"/>
      <c r="O128" s="667"/>
      <c r="P128" s="667"/>
      <c r="Q128" s="667"/>
      <c r="R128" s="667"/>
      <c r="S128" s="667"/>
      <c r="T128" s="667"/>
      <c r="U128" s="667"/>
      <c r="V128" s="667"/>
      <c r="W128" s="667"/>
      <c r="X128" s="667"/>
      <c r="Y128" s="667"/>
      <c r="Z128" s="667"/>
      <c r="AA128" s="667"/>
      <c r="AB128" s="667"/>
      <c r="AC128" s="667"/>
      <c r="AD128" s="667"/>
      <c r="AE128" s="667"/>
      <c r="AF128" s="667"/>
      <c r="AG128" s="667"/>
      <c r="AH128" s="667"/>
      <c r="AI128" s="667"/>
      <c r="AJ128" s="667"/>
      <c r="AK128" s="667"/>
      <c r="AL128" s="668"/>
    </row>
    <row r="129" spans="1:38" ht="21" customHeight="1">
      <c r="A129" s="666" t="s">
        <v>334</v>
      </c>
      <c r="B129" s="667"/>
      <c r="C129" s="667"/>
      <c r="D129" s="667"/>
      <c r="E129" s="667"/>
      <c r="F129" s="667"/>
      <c r="G129" s="667"/>
      <c r="H129" s="667"/>
      <c r="I129" s="667"/>
      <c r="J129" s="667"/>
      <c r="K129" s="667"/>
      <c r="L129" s="667"/>
      <c r="M129" s="667"/>
      <c r="N129" s="667"/>
      <c r="O129" s="667"/>
      <c r="P129" s="667"/>
      <c r="Q129" s="667"/>
      <c r="R129" s="667"/>
      <c r="S129" s="667"/>
      <c r="T129" s="667"/>
      <c r="U129" s="667"/>
      <c r="V129" s="667"/>
      <c r="W129" s="667"/>
      <c r="X129" s="667"/>
      <c r="Y129" s="667"/>
      <c r="Z129" s="667"/>
      <c r="AA129" s="667"/>
      <c r="AB129" s="667"/>
      <c r="AC129" s="667"/>
      <c r="AD129" s="667"/>
      <c r="AE129" s="667"/>
      <c r="AF129" s="667"/>
      <c r="AG129" s="667"/>
      <c r="AH129" s="667"/>
      <c r="AI129" s="667"/>
      <c r="AJ129" s="667"/>
      <c r="AK129" s="667"/>
      <c r="AL129" s="668"/>
    </row>
    <row r="130" spans="1:38" ht="21" customHeight="1">
      <c r="A130" s="669" t="s">
        <v>202</v>
      </c>
      <c r="B130" s="669" t="s">
        <v>355</v>
      </c>
      <c r="C130" s="672" t="s">
        <v>422</v>
      </c>
      <c r="D130" s="673"/>
      <c r="E130" s="673"/>
      <c r="F130" s="673"/>
      <c r="G130" s="673"/>
      <c r="H130" s="673"/>
      <c r="I130" s="673"/>
      <c r="J130" s="673"/>
      <c r="K130" s="673"/>
      <c r="L130" s="673"/>
      <c r="M130" s="673"/>
      <c r="N130" s="673"/>
      <c r="O130" s="673"/>
      <c r="P130" s="673"/>
      <c r="Q130" s="673"/>
      <c r="R130" s="673"/>
      <c r="S130" s="673"/>
      <c r="T130" s="674"/>
      <c r="U130" s="672" t="s">
        <v>381</v>
      </c>
      <c r="V130" s="673"/>
      <c r="W130" s="673"/>
      <c r="X130" s="673"/>
      <c r="Y130" s="673"/>
      <c r="Z130" s="673"/>
      <c r="AA130" s="673"/>
      <c r="AB130" s="673"/>
      <c r="AC130" s="673"/>
      <c r="AD130" s="673"/>
      <c r="AE130" s="673"/>
      <c r="AF130" s="673"/>
      <c r="AG130" s="673"/>
      <c r="AH130" s="673"/>
      <c r="AI130" s="673"/>
      <c r="AJ130" s="673"/>
      <c r="AK130" s="673"/>
      <c r="AL130" s="674"/>
    </row>
    <row r="131" spans="1:38" ht="21" customHeight="1">
      <c r="A131" s="670"/>
      <c r="B131" s="670"/>
      <c r="C131" s="672" t="s">
        <v>203</v>
      </c>
      <c r="D131" s="673"/>
      <c r="E131" s="673"/>
      <c r="F131" s="673"/>
      <c r="G131" s="673"/>
      <c r="H131" s="674"/>
      <c r="I131" s="672" t="s">
        <v>204</v>
      </c>
      <c r="J131" s="673"/>
      <c r="K131" s="673"/>
      <c r="L131" s="673"/>
      <c r="M131" s="673"/>
      <c r="N131" s="674"/>
      <c r="O131" s="672" t="s">
        <v>205</v>
      </c>
      <c r="P131" s="673"/>
      <c r="Q131" s="673"/>
      <c r="R131" s="673"/>
      <c r="S131" s="673"/>
      <c r="T131" s="674"/>
      <c r="U131" s="672" t="s">
        <v>203</v>
      </c>
      <c r="V131" s="673"/>
      <c r="W131" s="673"/>
      <c r="X131" s="673"/>
      <c r="Y131" s="673"/>
      <c r="Z131" s="674"/>
      <c r="AA131" s="672" t="s">
        <v>204</v>
      </c>
      <c r="AB131" s="673"/>
      <c r="AC131" s="673"/>
      <c r="AD131" s="673"/>
      <c r="AE131" s="673"/>
      <c r="AF131" s="674"/>
      <c r="AG131" s="672" t="s">
        <v>205</v>
      </c>
      <c r="AH131" s="673"/>
      <c r="AI131" s="673"/>
      <c r="AJ131" s="673"/>
      <c r="AK131" s="673"/>
      <c r="AL131" s="674"/>
    </row>
    <row r="132" spans="1:38" ht="21" customHeight="1">
      <c r="A132" s="670"/>
      <c r="B132" s="670"/>
      <c r="C132" s="672" t="s">
        <v>206</v>
      </c>
      <c r="D132" s="674"/>
      <c r="E132" s="672" t="s">
        <v>207</v>
      </c>
      <c r="F132" s="674"/>
      <c r="G132" s="672" t="s">
        <v>8</v>
      </c>
      <c r="H132" s="674"/>
      <c r="I132" s="672" t="s">
        <v>206</v>
      </c>
      <c r="J132" s="674"/>
      <c r="K132" s="672" t="s">
        <v>207</v>
      </c>
      <c r="L132" s="674"/>
      <c r="M132" s="672" t="s">
        <v>8</v>
      </c>
      <c r="N132" s="674"/>
      <c r="O132" s="672" t="s">
        <v>206</v>
      </c>
      <c r="P132" s="674"/>
      <c r="Q132" s="672" t="s">
        <v>207</v>
      </c>
      <c r="R132" s="674"/>
      <c r="S132" s="672" t="s">
        <v>8</v>
      </c>
      <c r="T132" s="674"/>
      <c r="U132" s="672" t="s">
        <v>206</v>
      </c>
      <c r="V132" s="674"/>
      <c r="W132" s="672" t="s">
        <v>207</v>
      </c>
      <c r="X132" s="674"/>
      <c r="Y132" s="672" t="s">
        <v>8</v>
      </c>
      <c r="Z132" s="674"/>
      <c r="AA132" s="672" t="s">
        <v>206</v>
      </c>
      <c r="AB132" s="674"/>
      <c r="AC132" s="672" t="s">
        <v>207</v>
      </c>
      <c r="AD132" s="674"/>
      <c r="AE132" s="672" t="s">
        <v>8</v>
      </c>
      <c r="AF132" s="674"/>
      <c r="AG132" s="672" t="s">
        <v>206</v>
      </c>
      <c r="AH132" s="674"/>
      <c r="AI132" s="672" t="s">
        <v>207</v>
      </c>
      <c r="AJ132" s="674"/>
      <c r="AK132" s="672" t="s">
        <v>8</v>
      </c>
      <c r="AL132" s="674"/>
    </row>
    <row r="133" spans="1:38" ht="21" customHeight="1">
      <c r="A133" s="671"/>
      <c r="B133" s="671"/>
      <c r="C133" s="252" t="s">
        <v>101</v>
      </c>
      <c r="D133" s="252" t="s">
        <v>356</v>
      </c>
      <c r="E133" s="252" t="s">
        <v>101</v>
      </c>
      <c r="F133" s="252" t="s">
        <v>356</v>
      </c>
      <c r="G133" s="252" t="s">
        <v>101</v>
      </c>
      <c r="H133" s="252" t="s">
        <v>356</v>
      </c>
      <c r="I133" s="252" t="s">
        <v>101</v>
      </c>
      <c r="J133" s="252" t="s">
        <v>356</v>
      </c>
      <c r="K133" s="252" t="s">
        <v>101</v>
      </c>
      <c r="L133" s="252" t="s">
        <v>356</v>
      </c>
      <c r="M133" s="252" t="s">
        <v>101</v>
      </c>
      <c r="N133" s="252" t="s">
        <v>356</v>
      </c>
      <c r="O133" s="252" t="s">
        <v>101</v>
      </c>
      <c r="P133" s="252" t="s">
        <v>356</v>
      </c>
      <c r="Q133" s="252" t="s">
        <v>101</v>
      </c>
      <c r="R133" s="252" t="s">
        <v>356</v>
      </c>
      <c r="S133" s="252" t="s">
        <v>101</v>
      </c>
      <c r="T133" s="257" t="s">
        <v>356</v>
      </c>
      <c r="U133" s="259" t="s">
        <v>101</v>
      </c>
      <c r="V133" s="252" t="s">
        <v>356</v>
      </c>
      <c r="W133" s="252" t="s">
        <v>101</v>
      </c>
      <c r="X133" s="252" t="s">
        <v>356</v>
      </c>
      <c r="Y133" s="252" t="s">
        <v>101</v>
      </c>
      <c r="Z133" s="252" t="s">
        <v>356</v>
      </c>
      <c r="AA133" s="252" t="s">
        <v>101</v>
      </c>
      <c r="AB133" s="252" t="s">
        <v>356</v>
      </c>
      <c r="AC133" s="252" t="s">
        <v>101</v>
      </c>
      <c r="AD133" s="252" t="s">
        <v>356</v>
      </c>
      <c r="AE133" s="252" t="s">
        <v>101</v>
      </c>
      <c r="AF133" s="252" t="s">
        <v>356</v>
      </c>
      <c r="AG133" s="252" t="s">
        <v>101</v>
      </c>
      <c r="AH133" s="252" t="s">
        <v>356</v>
      </c>
      <c r="AI133" s="252" t="s">
        <v>101</v>
      </c>
      <c r="AJ133" s="252" t="s">
        <v>356</v>
      </c>
      <c r="AK133" s="252" t="s">
        <v>101</v>
      </c>
      <c r="AL133" s="252" t="s">
        <v>356</v>
      </c>
    </row>
    <row r="134" spans="1:38" ht="21" customHeight="1">
      <c r="A134" s="251">
        <v>1</v>
      </c>
      <c r="B134" s="250" t="s">
        <v>430</v>
      </c>
      <c r="C134" s="255"/>
      <c r="D134" s="255"/>
      <c r="E134" s="255"/>
      <c r="F134" s="255"/>
      <c r="G134" s="252">
        <v>0</v>
      </c>
      <c r="H134" s="252">
        <v>0</v>
      </c>
      <c r="I134" s="252">
        <v>13</v>
      </c>
      <c r="J134" s="252">
        <v>6.97</v>
      </c>
      <c r="K134" s="255"/>
      <c r="L134" s="255"/>
      <c r="M134" s="252">
        <v>13</v>
      </c>
      <c r="N134" s="252">
        <v>6.97</v>
      </c>
      <c r="O134" s="255"/>
      <c r="P134" s="255"/>
      <c r="Q134" s="255"/>
      <c r="R134" s="255"/>
      <c r="S134" s="252">
        <v>0</v>
      </c>
      <c r="T134" s="257">
        <v>0</v>
      </c>
      <c r="U134" s="260"/>
      <c r="V134" s="255"/>
      <c r="W134" s="255"/>
      <c r="X134" s="255"/>
      <c r="Y134" s="252">
        <v>0</v>
      </c>
      <c r="Z134" s="252">
        <v>0</v>
      </c>
      <c r="AA134" s="252">
        <v>13</v>
      </c>
      <c r="AB134" s="252">
        <v>6.97</v>
      </c>
      <c r="AC134" s="255"/>
      <c r="AD134" s="255"/>
      <c r="AE134" s="252">
        <v>13</v>
      </c>
      <c r="AF134" s="252">
        <v>6.97</v>
      </c>
      <c r="AG134" s="255"/>
      <c r="AH134" s="255"/>
      <c r="AI134" s="255"/>
      <c r="AJ134" s="255"/>
      <c r="AK134" s="252">
        <v>0</v>
      </c>
      <c r="AL134" s="252">
        <v>0</v>
      </c>
    </row>
    <row r="135" spans="1:38" ht="21" customHeight="1">
      <c r="A135" s="251">
        <v>2</v>
      </c>
      <c r="B135" s="250" t="s">
        <v>255</v>
      </c>
      <c r="C135" s="255"/>
      <c r="D135" s="255"/>
      <c r="E135" s="255"/>
      <c r="F135" s="255"/>
      <c r="G135" s="252">
        <v>0</v>
      </c>
      <c r="H135" s="252">
        <v>0</v>
      </c>
      <c r="I135" s="252">
        <v>62</v>
      </c>
      <c r="J135" s="252">
        <v>32.17</v>
      </c>
      <c r="K135" s="255"/>
      <c r="L135" s="255"/>
      <c r="M135" s="252">
        <v>62</v>
      </c>
      <c r="N135" s="252">
        <v>32.17</v>
      </c>
      <c r="O135" s="255"/>
      <c r="P135" s="255"/>
      <c r="Q135" s="255"/>
      <c r="R135" s="255"/>
      <c r="S135" s="252">
        <v>0</v>
      </c>
      <c r="T135" s="257">
        <v>0</v>
      </c>
      <c r="U135" s="260"/>
      <c r="V135" s="255"/>
      <c r="W135" s="255"/>
      <c r="X135" s="255"/>
      <c r="Y135" s="252">
        <v>0</v>
      </c>
      <c r="Z135" s="252">
        <v>0</v>
      </c>
      <c r="AA135" s="252">
        <v>63</v>
      </c>
      <c r="AB135" s="252">
        <v>53.69</v>
      </c>
      <c r="AC135" s="255"/>
      <c r="AD135" s="255"/>
      <c r="AE135" s="252">
        <v>63</v>
      </c>
      <c r="AF135" s="252">
        <v>53.69</v>
      </c>
      <c r="AG135" s="255"/>
      <c r="AH135" s="255"/>
      <c r="AI135" s="255"/>
      <c r="AJ135" s="255"/>
      <c r="AK135" s="252">
        <v>0</v>
      </c>
      <c r="AL135" s="252">
        <v>0</v>
      </c>
    </row>
    <row r="136" spans="1:38" ht="21" customHeight="1">
      <c r="A136" s="251">
        <v>3</v>
      </c>
      <c r="B136" s="250" t="s">
        <v>213</v>
      </c>
      <c r="C136" s="255"/>
      <c r="D136" s="255"/>
      <c r="E136" s="255"/>
      <c r="F136" s="255"/>
      <c r="G136" s="252">
        <v>0</v>
      </c>
      <c r="H136" s="252">
        <v>0</v>
      </c>
      <c r="I136" s="255"/>
      <c r="J136" s="255"/>
      <c r="K136" s="255"/>
      <c r="L136" s="255"/>
      <c r="M136" s="252">
        <v>0</v>
      </c>
      <c r="N136" s="252">
        <v>0</v>
      </c>
      <c r="O136" s="255"/>
      <c r="P136" s="255"/>
      <c r="Q136" s="255"/>
      <c r="R136" s="255"/>
      <c r="S136" s="252">
        <v>0</v>
      </c>
      <c r="T136" s="257">
        <v>0</v>
      </c>
      <c r="U136" s="260"/>
      <c r="V136" s="255"/>
      <c r="W136" s="255"/>
      <c r="X136" s="255"/>
      <c r="Y136" s="252">
        <v>0</v>
      </c>
      <c r="Z136" s="252">
        <v>0</v>
      </c>
      <c r="AA136" s="252">
        <v>12</v>
      </c>
      <c r="AB136" s="252">
        <v>4.9400000000000004</v>
      </c>
      <c r="AC136" s="255"/>
      <c r="AD136" s="255"/>
      <c r="AE136" s="252">
        <v>12</v>
      </c>
      <c r="AF136" s="252">
        <v>4.9400000000000004</v>
      </c>
      <c r="AG136" s="255"/>
      <c r="AH136" s="255"/>
      <c r="AI136" s="255"/>
      <c r="AJ136" s="255"/>
      <c r="AK136" s="252">
        <v>0</v>
      </c>
      <c r="AL136" s="252">
        <v>0</v>
      </c>
    </row>
    <row r="137" spans="1:38" ht="21" customHeight="1">
      <c r="A137" s="251">
        <v>4</v>
      </c>
      <c r="B137" s="250" t="s">
        <v>215</v>
      </c>
      <c r="C137" s="255"/>
      <c r="D137" s="255"/>
      <c r="E137" s="255"/>
      <c r="F137" s="255"/>
      <c r="G137" s="252">
        <v>0</v>
      </c>
      <c r="H137" s="252">
        <v>0</v>
      </c>
      <c r="I137" s="252">
        <v>123</v>
      </c>
      <c r="J137" s="252">
        <v>67.86</v>
      </c>
      <c r="K137" s="255"/>
      <c r="L137" s="255"/>
      <c r="M137" s="252">
        <v>123</v>
      </c>
      <c r="N137" s="252">
        <v>67.86</v>
      </c>
      <c r="O137" s="255"/>
      <c r="P137" s="255"/>
      <c r="Q137" s="255"/>
      <c r="R137" s="255"/>
      <c r="S137" s="252">
        <v>0</v>
      </c>
      <c r="T137" s="257">
        <v>0</v>
      </c>
      <c r="U137" s="260"/>
      <c r="V137" s="255"/>
      <c r="W137" s="255"/>
      <c r="X137" s="255"/>
      <c r="Y137" s="252">
        <v>0</v>
      </c>
      <c r="Z137" s="252">
        <v>0</v>
      </c>
      <c r="AA137" s="252">
        <v>126</v>
      </c>
      <c r="AB137" s="252">
        <v>101.78</v>
      </c>
      <c r="AC137" s="255"/>
      <c r="AD137" s="255"/>
      <c r="AE137" s="252">
        <v>126</v>
      </c>
      <c r="AF137" s="252">
        <v>101.78</v>
      </c>
      <c r="AG137" s="255"/>
      <c r="AH137" s="255"/>
      <c r="AI137" s="255"/>
      <c r="AJ137" s="255"/>
      <c r="AK137" s="252">
        <v>0</v>
      </c>
      <c r="AL137" s="252">
        <v>0</v>
      </c>
    </row>
    <row r="138" spans="1:38" ht="21" customHeight="1">
      <c r="A138" s="251">
        <v>5</v>
      </c>
      <c r="B138" s="250" t="s">
        <v>216</v>
      </c>
      <c r="C138" s="255"/>
      <c r="D138" s="255"/>
      <c r="E138" s="255"/>
      <c r="F138" s="255"/>
      <c r="G138" s="252">
        <v>0</v>
      </c>
      <c r="H138" s="252">
        <v>0</v>
      </c>
      <c r="I138" s="252">
        <v>77</v>
      </c>
      <c r="J138" s="252">
        <v>43.03</v>
      </c>
      <c r="K138" s="255"/>
      <c r="L138" s="255"/>
      <c r="M138" s="252">
        <v>77</v>
      </c>
      <c r="N138" s="252">
        <v>43.03</v>
      </c>
      <c r="O138" s="255"/>
      <c r="P138" s="255"/>
      <c r="Q138" s="255"/>
      <c r="R138" s="255"/>
      <c r="S138" s="252">
        <v>0</v>
      </c>
      <c r="T138" s="257">
        <v>0</v>
      </c>
      <c r="U138" s="260"/>
      <c r="V138" s="255"/>
      <c r="W138" s="255"/>
      <c r="X138" s="255"/>
      <c r="Y138" s="252">
        <v>0</v>
      </c>
      <c r="Z138" s="252">
        <v>0</v>
      </c>
      <c r="AA138" s="252">
        <v>78</v>
      </c>
      <c r="AB138" s="252">
        <v>54.28</v>
      </c>
      <c r="AC138" s="255"/>
      <c r="AD138" s="255"/>
      <c r="AE138" s="252">
        <v>78</v>
      </c>
      <c r="AF138" s="252">
        <v>54.28</v>
      </c>
      <c r="AG138" s="255"/>
      <c r="AH138" s="255"/>
      <c r="AI138" s="255"/>
      <c r="AJ138" s="255"/>
      <c r="AK138" s="252">
        <v>0</v>
      </c>
      <c r="AL138" s="252">
        <v>0</v>
      </c>
    </row>
    <row r="139" spans="1:38" ht="21" customHeight="1">
      <c r="A139" s="251">
        <v>6</v>
      </c>
      <c r="B139" s="250" t="s">
        <v>230</v>
      </c>
      <c r="C139" s="255"/>
      <c r="D139" s="255"/>
      <c r="E139" s="255"/>
      <c r="F139" s="255"/>
      <c r="G139" s="252">
        <v>0</v>
      </c>
      <c r="H139" s="252">
        <v>0</v>
      </c>
      <c r="I139" s="252">
        <v>55</v>
      </c>
      <c r="J139" s="252">
        <v>21.58</v>
      </c>
      <c r="K139" s="255"/>
      <c r="L139" s="255"/>
      <c r="M139" s="252">
        <v>55</v>
      </c>
      <c r="N139" s="252">
        <v>21.58</v>
      </c>
      <c r="O139" s="255"/>
      <c r="P139" s="255"/>
      <c r="Q139" s="255"/>
      <c r="R139" s="255"/>
      <c r="S139" s="252">
        <v>0</v>
      </c>
      <c r="T139" s="257">
        <v>0</v>
      </c>
      <c r="U139" s="260"/>
      <c r="V139" s="255"/>
      <c r="W139" s="255"/>
      <c r="X139" s="255"/>
      <c r="Y139" s="252">
        <v>0</v>
      </c>
      <c r="Z139" s="252">
        <v>0</v>
      </c>
      <c r="AA139" s="252">
        <v>78</v>
      </c>
      <c r="AB139" s="252">
        <v>59.19</v>
      </c>
      <c r="AC139" s="255"/>
      <c r="AD139" s="255"/>
      <c r="AE139" s="252">
        <v>78</v>
      </c>
      <c r="AF139" s="252">
        <v>59.19</v>
      </c>
      <c r="AG139" s="255"/>
      <c r="AH139" s="255"/>
      <c r="AI139" s="255"/>
      <c r="AJ139" s="255"/>
      <c r="AK139" s="252">
        <v>0</v>
      </c>
      <c r="AL139" s="252">
        <v>0</v>
      </c>
    </row>
    <row r="140" spans="1:38" ht="21" customHeight="1">
      <c r="A140" s="251">
        <v>7</v>
      </c>
      <c r="B140" s="250" t="s">
        <v>431</v>
      </c>
      <c r="C140" s="255"/>
      <c r="D140" s="255"/>
      <c r="E140" s="255"/>
      <c r="F140" s="255"/>
      <c r="G140" s="252">
        <v>0</v>
      </c>
      <c r="H140" s="252">
        <v>0</v>
      </c>
      <c r="I140" s="255"/>
      <c r="J140" s="255"/>
      <c r="K140" s="255"/>
      <c r="L140" s="255"/>
      <c r="M140" s="252">
        <v>0</v>
      </c>
      <c r="N140" s="252">
        <v>0</v>
      </c>
      <c r="O140" s="255"/>
      <c r="P140" s="255"/>
      <c r="Q140" s="255"/>
      <c r="R140" s="255"/>
      <c r="S140" s="252">
        <v>0</v>
      </c>
      <c r="T140" s="257">
        <v>0</v>
      </c>
      <c r="U140" s="260"/>
      <c r="V140" s="255"/>
      <c r="W140" s="255"/>
      <c r="X140" s="255"/>
      <c r="Y140" s="252">
        <v>0</v>
      </c>
      <c r="Z140" s="252">
        <v>0</v>
      </c>
      <c r="AA140" s="255"/>
      <c r="AB140" s="255"/>
      <c r="AC140" s="255"/>
      <c r="AD140" s="255"/>
      <c r="AE140" s="252">
        <v>0</v>
      </c>
      <c r="AF140" s="252">
        <v>0</v>
      </c>
      <c r="AG140" s="255"/>
      <c r="AH140" s="255"/>
      <c r="AI140" s="255"/>
      <c r="AJ140" s="255"/>
      <c r="AK140" s="252">
        <v>0</v>
      </c>
      <c r="AL140" s="252">
        <v>0</v>
      </c>
    </row>
    <row r="141" spans="1:38" ht="21" customHeight="1">
      <c r="A141" s="251">
        <v>8</v>
      </c>
      <c r="B141" s="250" t="s">
        <v>432</v>
      </c>
      <c r="C141" s="255"/>
      <c r="D141" s="255"/>
      <c r="E141" s="255"/>
      <c r="F141" s="255"/>
      <c r="G141" s="252">
        <v>0</v>
      </c>
      <c r="H141" s="252">
        <v>0</v>
      </c>
      <c r="I141" s="252">
        <v>2</v>
      </c>
      <c r="J141" s="252">
        <v>0.5</v>
      </c>
      <c r="K141" s="255"/>
      <c r="L141" s="255"/>
      <c r="M141" s="252">
        <v>2</v>
      </c>
      <c r="N141" s="252">
        <v>0.5</v>
      </c>
      <c r="O141" s="255"/>
      <c r="P141" s="255"/>
      <c r="Q141" s="255"/>
      <c r="R141" s="255"/>
      <c r="S141" s="252">
        <v>0</v>
      </c>
      <c r="T141" s="257">
        <v>0</v>
      </c>
      <c r="U141" s="260"/>
      <c r="V141" s="255"/>
      <c r="W141" s="255"/>
      <c r="X141" s="255"/>
      <c r="Y141" s="252">
        <v>0</v>
      </c>
      <c r="Z141" s="252">
        <v>0</v>
      </c>
      <c r="AA141" s="252">
        <v>19</v>
      </c>
      <c r="AB141" s="252">
        <v>3.42</v>
      </c>
      <c r="AC141" s="255"/>
      <c r="AD141" s="255"/>
      <c r="AE141" s="252">
        <v>19</v>
      </c>
      <c r="AF141" s="252">
        <v>3.42</v>
      </c>
      <c r="AG141" s="255"/>
      <c r="AH141" s="255"/>
      <c r="AI141" s="255"/>
      <c r="AJ141" s="255"/>
      <c r="AK141" s="252">
        <v>0</v>
      </c>
      <c r="AL141" s="252">
        <v>0</v>
      </c>
    </row>
    <row r="142" spans="1:38" ht="21" customHeight="1">
      <c r="A142" s="251">
        <v>9</v>
      </c>
      <c r="B142" s="250" t="s">
        <v>429</v>
      </c>
      <c r="C142" s="255"/>
      <c r="D142" s="255"/>
      <c r="E142" s="255"/>
      <c r="F142" s="255"/>
      <c r="G142" s="252">
        <v>0</v>
      </c>
      <c r="H142" s="252">
        <v>0</v>
      </c>
      <c r="I142" s="252">
        <v>20</v>
      </c>
      <c r="J142" s="252">
        <v>8.14</v>
      </c>
      <c r="K142" s="255"/>
      <c r="L142" s="255"/>
      <c r="M142" s="252">
        <v>20</v>
      </c>
      <c r="N142" s="252">
        <v>8.14</v>
      </c>
      <c r="O142" s="255"/>
      <c r="P142" s="255"/>
      <c r="Q142" s="255"/>
      <c r="R142" s="255"/>
      <c r="S142" s="252">
        <v>0</v>
      </c>
      <c r="T142" s="257">
        <v>0</v>
      </c>
      <c r="U142" s="260"/>
      <c r="V142" s="255"/>
      <c r="W142" s="255"/>
      <c r="X142" s="255"/>
      <c r="Y142" s="252">
        <v>0</v>
      </c>
      <c r="Z142" s="252">
        <v>0</v>
      </c>
      <c r="AA142" s="252">
        <v>22</v>
      </c>
      <c r="AB142" s="252">
        <v>19.940000000000001</v>
      </c>
      <c r="AC142" s="255"/>
      <c r="AD142" s="255"/>
      <c r="AE142" s="252">
        <v>22</v>
      </c>
      <c r="AF142" s="252">
        <v>19.940000000000001</v>
      </c>
      <c r="AG142" s="255"/>
      <c r="AH142" s="255"/>
      <c r="AI142" s="255"/>
      <c r="AJ142" s="255"/>
      <c r="AK142" s="252">
        <v>0</v>
      </c>
      <c r="AL142" s="252">
        <v>0</v>
      </c>
    </row>
    <row r="143" spans="1:38" ht="21" customHeight="1">
      <c r="A143" s="251">
        <v>10</v>
      </c>
      <c r="B143" s="250" t="s">
        <v>433</v>
      </c>
      <c r="C143" s="255"/>
      <c r="D143" s="255"/>
      <c r="E143" s="255"/>
      <c r="F143" s="255"/>
      <c r="G143" s="252">
        <v>0</v>
      </c>
      <c r="H143" s="252">
        <v>0</v>
      </c>
      <c r="I143" s="255"/>
      <c r="J143" s="255"/>
      <c r="K143" s="255"/>
      <c r="L143" s="255"/>
      <c r="M143" s="252">
        <v>0</v>
      </c>
      <c r="N143" s="252">
        <v>0</v>
      </c>
      <c r="O143" s="255"/>
      <c r="P143" s="255"/>
      <c r="Q143" s="255"/>
      <c r="R143" s="255"/>
      <c r="S143" s="252">
        <v>0</v>
      </c>
      <c r="T143" s="257">
        <v>0</v>
      </c>
      <c r="U143" s="260"/>
      <c r="V143" s="255"/>
      <c r="W143" s="255"/>
      <c r="X143" s="255"/>
      <c r="Y143" s="252">
        <v>0</v>
      </c>
      <c r="Z143" s="252">
        <v>0</v>
      </c>
      <c r="AA143" s="252">
        <v>9</v>
      </c>
      <c r="AB143" s="252">
        <v>2.67</v>
      </c>
      <c r="AC143" s="255"/>
      <c r="AD143" s="255"/>
      <c r="AE143" s="252">
        <v>9</v>
      </c>
      <c r="AF143" s="252">
        <v>2.67</v>
      </c>
      <c r="AG143" s="255"/>
      <c r="AH143" s="255"/>
      <c r="AI143" s="255"/>
      <c r="AJ143" s="255"/>
      <c r="AK143" s="252">
        <v>0</v>
      </c>
      <c r="AL143" s="252">
        <v>0</v>
      </c>
    </row>
    <row r="144" spans="1:38" ht="21" customHeight="1">
      <c r="A144" s="675" t="s">
        <v>8</v>
      </c>
      <c r="B144" s="676"/>
      <c r="C144" s="252"/>
      <c r="D144" s="252"/>
      <c r="E144" s="252"/>
      <c r="F144" s="252"/>
      <c r="G144" s="252">
        <f>SUM(G134:G143)</f>
        <v>0</v>
      </c>
      <c r="H144" s="252">
        <f>SUM(H134:H143)</f>
        <v>0</v>
      </c>
      <c r="I144" s="252">
        <f>SUM(I134:I143)</f>
        <v>352</v>
      </c>
      <c r="J144" s="252">
        <f>SUM(J134:J143)</f>
        <v>180.25</v>
      </c>
      <c r="K144" s="252"/>
      <c r="L144" s="252"/>
      <c r="M144" s="252">
        <f>SUM(M134:M143)</f>
        <v>352</v>
      </c>
      <c r="N144" s="252">
        <f>SUM(N134:N143)</f>
        <v>180.25</v>
      </c>
      <c r="O144" s="252"/>
      <c r="P144" s="252"/>
      <c r="Q144" s="252"/>
      <c r="R144" s="252"/>
      <c r="S144" s="252">
        <f>SUM(S134:S143)</f>
        <v>0</v>
      </c>
      <c r="T144" s="257">
        <f>SUM(T134:T143)</f>
        <v>0</v>
      </c>
      <c r="U144" s="259"/>
      <c r="V144" s="252"/>
      <c r="W144" s="252"/>
      <c r="X144" s="252"/>
      <c r="Y144" s="252">
        <f>SUM(Y134:Y143)</f>
        <v>0</v>
      </c>
      <c r="Z144" s="252">
        <f>SUM(Z134:Z143)</f>
        <v>0</v>
      </c>
      <c r="AA144" s="252">
        <f>SUM(AA134:AA143)</f>
        <v>420</v>
      </c>
      <c r="AB144" s="252">
        <f>SUM(AB134:AB143)</f>
        <v>306.88000000000005</v>
      </c>
      <c r="AC144" s="252"/>
      <c r="AD144" s="252"/>
      <c r="AE144" s="252">
        <f>SUM(AE134:AE143)</f>
        <v>420</v>
      </c>
      <c r="AF144" s="252">
        <f>SUM(AF134:AF143)</f>
        <v>306.88000000000005</v>
      </c>
      <c r="AG144" s="252"/>
      <c r="AH144" s="252"/>
      <c r="AI144" s="252"/>
      <c r="AJ144" s="252"/>
      <c r="AK144" s="252">
        <f>SUM(AK134:AK143)</f>
        <v>0</v>
      </c>
      <c r="AL144" s="252">
        <f>SUM(AL134:AL143)</f>
        <v>0</v>
      </c>
    </row>
    <row r="145" spans="1:38" ht="21" customHeight="1">
      <c r="A145" s="666" t="s">
        <v>421</v>
      </c>
      <c r="B145" s="667"/>
      <c r="C145" s="667"/>
      <c r="D145" s="667"/>
      <c r="E145" s="667"/>
      <c r="F145" s="667"/>
      <c r="G145" s="667"/>
      <c r="H145" s="667"/>
      <c r="I145" s="667"/>
      <c r="J145" s="667"/>
      <c r="K145" s="667"/>
      <c r="L145" s="667"/>
      <c r="M145" s="667"/>
      <c r="N145" s="667"/>
      <c r="O145" s="667"/>
      <c r="P145" s="667"/>
      <c r="Q145" s="667"/>
      <c r="R145" s="667"/>
      <c r="S145" s="667"/>
      <c r="T145" s="667"/>
      <c r="U145" s="667"/>
      <c r="V145" s="667"/>
      <c r="W145" s="667"/>
      <c r="X145" s="667"/>
      <c r="Y145" s="667"/>
      <c r="Z145" s="667"/>
      <c r="AA145" s="667"/>
      <c r="AB145" s="667"/>
      <c r="AC145" s="667"/>
      <c r="AD145" s="667"/>
      <c r="AE145" s="667"/>
      <c r="AF145" s="667"/>
      <c r="AG145" s="667"/>
      <c r="AH145" s="667"/>
      <c r="AI145" s="667"/>
      <c r="AJ145" s="667"/>
      <c r="AK145" s="667"/>
      <c r="AL145" s="668"/>
    </row>
    <row r="146" spans="1:38" ht="21" customHeight="1">
      <c r="A146" s="666" t="s">
        <v>247</v>
      </c>
      <c r="B146" s="667"/>
      <c r="C146" s="667"/>
      <c r="D146" s="667"/>
      <c r="E146" s="667"/>
      <c r="F146" s="667"/>
      <c r="G146" s="667"/>
      <c r="H146" s="667"/>
      <c r="I146" s="667"/>
      <c r="J146" s="667"/>
      <c r="K146" s="667"/>
      <c r="L146" s="667"/>
      <c r="M146" s="667"/>
      <c r="N146" s="667"/>
      <c r="O146" s="667"/>
      <c r="P146" s="667"/>
      <c r="Q146" s="667"/>
      <c r="R146" s="667"/>
      <c r="S146" s="667"/>
      <c r="T146" s="667"/>
      <c r="U146" s="667"/>
      <c r="V146" s="667"/>
      <c r="W146" s="667"/>
      <c r="X146" s="667"/>
      <c r="Y146" s="667"/>
      <c r="Z146" s="667"/>
      <c r="AA146" s="667"/>
      <c r="AB146" s="667"/>
      <c r="AC146" s="667"/>
      <c r="AD146" s="667"/>
      <c r="AE146" s="667"/>
      <c r="AF146" s="667"/>
      <c r="AG146" s="667"/>
      <c r="AH146" s="667"/>
      <c r="AI146" s="667"/>
      <c r="AJ146" s="667"/>
      <c r="AK146" s="667"/>
      <c r="AL146" s="668"/>
    </row>
    <row r="147" spans="1:38" ht="21" customHeight="1">
      <c r="A147" s="669" t="s">
        <v>202</v>
      </c>
      <c r="B147" s="669" t="s">
        <v>355</v>
      </c>
      <c r="C147" s="672" t="s">
        <v>422</v>
      </c>
      <c r="D147" s="673"/>
      <c r="E147" s="673"/>
      <c r="F147" s="673"/>
      <c r="G147" s="673"/>
      <c r="H147" s="673"/>
      <c r="I147" s="673"/>
      <c r="J147" s="673"/>
      <c r="K147" s="673"/>
      <c r="L147" s="673"/>
      <c r="M147" s="673"/>
      <c r="N147" s="673"/>
      <c r="O147" s="673"/>
      <c r="P147" s="673"/>
      <c r="Q147" s="673"/>
      <c r="R147" s="673"/>
      <c r="S147" s="673"/>
      <c r="T147" s="674"/>
      <c r="U147" s="672" t="s">
        <v>381</v>
      </c>
      <c r="V147" s="673"/>
      <c r="W147" s="673"/>
      <c r="X147" s="673"/>
      <c r="Y147" s="673"/>
      <c r="Z147" s="673"/>
      <c r="AA147" s="673"/>
      <c r="AB147" s="673"/>
      <c r="AC147" s="673"/>
      <c r="AD147" s="673"/>
      <c r="AE147" s="673"/>
      <c r="AF147" s="673"/>
      <c r="AG147" s="673"/>
      <c r="AH147" s="673"/>
      <c r="AI147" s="673"/>
      <c r="AJ147" s="673"/>
      <c r="AK147" s="673"/>
      <c r="AL147" s="674"/>
    </row>
    <row r="148" spans="1:38" ht="21" customHeight="1">
      <c r="A148" s="670"/>
      <c r="B148" s="670"/>
      <c r="C148" s="672" t="s">
        <v>203</v>
      </c>
      <c r="D148" s="673"/>
      <c r="E148" s="673"/>
      <c r="F148" s="673"/>
      <c r="G148" s="673"/>
      <c r="H148" s="674"/>
      <c r="I148" s="672" t="s">
        <v>204</v>
      </c>
      <c r="J148" s="673"/>
      <c r="K148" s="673"/>
      <c r="L148" s="673"/>
      <c r="M148" s="673"/>
      <c r="N148" s="674"/>
      <c r="O148" s="672" t="s">
        <v>205</v>
      </c>
      <c r="P148" s="673"/>
      <c r="Q148" s="673"/>
      <c r="R148" s="673"/>
      <c r="S148" s="673"/>
      <c r="T148" s="674"/>
      <c r="U148" s="672" t="s">
        <v>203</v>
      </c>
      <c r="V148" s="673"/>
      <c r="W148" s="673"/>
      <c r="X148" s="673"/>
      <c r="Y148" s="673"/>
      <c r="Z148" s="674"/>
      <c r="AA148" s="672" t="s">
        <v>204</v>
      </c>
      <c r="AB148" s="673"/>
      <c r="AC148" s="673"/>
      <c r="AD148" s="673"/>
      <c r="AE148" s="673"/>
      <c r="AF148" s="674"/>
      <c r="AG148" s="672" t="s">
        <v>205</v>
      </c>
      <c r="AH148" s="673"/>
      <c r="AI148" s="673"/>
      <c r="AJ148" s="673"/>
      <c r="AK148" s="673"/>
      <c r="AL148" s="674"/>
    </row>
    <row r="149" spans="1:38" ht="21" customHeight="1">
      <c r="A149" s="670"/>
      <c r="B149" s="670"/>
      <c r="C149" s="672" t="s">
        <v>206</v>
      </c>
      <c r="D149" s="674"/>
      <c r="E149" s="672" t="s">
        <v>207</v>
      </c>
      <c r="F149" s="674"/>
      <c r="G149" s="672" t="s">
        <v>8</v>
      </c>
      <c r="H149" s="674"/>
      <c r="I149" s="672" t="s">
        <v>206</v>
      </c>
      <c r="J149" s="674"/>
      <c r="K149" s="672" t="s">
        <v>207</v>
      </c>
      <c r="L149" s="674"/>
      <c r="M149" s="672" t="s">
        <v>8</v>
      </c>
      <c r="N149" s="674"/>
      <c r="O149" s="672" t="s">
        <v>206</v>
      </c>
      <c r="P149" s="674"/>
      <c r="Q149" s="672" t="s">
        <v>207</v>
      </c>
      <c r="R149" s="674"/>
      <c r="S149" s="672" t="s">
        <v>8</v>
      </c>
      <c r="T149" s="674"/>
      <c r="U149" s="672" t="s">
        <v>206</v>
      </c>
      <c r="V149" s="674"/>
      <c r="W149" s="672" t="s">
        <v>207</v>
      </c>
      <c r="X149" s="674"/>
      <c r="Y149" s="672" t="s">
        <v>8</v>
      </c>
      <c r="Z149" s="674"/>
      <c r="AA149" s="672" t="s">
        <v>206</v>
      </c>
      <c r="AB149" s="674"/>
      <c r="AC149" s="672" t="s">
        <v>207</v>
      </c>
      <c r="AD149" s="674"/>
      <c r="AE149" s="672" t="s">
        <v>8</v>
      </c>
      <c r="AF149" s="674"/>
      <c r="AG149" s="672" t="s">
        <v>206</v>
      </c>
      <c r="AH149" s="674"/>
      <c r="AI149" s="672" t="s">
        <v>207</v>
      </c>
      <c r="AJ149" s="674"/>
      <c r="AK149" s="672" t="s">
        <v>8</v>
      </c>
      <c r="AL149" s="674"/>
    </row>
    <row r="150" spans="1:38" ht="21" customHeight="1">
      <c r="A150" s="671"/>
      <c r="B150" s="671"/>
      <c r="C150" s="252" t="s">
        <v>101</v>
      </c>
      <c r="D150" s="252" t="s">
        <v>356</v>
      </c>
      <c r="E150" s="252" t="s">
        <v>101</v>
      </c>
      <c r="F150" s="252" t="s">
        <v>356</v>
      </c>
      <c r="G150" s="252" t="s">
        <v>101</v>
      </c>
      <c r="H150" s="252" t="s">
        <v>356</v>
      </c>
      <c r="I150" s="252" t="s">
        <v>101</v>
      </c>
      <c r="J150" s="252" t="s">
        <v>356</v>
      </c>
      <c r="K150" s="252" t="s">
        <v>101</v>
      </c>
      <c r="L150" s="252" t="s">
        <v>356</v>
      </c>
      <c r="M150" s="252" t="s">
        <v>101</v>
      </c>
      <c r="N150" s="252" t="s">
        <v>356</v>
      </c>
      <c r="O150" s="252" t="s">
        <v>101</v>
      </c>
      <c r="P150" s="252" t="s">
        <v>356</v>
      </c>
      <c r="Q150" s="252" t="s">
        <v>101</v>
      </c>
      <c r="R150" s="252" t="s">
        <v>356</v>
      </c>
      <c r="S150" s="252" t="s">
        <v>101</v>
      </c>
      <c r="T150" s="257" t="s">
        <v>356</v>
      </c>
      <c r="U150" s="259" t="s">
        <v>101</v>
      </c>
      <c r="V150" s="252" t="s">
        <v>356</v>
      </c>
      <c r="W150" s="252" t="s">
        <v>101</v>
      </c>
      <c r="X150" s="252" t="s">
        <v>356</v>
      </c>
      <c r="Y150" s="252" t="s">
        <v>101</v>
      </c>
      <c r="Z150" s="252" t="s">
        <v>356</v>
      </c>
      <c r="AA150" s="252" t="s">
        <v>101</v>
      </c>
      <c r="AB150" s="252" t="s">
        <v>356</v>
      </c>
      <c r="AC150" s="252" t="s">
        <v>101</v>
      </c>
      <c r="AD150" s="252" t="s">
        <v>356</v>
      </c>
      <c r="AE150" s="252" t="s">
        <v>101</v>
      </c>
      <c r="AF150" s="252" t="s">
        <v>356</v>
      </c>
      <c r="AG150" s="252" t="s">
        <v>101</v>
      </c>
      <c r="AH150" s="252" t="s">
        <v>356</v>
      </c>
      <c r="AI150" s="252" t="s">
        <v>101</v>
      </c>
      <c r="AJ150" s="252" t="s">
        <v>356</v>
      </c>
      <c r="AK150" s="252" t="s">
        <v>101</v>
      </c>
      <c r="AL150" s="252" t="s">
        <v>356</v>
      </c>
    </row>
    <row r="151" spans="1:38" ht="21" customHeight="1">
      <c r="A151" s="251">
        <v>1</v>
      </c>
      <c r="B151" s="250" t="s">
        <v>210</v>
      </c>
      <c r="C151" s="255"/>
      <c r="D151" s="255"/>
      <c r="E151" s="255"/>
      <c r="F151" s="255"/>
      <c r="G151" s="252">
        <v>0</v>
      </c>
      <c r="H151" s="252">
        <v>0</v>
      </c>
      <c r="I151" s="252">
        <v>254</v>
      </c>
      <c r="J151" s="252">
        <v>130.33000000000001</v>
      </c>
      <c r="K151" s="255"/>
      <c r="L151" s="255"/>
      <c r="M151" s="252">
        <v>254</v>
      </c>
      <c r="N151" s="252">
        <v>130.33000000000001</v>
      </c>
      <c r="O151" s="255"/>
      <c r="P151" s="255"/>
      <c r="Q151" s="255"/>
      <c r="R151" s="255"/>
      <c r="S151" s="252">
        <v>0</v>
      </c>
      <c r="T151" s="257">
        <v>0</v>
      </c>
      <c r="U151" s="260"/>
      <c r="V151" s="255"/>
      <c r="W151" s="255"/>
      <c r="X151" s="255"/>
      <c r="Y151" s="252">
        <v>0</v>
      </c>
      <c r="Z151" s="252">
        <v>0</v>
      </c>
      <c r="AA151" s="252">
        <v>359</v>
      </c>
      <c r="AB151" s="252">
        <v>265.97000000000003</v>
      </c>
      <c r="AC151" s="255"/>
      <c r="AD151" s="255"/>
      <c r="AE151" s="252">
        <v>359</v>
      </c>
      <c r="AF151" s="252">
        <v>265.97000000000003</v>
      </c>
      <c r="AG151" s="255"/>
      <c r="AH151" s="255"/>
      <c r="AI151" s="255"/>
      <c r="AJ151" s="255"/>
      <c r="AK151" s="252">
        <v>0</v>
      </c>
      <c r="AL151" s="252">
        <v>0</v>
      </c>
    </row>
    <row r="152" spans="1:38" ht="21" customHeight="1">
      <c r="A152" s="251">
        <v>2</v>
      </c>
      <c r="B152" s="250" t="s">
        <v>218</v>
      </c>
      <c r="C152" s="255"/>
      <c r="D152" s="255"/>
      <c r="E152" s="255"/>
      <c r="F152" s="255"/>
      <c r="G152" s="252">
        <v>0</v>
      </c>
      <c r="H152" s="252">
        <v>0</v>
      </c>
      <c r="I152" s="252">
        <v>4</v>
      </c>
      <c r="J152" s="252">
        <v>0.67</v>
      </c>
      <c r="K152" s="255"/>
      <c r="L152" s="255"/>
      <c r="M152" s="252">
        <v>4</v>
      </c>
      <c r="N152" s="252">
        <v>0.67</v>
      </c>
      <c r="O152" s="255"/>
      <c r="P152" s="255"/>
      <c r="Q152" s="255"/>
      <c r="R152" s="255"/>
      <c r="S152" s="252">
        <v>0</v>
      </c>
      <c r="T152" s="257">
        <v>0</v>
      </c>
      <c r="U152" s="260"/>
      <c r="V152" s="255"/>
      <c r="W152" s="255"/>
      <c r="X152" s="255"/>
      <c r="Y152" s="252">
        <v>0</v>
      </c>
      <c r="Z152" s="252">
        <v>0</v>
      </c>
      <c r="AA152" s="252">
        <v>14</v>
      </c>
      <c r="AB152" s="252">
        <v>5.78</v>
      </c>
      <c r="AC152" s="255"/>
      <c r="AD152" s="255"/>
      <c r="AE152" s="252">
        <v>14</v>
      </c>
      <c r="AF152" s="252">
        <v>5.78</v>
      </c>
      <c r="AG152" s="255"/>
      <c r="AH152" s="255"/>
      <c r="AI152" s="255"/>
      <c r="AJ152" s="255"/>
      <c r="AK152" s="252">
        <v>0</v>
      </c>
      <c r="AL152" s="252">
        <v>0</v>
      </c>
    </row>
    <row r="153" spans="1:38" ht="21" customHeight="1">
      <c r="A153" s="251">
        <v>3</v>
      </c>
      <c r="B153" s="250" t="s">
        <v>246</v>
      </c>
      <c r="C153" s="255"/>
      <c r="D153" s="255"/>
      <c r="E153" s="255"/>
      <c r="F153" s="255"/>
      <c r="G153" s="252">
        <v>0</v>
      </c>
      <c r="H153" s="252">
        <v>0</v>
      </c>
      <c r="I153" s="252">
        <v>366</v>
      </c>
      <c r="J153" s="252">
        <v>212.42</v>
      </c>
      <c r="K153" s="255"/>
      <c r="L153" s="255"/>
      <c r="M153" s="252">
        <v>366</v>
      </c>
      <c r="N153" s="252">
        <v>212.42</v>
      </c>
      <c r="O153" s="255"/>
      <c r="P153" s="255"/>
      <c r="Q153" s="255"/>
      <c r="R153" s="255"/>
      <c r="S153" s="252">
        <v>0</v>
      </c>
      <c r="T153" s="257">
        <v>0</v>
      </c>
      <c r="U153" s="260"/>
      <c r="V153" s="255"/>
      <c r="W153" s="255"/>
      <c r="X153" s="255"/>
      <c r="Y153" s="252">
        <v>0</v>
      </c>
      <c r="Z153" s="252">
        <v>0</v>
      </c>
      <c r="AA153" s="252">
        <v>456</v>
      </c>
      <c r="AB153" s="252">
        <v>386.58</v>
      </c>
      <c r="AC153" s="255"/>
      <c r="AD153" s="255"/>
      <c r="AE153" s="252">
        <v>456</v>
      </c>
      <c r="AF153" s="252">
        <v>386.58</v>
      </c>
      <c r="AG153" s="255"/>
      <c r="AH153" s="255"/>
      <c r="AI153" s="255"/>
      <c r="AJ153" s="255"/>
      <c r="AK153" s="252">
        <v>0</v>
      </c>
      <c r="AL153" s="252">
        <v>0</v>
      </c>
    </row>
    <row r="154" spans="1:38" ht="21" customHeight="1">
      <c r="A154" s="251">
        <v>4</v>
      </c>
      <c r="B154" s="250" t="s">
        <v>219</v>
      </c>
      <c r="C154" s="255"/>
      <c r="D154" s="255"/>
      <c r="E154" s="255"/>
      <c r="F154" s="255"/>
      <c r="G154" s="252">
        <v>0</v>
      </c>
      <c r="H154" s="252">
        <v>0</v>
      </c>
      <c r="I154" s="252">
        <v>41</v>
      </c>
      <c r="J154" s="252">
        <v>21.08</v>
      </c>
      <c r="K154" s="255"/>
      <c r="L154" s="255"/>
      <c r="M154" s="252">
        <v>41</v>
      </c>
      <c r="N154" s="252">
        <v>21.08</v>
      </c>
      <c r="O154" s="255"/>
      <c r="P154" s="255"/>
      <c r="Q154" s="255"/>
      <c r="R154" s="255"/>
      <c r="S154" s="252">
        <v>0</v>
      </c>
      <c r="T154" s="257">
        <v>0</v>
      </c>
      <c r="U154" s="260"/>
      <c r="V154" s="255"/>
      <c r="W154" s="255"/>
      <c r="X154" s="255"/>
      <c r="Y154" s="252">
        <v>0</v>
      </c>
      <c r="Z154" s="252">
        <v>0</v>
      </c>
      <c r="AA154" s="252">
        <v>61</v>
      </c>
      <c r="AB154" s="252">
        <v>44.14</v>
      </c>
      <c r="AC154" s="255"/>
      <c r="AD154" s="255"/>
      <c r="AE154" s="252">
        <v>61</v>
      </c>
      <c r="AF154" s="252">
        <v>44.14</v>
      </c>
      <c r="AG154" s="255"/>
      <c r="AH154" s="255"/>
      <c r="AI154" s="255"/>
      <c r="AJ154" s="255"/>
      <c r="AK154" s="252">
        <v>0</v>
      </c>
      <c r="AL154" s="252">
        <v>0</v>
      </c>
    </row>
    <row r="155" spans="1:38" ht="21" customHeight="1">
      <c r="A155" s="675" t="s">
        <v>8</v>
      </c>
      <c r="B155" s="676"/>
      <c r="C155" s="252"/>
      <c r="D155" s="252"/>
      <c r="E155" s="252"/>
      <c r="F155" s="252"/>
      <c r="G155" s="252">
        <f>SUM(G151:G154)</f>
        <v>0</v>
      </c>
      <c r="H155" s="252">
        <f>SUM(H151:H154)</f>
        <v>0</v>
      </c>
      <c r="I155" s="252">
        <f>SUM(I151:I154)</f>
        <v>665</v>
      </c>
      <c r="J155" s="252">
        <f>SUM(J151:J154)</f>
        <v>364.49999999999994</v>
      </c>
      <c r="K155" s="252"/>
      <c r="L155" s="252"/>
      <c r="M155" s="252">
        <f>SUM(M151:M154)</f>
        <v>665</v>
      </c>
      <c r="N155" s="252">
        <f>SUM(N151:N154)</f>
        <v>364.49999999999994</v>
      </c>
      <c r="O155" s="252"/>
      <c r="P155" s="252"/>
      <c r="Q155" s="252"/>
      <c r="R155" s="252"/>
      <c r="S155" s="252">
        <f>SUM(S151:S154)</f>
        <v>0</v>
      </c>
      <c r="T155" s="257">
        <f>SUM(T151:T154)</f>
        <v>0</v>
      </c>
      <c r="U155" s="259"/>
      <c r="V155" s="252"/>
      <c r="W155" s="252"/>
      <c r="X155" s="252"/>
      <c r="Y155" s="252">
        <f>SUM(Y151:Y154)</f>
        <v>0</v>
      </c>
      <c r="Z155" s="252">
        <f>SUM(Z151:Z154)</f>
        <v>0</v>
      </c>
      <c r="AA155" s="252">
        <f>SUM(AA151:AA154)</f>
        <v>890</v>
      </c>
      <c r="AB155" s="252">
        <f>SUM(AB151:AB154)</f>
        <v>702.46999999999991</v>
      </c>
      <c r="AC155" s="252"/>
      <c r="AD155" s="252"/>
      <c r="AE155" s="252">
        <f>SUM(AE151:AE154)</f>
        <v>890</v>
      </c>
      <c r="AF155" s="252">
        <f>SUM(AF151:AF154)</f>
        <v>702.46999999999991</v>
      </c>
      <c r="AG155" s="252"/>
      <c r="AH155" s="252"/>
      <c r="AI155" s="252"/>
      <c r="AJ155" s="252"/>
      <c r="AK155" s="252">
        <f>SUM(AK151:AK154)</f>
        <v>0</v>
      </c>
      <c r="AL155" s="252">
        <f>SUM(AL151:AL154)</f>
        <v>0</v>
      </c>
    </row>
    <row r="156" spans="1:38" ht="21" customHeight="1">
      <c r="A156" s="666" t="s">
        <v>421</v>
      </c>
      <c r="B156" s="667"/>
      <c r="C156" s="667"/>
      <c r="D156" s="667"/>
      <c r="E156" s="667"/>
      <c r="F156" s="667"/>
      <c r="G156" s="667"/>
      <c r="H156" s="667"/>
      <c r="I156" s="667"/>
      <c r="J156" s="667"/>
      <c r="K156" s="667"/>
      <c r="L156" s="667"/>
      <c r="M156" s="667"/>
      <c r="N156" s="667"/>
      <c r="O156" s="667"/>
      <c r="P156" s="667"/>
      <c r="Q156" s="667"/>
      <c r="R156" s="667"/>
      <c r="S156" s="667"/>
      <c r="T156" s="667"/>
      <c r="U156" s="667"/>
      <c r="V156" s="667"/>
      <c r="W156" s="667"/>
      <c r="X156" s="667"/>
      <c r="Y156" s="667"/>
      <c r="Z156" s="667"/>
      <c r="AA156" s="667"/>
      <c r="AB156" s="667"/>
      <c r="AC156" s="667"/>
      <c r="AD156" s="667"/>
      <c r="AE156" s="667"/>
      <c r="AF156" s="667"/>
      <c r="AG156" s="667"/>
      <c r="AH156" s="667"/>
      <c r="AI156" s="667"/>
      <c r="AJ156" s="667"/>
      <c r="AK156" s="667"/>
      <c r="AL156" s="668"/>
    </row>
    <row r="157" spans="1:38" ht="21" customHeight="1">
      <c r="A157" s="666" t="s">
        <v>298</v>
      </c>
      <c r="B157" s="667"/>
      <c r="C157" s="667"/>
      <c r="D157" s="667"/>
      <c r="E157" s="667"/>
      <c r="F157" s="667"/>
      <c r="G157" s="667"/>
      <c r="H157" s="667"/>
      <c r="I157" s="667"/>
      <c r="J157" s="667"/>
      <c r="K157" s="667"/>
      <c r="L157" s="667"/>
      <c r="M157" s="667"/>
      <c r="N157" s="667"/>
      <c r="O157" s="667"/>
      <c r="P157" s="667"/>
      <c r="Q157" s="667"/>
      <c r="R157" s="667"/>
      <c r="S157" s="667"/>
      <c r="T157" s="667"/>
      <c r="U157" s="667"/>
      <c r="V157" s="667"/>
      <c r="W157" s="667"/>
      <c r="X157" s="667"/>
      <c r="Y157" s="667"/>
      <c r="Z157" s="667"/>
      <c r="AA157" s="667"/>
      <c r="AB157" s="667"/>
      <c r="AC157" s="667"/>
      <c r="AD157" s="667"/>
      <c r="AE157" s="667"/>
      <c r="AF157" s="667"/>
      <c r="AG157" s="667"/>
      <c r="AH157" s="667"/>
      <c r="AI157" s="667"/>
      <c r="AJ157" s="667"/>
      <c r="AK157" s="667"/>
      <c r="AL157" s="668"/>
    </row>
    <row r="158" spans="1:38" ht="21" customHeight="1">
      <c r="A158" s="669" t="s">
        <v>202</v>
      </c>
      <c r="B158" s="669" t="s">
        <v>355</v>
      </c>
      <c r="C158" s="672" t="s">
        <v>422</v>
      </c>
      <c r="D158" s="673"/>
      <c r="E158" s="673"/>
      <c r="F158" s="673"/>
      <c r="G158" s="673"/>
      <c r="H158" s="673"/>
      <c r="I158" s="673"/>
      <c r="J158" s="673"/>
      <c r="K158" s="673"/>
      <c r="L158" s="673"/>
      <c r="M158" s="673"/>
      <c r="N158" s="673"/>
      <c r="O158" s="673"/>
      <c r="P158" s="673"/>
      <c r="Q158" s="673"/>
      <c r="R158" s="673"/>
      <c r="S158" s="673"/>
      <c r="T158" s="674"/>
      <c r="U158" s="672" t="s">
        <v>381</v>
      </c>
      <c r="V158" s="673"/>
      <c r="W158" s="673"/>
      <c r="X158" s="673"/>
      <c r="Y158" s="673"/>
      <c r="Z158" s="673"/>
      <c r="AA158" s="673"/>
      <c r="AB158" s="673"/>
      <c r="AC158" s="673"/>
      <c r="AD158" s="673"/>
      <c r="AE158" s="673"/>
      <c r="AF158" s="673"/>
      <c r="AG158" s="673"/>
      <c r="AH158" s="673"/>
      <c r="AI158" s="673"/>
      <c r="AJ158" s="673"/>
      <c r="AK158" s="673"/>
      <c r="AL158" s="674"/>
    </row>
    <row r="159" spans="1:38" ht="21" customHeight="1">
      <c r="A159" s="670"/>
      <c r="B159" s="670"/>
      <c r="C159" s="672" t="s">
        <v>203</v>
      </c>
      <c r="D159" s="673"/>
      <c r="E159" s="673"/>
      <c r="F159" s="673"/>
      <c r="G159" s="673"/>
      <c r="H159" s="674"/>
      <c r="I159" s="672" t="s">
        <v>204</v>
      </c>
      <c r="J159" s="673"/>
      <c r="K159" s="673"/>
      <c r="L159" s="673"/>
      <c r="M159" s="673"/>
      <c r="N159" s="674"/>
      <c r="O159" s="672" t="s">
        <v>205</v>
      </c>
      <c r="P159" s="673"/>
      <c r="Q159" s="673"/>
      <c r="R159" s="673"/>
      <c r="S159" s="673"/>
      <c r="T159" s="674"/>
      <c r="U159" s="672" t="s">
        <v>203</v>
      </c>
      <c r="V159" s="673"/>
      <c r="W159" s="673"/>
      <c r="X159" s="673"/>
      <c r="Y159" s="673"/>
      <c r="Z159" s="674"/>
      <c r="AA159" s="672" t="s">
        <v>204</v>
      </c>
      <c r="AB159" s="673"/>
      <c r="AC159" s="673"/>
      <c r="AD159" s="673"/>
      <c r="AE159" s="673"/>
      <c r="AF159" s="674"/>
      <c r="AG159" s="672" t="s">
        <v>205</v>
      </c>
      <c r="AH159" s="673"/>
      <c r="AI159" s="673"/>
      <c r="AJ159" s="673"/>
      <c r="AK159" s="673"/>
      <c r="AL159" s="674"/>
    </row>
    <row r="160" spans="1:38" ht="21" customHeight="1">
      <c r="A160" s="670"/>
      <c r="B160" s="670"/>
      <c r="C160" s="672" t="s">
        <v>206</v>
      </c>
      <c r="D160" s="674"/>
      <c r="E160" s="672" t="s">
        <v>207</v>
      </c>
      <c r="F160" s="674"/>
      <c r="G160" s="672" t="s">
        <v>8</v>
      </c>
      <c r="H160" s="674"/>
      <c r="I160" s="672" t="s">
        <v>206</v>
      </c>
      <c r="J160" s="674"/>
      <c r="K160" s="672" t="s">
        <v>207</v>
      </c>
      <c r="L160" s="674"/>
      <c r="M160" s="672" t="s">
        <v>8</v>
      </c>
      <c r="N160" s="674"/>
      <c r="O160" s="672" t="s">
        <v>206</v>
      </c>
      <c r="P160" s="674"/>
      <c r="Q160" s="672" t="s">
        <v>207</v>
      </c>
      <c r="R160" s="674"/>
      <c r="S160" s="672" t="s">
        <v>8</v>
      </c>
      <c r="T160" s="674"/>
      <c r="U160" s="672" t="s">
        <v>206</v>
      </c>
      <c r="V160" s="674"/>
      <c r="W160" s="672" t="s">
        <v>207</v>
      </c>
      <c r="X160" s="674"/>
      <c r="Y160" s="672" t="s">
        <v>8</v>
      </c>
      <c r="Z160" s="674"/>
      <c r="AA160" s="672" t="s">
        <v>206</v>
      </c>
      <c r="AB160" s="674"/>
      <c r="AC160" s="672" t="s">
        <v>207</v>
      </c>
      <c r="AD160" s="674"/>
      <c r="AE160" s="672" t="s">
        <v>8</v>
      </c>
      <c r="AF160" s="674"/>
      <c r="AG160" s="672" t="s">
        <v>206</v>
      </c>
      <c r="AH160" s="674"/>
      <c r="AI160" s="672" t="s">
        <v>207</v>
      </c>
      <c r="AJ160" s="674"/>
      <c r="AK160" s="672" t="s">
        <v>8</v>
      </c>
      <c r="AL160" s="674"/>
    </row>
    <row r="161" spans="1:39" ht="21" customHeight="1">
      <c r="A161" s="671"/>
      <c r="B161" s="671"/>
      <c r="C161" s="252" t="s">
        <v>101</v>
      </c>
      <c r="D161" s="252" t="s">
        <v>356</v>
      </c>
      <c r="E161" s="252" t="s">
        <v>101</v>
      </c>
      <c r="F161" s="252" t="s">
        <v>356</v>
      </c>
      <c r="G161" s="252" t="s">
        <v>101</v>
      </c>
      <c r="H161" s="252" t="s">
        <v>356</v>
      </c>
      <c r="I161" s="252" t="s">
        <v>101</v>
      </c>
      <c r="J161" s="252" t="s">
        <v>356</v>
      </c>
      <c r="K161" s="252" t="s">
        <v>101</v>
      </c>
      <c r="L161" s="252" t="s">
        <v>356</v>
      </c>
      <c r="M161" s="252" t="s">
        <v>101</v>
      </c>
      <c r="N161" s="252" t="s">
        <v>356</v>
      </c>
      <c r="O161" s="252" t="s">
        <v>101</v>
      </c>
      <c r="P161" s="252" t="s">
        <v>356</v>
      </c>
      <c r="Q161" s="252" t="s">
        <v>101</v>
      </c>
      <c r="R161" s="252" t="s">
        <v>356</v>
      </c>
      <c r="S161" s="252" t="s">
        <v>101</v>
      </c>
      <c r="T161" s="257" t="s">
        <v>356</v>
      </c>
      <c r="U161" s="259" t="s">
        <v>101</v>
      </c>
      <c r="V161" s="252" t="s">
        <v>356</v>
      </c>
      <c r="W161" s="252" t="s">
        <v>101</v>
      </c>
      <c r="X161" s="252" t="s">
        <v>356</v>
      </c>
      <c r="Y161" s="252" t="s">
        <v>101</v>
      </c>
      <c r="Z161" s="252" t="s">
        <v>356</v>
      </c>
      <c r="AA161" s="252" t="s">
        <v>101</v>
      </c>
      <c r="AB161" s="252" t="s">
        <v>356</v>
      </c>
      <c r="AC161" s="252" t="s">
        <v>101</v>
      </c>
      <c r="AD161" s="252" t="s">
        <v>356</v>
      </c>
      <c r="AE161" s="252" t="s">
        <v>101</v>
      </c>
      <c r="AF161" s="252" t="s">
        <v>356</v>
      </c>
      <c r="AG161" s="252" t="s">
        <v>101</v>
      </c>
      <c r="AH161" s="252" t="s">
        <v>356</v>
      </c>
      <c r="AI161" s="252" t="s">
        <v>101</v>
      </c>
      <c r="AJ161" s="252" t="s">
        <v>356</v>
      </c>
      <c r="AK161" s="252" t="s">
        <v>101</v>
      </c>
      <c r="AL161" s="252" t="s">
        <v>356</v>
      </c>
    </row>
    <row r="162" spans="1:39" ht="21" customHeight="1">
      <c r="A162" s="251">
        <v>1</v>
      </c>
      <c r="B162" s="250" t="s">
        <v>299</v>
      </c>
      <c r="C162" s="255"/>
      <c r="D162" s="255"/>
      <c r="E162" s="255"/>
      <c r="F162" s="255"/>
      <c r="G162" s="252">
        <v>0</v>
      </c>
      <c r="H162" s="252">
        <v>0</v>
      </c>
      <c r="I162" s="252">
        <v>254</v>
      </c>
      <c r="J162" s="252">
        <v>124.69</v>
      </c>
      <c r="K162" s="252">
        <v>4</v>
      </c>
      <c r="L162" s="252">
        <v>0.5</v>
      </c>
      <c r="M162" s="252">
        <v>258</v>
      </c>
      <c r="N162" s="252">
        <v>125.19</v>
      </c>
      <c r="O162" s="255"/>
      <c r="P162" s="255"/>
      <c r="Q162" s="255"/>
      <c r="R162" s="255"/>
      <c r="S162" s="252">
        <v>0</v>
      </c>
      <c r="T162" s="257">
        <v>0</v>
      </c>
      <c r="U162" s="260"/>
      <c r="V162" s="255"/>
      <c r="W162" s="255"/>
      <c r="X162" s="255"/>
      <c r="Y162" s="252">
        <v>0</v>
      </c>
      <c r="Z162" s="252">
        <v>0</v>
      </c>
      <c r="AA162" s="252">
        <v>323</v>
      </c>
      <c r="AB162" s="252">
        <v>258.92</v>
      </c>
      <c r="AC162" s="252">
        <v>12</v>
      </c>
      <c r="AD162" s="252">
        <v>2.08</v>
      </c>
      <c r="AE162" s="252">
        <v>335</v>
      </c>
      <c r="AF162" s="252">
        <v>261</v>
      </c>
      <c r="AG162" s="255"/>
      <c r="AH162" s="255"/>
      <c r="AI162" s="255"/>
      <c r="AJ162" s="255"/>
      <c r="AK162" s="252">
        <v>0</v>
      </c>
      <c r="AL162" s="252">
        <v>0</v>
      </c>
    </row>
    <row r="163" spans="1:39" ht="21" customHeight="1">
      <c r="A163" s="251">
        <v>2</v>
      </c>
      <c r="B163" s="250" t="s">
        <v>300</v>
      </c>
      <c r="C163" s="255"/>
      <c r="D163" s="255"/>
      <c r="E163" s="255"/>
      <c r="F163" s="255"/>
      <c r="G163" s="252">
        <v>0</v>
      </c>
      <c r="H163" s="252">
        <v>0</v>
      </c>
      <c r="I163" s="252">
        <v>133</v>
      </c>
      <c r="J163" s="252">
        <v>65.44</v>
      </c>
      <c r="K163" s="255"/>
      <c r="L163" s="255"/>
      <c r="M163" s="252">
        <v>133</v>
      </c>
      <c r="N163" s="252">
        <v>65.44</v>
      </c>
      <c r="O163" s="255"/>
      <c r="P163" s="255"/>
      <c r="Q163" s="255"/>
      <c r="R163" s="255"/>
      <c r="S163" s="252">
        <v>0</v>
      </c>
      <c r="T163" s="257">
        <v>0</v>
      </c>
      <c r="U163" s="260"/>
      <c r="V163" s="255"/>
      <c r="W163" s="255"/>
      <c r="X163" s="255"/>
      <c r="Y163" s="252">
        <v>0</v>
      </c>
      <c r="Z163" s="252">
        <v>0</v>
      </c>
      <c r="AA163" s="252">
        <v>161</v>
      </c>
      <c r="AB163" s="252">
        <v>129.13999999999999</v>
      </c>
      <c r="AC163" s="255"/>
      <c r="AD163" s="255"/>
      <c r="AE163" s="252">
        <v>161</v>
      </c>
      <c r="AF163" s="252">
        <v>129.13999999999999</v>
      </c>
      <c r="AG163" s="255"/>
      <c r="AH163" s="255"/>
      <c r="AI163" s="255"/>
      <c r="AJ163" s="255"/>
      <c r="AK163" s="252">
        <v>0</v>
      </c>
      <c r="AL163" s="252">
        <v>0</v>
      </c>
    </row>
    <row r="164" spans="1:39" ht="21" customHeight="1">
      <c r="A164" s="251">
        <v>3</v>
      </c>
      <c r="B164" s="250" t="s">
        <v>301</v>
      </c>
      <c r="C164" s="255"/>
      <c r="D164" s="255"/>
      <c r="E164" s="255"/>
      <c r="F164" s="255"/>
      <c r="G164" s="252">
        <v>0</v>
      </c>
      <c r="H164" s="252">
        <v>0</v>
      </c>
      <c r="I164" s="252">
        <v>137</v>
      </c>
      <c r="J164" s="252">
        <v>63.39</v>
      </c>
      <c r="K164" s="255"/>
      <c r="L164" s="255"/>
      <c r="M164" s="252">
        <v>137</v>
      </c>
      <c r="N164" s="252">
        <v>63.39</v>
      </c>
      <c r="O164" s="255"/>
      <c r="P164" s="255"/>
      <c r="Q164" s="255"/>
      <c r="R164" s="255"/>
      <c r="S164" s="252">
        <v>0</v>
      </c>
      <c r="T164" s="257">
        <v>0</v>
      </c>
      <c r="U164" s="260"/>
      <c r="V164" s="255"/>
      <c r="W164" s="255"/>
      <c r="X164" s="255"/>
      <c r="Y164" s="252">
        <v>0</v>
      </c>
      <c r="Z164" s="252">
        <v>0</v>
      </c>
      <c r="AA164" s="252">
        <v>157</v>
      </c>
      <c r="AB164" s="252">
        <v>131.44</v>
      </c>
      <c r="AC164" s="255"/>
      <c r="AD164" s="255"/>
      <c r="AE164" s="252">
        <v>157</v>
      </c>
      <c r="AF164" s="252">
        <v>131.44</v>
      </c>
      <c r="AG164" s="255"/>
      <c r="AH164" s="255"/>
      <c r="AI164" s="255"/>
      <c r="AJ164" s="255"/>
      <c r="AK164" s="252">
        <v>0</v>
      </c>
      <c r="AL164" s="252">
        <v>0</v>
      </c>
    </row>
    <row r="165" spans="1:39" ht="21" customHeight="1">
      <c r="A165" s="251">
        <v>4</v>
      </c>
      <c r="B165" s="250" t="s">
        <v>302</v>
      </c>
      <c r="C165" s="255"/>
      <c r="D165" s="255"/>
      <c r="E165" s="255"/>
      <c r="F165" s="255"/>
      <c r="G165" s="252">
        <v>0</v>
      </c>
      <c r="H165" s="252">
        <v>0</v>
      </c>
      <c r="I165" s="252">
        <v>61</v>
      </c>
      <c r="J165" s="252">
        <v>33.28</v>
      </c>
      <c r="K165" s="255"/>
      <c r="L165" s="255"/>
      <c r="M165" s="252">
        <v>61</v>
      </c>
      <c r="N165" s="252">
        <v>33.28</v>
      </c>
      <c r="O165" s="255"/>
      <c r="P165" s="255"/>
      <c r="Q165" s="255"/>
      <c r="R165" s="255"/>
      <c r="S165" s="252">
        <v>0</v>
      </c>
      <c r="T165" s="257">
        <v>0</v>
      </c>
      <c r="U165" s="260"/>
      <c r="V165" s="255"/>
      <c r="W165" s="255"/>
      <c r="X165" s="255"/>
      <c r="Y165" s="252">
        <v>0</v>
      </c>
      <c r="Z165" s="252">
        <v>0</v>
      </c>
      <c r="AA165" s="252">
        <v>67</v>
      </c>
      <c r="AB165" s="252">
        <v>73.5</v>
      </c>
      <c r="AC165" s="255"/>
      <c r="AD165" s="255"/>
      <c r="AE165" s="252">
        <v>67</v>
      </c>
      <c r="AF165" s="252">
        <v>73.5</v>
      </c>
      <c r="AG165" s="255"/>
      <c r="AH165" s="255"/>
      <c r="AI165" s="255"/>
      <c r="AJ165" s="255"/>
      <c r="AK165" s="252">
        <v>0</v>
      </c>
      <c r="AL165" s="252">
        <v>0</v>
      </c>
      <c r="AM165" s="256"/>
    </row>
    <row r="166" spans="1:39" ht="21" customHeight="1">
      <c r="A166" s="251">
        <v>5</v>
      </c>
      <c r="B166" s="250" t="s">
        <v>303</v>
      </c>
      <c r="C166" s="255"/>
      <c r="D166" s="255"/>
      <c r="E166" s="255"/>
      <c r="F166" s="255"/>
      <c r="G166" s="252">
        <v>0</v>
      </c>
      <c r="H166" s="252">
        <v>0</v>
      </c>
      <c r="I166" s="252">
        <v>286</v>
      </c>
      <c r="J166" s="252">
        <v>150.75</v>
      </c>
      <c r="K166" s="252">
        <v>45</v>
      </c>
      <c r="L166" s="252">
        <v>19</v>
      </c>
      <c r="M166" s="252">
        <v>331</v>
      </c>
      <c r="N166" s="252">
        <v>169.75</v>
      </c>
      <c r="O166" s="255"/>
      <c r="P166" s="255"/>
      <c r="Q166" s="255"/>
      <c r="R166" s="255"/>
      <c r="S166" s="252">
        <v>0</v>
      </c>
      <c r="T166" s="257">
        <v>0</v>
      </c>
      <c r="U166" s="260"/>
      <c r="V166" s="255"/>
      <c r="W166" s="255"/>
      <c r="X166" s="255"/>
      <c r="Y166" s="252">
        <v>0</v>
      </c>
      <c r="Z166" s="252">
        <v>0</v>
      </c>
      <c r="AA166" s="252">
        <v>353</v>
      </c>
      <c r="AB166" s="252">
        <v>289.86</v>
      </c>
      <c r="AC166" s="252">
        <v>81</v>
      </c>
      <c r="AD166" s="252">
        <v>63.22</v>
      </c>
      <c r="AE166" s="252">
        <v>434</v>
      </c>
      <c r="AF166" s="252">
        <v>353.08</v>
      </c>
      <c r="AG166" s="255"/>
      <c r="AH166" s="255"/>
      <c r="AI166" s="255"/>
      <c r="AJ166" s="255"/>
      <c r="AK166" s="252">
        <v>0</v>
      </c>
      <c r="AL166" s="252">
        <v>0</v>
      </c>
      <c r="AM166" s="256"/>
    </row>
    <row r="167" spans="1:39" ht="21" customHeight="1">
      <c r="A167" s="675" t="s">
        <v>8</v>
      </c>
      <c r="B167" s="676"/>
      <c r="C167" s="252"/>
      <c r="D167" s="252"/>
      <c r="E167" s="252"/>
      <c r="F167" s="252"/>
      <c r="G167" s="252">
        <f t="shared" ref="G167:N167" si="2">SUM(G162:G166)</f>
        <v>0</v>
      </c>
      <c r="H167" s="252">
        <f t="shared" si="2"/>
        <v>0</v>
      </c>
      <c r="I167" s="252">
        <f t="shared" si="2"/>
        <v>871</v>
      </c>
      <c r="J167" s="252">
        <f t="shared" si="2"/>
        <v>437.54999999999995</v>
      </c>
      <c r="K167" s="252">
        <f t="shared" si="2"/>
        <v>49</v>
      </c>
      <c r="L167" s="252">
        <f t="shared" si="2"/>
        <v>19.5</v>
      </c>
      <c r="M167" s="252">
        <f t="shared" si="2"/>
        <v>920</v>
      </c>
      <c r="N167" s="252">
        <f t="shared" si="2"/>
        <v>457.04999999999995</v>
      </c>
      <c r="O167" s="252"/>
      <c r="P167" s="252"/>
      <c r="Q167" s="252"/>
      <c r="R167" s="252"/>
      <c r="S167" s="252">
        <f>SUM(S162:S166)</f>
        <v>0</v>
      </c>
      <c r="T167" s="257">
        <f>SUM(T162:T166)</f>
        <v>0</v>
      </c>
      <c r="U167" s="259"/>
      <c r="V167" s="252"/>
      <c r="W167" s="252"/>
      <c r="X167" s="252"/>
      <c r="Y167" s="252">
        <f t="shared" ref="Y167:AF167" si="3">SUM(Y162:Y166)</f>
        <v>0</v>
      </c>
      <c r="Z167" s="252">
        <f t="shared" si="3"/>
        <v>0</v>
      </c>
      <c r="AA167" s="252">
        <f t="shared" si="3"/>
        <v>1061</v>
      </c>
      <c r="AB167" s="252">
        <f t="shared" si="3"/>
        <v>882.86</v>
      </c>
      <c r="AC167" s="252">
        <f t="shared" si="3"/>
        <v>93</v>
      </c>
      <c r="AD167" s="252">
        <f t="shared" si="3"/>
        <v>65.3</v>
      </c>
      <c r="AE167" s="252">
        <f t="shared" si="3"/>
        <v>1154</v>
      </c>
      <c r="AF167" s="252">
        <f t="shared" si="3"/>
        <v>948.15999999999985</v>
      </c>
      <c r="AG167" s="252"/>
      <c r="AH167" s="252"/>
      <c r="AI167" s="252"/>
      <c r="AJ167" s="252"/>
      <c r="AK167" s="252">
        <f>SUM(AK162:AK166)</f>
        <v>0</v>
      </c>
      <c r="AL167" s="252">
        <f>SUM(AL162:AL166)</f>
        <v>0</v>
      </c>
      <c r="AM167" s="256"/>
    </row>
    <row r="168" spans="1:39" ht="21" customHeight="1">
      <c r="A168" s="666" t="s">
        <v>421</v>
      </c>
      <c r="B168" s="667"/>
      <c r="C168" s="667"/>
      <c r="D168" s="667"/>
      <c r="E168" s="667"/>
      <c r="F168" s="667"/>
      <c r="G168" s="667"/>
      <c r="H168" s="667"/>
      <c r="I168" s="667"/>
      <c r="J168" s="667"/>
      <c r="K168" s="667"/>
      <c r="L168" s="667"/>
      <c r="M168" s="667"/>
      <c r="N168" s="667"/>
      <c r="O168" s="667"/>
      <c r="P168" s="667"/>
      <c r="Q168" s="667"/>
      <c r="R168" s="667"/>
      <c r="S168" s="667"/>
      <c r="T168" s="667"/>
      <c r="U168" s="667"/>
      <c r="V168" s="667"/>
      <c r="W168" s="667"/>
      <c r="X168" s="667"/>
      <c r="Y168" s="667"/>
      <c r="Z168" s="667"/>
      <c r="AA168" s="667"/>
      <c r="AB168" s="667"/>
      <c r="AC168" s="667"/>
      <c r="AD168" s="667"/>
      <c r="AE168" s="667"/>
      <c r="AF168" s="667"/>
      <c r="AG168" s="667"/>
      <c r="AH168" s="667"/>
      <c r="AI168" s="667"/>
      <c r="AJ168" s="667"/>
      <c r="AK168" s="667"/>
      <c r="AL168" s="668"/>
      <c r="AM168" s="256"/>
    </row>
    <row r="169" spans="1:39" ht="21" customHeight="1">
      <c r="A169" s="666" t="s">
        <v>304</v>
      </c>
      <c r="B169" s="667"/>
      <c r="C169" s="667"/>
      <c r="D169" s="667"/>
      <c r="E169" s="667"/>
      <c r="F169" s="667"/>
      <c r="G169" s="667"/>
      <c r="H169" s="667"/>
      <c r="I169" s="667"/>
      <c r="J169" s="667"/>
      <c r="K169" s="667"/>
      <c r="L169" s="667"/>
      <c r="M169" s="667"/>
      <c r="N169" s="667"/>
      <c r="O169" s="667"/>
      <c r="P169" s="667"/>
      <c r="Q169" s="667"/>
      <c r="R169" s="667"/>
      <c r="S169" s="667"/>
      <c r="T169" s="667"/>
      <c r="U169" s="667"/>
      <c r="V169" s="667"/>
      <c r="W169" s="667"/>
      <c r="X169" s="667"/>
      <c r="Y169" s="667"/>
      <c r="Z169" s="667"/>
      <c r="AA169" s="667"/>
      <c r="AB169" s="667"/>
      <c r="AC169" s="667"/>
      <c r="AD169" s="667"/>
      <c r="AE169" s="667"/>
      <c r="AF169" s="667"/>
      <c r="AG169" s="667"/>
      <c r="AH169" s="667"/>
      <c r="AI169" s="667"/>
      <c r="AJ169" s="667"/>
      <c r="AK169" s="667"/>
      <c r="AL169" s="668"/>
    </row>
    <row r="170" spans="1:39" ht="21" customHeight="1">
      <c r="A170" s="669" t="s">
        <v>202</v>
      </c>
      <c r="B170" s="669" t="s">
        <v>355</v>
      </c>
      <c r="C170" s="672" t="s">
        <v>422</v>
      </c>
      <c r="D170" s="673"/>
      <c r="E170" s="673"/>
      <c r="F170" s="673"/>
      <c r="G170" s="673"/>
      <c r="H170" s="673"/>
      <c r="I170" s="673"/>
      <c r="J170" s="673"/>
      <c r="K170" s="673"/>
      <c r="L170" s="673"/>
      <c r="M170" s="673"/>
      <c r="N170" s="673"/>
      <c r="O170" s="673"/>
      <c r="P170" s="673"/>
      <c r="Q170" s="673"/>
      <c r="R170" s="673"/>
      <c r="S170" s="673"/>
      <c r="T170" s="674"/>
      <c r="U170" s="672" t="s">
        <v>381</v>
      </c>
      <c r="V170" s="673"/>
      <c r="W170" s="673"/>
      <c r="X170" s="673"/>
      <c r="Y170" s="673"/>
      <c r="Z170" s="673"/>
      <c r="AA170" s="673"/>
      <c r="AB170" s="673"/>
      <c r="AC170" s="673"/>
      <c r="AD170" s="673"/>
      <c r="AE170" s="673"/>
      <c r="AF170" s="673"/>
      <c r="AG170" s="673"/>
      <c r="AH170" s="673"/>
      <c r="AI170" s="673"/>
      <c r="AJ170" s="673"/>
      <c r="AK170" s="673"/>
      <c r="AL170" s="674"/>
    </row>
    <row r="171" spans="1:39" ht="21" customHeight="1">
      <c r="A171" s="670"/>
      <c r="B171" s="670"/>
      <c r="C171" s="672" t="s">
        <v>203</v>
      </c>
      <c r="D171" s="673"/>
      <c r="E171" s="673"/>
      <c r="F171" s="673"/>
      <c r="G171" s="673"/>
      <c r="H171" s="674"/>
      <c r="I171" s="672" t="s">
        <v>204</v>
      </c>
      <c r="J171" s="673"/>
      <c r="K171" s="673"/>
      <c r="L171" s="673"/>
      <c r="M171" s="673"/>
      <c r="N171" s="674"/>
      <c r="O171" s="672" t="s">
        <v>205</v>
      </c>
      <c r="P171" s="673"/>
      <c r="Q171" s="673"/>
      <c r="R171" s="673"/>
      <c r="S171" s="673"/>
      <c r="T171" s="674"/>
      <c r="U171" s="672" t="s">
        <v>203</v>
      </c>
      <c r="V171" s="673"/>
      <c r="W171" s="673"/>
      <c r="X171" s="673"/>
      <c r="Y171" s="673"/>
      <c r="Z171" s="674"/>
      <c r="AA171" s="672" t="s">
        <v>204</v>
      </c>
      <c r="AB171" s="673"/>
      <c r="AC171" s="673"/>
      <c r="AD171" s="673"/>
      <c r="AE171" s="673"/>
      <c r="AF171" s="674"/>
      <c r="AG171" s="672" t="s">
        <v>205</v>
      </c>
      <c r="AH171" s="673"/>
      <c r="AI171" s="673"/>
      <c r="AJ171" s="673"/>
      <c r="AK171" s="673"/>
      <c r="AL171" s="674"/>
    </row>
    <row r="172" spans="1:39" ht="21" customHeight="1">
      <c r="A172" s="670"/>
      <c r="B172" s="670"/>
      <c r="C172" s="672" t="s">
        <v>206</v>
      </c>
      <c r="D172" s="674"/>
      <c r="E172" s="672" t="s">
        <v>207</v>
      </c>
      <c r="F172" s="674"/>
      <c r="G172" s="672" t="s">
        <v>8</v>
      </c>
      <c r="H172" s="674"/>
      <c r="I172" s="672" t="s">
        <v>206</v>
      </c>
      <c r="J172" s="674"/>
      <c r="K172" s="672" t="s">
        <v>207</v>
      </c>
      <c r="L172" s="674"/>
      <c r="M172" s="672" t="s">
        <v>8</v>
      </c>
      <c r="N172" s="674"/>
      <c r="O172" s="672" t="s">
        <v>206</v>
      </c>
      <c r="P172" s="674"/>
      <c r="Q172" s="672" t="s">
        <v>207</v>
      </c>
      <c r="R172" s="674"/>
      <c r="S172" s="672" t="s">
        <v>8</v>
      </c>
      <c r="T172" s="674"/>
      <c r="U172" s="672" t="s">
        <v>206</v>
      </c>
      <c r="V172" s="674"/>
      <c r="W172" s="672" t="s">
        <v>207</v>
      </c>
      <c r="X172" s="674"/>
      <c r="Y172" s="672" t="s">
        <v>8</v>
      </c>
      <c r="Z172" s="674"/>
      <c r="AA172" s="672" t="s">
        <v>206</v>
      </c>
      <c r="AB172" s="674"/>
      <c r="AC172" s="672" t="s">
        <v>207</v>
      </c>
      <c r="AD172" s="674"/>
      <c r="AE172" s="672" t="s">
        <v>8</v>
      </c>
      <c r="AF172" s="674"/>
      <c r="AG172" s="672" t="s">
        <v>206</v>
      </c>
      <c r="AH172" s="674"/>
      <c r="AI172" s="672" t="s">
        <v>207</v>
      </c>
      <c r="AJ172" s="674"/>
      <c r="AK172" s="672" t="s">
        <v>8</v>
      </c>
      <c r="AL172" s="674"/>
    </row>
    <row r="173" spans="1:39" ht="21" customHeight="1">
      <c r="A173" s="671"/>
      <c r="B173" s="671"/>
      <c r="C173" s="252" t="s">
        <v>101</v>
      </c>
      <c r="D173" s="252" t="s">
        <v>356</v>
      </c>
      <c r="E173" s="252" t="s">
        <v>101</v>
      </c>
      <c r="F173" s="252" t="s">
        <v>356</v>
      </c>
      <c r="G173" s="252" t="s">
        <v>101</v>
      </c>
      <c r="H173" s="252" t="s">
        <v>356</v>
      </c>
      <c r="I173" s="252" t="s">
        <v>101</v>
      </c>
      <c r="J173" s="252" t="s">
        <v>356</v>
      </c>
      <c r="K173" s="252" t="s">
        <v>101</v>
      </c>
      <c r="L173" s="252" t="s">
        <v>356</v>
      </c>
      <c r="M173" s="252" t="s">
        <v>101</v>
      </c>
      <c r="N173" s="252" t="s">
        <v>356</v>
      </c>
      <c r="O173" s="252" t="s">
        <v>101</v>
      </c>
      <c r="P173" s="252" t="s">
        <v>356</v>
      </c>
      <c r="Q173" s="252" t="s">
        <v>101</v>
      </c>
      <c r="R173" s="252" t="s">
        <v>356</v>
      </c>
      <c r="S173" s="252" t="s">
        <v>101</v>
      </c>
      <c r="T173" s="257" t="s">
        <v>356</v>
      </c>
      <c r="U173" s="259" t="s">
        <v>101</v>
      </c>
      <c r="V173" s="252" t="s">
        <v>356</v>
      </c>
      <c r="W173" s="252" t="s">
        <v>101</v>
      </c>
      <c r="X173" s="252" t="s">
        <v>356</v>
      </c>
      <c r="Y173" s="252" t="s">
        <v>101</v>
      </c>
      <c r="Z173" s="252" t="s">
        <v>356</v>
      </c>
      <c r="AA173" s="252" t="s">
        <v>101</v>
      </c>
      <c r="AB173" s="252" t="s">
        <v>356</v>
      </c>
      <c r="AC173" s="252" t="s">
        <v>101</v>
      </c>
      <c r="AD173" s="252" t="s">
        <v>356</v>
      </c>
      <c r="AE173" s="252" t="s">
        <v>101</v>
      </c>
      <c r="AF173" s="252" t="s">
        <v>356</v>
      </c>
      <c r="AG173" s="252" t="s">
        <v>101</v>
      </c>
      <c r="AH173" s="252" t="s">
        <v>356</v>
      </c>
      <c r="AI173" s="252" t="s">
        <v>101</v>
      </c>
      <c r="AJ173" s="252" t="s">
        <v>356</v>
      </c>
      <c r="AK173" s="252" t="s">
        <v>101</v>
      </c>
      <c r="AL173" s="252" t="s">
        <v>356</v>
      </c>
    </row>
    <row r="174" spans="1:39" ht="21" customHeight="1">
      <c r="A174" s="251">
        <v>1</v>
      </c>
      <c r="B174" s="250" t="s">
        <v>305</v>
      </c>
      <c r="C174" s="255"/>
      <c r="D174" s="255"/>
      <c r="E174" s="255"/>
      <c r="F174" s="255"/>
      <c r="G174" s="252">
        <v>0</v>
      </c>
      <c r="H174" s="252">
        <v>0</v>
      </c>
      <c r="I174" s="252">
        <v>174</v>
      </c>
      <c r="J174" s="252">
        <v>76.25</v>
      </c>
      <c r="K174" s="252">
        <v>77</v>
      </c>
      <c r="L174" s="252">
        <v>30.44</v>
      </c>
      <c r="M174" s="252">
        <v>251</v>
      </c>
      <c r="N174" s="252">
        <v>106.69</v>
      </c>
      <c r="O174" s="255"/>
      <c r="P174" s="255"/>
      <c r="Q174" s="255"/>
      <c r="R174" s="255"/>
      <c r="S174" s="252">
        <v>0</v>
      </c>
      <c r="T174" s="257">
        <v>0</v>
      </c>
      <c r="U174" s="260"/>
      <c r="V174" s="255"/>
      <c r="W174" s="255"/>
      <c r="X174" s="255"/>
      <c r="Y174" s="252">
        <v>0</v>
      </c>
      <c r="Z174" s="252">
        <v>0</v>
      </c>
      <c r="AA174" s="252">
        <v>211</v>
      </c>
      <c r="AB174" s="252">
        <v>141.08000000000001</v>
      </c>
      <c r="AC174" s="252">
        <v>111</v>
      </c>
      <c r="AD174" s="252">
        <v>76.47</v>
      </c>
      <c r="AE174" s="252">
        <v>322</v>
      </c>
      <c r="AF174" s="252">
        <v>217.55</v>
      </c>
      <c r="AG174" s="255"/>
      <c r="AH174" s="255"/>
      <c r="AI174" s="255"/>
      <c r="AJ174" s="255"/>
      <c r="AK174" s="252">
        <v>0</v>
      </c>
      <c r="AL174" s="252">
        <v>0</v>
      </c>
    </row>
    <row r="175" spans="1:39" ht="21" customHeight="1">
      <c r="A175" s="251">
        <v>2</v>
      </c>
      <c r="B175" s="250" t="s">
        <v>208</v>
      </c>
      <c r="C175" s="255"/>
      <c r="D175" s="255"/>
      <c r="E175" s="255"/>
      <c r="F175" s="255"/>
      <c r="G175" s="252">
        <v>0</v>
      </c>
      <c r="H175" s="252">
        <v>0</v>
      </c>
      <c r="I175" s="252">
        <v>348</v>
      </c>
      <c r="J175" s="252">
        <v>173.89</v>
      </c>
      <c r="K175" s="252">
        <v>87</v>
      </c>
      <c r="L175" s="252">
        <v>35.42</v>
      </c>
      <c r="M175" s="252">
        <v>435</v>
      </c>
      <c r="N175" s="252">
        <v>209.31</v>
      </c>
      <c r="O175" s="255"/>
      <c r="P175" s="255"/>
      <c r="Q175" s="255"/>
      <c r="R175" s="255"/>
      <c r="S175" s="252">
        <v>0</v>
      </c>
      <c r="T175" s="257">
        <v>0</v>
      </c>
      <c r="U175" s="260"/>
      <c r="V175" s="255"/>
      <c r="W175" s="255"/>
      <c r="X175" s="255"/>
      <c r="Y175" s="252">
        <v>0</v>
      </c>
      <c r="Z175" s="252">
        <v>0</v>
      </c>
      <c r="AA175" s="252">
        <v>469</v>
      </c>
      <c r="AB175" s="252">
        <v>338.78</v>
      </c>
      <c r="AC175" s="252">
        <v>120</v>
      </c>
      <c r="AD175" s="252">
        <v>81.75</v>
      </c>
      <c r="AE175" s="252">
        <v>589</v>
      </c>
      <c r="AF175" s="252">
        <v>420.53</v>
      </c>
      <c r="AG175" s="255"/>
      <c r="AH175" s="255"/>
      <c r="AI175" s="255"/>
      <c r="AJ175" s="255"/>
      <c r="AK175" s="252">
        <v>0</v>
      </c>
      <c r="AL175" s="252">
        <v>0</v>
      </c>
    </row>
    <row r="176" spans="1:39" ht="21" customHeight="1">
      <c r="A176" s="251">
        <v>3</v>
      </c>
      <c r="B176" s="250" t="s">
        <v>306</v>
      </c>
      <c r="C176" s="255"/>
      <c r="D176" s="255"/>
      <c r="E176" s="255"/>
      <c r="F176" s="255"/>
      <c r="G176" s="252">
        <v>0</v>
      </c>
      <c r="H176" s="252">
        <v>0</v>
      </c>
      <c r="I176" s="252">
        <v>247</v>
      </c>
      <c r="J176" s="252">
        <v>120.28</v>
      </c>
      <c r="K176" s="252">
        <v>78</v>
      </c>
      <c r="L176" s="252">
        <v>32.39</v>
      </c>
      <c r="M176" s="252">
        <v>325</v>
      </c>
      <c r="N176" s="252">
        <v>152.66999999999999</v>
      </c>
      <c r="O176" s="255"/>
      <c r="P176" s="255"/>
      <c r="Q176" s="255"/>
      <c r="R176" s="255"/>
      <c r="S176" s="252">
        <v>0</v>
      </c>
      <c r="T176" s="257">
        <v>0</v>
      </c>
      <c r="U176" s="260"/>
      <c r="V176" s="255"/>
      <c r="W176" s="255"/>
      <c r="X176" s="255"/>
      <c r="Y176" s="252">
        <v>0</v>
      </c>
      <c r="Z176" s="252">
        <v>0</v>
      </c>
      <c r="AA176" s="252">
        <v>283</v>
      </c>
      <c r="AB176" s="252">
        <v>231</v>
      </c>
      <c r="AC176" s="252">
        <v>111</v>
      </c>
      <c r="AD176" s="252">
        <v>90.08</v>
      </c>
      <c r="AE176" s="252">
        <v>394</v>
      </c>
      <c r="AF176" s="252">
        <v>321.08</v>
      </c>
      <c r="AG176" s="255"/>
      <c r="AH176" s="255"/>
      <c r="AI176" s="255"/>
      <c r="AJ176" s="255"/>
      <c r="AK176" s="252">
        <v>0</v>
      </c>
      <c r="AL176" s="252">
        <v>0</v>
      </c>
    </row>
    <row r="177" spans="1:38" ht="21" customHeight="1">
      <c r="A177" s="251">
        <v>4</v>
      </c>
      <c r="B177" s="250" t="s">
        <v>307</v>
      </c>
      <c r="C177" s="255"/>
      <c r="D177" s="255"/>
      <c r="E177" s="255"/>
      <c r="F177" s="255"/>
      <c r="G177" s="252">
        <v>0</v>
      </c>
      <c r="H177" s="252">
        <v>0</v>
      </c>
      <c r="I177" s="252">
        <v>96</v>
      </c>
      <c r="J177" s="252">
        <v>46.08</v>
      </c>
      <c r="K177" s="252">
        <v>100</v>
      </c>
      <c r="L177" s="252">
        <v>45.94</v>
      </c>
      <c r="M177" s="252">
        <v>196</v>
      </c>
      <c r="N177" s="252">
        <v>92.02</v>
      </c>
      <c r="O177" s="255"/>
      <c r="P177" s="255"/>
      <c r="Q177" s="255"/>
      <c r="R177" s="255"/>
      <c r="S177" s="252">
        <v>0</v>
      </c>
      <c r="T177" s="257">
        <v>0</v>
      </c>
      <c r="U177" s="260"/>
      <c r="V177" s="255"/>
      <c r="W177" s="255"/>
      <c r="X177" s="255"/>
      <c r="Y177" s="252">
        <v>0</v>
      </c>
      <c r="Z177" s="252">
        <v>0</v>
      </c>
      <c r="AA177" s="252">
        <v>117</v>
      </c>
      <c r="AB177" s="252">
        <v>77</v>
      </c>
      <c r="AC177" s="252">
        <v>129</v>
      </c>
      <c r="AD177" s="252">
        <v>89.44</v>
      </c>
      <c r="AE177" s="252">
        <v>246</v>
      </c>
      <c r="AF177" s="252">
        <v>166.44</v>
      </c>
      <c r="AG177" s="255"/>
      <c r="AH177" s="255"/>
      <c r="AI177" s="255"/>
      <c r="AJ177" s="255"/>
      <c r="AK177" s="252">
        <v>0</v>
      </c>
      <c r="AL177" s="252">
        <v>0</v>
      </c>
    </row>
    <row r="178" spans="1:38" ht="21" customHeight="1">
      <c r="A178" s="251">
        <v>5</v>
      </c>
      <c r="B178" s="250" t="s">
        <v>308</v>
      </c>
      <c r="C178" s="255"/>
      <c r="D178" s="255"/>
      <c r="E178" s="255"/>
      <c r="F178" s="255"/>
      <c r="G178" s="252">
        <v>0</v>
      </c>
      <c r="H178" s="252">
        <v>0</v>
      </c>
      <c r="I178" s="255"/>
      <c r="J178" s="255"/>
      <c r="K178" s="255"/>
      <c r="L178" s="255"/>
      <c r="M178" s="252">
        <v>0</v>
      </c>
      <c r="N178" s="252">
        <v>0</v>
      </c>
      <c r="O178" s="255"/>
      <c r="P178" s="255"/>
      <c r="Q178" s="252">
        <v>8</v>
      </c>
      <c r="R178" s="252">
        <v>4.33</v>
      </c>
      <c r="S178" s="252">
        <v>8</v>
      </c>
      <c r="T178" s="257">
        <v>4.33</v>
      </c>
      <c r="U178" s="260"/>
      <c r="V178" s="255"/>
      <c r="W178" s="255"/>
      <c r="X178" s="255"/>
      <c r="Y178" s="252">
        <v>0</v>
      </c>
      <c r="Z178" s="252">
        <v>0</v>
      </c>
      <c r="AA178" s="255"/>
      <c r="AB178" s="255"/>
      <c r="AC178" s="255"/>
      <c r="AD178" s="255"/>
      <c r="AE178" s="252">
        <v>0</v>
      </c>
      <c r="AF178" s="252">
        <v>0</v>
      </c>
      <c r="AG178" s="255"/>
      <c r="AH178" s="255"/>
      <c r="AI178" s="252">
        <v>8</v>
      </c>
      <c r="AJ178" s="252">
        <v>7.33</v>
      </c>
      <c r="AK178" s="252">
        <v>8</v>
      </c>
      <c r="AL178" s="252">
        <v>7.33</v>
      </c>
    </row>
    <row r="179" spans="1:38" ht="21" customHeight="1">
      <c r="A179" s="251">
        <v>6</v>
      </c>
      <c r="B179" s="250" t="s">
        <v>209</v>
      </c>
      <c r="C179" s="255"/>
      <c r="D179" s="255"/>
      <c r="E179" s="255"/>
      <c r="F179" s="255"/>
      <c r="G179" s="252">
        <v>0</v>
      </c>
      <c r="H179" s="252">
        <v>0</v>
      </c>
      <c r="I179" s="252">
        <v>486</v>
      </c>
      <c r="J179" s="252">
        <v>240.61</v>
      </c>
      <c r="K179" s="252">
        <v>76</v>
      </c>
      <c r="L179" s="252">
        <v>38.08</v>
      </c>
      <c r="M179" s="252">
        <v>562</v>
      </c>
      <c r="N179" s="252">
        <v>278.69</v>
      </c>
      <c r="O179" s="255"/>
      <c r="P179" s="255"/>
      <c r="Q179" s="255"/>
      <c r="R179" s="255"/>
      <c r="S179" s="252">
        <v>0</v>
      </c>
      <c r="T179" s="257">
        <v>0</v>
      </c>
      <c r="U179" s="260"/>
      <c r="V179" s="255"/>
      <c r="W179" s="255"/>
      <c r="X179" s="255"/>
      <c r="Y179" s="252">
        <v>0</v>
      </c>
      <c r="Z179" s="252">
        <v>0</v>
      </c>
      <c r="AA179" s="252">
        <v>631</v>
      </c>
      <c r="AB179" s="252">
        <v>465.83</v>
      </c>
      <c r="AC179" s="252">
        <v>119</v>
      </c>
      <c r="AD179" s="252">
        <v>81.14</v>
      </c>
      <c r="AE179" s="252">
        <v>750</v>
      </c>
      <c r="AF179" s="252">
        <v>546.97</v>
      </c>
      <c r="AG179" s="255"/>
      <c r="AH179" s="255"/>
      <c r="AI179" s="255"/>
      <c r="AJ179" s="255"/>
      <c r="AK179" s="252">
        <v>0</v>
      </c>
      <c r="AL179" s="252">
        <v>0</v>
      </c>
    </row>
    <row r="180" spans="1:38" ht="21" customHeight="1">
      <c r="A180" s="251">
        <v>7</v>
      </c>
      <c r="B180" s="250" t="s">
        <v>210</v>
      </c>
      <c r="C180" s="255"/>
      <c r="D180" s="255"/>
      <c r="E180" s="255"/>
      <c r="F180" s="255"/>
      <c r="G180" s="252">
        <v>0</v>
      </c>
      <c r="H180" s="252">
        <v>0</v>
      </c>
      <c r="I180" s="252">
        <v>508</v>
      </c>
      <c r="J180" s="252">
        <v>262.33</v>
      </c>
      <c r="K180" s="252">
        <v>102</v>
      </c>
      <c r="L180" s="252">
        <v>43.17</v>
      </c>
      <c r="M180" s="252">
        <v>610</v>
      </c>
      <c r="N180" s="252">
        <v>305.5</v>
      </c>
      <c r="O180" s="255"/>
      <c r="P180" s="255"/>
      <c r="Q180" s="255"/>
      <c r="R180" s="255"/>
      <c r="S180" s="252">
        <v>0</v>
      </c>
      <c r="T180" s="257">
        <v>0</v>
      </c>
      <c r="U180" s="260"/>
      <c r="V180" s="255"/>
      <c r="W180" s="255"/>
      <c r="X180" s="255"/>
      <c r="Y180" s="252">
        <v>0</v>
      </c>
      <c r="Z180" s="252">
        <v>0</v>
      </c>
      <c r="AA180" s="252">
        <v>652</v>
      </c>
      <c r="AB180" s="252">
        <v>474.31</v>
      </c>
      <c r="AC180" s="252">
        <v>138</v>
      </c>
      <c r="AD180" s="252">
        <v>85.64</v>
      </c>
      <c r="AE180" s="252">
        <v>790</v>
      </c>
      <c r="AF180" s="252">
        <v>559.95000000000005</v>
      </c>
      <c r="AG180" s="255"/>
      <c r="AH180" s="255"/>
      <c r="AI180" s="255"/>
      <c r="AJ180" s="255"/>
      <c r="AK180" s="252">
        <v>0</v>
      </c>
      <c r="AL180" s="252">
        <v>0</v>
      </c>
    </row>
    <row r="181" spans="1:38" ht="21" customHeight="1">
      <c r="A181" s="251">
        <v>8</v>
      </c>
      <c r="B181" s="250" t="s">
        <v>211</v>
      </c>
      <c r="C181" s="255"/>
      <c r="D181" s="255"/>
      <c r="E181" s="255"/>
      <c r="F181" s="255"/>
      <c r="G181" s="252">
        <v>0</v>
      </c>
      <c r="H181" s="252">
        <v>0</v>
      </c>
      <c r="I181" s="252">
        <v>148</v>
      </c>
      <c r="J181" s="252">
        <v>75.11</v>
      </c>
      <c r="K181" s="255"/>
      <c r="L181" s="255"/>
      <c r="M181" s="252">
        <v>148</v>
      </c>
      <c r="N181" s="252">
        <v>75.11</v>
      </c>
      <c r="O181" s="255"/>
      <c r="P181" s="255"/>
      <c r="Q181" s="255"/>
      <c r="R181" s="255"/>
      <c r="S181" s="252">
        <v>0</v>
      </c>
      <c r="T181" s="257">
        <v>0</v>
      </c>
      <c r="U181" s="260"/>
      <c r="V181" s="255"/>
      <c r="W181" s="255"/>
      <c r="X181" s="255"/>
      <c r="Y181" s="252">
        <v>0</v>
      </c>
      <c r="Z181" s="252">
        <v>0</v>
      </c>
      <c r="AA181" s="252">
        <v>179</v>
      </c>
      <c r="AB181" s="252">
        <v>143.91999999999999</v>
      </c>
      <c r="AC181" s="255"/>
      <c r="AD181" s="255"/>
      <c r="AE181" s="252">
        <v>179</v>
      </c>
      <c r="AF181" s="252">
        <v>143.91999999999999</v>
      </c>
      <c r="AG181" s="255"/>
      <c r="AH181" s="255"/>
      <c r="AI181" s="255"/>
      <c r="AJ181" s="255"/>
      <c r="AK181" s="252">
        <v>0</v>
      </c>
      <c r="AL181" s="252">
        <v>0</v>
      </c>
    </row>
    <row r="182" spans="1:38" ht="21" customHeight="1">
      <c r="A182" s="251">
        <v>9</v>
      </c>
      <c r="B182" s="250" t="s">
        <v>212</v>
      </c>
      <c r="C182" s="255"/>
      <c r="D182" s="255"/>
      <c r="E182" s="255"/>
      <c r="F182" s="255"/>
      <c r="G182" s="252">
        <v>0</v>
      </c>
      <c r="H182" s="252">
        <v>0</v>
      </c>
      <c r="I182" s="252">
        <v>484</v>
      </c>
      <c r="J182" s="252">
        <v>211.83</v>
      </c>
      <c r="K182" s="252">
        <v>91</v>
      </c>
      <c r="L182" s="252">
        <v>44.31</v>
      </c>
      <c r="M182" s="252">
        <v>575</v>
      </c>
      <c r="N182" s="252">
        <v>256.14</v>
      </c>
      <c r="O182" s="255"/>
      <c r="P182" s="255"/>
      <c r="Q182" s="255"/>
      <c r="R182" s="255"/>
      <c r="S182" s="252">
        <v>0</v>
      </c>
      <c r="T182" s="257">
        <v>0</v>
      </c>
      <c r="U182" s="260"/>
      <c r="V182" s="255"/>
      <c r="W182" s="255"/>
      <c r="X182" s="255"/>
      <c r="Y182" s="252">
        <v>0</v>
      </c>
      <c r="Z182" s="252">
        <v>0</v>
      </c>
      <c r="AA182" s="252">
        <v>639</v>
      </c>
      <c r="AB182" s="252">
        <v>447.72</v>
      </c>
      <c r="AC182" s="252">
        <v>125</v>
      </c>
      <c r="AD182" s="252">
        <v>91</v>
      </c>
      <c r="AE182" s="252">
        <v>764</v>
      </c>
      <c r="AF182" s="252">
        <v>538.72</v>
      </c>
      <c r="AG182" s="255"/>
      <c r="AH182" s="255"/>
      <c r="AI182" s="255"/>
      <c r="AJ182" s="255"/>
      <c r="AK182" s="252">
        <v>0</v>
      </c>
      <c r="AL182" s="252">
        <v>0</v>
      </c>
    </row>
    <row r="183" spans="1:38" ht="21" customHeight="1">
      <c r="A183" s="675" t="s">
        <v>8</v>
      </c>
      <c r="B183" s="676"/>
      <c r="C183" s="252"/>
      <c r="D183" s="252"/>
      <c r="E183" s="252"/>
      <c r="F183" s="252"/>
      <c r="G183" s="252">
        <f t="shared" ref="G183:N183" si="4">SUM(G174:G182)</f>
        <v>0</v>
      </c>
      <c r="H183" s="252">
        <f t="shared" si="4"/>
        <v>0</v>
      </c>
      <c r="I183" s="252">
        <f t="shared" si="4"/>
        <v>2491</v>
      </c>
      <c r="J183" s="252">
        <f t="shared" si="4"/>
        <v>1206.3799999999999</v>
      </c>
      <c r="K183" s="252">
        <f t="shared" si="4"/>
        <v>611</v>
      </c>
      <c r="L183" s="252">
        <f t="shared" si="4"/>
        <v>269.75</v>
      </c>
      <c r="M183" s="252">
        <f t="shared" si="4"/>
        <v>3102</v>
      </c>
      <c r="N183" s="252">
        <f t="shared" si="4"/>
        <v>1476.1299999999997</v>
      </c>
      <c r="O183" s="252"/>
      <c r="P183" s="252"/>
      <c r="Q183" s="252">
        <f>SUM(Q174:Q182)</f>
        <v>8</v>
      </c>
      <c r="R183" s="252">
        <f>SUM(R174:R182)</f>
        <v>4.33</v>
      </c>
      <c r="S183" s="252">
        <f>SUM(S174:S182)</f>
        <v>8</v>
      </c>
      <c r="T183" s="257">
        <f>SUM(T174:T182)</f>
        <v>4.33</v>
      </c>
      <c r="U183" s="259"/>
      <c r="V183" s="252"/>
      <c r="W183" s="252"/>
      <c r="X183" s="252"/>
      <c r="Y183" s="252">
        <f t="shared" ref="Y183:AF183" si="5">SUM(Y174:Y182)</f>
        <v>0</v>
      </c>
      <c r="Z183" s="252">
        <f t="shared" si="5"/>
        <v>0</v>
      </c>
      <c r="AA183" s="252">
        <f t="shared" si="5"/>
        <v>3181</v>
      </c>
      <c r="AB183" s="252">
        <f t="shared" si="5"/>
        <v>2319.6400000000003</v>
      </c>
      <c r="AC183" s="252">
        <f t="shared" si="5"/>
        <v>853</v>
      </c>
      <c r="AD183" s="252">
        <f t="shared" si="5"/>
        <v>595.52</v>
      </c>
      <c r="AE183" s="252">
        <f t="shared" si="5"/>
        <v>4034</v>
      </c>
      <c r="AF183" s="252">
        <f t="shared" si="5"/>
        <v>2915.16</v>
      </c>
      <c r="AG183" s="252"/>
      <c r="AH183" s="252"/>
      <c r="AI183" s="252">
        <f>SUM(AI174:AI182)</f>
        <v>8</v>
      </c>
      <c r="AJ183" s="252">
        <f>SUM(AJ174:AJ182)</f>
        <v>7.33</v>
      </c>
      <c r="AK183" s="252">
        <f>SUM(AK174:AK182)</f>
        <v>8</v>
      </c>
      <c r="AL183" s="252">
        <f>SUM(AL174:AL182)</f>
        <v>7.33</v>
      </c>
    </row>
    <row r="184" spans="1:38" ht="21" customHeight="1">
      <c r="A184" s="666" t="s">
        <v>421</v>
      </c>
      <c r="B184" s="667"/>
      <c r="C184" s="667"/>
      <c r="D184" s="667"/>
      <c r="E184" s="667"/>
      <c r="F184" s="667"/>
      <c r="G184" s="667"/>
      <c r="H184" s="667"/>
      <c r="I184" s="667"/>
      <c r="J184" s="667"/>
      <c r="K184" s="667"/>
      <c r="L184" s="667"/>
      <c r="M184" s="667"/>
      <c r="N184" s="667"/>
      <c r="O184" s="667"/>
      <c r="P184" s="667"/>
      <c r="Q184" s="667"/>
      <c r="R184" s="667"/>
      <c r="S184" s="667"/>
      <c r="T184" s="667"/>
      <c r="U184" s="667"/>
      <c r="V184" s="667"/>
      <c r="W184" s="667"/>
      <c r="X184" s="667"/>
      <c r="Y184" s="667"/>
      <c r="Z184" s="667"/>
      <c r="AA184" s="667"/>
      <c r="AB184" s="667"/>
      <c r="AC184" s="667"/>
      <c r="AD184" s="667"/>
      <c r="AE184" s="667"/>
      <c r="AF184" s="667"/>
      <c r="AG184" s="667"/>
      <c r="AH184" s="667"/>
      <c r="AI184" s="667"/>
      <c r="AJ184" s="667"/>
      <c r="AK184" s="667"/>
      <c r="AL184" s="668"/>
    </row>
    <row r="185" spans="1:38" ht="21" customHeight="1">
      <c r="A185" s="666" t="s">
        <v>309</v>
      </c>
      <c r="B185" s="667"/>
      <c r="C185" s="667"/>
      <c r="D185" s="667"/>
      <c r="E185" s="667"/>
      <c r="F185" s="667"/>
      <c r="G185" s="667"/>
      <c r="H185" s="667"/>
      <c r="I185" s="667"/>
      <c r="J185" s="667"/>
      <c r="K185" s="667"/>
      <c r="L185" s="667"/>
      <c r="M185" s="667"/>
      <c r="N185" s="667"/>
      <c r="O185" s="667"/>
      <c r="P185" s="667"/>
      <c r="Q185" s="667"/>
      <c r="R185" s="667"/>
      <c r="S185" s="667"/>
      <c r="T185" s="667"/>
      <c r="U185" s="667"/>
      <c r="V185" s="667"/>
      <c r="W185" s="667"/>
      <c r="X185" s="667"/>
      <c r="Y185" s="667"/>
      <c r="Z185" s="667"/>
      <c r="AA185" s="667"/>
      <c r="AB185" s="667"/>
      <c r="AC185" s="667"/>
      <c r="AD185" s="667"/>
      <c r="AE185" s="667"/>
      <c r="AF185" s="667"/>
      <c r="AG185" s="667"/>
      <c r="AH185" s="667"/>
      <c r="AI185" s="667"/>
      <c r="AJ185" s="667"/>
      <c r="AK185" s="667"/>
      <c r="AL185" s="668"/>
    </row>
    <row r="186" spans="1:38" ht="21" customHeight="1">
      <c r="A186" s="669" t="s">
        <v>202</v>
      </c>
      <c r="B186" s="669" t="s">
        <v>355</v>
      </c>
      <c r="C186" s="672" t="s">
        <v>422</v>
      </c>
      <c r="D186" s="673"/>
      <c r="E186" s="673"/>
      <c r="F186" s="673"/>
      <c r="G186" s="673"/>
      <c r="H186" s="673"/>
      <c r="I186" s="673"/>
      <c r="J186" s="673"/>
      <c r="K186" s="673"/>
      <c r="L186" s="673"/>
      <c r="M186" s="673"/>
      <c r="N186" s="673"/>
      <c r="O186" s="673"/>
      <c r="P186" s="673"/>
      <c r="Q186" s="673"/>
      <c r="R186" s="673"/>
      <c r="S186" s="673"/>
      <c r="T186" s="674"/>
      <c r="U186" s="672" t="s">
        <v>381</v>
      </c>
      <c r="V186" s="673"/>
      <c r="W186" s="673"/>
      <c r="X186" s="673"/>
      <c r="Y186" s="673"/>
      <c r="Z186" s="673"/>
      <c r="AA186" s="673"/>
      <c r="AB186" s="673"/>
      <c r="AC186" s="673"/>
      <c r="AD186" s="673"/>
      <c r="AE186" s="673"/>
      <c r="AF186" s="673"/>
      <c r="AG186" s="673"/>
      <c r="AH186" s="673"/>
      <c r="AI186" s="673"/>
      <c r="AJ186" s="673"/>
      <c r="AK186" s="673"/>
      <c r="AL186" s="674"/>
    </row>
    <row r="187" spans="1:38" ht="21" customHeight="1">
      <c r="A187" s="670"/>
      <c r="B187" s="670"/>
      <c r="C187" s="672" t="s">
        <v>203</v>
      </c>
      <c r="D187" s="673"/>
      <c r="E187" s="673"/>
      <c r="F187" s="673"/>
      <c r="G187" s="673"/>
      <c r="H187" s="674"/>
      <c r="I187" s="672" t="s">
        <v>204</v>
      </c>
      <c r="J187" s="673"/>
      <c r="K187" s="673"/>
      <c r="L187" s="673"/>
      <c r="M187" s="673"/>
      <c r="N187" s="674"/>
      <c r="O187" s="672" t="s">
        <v>205</v>
      </c>
      <c r="P187" s="673"/>
      <c r="Q187" s="673"/>
      <c r="R187" s="673"/>
      <c r="S187" s="673"/>
      <c r="T187" s="674"/>
      <c r="U187" s="672" t="s">
        <v>203</v>
      </c>
      <c r="V187" s="673"/>
      <c r="W187" s="673"/>
      <c r="X187" s="673"/>
      <c r="Y187" s="673"/>
      <c r="Z187" s="674"/>
      <c r="AA187" s="672" t="s">
        <v>204</v>
      </c>
      <c r="AB187" s="673"/>
      <c r="AC187" s="673"/>
      <c r="AD187" s="673"/>
      <c r="AE187" s="673"/>
      <c r="AF187" s="674"/>
      <c r="AG187" s="672" t="s">
        <v>205</v>
      </c>
      <c r="AH187" s="673"/>
      <c r="AI187" s="673"/>
      <c r="AJ187" s="673"/>
      <c r="AK187" s="673"/>
      <c r="AL187" s="674"/>
    </row>
    <row r="188" spans="1:38" ht="21" customHeight="1">
      <c r="A188" s="670"/>
      <c r="B188" s="670"/>
      <c r="C188" s="672" t="s">
        <v>206</v>
      </c>
      <c r="D188" s="674"/>
      <c r="E188" s="672" t="s">
        <v>207</v>
      </c>
      <c r="F188" s="674"/>
      <c r="G188" s="672" t="s">
        <v>8</v>
      </c>
      <c r="H188" s="674"/>
      <c r="I188" s="672" t="s">
        <v>206</v>
      </c>
      <c r="J188" s="674"/>
      <c r="K188" s="672" t="s">
        <v>207</v>
      </c>
      <c r="L188" s="674"/>
      <c r="M188" s="672" t="s">
        <v>8</v>
      </c>
      <c r="N188" s="674"/>
      <c r="O188" s="672" t="s">
        <v>206</v>
      </c>
      <c r="P188" s="674"/>
      <c r="Q188" s="672" t="s">
        <v>207</v>
      </c>
      <c r="R188" s="674"/>
      <c r="S188" s="672" t="s">
        <v>8</v>
      </c>
      <c r="T188" s="674"/>
      <c r="U188" s="672" t="s">
        <v>206</v>
      </c>
      <c r="V188" s="674"/>
      <c r="W188" s="672" t="s">
        <v>207</v>
      </c>
      <c r="X188" s="674"/>
      <c r="Y188" s="672" t="s">
        <v>8</v>
      </c>
      <c r="Z188" s="674"/>
      <c r="AA188" s="672" t="s">
        <v>206</v>
      </c>
      <c r="AB188" s="674"/>
      <c r="AC188" s="672" t="s">
        <v>207</v>
      </c>
      <c r="AD188" s="674"/>
      <c r="AE188" s="672" t="s">
        <v>8</v>
      </c>
      <c r="AF188" s="674"/>
      <c r="AG188" s="672" t="s">
        <v>206</v>
      </c>
      <c r="AH188" s="674"/>
      <c r="AI188" s="672" t="s">
        <v>207</v>
      </c>
      <c r="AJ188" s="674"/>
      <c r="AK188" s="672" t="s">
        <v>8</v>
      </c>
      <c r="AL188" s="674"/>
    </row>
    <row r="189" spans="1:38" ht="21" customHeight="1">
      <c r="A189" s="671"/>
      <c r="B189" s="671"/>
      <c r="C189" s="252" t="s">
        <v>101</v>
      </c>
      <c r="D189" s="252" t="s">
        <v>356</v>
      </c>
      <c r="E189" s="252" t="s">
        <v>101</v>
      </c>
      <c r="F189" s="252" t="s">
        <v>356</v>
      </c>
      <c r="G189" s="252" t="s">
        <v>101</v>
      </c>
      <c r="H189" s="252" t="s">
        <v>356</v>
      </c>
      <c r="I189" s="252" t="s">
        <v>101</v>
      </c>
      <c r="J189" s="252" t="s">
        <v>356</v>
      </c>
      <c r="K189" s="252" t="s">
        <v>101</v>
      </c>
      <c r="L189" s="252" t="s">
        <v>356</v>
      </c>
      <c r="M189" s="252" t="s">
        <v>101</v>
      </c>
      <c r="N189" s="252" t="s">
        <v>356</v>
      </c>
      <c r="O189" s="252" t="s">
        <v>101</v>
      </c>
      <c r="P189" s="252" t="s">
        <v>356</v>
      </c>
      <c r="Q189" s="252" t="s">
        <v>101</v>
      </c>
      <c r="R189" s="252" t="s">
        <v>356</v>
      </c>
      <c r="S189" s="252" t="s">
        <v>101</v>
      </c>
      <c r="T189" s="257" t="s">
        <v>356</v>
      </c>
      <c r="U189" s="259" t="s">
        <v>101</v>
      </c>
      <c r="V189" s="252" t="s">
        <v>356</v>
      </c>
      <c r="W189" s="252" t="s">
        <v>101</v>
      </c>
      <c r="X189" s="252" t="s">
        <v>356</v>
      </c>
      <c r="Y189" s="252" t="s">
        <v>101</v>
      </c>
      <c r="Z189" s="252" t="s">
        <v>356</v>
      </c>
      <c r="AA189" s="252" t="s">
        <v>101</v>
      </c>
      <c r="AB189" s="252" t="s">
        <v>356</v>
      </c>
      <c r="AC189" s="252" t="s">
        <v>101</v>
      </c>
      <c r="AD189" s="252" t="s">
        <v>356</v>
      </c>
      <c r="AE189" s="252" t="s">
        <v>101</v>
      </c>
      <c r="AF189" s="252" t="s">
        <v>356</v>
      </c>
      <c r="AG189" s="252" t="s">
        <v>101</v>
      </c>
      <c r="AH189" s="252" t="s">
        <v>356</v>
      </c>
      <c r="AI189" s="252" t="s">
        <v>101</v>
      </c>
      <c r="AJ189" s="252" t="s">
        <v>356</v>
      </c>
      <c r="AK189" s="252" t="s">
        <v>101</v>
      </c>
      <c r="AL189" s="252" t="s">
        <v>356</v>
      </c>
    </row>
    <row r="190" spans="1:38" ht="21" customHeight="1">
      <c r="A190" s="251">
        <v>1</v>
      </c>
      <c r="B190" s="250" t="s">
        <v>310</v>
      </c>
      <c r="C190" s="255"/>
      <c r="D190" s="255"/>
      <c r="E190" s="255"/>
      <c r="F190" s="255"/>
      <c r="G190" s="252">
        <v>0</v>
      </c>
      <c r="H190" s="252">
        <v>0</v>
      </c>
      <c r="I190" s="252">
        <v>204</v>
      </c>
      <c r="J190" s="252">
        <v>107.47</v>
      </c>
      <c r="K190" s="255"/>
      <c r="L190" s="255"/>
      <c r="M190" s="252">
        <v>204</v>
      </c>
      <c r="N190" s="252">
        <v>107.47</v>
      </c>
      <c r="O190" s="255"/>
      <c r="P190" s="255"/>
      <c r="Q190" s="255"/>
      <c r="R190" s="255"/>
      <c r="S190" s="252">
        <v>0</v>
      </c>
      <c r="T190" s="257">
        <v>0</v>
      </c>
      <c r="U190" s="260"/>
      <c r="V190" s="255"/>
      <c r="W190" s="255"/>
      <c r="X190" s="255"/>
      <c r="Y190" s="252">
        <v>0</v>
      </c>
      <c r="Z190" s="252">
        <v>0</v>
      </c>
      <c r="AA190" s="252">
        <v>233</v>
      </c>
      <c r="AB190" s="252">
        <v>209.22</v>
      </c>
      <c r="AC190" s="255"/>
      <c r="AD190" s="255"/>
      <c r="AE190" s="252">
        <v>233</v>
      </c>
      <c r="AF190" s="252">
        <v>209.22</v>
      </c>
      <c r="AG190" s="255"/>
      <c r="AH190" s="255"/>
      <c r="AI190" s="255"/>
      <c r="AJ190" s="255"/>
      <c r="AK190" s="252">
        <v>0</v>
      </c>
      <c r="AL190" s="252">
        <v>0</v>
      </c>
    </row>
    <row r="191" spans="1:38" ht="21" customHeight="1">
      <c r="A191" s="251">
        <v>2</v>
      </c>
      <c r="B191" s="250" t="s">
        <v>311</v>
      </c>
      <c r="C191" s="255"/>
      <c r="D191" s="255"/>
      <c r="E191" s="255"/>
      <c r="F191" s="255"/>
      <c r="G191" s="252">
        <v>0</v>
      </c>
      <c r="H191" s="252">
        <v>0</v>
      </c>
      <c r="I191" s="252">
        <v>147</v>
      </c>
      <c r="J191" s="252">
        <v>67.58</v>
      </c>
      <c r="K191" s="252">
        <v>11</v>
      </c>
      <c r="L191" s="252">
        <v>1.89</v>
      </c>
      <c r="M191" s="252">
        <v>158</v>
      </c>
      <c r="N191" s="252">
        <v>69.47</v>
      </c>
      <c r="O191" s="255"/>
      <c r="P191" s="255"/>
      <c r="Q191" s="255"/>
      <c r="R191" s="255"/>
      <c r="S191" s="252">
        <v>0</v>
      </c>
      <c r="T191" s="257">
        <v>0</v>
      </c>
      <c r="U191" s="260"/>
      <c r="V191" s="255"/>
      <c r="W191" s="255"/>
      <c r="X191" s="255"/>
      <c r="Y191" s="252">
        <v>0</v>
      </c>
      <c r="Z191" s="252">
        <v>0</v>
      </c>
      <c r="AA191" s="252">
        <v>182</v>
      </c>
      <c r="AB191" s="252">
        <v>139.47</v>
      </c>
      <c r="AC191" s="252">
        <v>25</v>
      </c>
      <c r="AD191" s="252">
        <v>6.31</v>
      </c>
      <c r="AE191" s="252">
        <v>207</v>
      </c>
      <c r="AF191" s="252">
        <v>145.78</v>
      </c>
      <c r="AG191" s="255"/>
      <c r="AH191" s="255"/>
      <c r="AI191" s="255"/>
      <c r="AJ191" s="255"/>
      <c r="AK191" s="252">
        <v>0</v>
      </c>
      <c r="AL191" s="252">
        <v>0</v>
      </c>
    </row>
    <row r="192" spans="1:38" ht="21" customHeight="1">
      <c r="A192" s="251">
        <v>3</v>
      </c>
      <c r="B192" s="250" t="s">
        <v>312</v>
      </c>
      <c r="C192" s="255"/>
      <c r="D192" s="255"/>
      <c r="E192" s="255"/>
      <c r="F192" s="255"/>
      <c r="G192" s="252">
        <v>0</v>
      </c>
      <c r="H192" s="252">
        <v>0</v>
      </c>
      <c r="I192" s="252">
        <v>129</v>
      </c>
      <c r="J192" s="252">
        <v>56.58</v>
      </c>
      <c r="K192" s="255"/>
      <c r="L192" s="255"/>
      <c r="M192" s="252">
        <v>129</v>
      </c>
      <c r="N192" s="252">
        <v>56.58</v>
      </c>
      <c r="O192" s="255"/>
      <c r="P192" s="255"/>
      <c r="Q192" s="255"/>
      <c r="R192" s="255"/>
      <c r="S192" s="252">
        <v>0</v>
      </c>
      <c r="T192" s="257">
        <v>0</v>
      </c>
      <c r="U192" s="260"/>
      <c r="V192" s="255"/>
      <c r="W192" s="255"/>
      <c r="X192" s="255"/>
      <c r="Y192" s="252">
        <v>0</v>
      </c>
      <c r="Z192" s="252">
        <v>0</v>
      </c>
      <c r="AA192" s="252">
        <v>154</v>
      </c>
      <c r="AB192" s="252">
        <v>120.42</v>
      </c>
      <c r="AC192" s="255"/>
      <c r="AD192" s="255"/>
      <c r="AE192" s="252">
        <v>154</v>
      </c>
      <c r="AF192" s="252">
        <v>120.42</v>
      </c>
      <c r="AG192" s="255"/>
      <c r="AH192" s="255"/>
      <c r="AI192" s="255"/>
      <c r="AJ192" s="255"/>
      <c r="AK192" s="252">
        <v>0</v>
      </c>
      <c r="AL192" s="252">
        <v>0</v>
      </c>
    </row>
    <row r="193" spans="1:39" ht="21" customHeight="1">
      <c r="A193" s="251">
        <v>4</v>
      </c>
      <c r="B193" s="250" t="s">
        <v>213</v>
      </c>
      <c r="C193" s="255"/>
      <c r="D193" s="255"/>
      <c r="E193" s="255"/>
      <c r="F193" s="255"/>
      <c r="G193" s="252">
        <v>0</v>
      </c>
      <c r="H193" s="252">
        <v>0</v>
      </c>
      <c r="I193" s="252">
        <v>179</v>
      </c>
      <c r="J193" s="252">
        <v>85.78</v>
      </c>
      <c r="K193" s="252">
        <v>4</v>
      </c>
      <c r="L193" s="252">
        <v>0.42</v>
      </c>
      <c r="M193" s="252">
        <v>183</v>
      </c>
      <c r="N193" s="252">
        <v>86.2</v>
      </c>
      <c r="O193" s="255"/>
      <c r="P193" s="255"/>
      <c r="Q193" s="255"/>
      <c r="R193" s="255"/>
      <c r="S193" s="252">
        <v>0</v>
      </c>
      <c r="T193" s="257">
        <v>0</v>
      </c>
      <c r="U193" s="260"/>
      <c r="V193" s="255"/>
      <c r="W193" s="255"/>
      <c r="X193" s="255"/>
      <c r="Y193" s="252">
        <v>0</v>
      </c>
      <c r="Z193" s="252">
        <v>0</v>
      </c>
      <c r="AA193" s="252">
        <v>219</v>
      </c>
      <c r="AB193" s="252">
        <v>153.13999999999999</v>
      </c>
      <c r="AC193" s="252">
        <v>5</v>
      </c>
      <c r="AD193" s="252">
        <v>0.56000000000000005</v>
      </c>
      <c r="AE193" s="252">
        <v>224</v>
      </c>
      <c r="AF193" s="252">
        <v>153.69999999999999</v>
      </c>
      <c r="AG193" s="255"/>
      <c r="AH193" s="255"/>
      <c r="AI193" s="255"/>
      <c r="AJ193" s="255"/>
      <c r="AK193" s="252">
        <v>0</v>
      </c>
      <c r="AL193" s="252">
        <v>0</v>
      </c>
    </row>
    <row r="194" spans="1:39" ht="21" customHeight="1">
      <c r="A194" s="251">
        <v>5</v>
      </c>
      <c r="B194" s="250" t="s">
        <v>300</v>
      </c>
      <c r="C194" s="255"/>
      <c r="D194" s="255"/>
      <c r="E194" s="255"/>
      <c r="F194" s="255"/>
      <c r="G194" s="252">
        <v>0</v>
      </c>
      <c r="H194" s="252">
        <v>0</v>
      </c>
      <c r="I194" s="252">
        <v>232</v>
      </c>
      <c r="J194" s="252">
        <v>120.72</v>
      </c>
      <c r="K194" s="252">
        <v>2</v>
      </c>
      <c r="L194" s="252">
        <v>0.19</v>
      </c>
      <c r="M194" s="252">
        <v>234</v>
      </c>
      <c r="N194" s="252">
        <v>120.91</v>
      </c>
      <c r="O194" s="255"/>
      <c r="P194" s="255"/>
      <c r="Q194" s="255"/>
      <c r="R194" s="255"/>
      <c r="S194" s="252">
        <v>0</v>
      </c>
      <c r="T194" s="257">
        <v>0</v>
      </c>
      <c r="U194" s="260"/>
      <c r="V194" s="255"/>
      <c r="W194" s="255"/>
      <c r="X194" s="255"/>
      <c r="Y194" s="252">
        <v>0</v>
      </c>
      <c r="Z194" s="252">
        <v>0</v>
      </c>
      <c r="AA194" s="252">
        <v>264</v>
      </c>
      <c r="AB194" s="252">
        <v>239.67</v>
      </c>
      <c r="AC194" s="252">
        <v>10</v>
      </c>
      <c r="AD194" s="252">
        <v>2.72</v>
      </c>
      <c r="AE194" s="252">
        <v>274</v>
      </c>
      <c r="AF194" s="252">
        <v>242.39</v>
      </c>
      <c r="AG194" s="255"/>
      <c r="AH194" s="255"/>
      <c r="AI194" s="255"/>
      <c r="AJ194" s="255"/>
      <c r="AK194" s="252">
        <v>0</v>
      </c>
      <c r="AL194" s="252">
        <v>0</v>
      </c>
    </row>
    <row r="195" spans="1:39" ht="21" customHeight="1">
      <c r="A195" s="251">
        <v>6</v>
      </c>
      <c r="B195" s="250" t="s">
        <v>313</v>
      </c>
      <c r="C195" s="255"/>
      <c r="D195" s="255"/>
      <c r="E195" s="255"/>
      <c r="F195" s="255"/>
      <c r="G195" s="252">
        <v>0</v>
      </c>
      <c r="H195" s="252">
        <v>0</v>
      </c>
      <c r="I195" s="252">
        <v>190</v>
      </c>
      <c r="J195" s="252">
        <v>104.67</v>
      </c>
      <c r="K195" s="252">
        <v>35</v>
      </c>
      <c r="L195" s="252">
        <v>15.17</v>
      </c>
      <c r="M195" s="252">
        <v>225</v>
      </c>
      <c r="N195" s="252">
        <v>119.84</v>
      </c>
      <c r="O195" s="255"/>
      <c r="P195" s="255"/>
      <c r="Q195" s="255"/>
      <c r="R195" s="255"/>
      <c r="S195" s="252">
        <v>0</v>
      </c>
      <c r="T195" s="257">
        <v>0</v>
      </c>
      <c r="U195" s="260"/>
      <c r="V195" s="255"/>
      <c r="W195" s="255"/>
      <c r="X195" s="255"/>
      <c r="Y195" s="252">
        <v>0</v>
      </c>
      <c r="Z195" s="252">
        <v>0</v>
      </c>
      <c r="AA195" s="252">
        <v>220</v>
      </c>
      <c r="AB195" s="252">
        <v>197.42</v>
      </c>
      <c r="AC195" s="252">
        <v>48</v>
      </c>
      <c r="AD195" s="252">
        <v>35.58</v>
      </c>
      <c r="AE195" s="252">
        <v>268</v>
      </c>
      <c r="AF195" s="252">
        <v>233</v>
      </c>
      <c r="AG195" s="255"/>
      <c r="AH195" s="255"/>
      <c r="AI195" s="255"/>
      <c r="AJ195" s="255"/>
      <c r="AK195" s="252">
        <v>0</v>
      </c>
      <c r="AL195" s="252">
        <v>0</v>
      </c>
    </row>
    <row r="196" spans="1:39" ht="21" customHeight="1">
      <c r="A196" s="251">
        <v>7</v>
      </c>
      <c r="B196" s="250" t="s">
        <v>434</v>
      </c>
      <c r="C196" s="255"/>
      <c r="D196" s="255"/>
      <c r="E196" s="255"/>
      <c r="F196" s="255"/>
      <c r="G196" s="252">
        <v>0</v>
      </c>
      <c r="H196" s="252">
        <v>0</v>
      </c>
      <c r="I196" s="252">
        <v>30</v>
      </c>
      <c r="J196" s="252">
        <v>17.5</v>
      </c>
      <c r="K196" s="255"/>
      <c r="L196" s="255"/>
      <c r="M196" s="252">
        <v>30</v>
      </c>
      <c r="N196" s="252">
        <v>17.5</v>
      </c>
      <c r="O196" s="255"/>
      <c r="P196" s="255"/>
      <c r="Q196" s="255"/>
      <c r="R196" s="255"/>
      <c r="S196" s="252">
        <v>0</v>
      </c>
      <c r="T196" s="257">
        <v>0</v>
      </c>
      <c r="U196" s="260"/>
      <c r="V196" s="255"/>
      <c r="W196" s="255"/>
      <c r="X196" s="255"/>
      <c r="Y196" s="252">
        <v>0</v>
      </c>
      <c r="Z196" s="252">
        <v>0</v>
      </c>
      <c r="AA196" s="252">
        <v>30</v>
      </c>
      <c r="AB196" s="252">
        <v>17.5</v>
      </c>
      <c r="AC196" s="255"/>
      <c r="AD196" s="255"/>
      <c r="AE196" s="252">
        <v>30</v>
      </c>
      <c r="AF196" s="252">
        <v>17.5</v>
      </c>
      <c r="AG196" s="255"/>
      <c r="AH196" s="255"/>
      <c r="AI196" s="255"/>
      <c r="AJ196" s="255"/>
      <c r="AK196" s="252">
        <v>0</v>
      </c>
      <c r="AL196" s="252">
        <v>0</v>
      </c>
    </row>
    <row r="197" spans="1:39" ht="21" customHeight="1">
      <c r="A197" s="251">
        <v>8</v>
      </c>
      <c r="B197" s="250" t="s">
        <v>314</v>
      </c>
      <c r="C197" s="255"/>
      <c r="D197" s="255"/>
      <c r="E197" s="255"/>
      <c r="F197" s="255"/>
      <c r="G197" s="252">
        <v>0</v>
      </c>
      <c r="H197" s="252">
        <v>0</v>
      </c>
      <c r="I197" s="252">
        <v>53</v>
      </c>
      <c r="J197" s="252">
        <v>24.78</v>
      </c>
      <c r="K197" s="255"/>
      <c r="L197" s="255"/>
      <c r="M197" s="252">
        <v>53</v>
      </c>
      <c r="N197" s="252">
        <v>24.78</v>
      </c>
      <c r="O197" s="255"/>
      <c r="P197" s="255"/>
      <c r="Q197" s="255"/>
      <c r="R197" s="255"/>
      <c r="S197" s="252">
        <v>0</v>
      </c>
      <c r="T197" s="257">
        <v>0</v>
      </c>
      <c r="U197" s="260"/>
      <c r="V197" s="255"/>
      <c r="W197" s="255"/>
      <c r="X197" s="255"/>
      <c r="Y197" s="252">
        <v>0</v>
      </c>
      <c r="Z197" s="252">
        <v>0</v>
      </c>
      <c r="AA197" s="252">
        <v>70</v>
      </c>
      <c r="AB197" s="252">
        <v>52.92</v>
      </c>
      <c r="AC197" s="255"/>
      <c r="AD197" s="255"/>
      <c r="AE197" s="252">
        <v>70</v>
      </c>
      <c r="AF197" s="252">
        <v>52.92</v>
      </c>
      <c r="AG197" s="255"/>
      <c r="AH197" s="255"/>
      <c r="AI197" s="255"/>
      <c r="AJ197" s="255"/>
      <c r="AK197" s="252">
        <v>0</v>
      </c>
      <c r="AL197" s="252">
        <v>0</v>
      </c>
    </row>
    <row r="198" spans="1:39" ht="21" customHeight="1">
      <c r="A198" s="251">
        <v>9</v>
      </c>
      <c r="B198" s="250" t="s">
        <v>315</v>
      </c>
      <c r="C198" s="255"/>
      <c r="D198" s="255"/>
      <c r="E198" s="255"/>
      <c r="F198" s="255"/>
      <c r="G198" s="252">
        <v>0</v>
      </c>
      <c r="H198" s="252">
        <v>0</v>
      </c>
      <c r="I198" s="252">
        <v>186</v>
      </c>
      <c r="J198" s="252">
        <v>83.25</v>
      </c>
      <c r="K198" s="252">
        <v>133</v>
      </c>
      <c r="L198" s="252">
        <v>58.31</v>
      </c>
      <c r="M198" s="252">
        <v>319</v>
      </c>
      <c r="N198" s="252">
        <v>141.56</v>
      </c>
      <c r="O198" s="255"/>
      <c r="P198" s="255"/>
      <c r="Q198" s="255"/>
      <c r="R198" s="255"/>
      <c r="S198" s="252">
        <v>0</v>
      </c>
      <c r="T198" s="257">
        <v>0</v>
      </c>
      <c r="U198" s="260"/>
      <c r="V198" s="255"/>
      <c r="W198" s="255"/>
      <c r="X198" s="255"/>
      <c r="Y198" s="252">
        <v>0</v>
      </c>
      <c r="Z198" s="252">
        <v>0</v>
      </c>
      <c r="AA198" s="252">
        <v>212</v>
      </c>
      <c r="AB198" s="252">
        <v>162.56</v>
      </c>
      <c r="AC198" s="252">
        <v>159</v>
      </c>
      <c r="AD198" s="252">
        <v>114.22</v>
      </c>
      <c r="AE198" s="252">
        <v>371</v>
      </c>
      <c r="AF198" s="252">
        <v>276.77999999999997</v>
      </c>
      <c r="AG198" s="255"/>
      <c r="AH198" s="255"/>
      <c r="AI198" s="255"/>
      <c r="AJ198" s="255"/>
      <c r="AK198" s="252">
        <v>0</v>
      </c>
      <c r="AL198" s="252">
        <v>0</v>
      </c>
    </row>
    <row r="199" spans="1:39" ht="21" customHeight="1">
      <c r="A199" s="251">
        <v>10</v>
      </c>
      <c r="B199" s="250" t="s">
        <v>214</v>
      </c>
      <c r="C199" s="255"/>
      <c r="D199" s="255"/>
      <c r="E199" s="255"/>
      <c r="F199" s="255"/>
      <c r="G199" s="252">
        <v>0</v>
      </c>
      <c r="H199" s="252">
        <v>0</v>
      </c>
      <c r="I199" s="252">
        <v>273</v>
      </c>
      <c r="J199" s="252">
        <v>138.83000000000001</v>
      </c>
      <c r="K199" s="255"/>
      <c r="L199" s="255"/>
      <c r="M199" s="252">
        <v>273</v>
      </c>
      <c r="N199" s="252">
        <v>138.83000000000001</v>
      </c>
      <c r="O199" s="252">
        <v>4</v>
      </c>
      <c r="P199" s="252">
        <v>2.39</v>
      </c>
      <c r="Q199" s="252">
        <v>9</v>
      </c>
      <c r="R199" s="252">
        <v>5.56</v>
      </c>
      <c r="S199" s="252">
        <v>13</v>
      </c>
      <c r="T199" s="257">
        <v>7.95</v>
      </c>
      <c r="U199" s="260"/>
      <c r="V199" s="255"/>
      <c r="W199" s="255"/>
      <c r="X199" s="255"/>
      <c r="Y199" s="252">
        <v>0</v>
      </c>
      <c r="Z199" s="252">
        <v>0</v>
      </c>
      <c r="AA199" s="252">
        <v>331</v>
      </c>
      <c r="AB199" s="252">
        <v>273.47000000000003</v>
      </c>
      <c r="AC199" s="252">
        <v>1</v>
      </c>
      <c r="AD199" s="252">
        <v>0.42</v>
      </c>
      <c r="AE199" s="252">
        <v>332</v>
      </c>
      <c r="AF199" s="252">
        <v>273.89</v>
      </c>
      <c r="AG199" s="252">
        <v>5</v>
      </c>
      <c r="AH199" s="252">
        <v>5.17</v>
      </c>
      <c r="AI199" s="252">
        <v>18</v>
      </c>
      <c r="AJ199" s="252">
        <v>10.28</v>
      </c>
      <c r="AK199" s="252">
        <v>23</v>
      </c>
      <c r="AL199" s="252">
        <v>15.45</v>
      </c>
    </row>
    <row r="200" spans="1:39" ht="21" customHeight="1">
      <c r="A200" s="251">
        <v>11</v>
      </c>
      <c r="B200" s="250" t="s">
        <v>215</v>
      </c>
      <c r="C200" s="255"/>
      <c r="D200" s="255"/>
      <c r="E200" s="255"/>
      <c r="F200" s="255"/>
      <c r="G200" s="252">
        <v>0</v>
      </c>
      <c r="H200" s="252">
        <v>0</v>
      </c>
      <c r="I200" s="252">
        <v>217</v>
      </c>
      <c r="J200" s="252">
        <v>93.72</v>
      </c>
      <c r="K200" s="252">
        <v>81</v>
      </c>
      <c r="L200" s="252">
        <v>35.33</v>
      </c>
      <c r="M200" s="252">
        <v>298</v>
      </c>
      <c r="N200" s="252">
        <v>129.05000000000001</v>
      </c>
      <c r="O200" s="255"/>
      <c r="P200" s="255"/>
      <c r="Q200" s="255"/>
      <c r="R200" s="255"/>
      <c r="S200" s="252">
        <v>0</v>
      </c>
      <c r="T200" s="257">
        <v>0</v>
      </c>
      <c r="U200" s="260"/>
      <c r="V200" s="255"/>
      <c r="W200" s="255"/>
      <c r="X200" s="255"/>
      <c r="Y200" s="252">
        <v>0</v>
      </c>
      <c r="Z200" s="252">
        <v>0</v>
      </c>
      <c r="AA200" s="252">
        <v>254</v>
      </c>
      <c r="AB200" s="252">
        <v>186.58</v>
      </c>
      <c r="AC200" s="252">
        <v>91</v>
      </c>
      <c r="AD200" s="252">
        <v>62</v>
      </c>
      <c r="AE200" s="252">
        <v>345</v>
      </c>
      <c r="AF200" s="252">
        <v>248.58</v>
      </c>
      <c r="AG200" s="255"/>
      <c r="AH200" s="255"/>
      <c r="AI200" s="255"/>
      <c r="AJ200" s="255"/>
      <c r="AK200" s="252">
        <v>0</v>
      </c>
      <c r="AL200" s="252">
        <v>0</v>
      </c>
    </row>
    <row r="201" spans="1:39" ht="21" customHeight="1">
      <c r="A201" s="251">
        <v>12</v>
      </c>
      <c r="B201" s="250" t="s">
        <v>217</v>
      </c>
      <c r="C201" s="255"/>
      <c r="D201" s="255"/>
      <c r="E201" s="255"/>
      <c r="F201" s="255"/>
      <c r="G201" s="252">
        <v>0</v>
      </c>
      <c r="H201" s="252">
        <v>0</v>
      </c>
      <c r="I201" s="252">
        <v>124</v>
      </c>
      <c r="J201" s="252">
        <v>63.83</v>
      </c>
      <c r="K201" s="252">
        <v>79</v>
      </c>
      <c r="L201" s="252">
        <v>34.94</v>
      </c>
      <c r="M201" s="252">
        <v>203</v>
      </c>
      <c r="N201" s="252">
        <v>98.77</v>
      </c>
      <c r="O201" s="255"/>
      <c r="P201" s="255"/>
      <c r="Q201" s="255"/>
      <c r="R201" s="255"/>
      <c r="S201" s="252">
        <v>0</v>
      </c>
      <c r="T201" s="257">
        <v>0</v>
      </c>
      <c r="U201" s="260"/>
      <c r="V201" s="255"/>
      <c r="W201" s="255"/>
      <c r="X201" s="255"/>
      <c r="Y201" s="252">
        <v>0</v>
      </c>
      <c r="Z201" s="252">
        <v>0</v>
      </c>
      <c r="AA201" s="252">
        <v>139</v>
      </c>
      <c r="AB201" s="252">
        <v>111.44</v>
      </c>
      <c r="AC201" s="252">
        <v>87</v>
      </c>
      <c r="AD201" s="252">
        <v>64.03</v>
      </c>
      <c r="AE201" s="252">
        <v>226</v>
      </c>
      <c r="AF201" s="252">
        <v>175.47</v>
      </c>
      <c r="AG201" s="255"/>
      <c r="AH201" s="255"/>
      <c r="AI201" s="255"/>
      <c r="AJ201" s="255"/>
      <c r="AK201" s="252">
        <v>0</v>
      </c>
      <c r="AL201" s="252">
        <v>0</v>
      </c>
    </row>
    <row r="202" spans="1:39" ht="21" customHeight="1">
      <c r="A202" s="251">
        <v>13</v>
      </c>
      <c r="B202" s="250" t="s">
        <v>316</v>
      </c>
      <c r="C202" s="255"/>
      <c r="D202" s="255"/>
      <c r="E202" s="255"/>
      <c r="F202" s="255"/>
      <c r="G202" s="252">
        <v>0</v>
      </c>
      <c r="H202" s="252">
        <v>0</v>
      </c>
      <c r="I202" s="252">
        <v>110</v>
      </c>
      <c r="J202" s="252">
        <v>60.61</v>
      </c>
      <c r="K202" s="252">
        <v>81</v>
      </c>
      <c r="L202" s="252">
        <v>37.03</v>
      </c>
      <c r="M202" s="252">
        <v>191</v>
      </c>
      <c r="N202" s="252">
        <v>97.64</v>
      </c>
      <c r="O202" s="255"/>
      <c r="P202" s="255"/>
      <c r="Q202" s="255"/>
      <c r="R202" s="255"/>
      <c r="S202" s="252">
        <v>0</v>
      </c>
      <c r="T202" s="257">
        <v>0</v>
      </c>
      <c r="U202" s="260"/>
      <c r="V202" s="255"/>
      <c r="W202" s="255"/>
      <c r="X202" s="255"/>
      <c r="Y202" s="252">
        <v>0</v>
      </c>
      <c r="Z202" s="252">
        <v>0</v>
      </c>
      <c r="AA202" s="252">
        <v>153</v>
      </c>
      <c r="AB202" s="252">
        <v>133.94</v>
      </c>
      <c r="AC202" s="252">
        <v>102</v>
      </c>
      <c r="AD202" s="252">
        <v>69.11</v>
      </c>
      <c r="AE202" s="252">
        <v>255</v>
      </c>
      <c r="AF202" s="252">
        <v>203.05</v>
      </c>
      <c r="AG202" s="255"/>
      <c r="AH202" s="255"/>
      <c r="AI202" s="255"/>
      <c r="AJ202" s="255"/>
      <c r="AK202" s="252">
        <v>0</v>
      </c>
      <c r="AL202" s="252">
        <v>0</v>
      </c>
    </row>
    <row r="203" spans="1:39" ht="21" customHeight="1">
      <c r="A203" s="675" t="s">
        <v>8</v>
      </c>
      <c r="B203" s="676"/>
      <c r="C203" s="252"/>
      <c r="D203" s="252"/>
      <c r="E203" s="252"/>
      <c r="F203" s="252"/>
      <c r="G203" s="252">
        <f t="shared" ref="G203:T203" si="6">SUM(G190:G202)</f>
        <v>0</v>
      </c>
      <c r="H203" s="252">
        <f t="shared" si="6"/>
        <v>0</v>
      </c>
      <c r="I203" s="252">
        <f t="shared" si="6"/>
        <v>2074</v>
      </c>
      <c r="J203" s="252">
        <f t="shared" si="6"/>
        <v>1025.32</v>
      </c>
      <c r="K203" s="252">
        <f t="shared" si="6"/>
        <v>426</v>
      </c>
      <c r="L203" s="252">
        <f t="shared" si="6"/>
        <v>183.28</v>
      </c>
      <c r="M203" s="252">
        <f t="shared" si="6"/>
        <v>2500</v>
      </c>
      <c r="N203" s="252">
        <f t="shared" si="6"/>
        <v>1208.6000000000001</v>
      </c>
      <c r="O203" s="252">
        <f t="shared" si="6"/>
        <v>4</v>
      </c>
      <c r="P203" s="252">
        <f t="shared" si="6"/>
        <v>2.39</v>
      </c>
      <c r="Q203" s="252">
        <f t="shared" si="6"/>
        <v>9</v>
      </c>
      <c r="R203" s="252">
        <f t="shared" si="6"/>
        <v>5.56</v>
      </c>
      <c r="S203" s="252">
        <f t="shared" si="6"/>
        <v>13</v>
      </c>
      <c r="T203" s="257">
        <f t="shared" si="6"/>
        <v>7.95</v>
      </c>
      <c r="U203" s="259"/>
      <c r="V203" s="252"/>
      <c r="W203" s="252"/>
      <c r="X203" s="252"/>
      <c r="Y203" s="252">
        <f t="shared" ref="Y203:AL203" si="7">SUM(Y190:Y202)</f>
        <v>0</v>
      </c>
      <c r="Z203" s="252">
        <f t="shared" si="7"/>
        <v>0</v>
      </c>
      <c r="AA203" s="252">
        <f t="shared" si="7"/>
        <v>2461</v>
      </c>
      <c r="AB203" s="252">
        <f t="shared" si="7"/>
        <v>1997.75</v>
      </c>
      <c r="AC203" s="252">
        <f t="shared" si="7"/>
        <v>528</v>
      </c>
      <c r="AD203" s="252">
        <f t="shared" si="7"/>
        <v>354.95</v>
      </c>
      <c r="AE203" s="252">
        <f t="shared" si="7"/>
        <v>2989</v>
      </c>
      <c r="AF203" s="252">
        <f t="shared" si="7"/>
        <v>2352.6999999999998</v>
      </c>
      <c r="AG203" s="252">
        <f t="shared" si="7"/>
        <v>5</v>
      </c>
      <c r="AH203" s="252">
        <f t="shared" si="7"/>
        <v>5.17</v>
      </c>
      <c r="AI203" s="252">
        <f t="shared" si="7"/>
        <v>18</v>
      </c>
      <c r="AJ203" s="252">
        <f t="shared" si="7"/>
        <v>10.28</v>
      </c>
      <c r="AK203" s="252">
        <f t="shared" si="7"/>
        <v>23</v>
      </c>
      <c r="AL203" s="252">
        <f t="shared" si="7"/>
        <v>15.45</v>
      </c>
    </row>
    <row r="204" spans="1:39" ht="21" customHeight="1">
      <c r="A204" s="666" t="s">
        <v>421</v>
      </c>
      <c r="B204" s="667"/>
      <c r="C204" s="667"/>
      <c r="D204" s="667"/>
      <c r="E204" s="667"/>
      <c r="F204" s="667"/>
      <c r="G204" s="667"/>
      <c r="H204" s="667"/>
      <c r="I204" s="667"/>
      <c r="J204" s="667"/>
      <c r="K204" s="667"/>
      <c r="L204" s="667"/>
      <c r="M204" s="667"/>
      <c r="N204" s="667"/>
      <c r="O204" s="667"/>
      <c r="P204" s="667"/>
      <c r="Q204" s="667"/>
      <c r="R204" s="667"/>
      <c r="S204" s="667"/>
      <c r="T204" s="667"/>
      <c r="U204" s="667"/>
      <c r="V204" s="667"/>
      <c r="W204" s="667"/>
      <c r="X204" s="667"/>
      <c r="Y204" s="667"/>
      <c r="Z204" s="667"/>
      <c r="AA204" s="667"/>
      <c r="AB204" s="667"/>
      <c r="AC204" s="667"/>
      <c r="AD204" s="667"/>
      <c r="AE204" s="667"/>
      <c r="AF204" s="667"/>
      <c r="AG204" s="667"/>
      <c r="AH204" s="667"/>
      <c r="AI204" s="667"/>
      <c r="AJ204" s="667"/>
      <c r="AK204" s="667"/>
      <c r="AL204" s="668"/>
    </row>
    <row r="205" spans="1:39" ht="21" customHeight="1">
      <c r="A205" s="666" t="s">
        <v>317</v>
      </c>
      <c r="B205" s="667"/>
      <c r="C205" s="667"/>
      <c r="D205" s="667"/>
      <c r="E205" s="667"/>
      <c r="F205" s="667"/>
      <c r="G205" s="667"/>
      <c r="H205" s="667"/>
      <c r="I205" s="667"/>
      <c r="J205" s="667"/>
      <c r="K205" s="667"/>
      <c r="L205" s="667"/>
      <c r="M205" s="667"/>
      <c r="N205" s="667"/>
      <c r="O205" s="667"/>
      <c r="P205" s="667"/>
      <c r="Q205" s="667"/>
      <c r="R205" s="667"/>
      <c r="S205" s="667"/>
      <c r="T205" s="667"/>
      <c r="U205" s="667"/>
      <c r="V205" s="667"/>
      <c r="W205" s="667"/>
      <c r="X205" s="667"/>
      <c r="Y205" s="667"/>
      <c r="Z205" s="667"/>
      <c r="AA205" s="667"/>
      <c r="AB205" s="667"/>
      <c r="AC205" s="667"/>
      <c r="AD205" s="667"/>
      <c r="AE205" s="667"/>
      <c r="AF205" s="667"/>
      <c r="AG205" s="667"/>
      <c r="AH205" s="667"/>
      <c r="AI205" s="667"/>
      <c r="AJ205" s="667"/>
      <c r="AK205" s="667"/>
      <c r="AL205" s="668"/>
    </row>
    <row r="206" spans="1:39" ht="21" customHeight="1">
      <c r="A206" s="669" t="s">
        <v>202</v>
      </c>
      <c r="B206" s="669" t="s">
        <v>355</v>
      </c>
      <c r="C206" s="672" t="s">
        <v>422</v>
      </c>
      <c r="D206" s="673"/>
      <c r="E206" s="673"/>
      <c r="F206" s="673"/>
      <c r="G206" s="673"/>
      <c r="H206" s="673"/>
      <c r="I206" s="673"/>
      <c r="J206" s="673"/>
      <c r="K206" s="673"/>
      <c r="L206" s="673"/>
      <c r="M206" s="673"/>
      <c r="N206" s="673"/>
      <c r="O206" s="673"/>
      <c r="P206" s="673"/>
      <c r="Q206" s="673"/>
      <c r="R206" s="673"/>
      <c r="S206" s="673"/>
      <c r="T206" s="674"/>
      <c r="U206" s="672" t="s">
        <v>381</v>
      </c>
      <c r="V206" s="673"/>
      <c r="W206" s="673"/>
      <c r="X206" s="673"/>
      <c r="Y206" s="673"/>
      <c r="Z206" s="673"/>
      <c r="AA206" s="673"/>
      <c r="AB206" s="673"/>
      <c r="AC206" s="673"/>
      <c r="AD206" s="673"/>
      <c r="AE206" s="673"/>
      <c r="AF206" s="673"/>
      <c r="AG206" s="673"/>
      <c r="AH206" s="673"/>
      <c r="AI206" s="673"/>
      <c r="AJ206" s="673"/>
      <c r="AK206" s="673"/>
      <c r="AL206" s="674"/>
      <c r="AM206" s="256"/>
    </row>
    <row r="207" spans="1:39" ht="21" customHeight="1">
      <c r="A207" s="670"/>
      <c r="B207" s="670"/>
      <c r="C207" s="672" t="s">
        <v>203</v>
      </c>
      <c r="D207" s="673"/>
      <c r="E207" s="673"/>
      <c r="F207" s="673"/>
      <c r="G207" s="673"/>
      <c r="H207" s="674"/>
      <c r="I207" s="672" t="s">
        <v>204</v>
      </c>
      <c r="J207" s="673"/>
      <c r="K207" s="673"/>
      <c r="L207" s="673"/>
      <c r="M207" s="673"/>
      <c r="N207" s="674"/>
      <c r="O207" s="672" t="s">
        <v>205</v>
      </c>
      <c r="P207" s="673"/>
      <c r="Q207" s="673"/>
      <c r="R207" s="673"/>
      <c r="S207" s="673"/>
      <c r="T207" s="674"/>
      <c r="U207" s="672" t="s">
        <v>203</v>
      </c>
      <c r="V207" s="673"/>
      <c r="W207" s="673"/>
      <c r="X207" s="673"/>
      <c r="Y207" s="673"/>
      <c r="Z207" s="674"/>
      <c r="AA207" s="672" t="s">
        <v>204</v>
      </c>
      <c r="AB207" s="673"/>
      <c r="AC207" s="673"/>
      <c r="AD207" s="673"/>
      <c r="AE207" s="673"/>
      <c r="AF207" s="674"/>
      <c r="AG207" s="672" t="s">
        <v>205</v>
      </c>
      <c r="AH207" s="673"/>
      <c r="AI207" s="673"/>
      <c r="AJ207" s="673"/>
      <c r="AK207" s="673"/>
      <c r="AL207" s="674"/>
      <c r="AM207" s="256"/>
    </row>
    <row r="208" spans="1:39" ht="21" customHeight="1">
      <c r="A208" s="670"/>
      <c r="B208" s="670"/>
      <c r="C208" s="672" t="s">
        <v>206</v>
      </c>
      <c r="D208" s="674"/>
      <c r="E208" s="672" t="s">
        <v>207</v>
      </c>
      <c r="F208" s="674"/>
      <c r="G208" s="672" t="s">
        <v>8</v>
      </c>
      <c r="H208" s="674"/>
      <c r="I208" s="672" t="s">
        <v>206</v>
      </c>
      <c r="J208" s="674"/>
      <c r="K208" s="672" t="s">
        <v>207</v>
      </c>
      <c r="L208" s="674"/>
      <c r="M208" s="672" t="s">
        <v>8</v>
      </c>
      <c r="N208" s="674"/>
      <c r="O208" s="672" t="s">
        <v>206</v>
      </c>
      <c r="P208" s="674"/>
      <c r="Q208" s="672" t="s">
        <v>207</v>
      </c>
      <c r="R208" s="674"/>
      <c r="S208" s="672" t="s">
        <v>8</v>
      </c>
      <c r="T208" s="674"/>
      <c r="U208" s="672" t="s">
        <v>206</v>
      </c>
      <c r="V208" s="674"/>
      <c r="W208" s="672" t="s">
        <v>207</v>
      </c>
      <c r="X208" s="674"/>
      <c r="Y208" s="672" t="s">
        <v>8</v>
      </c>
      <c r="Z208" s="674"/>
      <c r="AA208" s="672" t="s">
        <v>206</v>
      </c>
      <c r="AB208" s="674"/>
      <c r="AC208" s="672" t="s">
        <v>207</v>
      </c>
      <c r="AD208" s="674"/>
      <c r="AE208" s="672" t="s">
        <v>8</v>
      </c>
      <c r="AF208" s="674"/>
      <c r="AG208" s="672" t="s">
        <v>206</v>
      </c>
      <c r="AH208" s="674"/>
      <c r="AI208" s="672" t="s">
        <v>207</v>
      </c>
      <c r="AJ208" s="674"/>
      <c r="AK208" s="672" t="s">
        <v>8</v>
      </c>
      <c r="AL208" s="674"/>
      <c r="AM208" s="256"/>
    </row>
    <row r="209" spans="1:39" ht="21" customHeight="1">
      <c r="A209" s="671"/>
      <c r="B209" s="671"/>
      <c r="C209" s="252" t="s">
        <v>101</v>
      </c>
      <c r="D209" s="252" t="s">
        <v>356</v>
      </c>
      <c r="E209" s="252" t="s">
        <v>101</v>
      </c>
      <c r="F209" s="252" t="s">
        <v>356</v>
      </c>
      <c r="G209" s="252" t="s">
        <v>101</v>
      </c>
      <c r="H209" s="252" t="s">
        <v>356</v>
      </c>
      <c r="I209" s="252" t="s">
        <v>101</v>
      </c>
      <c r="J209" s="252" t="s">
        <v>356</v>
      </c>
      <c r="K209" s="252" t="s">
        <v>101</v>
      </c>
      <c r="L209" s="252" t="s">
        <v>356</v>
      </c>
      <c r="M209" s="252" t="s">
        <v>101</v>
      </c>
      <c r="N209" s="252" t="s">
        <v>356</v>
      </c>
      <c r="O209" s="252" t="s">
        <v>101</v>
      </c>
      <c r="P209" s="252" t="s">
        <v>356</v>
      </c>
      <c r="Q209" s="252" t="s">
        <v>101</v>
      </c>
      <c r="R209" s="252" t="s">
        <v>356</v>
      </c>
      <c r="S209" s="252" t="s">
        <v>101</v>
      </c>
      <c r="T209" s="257" t="s">
        <v>356</v>
      </c>
      <c r="U209" s="259" t="s">
        <v>101</v>
      </c>
      <c r="V209" s="252" t="s">
        <v>356</v>
      </c>
      <c r="W209" s="252" t="s">
        <v>101</v>
      </c>
      <c r="X209" s="252" t="s">
        <v>356</v>
      </c>
      <c r="Y209" s="252" t="s">
        <v>101</v>
      </c>
      <c r="Z209" s="252" t="s">
        <v>356</v>
      </c>
      <c r="AA209" s="252" t="s">
        <v>101</v>
      </c>
      <c r="AB209" s="252" t="s">
        <v>356</v>
      </c>
      <c r="AC209" s="252" t="s">
        <v>101</v>
      </c>
      <c r="AD209" s="252" t="s">
        <v>356</v>
      </c>
      <c r="AE209" s="252" t="s">
        <v>101</v>
      </c>
      <c r="AF209" s="252" t="s">
        <v>356</v>
      </c>
      <c r="AG209" s="252" t="s">
        <v>101</v>
      </c>
      <c r="AH209" s="252" t="s">
        <v>356</v>
      </c>
      <c r="AI209" s="252" t="s">
        <v>101</v>
      </c>
      <c r="AJ209" s="252" t="s">
        <v>356</v>
      </c>
      <c r="AK209" s="252" t="s">
        <v>101</v>
      </c>
      <c r="AL209" s="252" t="s">
        <v>356</v>
      </c>
      <c r="AM209" s="256"/>
    </row>
    <row r="210" spans="1:39" ht="21" customHeight="1">
      <c r="A210" s="251">
        <v>1</v>
      </c>
      <c r="B210" s="250" t="s">
        <v>318</v>
      </c>
      <c r="C210" s="255"/>
      <c r="D210" s="255"/>
      <c r="E210" s="255"/>
      <c r="F210" s="255"/>
      <c r="G210" s="252">
        <v>0</v>
      </c>
      <c r="H210" s="252">
        <v>0</v>
      </c>
      <c r="I210" s="252">
        <v>245</v>
      </c>
      <c r="J210" s="252">
        <v>107.14</v>
      </c>
      <c r="K210" s="255"/>
      <c r="L210" s="255"/>
      <c r="M210" s="252">
        <v>245</v>
      </c>
      <c r="N210" s="252">
        <v>107.14</v>
      </c>
      <c r="O210" s="255"/>
      <c r="P210" s="255"/>
      <c r="Q210" s="255"/>
      <c r="R210" s="255"/>
      <c r="S210" s="252">
        <v>0</v>
      </c>
      <c r="T210" s="257">
        <v>0</v>
      </c>
      <c r="U210" s="260"/>
      <c r="V210" s="255"/>
      <c r="W210" s="255"/>
      <c r="X210" s="255"/>
      <c r="Y210" s="252">
        <v>0</v>
      </c>
      <c r="Z210" s="252">
        <v>0</v>
      </c>
      <c r="AA210" s="252">
        <v>292</v>
      </c>
      <c r="AB210" s="252">
        <v>202.42</v>
      </c>
      <c r="AC210" s="255"/>
      <c r="AD210" s="255"/>
      <c r="AE210" s="252">
        <v>292</v>
      </c>
      <c r="AF210" s="252">
        <v>202.42</v>
      </c>
      <c r="AG210" s="255"/>
      <c r="AH210" s="255"/>
      <c r="AI210" s="255"/>
      <c r="AJ210" s="255"/>
      <c r="AK210" s="252">
        <v>0</v>
      </c>
      <c r="AL210" s="252">
        <v>0</v>
      </c>
      <c r="AM210" s="256"/>
    </row>
    <row r="211" spans="1:39" ht="21" customHeight="1">
      <c r="A211" s="251">
        <v>2</v>
      </c>
      <c r="B211" s="250" t="s">
        <v>218</v>
      </c>
      <c r="C211" s="255"/>
      <c r="D211" s="255"/>
      <c r="E211" s="255"/>
      <c r="F211" s="255"/>
      <c r="G211" s="252">
        <v>0</v>
      </c>
      <c r="H211" s="252">
        <v>0</v>
      </c>
      <c r="I211" s="252">
        <v>309</v>
      </c>
      <c r="J211" s="252">
        <v>144.83000000000001</v>
      </c>
      <c r="K211" s="255"/>
      <c r="L211" s="255"/>
      <c r="M211" s="252">
        <v>309</v>
      </c>
      <c r="N211" s="252">
        <v>144.83000000000001</v>
      </c>
      <c r="O211" s="255"/>
      <c r="P211" s="255"/>
      <c r="Q211" s="255"/>
      <c r="R211" s="255"/>
      <c r="S211" s="252">
        <v>0</v>
      </c>
      <c r="T211" s="257">
        <v>0</v>
      </c>
      <c r="U211" s="260"/>
      <c r="V211" s="255"/>
      <c r="W211" s="255"/>
      <c r="X211" s="255"/>
      <c r="Y211" s="252">
        <v>0</v>
      </c>
      <c r="Z211" s="252">
        <v>0</v>
      </c>
      <c r="AA211" s="252">
        <v>381</v>
      </c>
      <c r="AB211" s="252">
        <v>261.02999999999997</v>
      </c>
      <c r="AC211" s="255"/>
      <c r="AD211" s="255"/>
      <c r="AE211" s="252">
        <v>381</v>
      </c>
      <c r="AF211" s="252">
        <v>261.02999999999997</v>
      </c>
      <c r="AG211" s="255"/>
      <c r="AH211" s="255"/>
      <c r="AI211" s="255"/>
      <c r="AJ211" s="255"/>
      <c r="AK211" s="252">
        <v>0</v>
      </c>
      <c r="AL211" s="252">
        <v>0</v>
      </c>
      <c r="AM211" s="256"/>
    </row>
    <row r="212" spans="1:39" ht="21" customHeight="1">
      <c r="A212" s="251">
        <v>3</v>
      </c>
      <c r="B212" s="250" t="s">
        <v>319</v>
      </c>
      <c r="C212" s="255"/>
      <c r="D212" s="255"/>
      <c r="E212" s="255"/>
      <c r="F212" s="255"/>
      <c r="G212" s="252">
        <v>0</v>
      </c>
      <c r="H212" s="252">
        <v>0</v>
      </c>
      <c r="I212" s="252">
        <v>129</v>
      </c>
      <c r="J212" s="252">
        <v>63.33</v>
      </c>
      <c r="K212" s="255"/>
      <c r="L212" s="255"/>
      <c r="M212" s="252">
        <v>129</v>
      </c>
      <c r="N212" s="252">
        <v>63.33</v>
      </c>
      <c r="O212" s="255"/>
      <c r="P212" s="255"/>
      <c r="Q212" s="255"/>
      <c r="R212" s="255"/>
      <c r="S212" s="252">
        <v>0</v>
      </c>
      <c r="T212" s="257">
        <v>0</v>
      </c>
      <c r="U212" s="260"/>
      <c r="V212" s="255"/>
      <c r="W212" s="255"/>
      <c r="X212" s="255"/>
      <c r="Y212" s="252">
        <v>0</v>
      </c>
      <c r="Z212" s="252">
        <v>0</v>
      </c>
      <c r="AA212" s="252">
        <v>163</v>
      </c>
      <c r="AB212" s="252">
        <v>115.42</v>
      </c>
      <c r="AC212" s="255"/>
      <c r="AD212" s="255"/>
      <c r="AE212" s="252">
        <v>163</v>
      </c>
      <c r="AF212" s="252">
        <v>115.42</v>
      </c>
      <c r="AG212" s="255"/>
      <c r="AH212" s="255"/>
      <c r="AI212" s="255"/>
      <c r="AJ212" s="255"/>
      <c r="AK212" s="252">
        <v>0</v>
      </c>
      <c r="AL212" s="252">
        <v>0</v>
      </c>
    </row>
    <row r="213" spans="1:39" ht="21" customHeight="1">
      <c r="A213" s="251">
        <v>4</v>
      </c>
      <c r="B213" s="250" t="s">
        <v>219</v>
      </c>
      <c r="C213" s="255"/>
      <c r="D213" s="255"/>
      <c r="E213" s="255"/>
      <c r="F213" s="255"/>
      <c r="G213" s="252">
        <v>0</v>
      </c>
      <c r="H213" s="252">
        <v>0</v>
      </c>
      <c r="I213" s="252">
        <v>340</v>
      </c>
      <c r="J213" s="252">
        <v>152.78</v>
      </c>
      <c r="K213" s="252">
        <v>75</v>
      </c>
      <c r="L213" s="252">
        <v>37.14</v>
      </c>
      <c r="M213" s="252">
        <v>415</v>
      </c>
      <c r="N213" s="252">
        <v>189.92</v>
      </c>
      <c r="O213" s="255"/>
      <c r="P213" s="255"/>
      <c r="Q213" s="255"/>
      <c r="R213" s="255"/>
      <c r="S213" s="252">
        <v>0</v>
      </c>
      <c r="T213" s="257">
        <v>0</v>
      </c>
      <c r="U213" s="260"/>
      <c r="V213" s="255"/>
      <c r="W213" s="255"/>
      <c r="X213" s="255"/>
      <c r="Y213" s="252">
        <v>0</v>
      </c>
      <c r="Z213" s="252">
        <v>0</v>
      </c>
      <c r="AA213" s="252">
        <v>421</v>
      </c>
      <c r="AB213" s="252">
        <v>290.33</v>
      </c>
      <c r="AC213" s="252">
        <v>96</v>
      </c>
      <c r="AD213" s="252">
        <v>69.11</v>
      </c>
      <c r="AE213" s="252">
        <v>517</v>
      </c>
      <c r="AF213" s="252">
        <v>359.44</v>
      </c>
      <c r="AG213" s="255"/>
      <c r="AH213" s="255"/>
      <c r="AI213" s="255"/>
      <c r="AJ213" s="255"/>
      <c r="AK213" s="252">
        <v>0</v>
      </c>
      <c r="AL213" s="252">
        <v>0</v>
      </c>
    </row>
    <row r="214" spans="1:39" ht="21" customHeight="1">
      <c r="A214" s="251">
        <v>5</v>
      </c>
      <c r="B214" s="250" t="s">
        <v>220</v>
      </c>
      <c r="C214" s="255"/>
      <c r="D214" s="255"/>
      <c r="E214" s="255"/>
      <c r="F214" s="255"/>
      <c r="G214" s="252">
        <v>0</v>
      </c>
      <c r="H214" s="252">
        <v>0</v>
      </c>
      <c r="I214" s="252">
        <v>320</v>
      </c>
      <c r="J214" s="252">
        <v>149.88999999999999</v>
      </c>
      <c r="K214" s="255"/>
      <c r="L214" s="255"/>
      <c r="M214" s="252">
        <v>320</v>
      </c>
      <c r="N214" s="252">
        <v>149.88999999999999</v>
      </c>
      <c r="O214" s="255"/>
      <c r="P214" s="255"/>
      <c r="Q214" s="255"/>
      <c r="R214" s="255"/>
      <c r="S214" s="252">
        <v>0</v>
      </c>
      <c r="T214" s="257">
        <v>0</v>
      </c>
      <c r="U214" s="260"/>
      <c r="V214" s="255"/>
      <c r="W214" s="255"/>
      <c r="X214" s="255"/>
      <c r="Y214" s="252">
        <v>0</v>
      </c>
      <c r="Z214" s="252">
        <v>0</v>
      </c>
      <c r="AA214" s="252">
        <v>404</v>
      </c>
      <c r="AB214" s="252">
        <v>285.75</v>
      </c>
      <c r="AC214" s="255"/>
      <c r="AD214" s="255"/>
      <c r="AE214" s="252">
        <v>404</v>
      </c>
      <c r="AF214" s="252">
        <v>285.75</v>
      </c>
      <c r="AG214" s="255"/>
      <c r="AH214" s="255"/>
      <c r="AI214" s="255"/>
      <c r="AJ214" s="255"/>
      <c r="AK214" s="252">
        <v>0</v>
      </c>
      <c r="AL214" s="252">
        <v>0</v>
      </c>
    </row>
    <row r="215" spans="1:39" ht="21" customHeight="1">
      <c r="A215" s="675" t="s">
        <v>8</v>
      </c>
      <c r="B215" s="676"/>
      <c r="C215" s="252"/>
      <c r="D215" s="252"/>
      <c r="E215" s="252"/>
      <c r="F215" s="252"/>
      <c r="G215" s="252">
        <f t="shared" ref="G215:N215" si="8">SUM(G210:G214)</f>
        <v>0</v>
      </c>
      <c r="H215" s="252">
        <f t="shared" si="8"/>
        <v>0</v>
      </c>
      <c r="I215" s="252">
        <f t="shared" si="8"/>
        <v>1343</v>
      </c>
      <c r="J215" s="252">
        <f t="shared" si="8"/>
        <v>617.97</v>
      </c>
      <c r="K215" s="252">
        <f t="shared" si="8"/>
        <v>75</v>
      </c>
      <c r="L215" s="252">
        <f t="shared" si="8"/>
        <v>37.14</v>
      </c>
      <c r="M215" s="252">
        <f t="shared" si="8"/>
        <v>1418</v>
      </c>
      <c r="N215" s="252">
        <f t="shared" si="8"/>
        <v>655.11</v>
      </c>
      <c r="O215" s="252"/>
      <c r="P215" s="252"/>
      <c r="Q215" s="252"/>
      <c r="R215" s="252"/>
      <c r="S215" s="252">
        <f>SUM(S210:S214)</f>
        <v>0</v>
      </c>
      <c r="T215" s="257">
        <f>SUM(T210:T214)</f>
        <v>0</v>
      </c>
      <c r="U215" s="259"/>
      <c r="V215" s="252"/>
      <c r="W215" s="252"/>
      <c r="X215" s="252"/>
      <c r="Y215" s="252">
        <f t="shared" ref="Y215:AF215" si="9">SUM(Y210:Y214)</f>
        <v>0</v>
      </c>
      <c r="Z215" s="252">
        <f t="shared" si="9"/>
        <v>0</v>
      </c>
      <c r="AA215" s="252">
        <f t="shared" si="9"/>
        <v>1661</v>
      </c>
      <c r="AB215" s="252">
        <f t="shared" si="9"/>
        <v>1154.9499999999998</v>
      </c>
      <c r="AC215" s="252">
        <f t="shared" si="9"/>
        <v>96</v>
      </c>
      <c r="AD215" s="252">
        <f t="shared" si="9"/>
        <v>69.11</v>
      </c>
      <c r="AE215" s="252">
        <f t="shared" si="9"/>
        <v>1757</v>
      </c>
      <c r="AF215" s="252">
        <f t="shared" si="9"/>
        <v>1224.06</v>
      </c>
      <c r="AG215" s="252"/>
      <c r="AH215" s="252"/>
      <c r="AI215" s="252"/>
      <c r="AJ215" s="252"/>
      <c r="AK215" s="252">
        <f>SUM(AK210:AK214)</f>
        <v>0</v>
      </c>
      <c r="AL215" s="252">
        <f>SUM(AL210:AL214)</f>
        <v>0</v>
      </c>
    </row>
    <row r="216" spans="1:39" ht="21" customHeight="1">
      <c r="A216" s="666" t="s">
        <v>421</v>
      </c>
      <c r="B216" s="667"/>
      <c r="C216" s="667"/>
      <c r="D216" s="667"/>
      <c r="E216" s="667"/>
      <c r="F216" s="667"/>
      <c r="G216" s="667"/>
      <c r="H216" s="667"/>
      <c r="I216" s="667"/>
      <c r="J216" s="667"/>
      <c r="K216" s="667"/>
      <c r="L216" s="667"/>
      <c r="M216" s="667"/>
      <c r="N216" s="667"/>
      <c r="O216" s="667"/>
      <c r="P216" s="667"/>
      <c r="Q216" s="667"/>
      <c r="R216" s="667"/>
      <c r="S216" s="667"/>
      <c r="T216" s="667"/>
      <c r="U216" s="667"/>
      <c r="V216" s="667"/>
      <c r="W216" s="667"/>
      <c r="X216" s="667"/>
      <c r="Y216" s="667"/>
      <c r="Z216" s="667"/>
      <c r="AA216" s="667"/>
      <c r="AB216" s="667"/>
      <c r="AC216" s="667"/>
      <c r="AD216" s="667"/>
      <c r="AE216" s="667"/>
      <c r="AF216" s="667"/>
      <c r="AG216" s="667"/>
      <c r="AH216" s="667"/>
      <c r="AI216" s="667"/>
      <c r="AJ216" s="667"/>
      <c r="AK216" s="667"/>
      <c r="AL216" s="668"/>
    </row>
    <row r="217" spans="1:39" ht="21" customHeight="1">
      <c r="A217" s="666" t="s">
        <v>320</v>
      </c>
      <c r="B217" s="667"/>
      <c r="C217" s="667"/>
      <c r="D217" s="667"/>
      <c r="E217" s="667"/>
      <c r="F217" s="667"/>
      <c r="G217" s="667"/>
      <c r="H217" s="667"/>
      <c r="I217" s="667"/>
      <c r="J217" s="667"/>
      <c r="K217" s="667"/>
      <c r="L217" s="667"/>
      <c r="M217" s="667"/>
      <c r="N217" s="667"/>
      <c r="O217" s="667"/>
      <c r="P217" s="667"/>
      <c r="Q217" s="667"/>
      <c r="R217" s="667"/>
      <c r="S217" s="667"/>
      <c r="T217" s="667"/>
      <c r="U217" s="667"/>
      <c r="V217" s="667"/>
      <c r="W217" s="667"/>
      <c r="X217" s="667"/>
      <c r="Y217" s="667"/>
      <c r="Z217" s="667"/>
      <c r="AA217" s="667"/>
      <c r="AB217" s="667"/>
      <c r="AC217" s="667"/>
      <c r="AD217" s="667"/>
      <c r="AE217" s="667"/>
      <c r="AF217" s="667"/>
      <c r="AG217" s="667"/>
      <c r="AH217" s="667"/>
      <c r="AI217" s="667"/>
      <c r="AJ217" s="667"/>
      <c r="AK217" s="667"/>
      <c r="AL217" s="668"/>
    </row>
    <row r="218" spans="1:39" ht="21" customHeight="1">
      <c r="A218" s="669" t="s">
        <v>202</v>
      </c>
      <c r="B218" s="669" t="s">
        <v>355</v>
      </c>
      <c r="C218" s="672" t="s">
        <v>422</v>
      </c>
      <c r="D218" s="673"/>
      <c r="E218" s="673"/>
      <c r="F218" s="673"/>
      <c r="G218" s="673"/>
      <c r="H218" s="673"/>
      <c r="I218" s="673"/>
      <c r="J218" s="673"/>
      <c r="K218" s="673"/>
      <c r="L218" s="673"/>
      <c r="M218" s="673"/>
      <c r="N218" s="673"/>
      <c r="O218" s="673"/>
      <c r="P218" s="673"/>
      <c r="Q218" s="673"/>
      <c r="R218" s="673"/>
      <c r="S218" s="673"/>
      <c r="T218" s="674"/>
      <c r="U218" s="672" t="s">
        <v>381</v>
      </c>
      <c r="V218" s="673"/>
      <c r="W218" s="673"/>
      <c r="X218" s="673"/>
      <c r="Y218" s="673"/>
      <c r="Z218" s="673"/>
      <c r="AA218" s="673"/>
      <c r="AB218" s="673"/>
      <c r="AC218" s="673"/>
      <c r="AD218" s="673"/>
      <c r="AE218" s="673"/>
      <c r="AF218" s="673"/>
      <c r="AG218" s="673"/>
      <c r="AH218" s="673"/>
      <c r="AI218" s="673"/>
      <c r="AJ218" s="673"/>
      <c r="AK218" s="673"/>
      <c r="AL218" s="674"/>
    </row>
    <row r="219" spans="1:39" ht="21" customHeight="1">
      <c r="A219" s="670"/>
      <c r="B219" s="670"/>
      <c r="C219" s="672" t="s">
        <v>203</v>
      </c>
      <c r="D219" s="673"/>
      <c r="E219" s="673"/>
      <c r="F219" s="673"/>
      <c r="G219" s="673"/>
      <c r="H219" s="674"/>
      <c r="I219" s="672" t="s">
        <v>204</v>
      </c>
      <c r="J219" s="673"/>
      <c r="K219" s="673"/>
      <c r="L219" s="673"/>
      <c r="M219" s="673"/>
      <c r="N219" s="674"/>
      <c r="O219" s="672" t="s">
        <v>205</v>
      </c>
      <c r="P219" s="673"/>
      <c r="Q219" s="673"/>
      <c r="R219" s="673"/>
      <c r="S219" s="673"/>
      <c r="T219" s="674"/>
      <c r="U219" s="672" t="s">
        <v>203</v>
      </c>
      <c r="V219" s="673"/>
      <c r="W219" s="673"/>
      <c r="X219" s="673"/>
      <c r="Y219" s="673"/>
      <c r="Z219" s="674"/>
      <c r="AA219" s="672" t="s">
        <v>204</v>
      </c>
      <c r="AB219" s="673"/>
      <c r="AC219" s="673"/>
      <c r="AD219" s="673"/>
      <c r="AE219" s="673"/>
      <c r="AF219" s="674"/>
      <c r="AG219" s="672" t="s">
        <v>205</v>
      </c>
      <c r="AH219" s="673"/>
      <c r="AI219" s="673"/>
      <c r="AJ219" s="673"/>
      <c r="AK219" s="673"/>
      <c r="AL219" s="674"/>
    </row>
    <row r="220" spans="1:39" ht="21" customHeight="1">
      <c r="A220" s="670"/>
      <c r="B220" s="670"/>
      <c r="C220" s="672" t="s">
        <v>206</v>
      </c>
      <c r="D220" s="674"/>
      <c r="E220" s="672" t="s">
        <v>207</v>
      </c>
      <c r="F220" s="674"/>
      <c r="G220" s="672" t="s">
        <v>8</v>
      </c>
      <c r="H220" s="674"/>
      <c r="I220" s="672" t="s">
        <v>206</v>
      </c>
      <c r="J220" s="674"/>
      <c r="K220" s="672" t="s">
        <v>207</v>
      </c>
      <c r="L220" s="674"/>
      <c r="M220" s="672" t="s">
        <v>8</v>
      </c>
      <c r="N220" s="674"/>
      <c r="O220" s="672" t="s">
        <v>206</v>
      </c>
      <c r="P220" s="674"/>
      <c r="Q220" s="672" t="s">
        <v>207</v>
      </c>
      <c r="R220" s="674"/>
      <c r="S220" s="672" t="s">
        <v>8</v>
      </c>
      <c r="T220" s="674"/>
      <c r="U220" s="672" t="s">
        <v>206</v>
      </c>
      <c r="V220" s="674"/>
      <c r="W220" s="672" t="s">
        <v>207</v>
      </c>
      <c r="X220" s="674"/>
      <c r="Y220" s="672" t="s">
        <v>8</v>
      </c>
      <c r="Z220" s="674"/>
      <c r="AA220" s="672" t="s">
        <v>206</v>
      </c>
      <c r="AB220" s="674"/>
      <c r="AC220" s="672" t="s">
        <v>207</v>
      </c>
      <c r="AD220" s="674"/>
      <c r="AE220" s="672" t="s">
        <v>8</v>
      </c>
      <c r="AF220" s="674"/>
      <c r="AG220" s="672" t="s">
        <v>206</v>
      </c>
      <c r="AH220" s="674"/>
      <c r="AI220" s="672" t="s">
        <v>207</v>
      </c>
      <c r="AJ220" s="674"/>
      <c r="AK220" s="672" t="s">
        <v>8</v>
      </c>
      <c r="AL220" s="674"/>
    </row>
    <row r="221" spans="1:39" ht="21" customHeight="1">
      <c r="A221" s="671"/>
      <c r="B221" s="671"/>
      <c r="C221" s="252" t="s">
        <v>101</v>
      </c>
      <c r="D221" s="252" t="s">
        <v>356</v>
      </c>
      <c r="E221" s="252" t="s">
        <v>101</v>
      </c>
      <c r="F221" s="252" t="s">
        <v>356</v>
      </c>
      <c r="G221" s="252" t="s">
        <v>101</v>
      </c>
      <c r="H221" s="252" t="s">
        <v>356</v>
      </c>
      <c r="I221" s="252" t="s">
        <v>101</v>
      </c>
      <c r="J221" s="252" t="s">
        <v>356</v>
      </c>
      <c r="K221" s="252" t="s">
        <v>101</v>
      </c>
      <c r="L221" s="252" t="s">
        <v>356</v>
      </c>
      <c r="M221" s="252" t="s">
        <v>101</v>
      </c>
      <c r="N221" s="252" t="s">
        <v>356</v>
      </c>
      <c r="O221" s="252" t="s">
        <v>101</v>
      </c>
      <c r="P221" s="252" t="s">
        <v>356</v>
      </c>
      <c r="Q221" s="252" t="s">
        <v>101</v>
      </c>
      <c r="R221" s="252" t="s">
        <v>356</v>
      </c>
      <c r="S221" s="252" t="s">
        <v>101</v>
      </c>
      <c r="T221" s="257" t="s">
        <v>356</v>
      </c>
      <c r="U221" s="259" t="s">
        <v>101</v>
      </c>
      <c r="V221" s="252" t="s">
        <v>356</v>
      </c>
      <c r="W221" s="252" t="s">
        <v>101</v>
      </c>
      <c r="X221" s="252" t="s">
        <v>356</v>
      </c>
      <c r="Y221" s="252" t="s">
        <v>101</v>
      </c>
      <c r="Z221" s="252" t="s">
        <v>356</v>
      </c>
      <c r="AA221" s="252" t="s">
        <v>101</v>
      </c>
      <c r="AB221" s="252" t="s">
        <v>356</v>
      </c>
      <c r="AC221" s="252" t="s">
        <v>101</v>
      </c>
      <c r="AD221" s="252" t="s">
        <v>356</v>
      </c>
      <c r="AE221" s="252" t="s">
        <v>101</v>
      </c>
      <c r="AF221" s="252" t="s">
        <v>356</v>
      </c>
      <c r="AG221" s="252" t="s">
        <v>101</v>
      </c>
      <c r="AH221" s="252" t="s">
        <v>356</v>
      </c>
      <c r="AI221" s="252" t="s">
        <v>101</v>
      </c>
      <c r="AJ221" s="252" t="s">
        <v>356</v>
      </c>
      <c r="AK221" s="252" t="s">
        <v>101</v>
      </c>
      <c r="AL221" s="252" t="s">
        <v>356</v>
      </c>
    </row>
    <row r="222" spans="1:39" ht="21" customHeight="1">
      <c r="A222" s="251">
        <v>1</v>
      </c>
      <c r="B222" s="250" t="s">
        <v>321</v>
      </c>
      <c r="C222" s="255"/>
      <c r="D222" s="255"/>
      <c r="E222" s="255"/>
      <c r="F222" s="255"/>
      <c r="G222" s="252">
        <v>0</v>
      </c>
      <c r="H222" s="252">
        <v>0</v>
      </c>
      <c r="I222" s="252">
        <v>162</v>
      </c>
      <c r="J222" s="252">
        <v>73</v>
      </c>
      <c r="K222" s="252">
        <v>29</v>
      </c>
      <c r="L222" s="252">
        <v>10.67</v>
      </c>
      <c r="M222" s="252">
        <v>191</v>
      </c>
      <c r="N222" s="252">
        <v>83.67</v>
      </c>
      <c r="O222" s="255"/>
      <c r="P222" s="255"/>
      <c r="Q222" s="255"/>
      <c r="R222" s="255"/>
      <c r="S222" s="252">
        <v>0</v>
      </c>
      <c r="T222" s="257">
        <v>0</v>
      </c>
      <c r="U222" s="260"/>
      <c r="V222" s="255"/>
      <c r="W222" s="255"/>
      <c r="X222" s="255"/>
      <c r="Y222" s="252">
        <v>0</v>
      </c>
      <c r="Z222" s="252">
        <v>0</v>
      </c>
      <c r="AA222" s="252">
        <v>200</v>
      </c>
      <c r="AB222" s="252">
        <v>150.81</v>
      </c>
      <c r="AC222" s="252">
        <v>49</v>
      </c>
      <c r="AD222" s="252">
        <v>32.28</v>
      </c>
      <c r="AE222" s="252">
        <v>249</v>
      </c>
      <c r="AF222" s="252">
        <v>183.09</v>
      </c>
      <c r="AG222" s="255"/>
      <c r="AH222" s="255"/>
      <c r="AI222" s="255"/>
      <c r="AJ222" s="255"/>
      <c r="AK222" s="252">
        <v>0</v>
      </c>
      <c r="AL222" s="252">
        <v>0</v>
      </c>
    </row>
    <row r="223" spans="1:39" ht="21" customHeight="1">
      <c r="A223" s="251">
        <v>2</v>
      </c>
      <c r="B223" s="250" t="s">
        <v>322</v>
      </c>
      <c r="C223" s="255"/>
      <c r="D223" s="255"/>
      <c r="E223" s="255"/>
      <c r="F223" s="255"/>
      <c r="G223" s="252">
        <v>0</v>
      </c>
      <c r="H223" s="252">
        <v>0</v>
      </c>
      <c r="I223" s="252">
        <v>92</v>
      </c>
      <c r="J223" s="252">
        <v>46.78</v>
      </c>
      <c r="K223" s="255"/>
      <c r="L223" s="255"/>
      <c r="M223" s="252">
        <v>92</v>
      </c>
      <c r="N223" s="252">
        <v>46.78</v>
      </c>
      <c r="O223" s="255"/>
      <c r="P223" s="255"/>
      <c r="Q223" s="255"/>
      <c r="R223" s="255"/>
      <c r="S223" s="252">
        <v>0</v>
      </c>
      <c r="T223" s="257">
        <v>0</v>
      </c>
      <c r="U223" s="260"/>
      <c r="V223" s="255"/>
      <c r="W223" s="255"/>
      <c r="X223" s="255"/>
      <c r="Y223" s="252">
        <v>0</v>
      </c>
      <c r="Z223" s="252">
        <v>0</v>
      </c>
      <c r="AA223" s="252">
        <v>109</v>
      </c>
      <c r="AB223" s="252">
        <v>90.67</v>
      </c>
      <c r="AC223" s="255"/>
      <c r="AD223" s="255"/>
      <c r="AE223" s="252">
        <v>109</v>
      </c>
      <c r="AF223" s="252">
        <v>90.67</v>
      </c>
      <c r="AG223" s="255"/>
      <c r="AH223" s="255"/>
      <c r="AI223" s="255"/>
      <c r="AJ223" s="255"/>
      <c r="AK223" s="252">
        <v>0</v>
      </c>
      <c r="AL223" s="252">
        <v>0</v>
      </c>
    </row>
    <row r="224" spans="1:39" ht="21" customHeight="1">
      <c r="A224" s="251">
        <v>3</v>
      </c>
      <c r="B224" s="250" t="s">
        <v>323</v>
      </c>
      <c r="C224" s="255"/>
      <c r="D224" s="255"/>
      <c r="E224" s="255"/>
      <c r="F224" s="255"/>
      <c r="G224" s="252">
        <v>0</v>
      </c>
      <c r="H224" s="252">
        <v>0</v>
      </c>
      <c r="I224" s="252">
        <v>27</v>
      </c>
      <c r="J224" s="252">
        <v>10.89</v>
      </c>
      <c r="K224" s="255"/>
      <c r="L224" s="255"/>
      <c r="M224" s="252">
        <v>27</v>
      </c>
      <c r="N224" s="252">
        <v>10.89</v>
      </c>
      <c r="O224" s="255"/>
      <c r="P224" s="255"/>
      <c r="Q224" s="255"/>
      <c r="R224" s="255"/>
      <c r="S224" s="252">
        <v>0</v>
      </c>
      <c r="T224" s="257">
        <v>0</v>
      </c>
      <c r="U224" s="260"/>
      <c r="V224" s="255"/>
      <c r="W224" s="255"/>
      <c r="X224" s="255"/>
      <c r="Y224" s="252">
        <v>0</v>
      </c>
      <c r="Z224" s="252">
        <v>0</v>
      </c>
      <c r="AA224" s="252">
        <v>44</v>
      </c>
      <c r="AB224" s="252">
        <v>28.89</v>
      </c>
      <c r="AC224" s="255"/>
      <c r="AD224" s="255"/>
      <c r="AE224" s="252">
        <v>44</v>
      </c>
      <c r="AF224" s="252">
        <v>28.89</v>
      </c>
      <c r="AG224" s="255"/>
      <c r="AH224" s="255"/>
      <c r="AI224" s="255"/>
      <c r="AJ224" s="255"/>
      <c r="AK224" s="252">
        <v>0</v>
      </c>
      <c r="AL224" s="252">
        <v>0</v>
      </c>
    </row>
    <row r="225" spans="1:38" ht="21" customHeight="1">
      <c r="A225" s="251">
        <v>4</v>
      </c>
      <c r="B225" s="250" t="s">
        <v>364</v>
      </c>
      <c r="C225" s="255"/>
      <c r="D225" s="255"/>
      <c r="E225" s="255"/>
      <c r="F225" s="255"/>
      <c r="G225" s="252">
        <v>0</v>
      </c>
      <c r="H225" s="252">
        <v>0</v>
      </c>
      <c r="I225" s="252">
        <v>52</v>
      </c>
      <c r="J225" s="252">
        <v>27.28</v>
      </c>
      <c r="K225" s="255"/>
      <c r="L225" s="255"/>
      <c r="M225" s="252">
        <v>52</v>
      </c>
      <c r="N225" s="252">
        <v>27.28</v>
      </c>
      <c r="O225" s="255"/>
      <c r="P225" s="255"/>
      <c r="Q225" s="255"/>
      <c r="R225" s="255"/>
      <c r="S225" s="252">
        <v>0</v>
      </c>
      <c r="T225" s="257">
        <v>0</v>
      </c>
      <c r="U225" s="260"/>
      <c r="V225" s="255"/>
      <c r="W225" s="255"/>
      <c r="X225" s="255"/>
      <c r="Y225" s="252">
        <v>0</v>
      </c>
      <c r="Z225" s="252">
        <v>0</v>
      </c>
      <c r="AA225" s="252">
        <v>52</v>
      </c>
      <c r="AB225" s="252">
        <v>38.64</v>
      </c>
      <c r="AC225" s="255"/>
      <c r="AD225" s="255"/>
      <c r="AE225" s="252">
        <v>52</v>
      </c>
      <c r="AF225" s="252">
        <v>38.64</v>
      </c>
      <c r="AG225" s="255"/>
      <c r="AH225" s="255"/>
      <c r="AI225" s="255"/>
      <c r="AJ225" s="255"/>
      <c r="AK225" s="252">
        <v>0</v>
      </c>
      <c r="AL225" s="252">
        <v>0</v>
      </c>
    </row>
    <row r="226" spans="1:38" ht="21" customHeight="1">
      <c r="A226" s="251">
        <v>5</v>
      </c>
      <c r="B226" s="250" t="s">
        <v>324</v>
      </c>
      <c r="C226" s="255"/>
      <c r="D226" s="255"/>
      <c r="E226" s="255"/>
      <c r="F226" s="255"/>
      <c r="G226" s="252">
        <v>0</v>
      </c>
      <c r="H226" s="252">
        <v>0</v>
      </c>
      <c r="I226" s="252">
        <v>269</v>
      </c>
      <c r="J226" s="252">
        <v>129.13999999999999</v>
      </c>
      <c r="K226" s="252">
        <v>51</v>
      </c>
      <c r="L226" s="252">
        <v>20.69</v>
      </c>
      <c r="M226" s="252">
        <v>320</v>
      </c>
      <c r="N226" s="252">
        <v>149.83000000000001</v>
      </c>
      <c r="O226" s="255"/>
      <c r="P226" s="255"/>
      <c r="Q226" s="255"/>
      <c r="R226" s="255"/>
      <c r="S226" s="252">
        <v>0</v>
      </c>
      <c r="T226" s="257">
        <v>0</v>
      </c>
      <c r="U226" s="260"/>
      <c r="V226" s="255"/>
      <c r="W226" s="255"/>
      <c r="X226" s="255"/>
      <c r="Y226" s="252">
        <v>0</v>
      </c>
      <c r="Z226" s="252">
        <v>0</v>
      </c>
      <c r="AA226" s="252">
        <v>329</v>
      </c>
      <c r="AB226" s="252">
        <v>233.64</v>
      </c>
      <c r="AC226" s="252">
        <v>73</v>
      </c>
      <c r="AD226" s="252">
        <v>59.56</v>
      </c>
      <c r="AE226" s="252">
        <v>402</v>
      </c>
      <c r="AF226" s="252">
        <v>293.2</v>
      </c>
      <c r="AG226" s="255"/>
      <c r="AH226" s="255"/>
      <c r="AI226" s="255"/>
      <c r="AJ226" s="255"/>
      <c r="AK226" s="252">
        <v>0</v>
      </c>
      <c r="AL226" s="252">
        <v>0</v>
      </c>
    </row>
    <row r="227" spans="1:38" ht="21" customHeight="1">
      <c r="A227" s="675" t="s">
        <v>8</v>
      </c>
      <c r="B227" s="676"/>
      <c r="C227" s="252"/>
      <c r="D227" s="252"/>
      <c r="E227" s="252"/>
      <c r="F227" s="252"/>
      <c r="G227" s="252">
        <f t="shared" ref="G227:N227" si="10">SUM(G222:G226)</f>
        <v>0</v>
      </c>
      <c r="H227" s="252">
        <f t="shared" si="10"/>
        <v>0</v>
      </c>
      <c r="I227" s="252">
        <f t="shared" si="10"/>
        <v>602</v>
      </c>
      <c r="J227" s="252">
        <f t="shared" si="10"/>
        <v>287.09000000000003</v>
      </c>
      <c r="K227" s="252">
        <f t="shared" si="10"/>
        <v>80</v>
      </c>
      <c r="L227" s="252">
        <f t="shared" si="10"/>
        <v>31.36</v>
      </c>
      <c r="M227" s="252">
        <f t="shared" si="10"/>
        <v>682</v>
      </c>
      <c r="N227" s="252">
        <f t="shared" si="10"/>
        <v>318.45</v>
      </c>
      <c r="O227" s="252"/>
      <c r="P227" s="252"/>
      <c r="Q227" s="252"/>
      <c r="R227" s="252"/>
      <c r="S227" s="252">
        <f>SUM(S222:S226)</f>
        <v>0</v>
      </c>
      <c r="T227" s="257">
        <f>SUM(T222:T226)</f>
        <v>0</v>
      </c>
      <c r="U227" s="259"/>
      <c r="V227" s="252"/>
      <c r="W227" s="252"/>
      <c r="X227" s="252"/>
      <c r="Y227" s="252">
        <f t="shared" ref="Y227:AF227" si="11">SUM(Y222:Y226)</f>
        <v>0</v>
      </c>
      <c r="Z227" s="252">
        <f t="shared" si="11"/>
        <v>0</v>
      </c>
      <c r="AA227" s="252">
        <f t="shared" si="11"/>
        <v>734</v>
      </c>
      <c r="AB227" s="252">
        <f t="shared" si="11"/>
        <v>542.65</v>
      </c>
      <c r="AC227" s="252">
        <f t="shared" si="11"/>
        <v>122</v>
      </c>
      <c r="AD227" s="252">
        <f t="shared" si="11"/>
        <v>91.84</v>
      </c>
      <c r="AE227" s="252">
        <f t="shared" si="11"/>
        <v>856</v>
      </c>
      <c r="AF227" s="252">
        <f t="shared" si="11"/>
        <v>634.49</v>
      </c>
      <c r="AG227" s="252"/>
      <c r="AH227" s="252"/>
      <c r="AI227" s="252"/>
      <c r="AJ227" s="252"/>
      <c r="AK227" s="252">
        <f>SUM(AK222:AK226)</f>
        <v>0</v>
      </c>
      <c r="AL227" s="252">
        <f>SUM(AL222:AL226)</f>
        <v>0</v>
      </c>
    </row>
    <row r="228" spans="1:38" ht="21" customHeight="1">
      <c r="A228" s="666" t="s">
        <v>421</v>
      </c>
      <c r="B228" s="667"/>
      <c r="C228" s="667"/>
      <c r="D228" s="667"/>
      <c r="E228" s="667"/>
      <c r="F228" s="667"/>
      <c r="G228" s="667"/>
      <c r="H228" s="667"/>
      <c r="I228" s="667"/>
      <c r="J228" s="667"/>
      <c r="K228" s="667"/>
      <c r="L228" s="667"/>
      <c r="M228" s="667"/>
      <c r="N228" s="667"/>
      <c r="O228" s="667"/>
      <c r="P228" s="667"/>
      <c r="Q228" s="667"/>
      <c r="R228" s="667"/>
      <c r="S228" s="667"/>
      <c r="T228" s="667"/>
      <c r="U228" s="667"/>
      <c r="V228" s="667"/>
      <c r="W228" s="667"/>
      <c r="X228" s="667"/>
      <c r="Y228" s="667"/>
      <c r="Z228" s="667"/>
      <c r="AA228" s="667"/>
      <c r="AB228" s="667"/>
      <c r="AC228" s="667"/>
      <c r="AD228" s="667"/>
      <c r="AE228" s="667"/>
      <c r="AF228" s="667"/>
      <c r="AG228" s="667"/>
      <c r="AH228" s="667"/>
      <c r="AI228" s="667"/>
      <c r="AJ228" s="667"/>
      <c r="AK228" s="667"/>
      <c r="AL228" s="668"/>
    </row>
    <row r="229" spans="1:38" ht="21" customHeight="1">
      <c r="A229" s="666" t="s">
        <v>60</v>
      </c>
      <c r="B229" s="667"/>
      <c r="C229" s="667"/>
      <c r="D229" s="667"/>
      <c r="E229" s="667"/>
      <c r="F229" s="667"/>
      <c r="G229" s="667"/>
      <c r="H229" s="667"/>
      <c r="I229" s="667"/>
      <c r="J229" s="667"/>
      <c r="K229" s="667"/>
      <c r="L229" s="667"/>
      <c r="M229" s="667"/>
      <c r="N229" s="667"/>
      <c r="O229" s="667"/>
      <c r="P229" s="667"/>
      <c r="Q229" s="667"/>
      <c r="R229" s="667"/>
      <c r="S229" s="667"/>
      <c r="T229" s="667"/>
      <c r="U229" s="667"/>
      <c r="V229" s="667"/>
      <c r="W229" s="667"/>
      <c r="X229" s="667"/>
      <c r="Y229" s="667"/>
      <c r="Z229" s="667"/>
      <c r="AA229" s="667"/>
      <c r="AB229" s="667"/>
      <c r="AC229" s="667"/>
      <c r="AD229" s="667"/>
      <c r="AE229" s="667"/>
      <c r="AF229" s="667"/>
      <c r="AG229" s="667"/>
      <c r="AH229" s="667"/>
      <c r="AI229" s="667"/>
      <c r="AJ229" s="667"/>
      <c r="AK229" s="667"/>
      <c r="AL229" s="668"/>
    </row>
    <row r="230" spans="1:38" ht="21" customHeight="1">
      <c r="A230" s="669" t="s">
        <v>202</v>
      </c>
      <c r="B230" s="669" t="s">
        <v>355</v>
      </c>
      <c r="C230" s="672" t="s">
        <v>422</v>
      </c>
      <c r="D230" s="673"/>
      <c r="E230" s="673"/>
      <c r="F230" s="673"/>
      <c r="G230" s="673"/>
      <c r="H230" s="673"/>
      <c r="I230" s="673"/>
      <c r="J230" s="673"/>
      <c r="K230" s="673"/>
      <c r="L230" s="673"/>
      <c r="M230" s="673"/>
      <c r="N230" s="673"/>
      <c r="O230" s="673"/>
      <c r="P230" s="673"/>
      <c r="Q230" s="673"/>
      <c r="R230" s="673"/>
      <c r="S230" s="673"/>
      <c r="T230" s="674"/>
      <c r="U230" s="672" t="s">
        <v>381</v>
      </c>
      <c r="V230" s="673"/>
      <c r="W230" s="673"/>
      <c r="X230" s="673"/>
      <c r="Y230" s="673"/>
      <c r="Z230" s="673"/>
      <c r="AA230" s="673"/>
      <c r="AB230" s="673"/>
      <c r="AC230" s="673"/>
      <c r="AD230" s="673"/>
      <c r="AE230" s="673"/>
      <c r="AF230" s="673"/>
      <c r="AG230" s="673"/>
      <c r="AH230" s="673"/>
      <c r="AI230" s="673"/>
      <c r="AJ230" s="673"/>
      <c r="AK230" s="673"/>
      <c r="AL230" s="674"/>
    </row>
    <row r="231" spans="1:38" ht="21" customHeight="1">
      <c r="A231" s="670"/>
      <c r="B231" s="670"/>
      <c r="C231" s="672" t="s">
        <v>203</v>
      </c>
      <c r="D231" s="673"/>
      <c r="E231" s="673"/>
      <c r="F231" s="673"/>
      <c r="G231" s="673"/>
      <c r="H231" s="674"/>
      <c r="I231" s="672" t="s">
        <v>204</v>
      </c>
      <c r="J231" s="673"/>
      <c r="K231" s="673"/>
      <c r="L231" s="673"/>
      <c r="M231" s="673"/>
      <c r="N231" s="674"/>
      <c r="O231" s="672" t="s">
        <v>205</v>
      </c>
      <c r="P231" s="673"/>
      <c r="Q231" s="673"/>
      <c r="R231" s="673"/>
      <c r="S231" s="673"/>
      <c r="T231" s="674"/>
      <c r="U231" s="672" t="s">
        <v>203</v>
      </c>
      <c r="V231" s="673"/>
      <c r="W231" s="673"/>
      <c r="X231" s="673"/>
      <c r="Y231" s="673"/>
      <c r="Z231" s="674"/>
      <c r="AA231" s="672" t="s">
        <v>204</v>
      </c>
      <c r="AB231" s="673"/>
      <c r="AC231" s="673"/>
      <c r="AD231" s="673"/>
      <c r="AE231" s="673"/>
      <c r="AF231" s="674"/>
      <c r="AG231" s="672" t="s">
        <v>205</v>
      </c>
      <c r="AH231" s="673"/>
      <c r="AI231" s="673"/>
      <c r="AJ231" s="673"/>
      <c r="AK231" s="673"/>
      <c r="AL231" s="674"/>
    </row>
    <row r="232" spans="1:38" ht="21" customHeight="1">
      <c r="A232" s="670"/>
      <c r="B232" s="670"/>
      <c r="C232" s="672" t="s">
        <v>206</v>
      </c>
      <c r="D232" s="674"/>
      <c r="E232" s="672" t="s">
        <v>207</v>
      </c>
      <c r="F232" s="674"/>
      <c r="G232" s="672" t="s">
        <v>8</v>
      </c>
      <c r="H232" s="674"/>
      <c r="I232" s="672" t="s">
        <v>206</v>
      </c>
      <c r="J232" s="674"/>
      <c r="K232" s="672" t="s">
        <v>207</v>
      </c>
      <c r="L232" s="674"/>
      <c r="M232" s="672" t="s">
        <v>8</v>
      </c>
      <c r="N232" s="674"/>
      <c r="O232" s="672" t="s">
        <v>206</v>
      </c>
      <c r="P232" s="674"/>
      <c r="Q232" s="672" t="s">
        <v>207</v>
      </c>
      <c r="R232" s="674"/>
      <c r="S232" s="672" t="s">
        <v>8</v>
      </c>
      <c r="T232" s="674"/>
      <c r="U232" s="672" t="s">
        <v>206</v>
      </c>
      <c r="V232" s="674"/>
      <c r="W232" s="672" t="s">
        <v>207</v>
      </c>
      <c r="X232" s="674"/>
      <c r="Y232" s="672" t="s">
        <v>8</v>
      </c>
      <c r="Z232" s="674"/>
      <c r="AA232" s="672" t="s">
        <v>206</v>
      </c>
      <c r="AB232" s="674"/>
      <c r="AC232" s="672" t="s">
        <v>207</v>
      </c>
      <c r="AD232" s="674"/>
      <c r="AE232" s="672" t="s">
        <v>8</v>
      </c>
      <c r="AF232" s="674"/>
      <c r="AG232" s="672" t="s">
        <v>206</v>
      </c>
      <c r="AH232" s="674"/>
      <c r="AI232" s="672" t="s">
        <v>207</v>
      </c>
      <c r="AJ232" s="674"/>
      <c r="AK232" s="672" t="s">
        <v>8</v>
      </c>
      <c r="AL232" s="674"/>
    </row>
    <row r="233" spans="1:38" ht="21" customHeight="1">
      <c r="A233" s="671"/>
      <c r="B233" s="671"/>
      <c r="C233" s="252" t="s">
        <v>101</v>
      </c>
      <c r="D233" s="252" t="s">
        <v>356</v>
      </c>
      <c r="E233" s="252" t="s">
        <v>101</v>
      </c>
      <c r="F233" s="252" t="s">
        <v>356</v>
      </c>
      <c r="G233" s="252" t="s">
        <v>101</v>
      </c>
      <c r="H233" s="252" t="s">
        <v>356</v>
      </c>
      <c r="I233" s="252" t="s">
        <v>101</v>
      </c>
      <c r="J233" s="252" t="s">
        <v>356</v>
      </c>
      <c r="K233" s="252" t="s">
        <v>101</v>
      </c>
      <c r="L233" s="252" t="s">
        <v>356</v>
      </c>
      <c r="M233" s="252" t="s">
        <v>101</v>
      </c>
      <c r="N233" s="252" t="s">
        <v>356</v>
      </c>
      <c r="O233" s="252" t="s">
        <v>101</v>
      </c>
      <c r="P233" s="252" t="s">
        <v>356</v>
      </c>
      <c r="Q233" s="252" t="s">
        <v>101</v>
      </c>
      <c r="R233" s="252" t="s">
        <v>356</v>
      </c>
      <c r="S233" s="252" t="s">
        <v>101</v>
      </c>
      <c r="T233" s="257" t="s">
        <v>356</v>
      </c>
      <c r="U233" s="259" t="s">
        <v>101</v>
      </c>
      <c r="V233" s="252" t="s">
        <v>356</v>
      </c>
      <c r="W233" s="252" t="s">
        <v>101</v>
      </c>
      <c r="X233" s="252" t="s">
        <v>356</v>
      </c>
      <c r="Y233" s="252" t="s">
        <v>101</v>
      </c>
      <c r="Z233" s="252" t="s">
        <v>356</v>
      </c>
      <c r="AA233" s="252" t="s">
        <v>101</v>
      </c>
      <c r="AB233" s="252" t="s">
        <v>356</v>
      </c>
      <c r="AC233" s="252" t="s">
        <v>101</v>
      </c>
      <c r="AD233" s="252" t="s">
        <v>356</v>
      </c>
      <c r="AE233" s="252" t="s">
        <v>101</v>
      </c>
      <c r="AF233" s="252" t="s">
        <v>356</v>
      </c>
      <c r="AG233" s="252" t="s">
        <v>101</v>
      </c>
      <c r="AH233" s="252" t="s">
        <v>356</v>
      </c>
      <c r="AI233" s="252" t="s">
        <v>101</v>
      </c>
      <c r="AJ233" s="252" t="s">
        <v>356</v>
      </c>
      <c r="AK233" s="252" t="s">
        <v>101</v>
      </c>
      <c r="AL233" s="252" t="s">
        <v>356</v>
      </c>
    </row>
    <row r="234" spans="1:38" ht="21" customHeight="1">
      <c r="A234" s="251">
        <v>1</v>
      </c>
      <c r="B234" s="250" t="s">
        <v>311</v>
      </c>
      <c r="C234" s="255"/>
      <c r="D234" s="255"/>
      <c r="E234" s="255"/>
      <c r="F234" s="255"/>
      <c r="G234" s="252">
        <v>0</v>
      </c>
      <c r="H234" s="252">
        <v>0</v>
      </c>
      <c r="I234" s="252">
        <v>31</v>
      </c>
      <c r="J234" s="252">
        <v>17.28</v>
      </c>
      <c r="K234" s="255"/>
      <c r="L234" s="255"/>
      <c r="M234" s="252">
        <v>31</v>
      </c>
      <c r="N234" s="252">
        <v>17.28</v>
      </c>
      <c r="O234" s="255"/>
      <c r="P234" s="255"/>
      <c r="Q234" s="255"/>
      <c r="R234" s="255"/>
      <c r="S234" s="252">
        <v>0</v>
      </c>
      <c r="T234" s="257">
        <v>0</v>
      </c>
      <c r="U234" s="260"/>
      <c r="V234" s="255"/>
      <c r="W234" s="255"/>
      <c r="X234" s="255"/>
      <c r="Y234" s="252">
        <v>0</v>
      </c>
      <c r="Z234" s="252">
        <v>0</v>
      </c>
      <c r="AA234" s="252">
        <v>32</v>
      </c>
      <c r="AB234" s="252">
        <v>27.11</v>
      </c>
      <c r="AC234" s="255"/>
      <c r="AD234" s="255"/>
      <c r="AE234" s="252">
        <v>32</v>
      </c>
      <c r="AF234" s="252">
        <v>27.11</v>
      </c>
      <c r="AG234" s="255"/>
      <c r="AH234" s="255"/>
      <c r="AI234" s="255"/>
      <c r="AJ234" s="255"/>
      <c r="AK234" s="252">
        <v>0</v>
      </c>
      <c r="AL234" s="252">
        <v>0</v>
      </c>
    </row>
    <row r="235" spans="1:38" ht="21" customHeight="1">
      <c r="A235" s="251">
        <v>2</v>
      </c>
      <c r="B235" s="250" t="s">
        <v>365</v>
      </c>
      <c r="C235" s="255"/>
      <c r="D235" s="255"/>
      <c r="E235" s="255"/>
      <c r="F235" s="255"/>
      <c r="G235" s="252">
        <v>0</v>
      </c>
      <c r="H235" s="252">
        <v>0</v>
      </c>
      <c r="I235" s="252">
        <v>18</v>
      </c>
      <c r="J235" s="252">
        <v>11.08</v>
      </c>
      <c r="K235" s="255"/>
      <c r="L235" s="255"/>
      <c r="M235" s="252">
        <v>18</v>
      </c>
      <c r="N235" s="252">
        <v>11.08</v>
      </c>
      <c r="O235" s="255"/>
      <c r="P235" s="255"/>
      <c r="Q235" s="255"/>
      <c r="R235" s="255"/>
      <c r="S235" s="252">
        <v>0</v>
      </c>
      <c r="T235" s="257">
        <v>0</v>
      </c>
      <c r="U235" s="260"/>
      <c r="V235" s="255"/>
      <c r="W235" s="255"/>
      <c r="X235" s="255"/>
      <c r="Y235" s="252">
        <v>0</v>
      </c>
      <c r="Z235" s="252">
        <v>0</v>
      </c>
      <c r="AA235" s="252">
        <v>19</v>
      </c>
      <c r="AB235" s="252">
        <v>13.36</v>
      </c>
      <c r="AC235" s="255"/>
      <c r="AD235" s="255"/>
      <c r="AE235" s="252">
        <v>19</v>
      </c>
      <c r="AF235" s="252">
        <v>13.36</v>
      </c>
      <c r="AG235" s="255"/>
      <c r="AH235" s="255"/>
      <c r="AI235" s="255"/>
      <c r="AJ235" s="255"/>
      <c r="AK235" s="252">
        <v>0</v>
      </c>
      <c r="AL235" s="252">
        <v>0</v>
      </c>
    </row>
    <row r="236" spans="1:38" ht="21" customHeight="1">
      <c r="A236" s="251">
        <v>3</v>
      </c>
      <c r="B236" s="250" t="s">
        <v>216</v>
      </c>
      <c r="C236" s="255"/>
      <c r="D236" s="255"/>
      <c r="E236" s="255"/>
      <c r="F236" s="255"/>
      <c r="G236" s="252">
        <v>0</v>
      </c>
      <c r="H236" s="252">
        <v>0</v>
      </c>
      <c r="I236" s="252">
        <v>24</v>
      </c>
      <c r="J236" s="252">
        <v>9.42</v>
      </c>
      <c r="K236" s="255"/>
      <c r="L236" s="255"/>
      <c r="M236" s="252">
        <v>24</v>
      </c>
      <c r="N236" s="252">
        <v>9.42</v>
      </c>
      <c r="O236" s="255"/>
      <c r="P236" s="255"/>
      <c r="Q236" s="255"/>
      <c r="R236" s="255"/>
      <c r="S236" s="252">
        <v>0</v>
      </c>
      <c r="T236" s="257">
        <v>0</v>
      </c>
      <c r="U236" s="260"/>
      <c r="V236" s="255"/>
      <c r="W236" s="255"/>
      <c r="X236" s="255"/>
      <c r="Y236" s="252">
        <v>0</v>
      </c>
      <c r="Z236" s="252">
        <v>0</v>
      </c>
      <c r="AA236" s="252">
        <v>41</v>
      </c>
      <c r="AB236" s="252">
        <v>27.69</v>
      </c>
      <c r="AC236" s="255"/>
      <c r="AD236" s="255"/>
      <c r="AE236" s="252">
        <v>41</v>
      </c>
      <c r="AF236" s="252">
        <v>27.69</v>
      </c>
      <c r="AG236" s="255"/>
      <c r="AH236" s="255"/>
      <c r="AI236" s="255"/>
      <c r="AJ236" s="255"/>
      <c r="AK236" s="252">
        <v>0</v>
      </c>
      <c r="AL236" s="252">
        <v>0</v>
      </c>
    </row>
    <row r="237" spans="1:38" ht="21" customHeight="1">
      <c r="A237" s="251">
        <v>4</v>
      </c>
      <c r="B237" s="250" t="s">
        <v>221</v>
      </c>
      <c r="C237" s="255"/>
      <c r="D237" s="255"/>
      <c r="E237" s="255"/>
      <c r="F237" s="255"/>
      <c r="G237" s="252">
        <v>0</v>
      </c>
      <c r="H237" s="252">
        <v>0</v>
      </c>
      <c r="I237" s="252">
        <v>34</v>
      </c>
      <c r="J237" s="252">
        <v>13.22</v>
      </c>
      <c r="K237" s="255"/>
      <c r="L237" s="255"/>
      <c r="M237" s="252">
        <v>34</v>
      </c>
      <c r="N237" s="252">
        <v>13.22</v>
      </c>
      <c r="O237" s="255"/>
      <c r="P237" s="255"/>
      <c r="Q237" s="255"/>
      <c r="R237" s="255"/>
      <c r="S237" s="252">
        <v>0</v>
      </c>
      <c r="T237" s="257">
        <v>0</v>
      </c>
      <c r="U237" s="260"/>
      <c r="V237" s="255"/>
      <c r="W237" s="255"/>
      <c r="X237" s="255"/>
      <c r="Y237" s="252">
        <v>0</v>
      </c>
      <c r="Z237" s="252">
        <v>0</v>
      </c>
      <c r="AA237" s="252">
        <v>63</v>
      </c>
      <c r="AB237" s="252">
        <v>35.44</v>
      </c>
      <c r="AC237" s="255"/>
      <c r="AD237" s="255"/>
      <c r="AE237" s="252">
        <v>63</v>
      </c>
      <c r="AF237" s="252">
        <v>35.44</v>
      </c>
      <c r="AG237" s="255"/>
      <c r="AH237" s="255"/>
      <c r="AI237" s="255"/>
      <c r="AJ237" s="255"/>
      <c r="AK237" s="252">
        <v>0</v>
      </c>
      <c r="AL237" s="252">
        <v>0</v>
      </c>
    </row>
    <row r="238" spans="1:38" ht="21" customHeight="1">
      <c r="A238" s="675" t="s">
        <v>8</v>
      </c>
      <c r="B238" s="676"/>
      <c r="C238" s="252"/>
      <c r="D238" s="252"/>
      <c r="E238" s="252"/>
      <c r="F238" s="252"/>
      <c r="G238" s="252">
        <f>SUM(G234:G237)</f>
        <v>0</v>
      </c>
      <c r="H238" s="252">
        <f>SUM(H234:H237)</f>
        <v>0</v>
      </c>
      <c r="I238" s="252">
        <f>SUM(I234:I237)</f>
        <v>107</v>
      </c>
      <c r="J238" s="252">
        <f>SUM(J234:J237)</f>
        <v>51</v>
      </c>
      <c r="K238" s="252"/>
      <c r="L238" s="252"/>
      <c r="M238" s="252">
        <f>SUM(M234:M237)</f>
        <v>107</v>
      </c>
      <c r="N238" s="252">
        <f>SUM(N234:N237)</f>
        <v>51</v>
      </c>
      <c r="O238" s="252"/>
      <c r="P238" s="252"/>
      <c r="Q238" s="252"/>
      <c r="R238" s="252"/>
      <c r="S238" s="252">
        <f>SUM(S234:S237)</f>
        <v>0</v>
      </c>
      <c r="T238" s="257">
        <f>SUM(T234:T237)</f>
        <v>0</v>
      </c>
      <c r="U238" s="259"/>
      <c r="V238" s="252"/>
      <c r="W238" s="252"/>
      <c r="X238" s="252"/>
      <c r="Y238" s="252">
        <f>SUM(Y234:Y237)</f>
        <v>0</v>
      </c>
      <c r="Z238" s="252">
        <f>SUM(Z234:Z237)</f>
        <v>0</v>
      </c>
      <c r="AA238" s="252">
        <f>SUM(AA234:AA237)</f>
        <v>155</v>
      </c>
      <c r="AB238" s="252">
        <f>SUM(AB234:AB237)</f>
        <v>103.6</v>
      </c>
      <c r="AC238" s="252"/>
      <c r="AD238" s="252"/>
      <c r="AE238" s="252">
        <f>SUM(AE234:AE237)</f>
        <v>155</v>
      </c>
      <c r="AF238" s="252">
        <f>SUM(AF234:AF237)</f>
        <v>103.6</v>
      </c>
      <c r="AG238" s="252"/>
      <c r="AH238" s="252"/>
      <c r="AI238" s="252"/>
      <c r="AJ238" s="252"/>
      <c r="AK238" s="252">
        <f>SUM(AK234:AK237)</f>
        <v>0</v>
      </c>
      <c r="AL238" s="252">
        <f>SUM(AL234:AL237)</f>
        <v>0</v>
      </c>
    </row>
    <row r="239" spans="1:38" ht="21" customHeight="1">
      <c r="A239" s="666" t="s">
        <v>421</v>
      </c>
      <c r="B239" s="667"/>
      <c r="C239" s="667"/>
      <c r="D239" s="667"/>
      <c r="E239" s="667"/>
      <c r="F239" s="667"/>
      <c r="G239" s="667"/>
      <c r="H239" s="667"/>
      <c r="I239" s="667"/>
      <c r="J239" s="667"/>
      <c r="K239" s="667"/>
      <c r="L239" s="667"/>
      <c r="M239" s="667"/>
      <c r="N239" s="667"/>
      <c r="O239" s="667"/>
      <c r="P239" s="667"/>
      <c r="Q239" s="667"/>
      <c r="R239" s="667"/>
      <c r="S239" s="667"/>
      <c r="T239" s="667"/>
      <c r="U239" s="667"/>
      <c r="V239" s="667"/>
      <c r="W239" s="667"/>
      <c r="X239" s="667"/>
      <c r="Y239" s="667"/>
      <c r="Z239" s="667"/>
      <c r="AA239" s="667"/>
      <c r="AB239" s="667"/>
      <c r="AC239" s="667"/>
      <c r="AD239" s="667"/>
      <c r="AE239" s="667"/>
      <c r="AF239" s="667"/>
      <c r="AG239" s="667"/>
      <c r="AH239" s="667"/>
      <c r="AI239" s="667"/>
      <c r="AJ239" s="667"/>
      <c r="AK239" s="667"/>
      <c r="AL239" s="668"/>
    </row>
    <row r="240" spans="1:38" ht="21" customHeight="1">
      <c r="A240" s="666" t="s">
        <v>60</v>
      </c>
      <c r="B240" s="667"/>
      <c r="C240" s="667"/>
      <c r="D240" s="667"/>
      <c r="E240" s="667"/>
      <c r="F240" s="667"/>
      <c r="G240" s="667"/>
      <c r="H240" s="667"/>
      <c r="I240" s="667"/>
      <c r="J240" s="667"/>
      <c r="K240" s="667"/>
      <c r="L240" s="667"/>
      <c r="M240" s="667"/>
      <c r="N240" s="667"/>
      <c r="O240" s="667"/>
      <c r="P240" s="667"/>
      <c r="Q240" s="667"/>
      <c r="R240" s="667"/>
      <c r="S240" s="667"/>
      <c r="T240" s="667"/>
      <c r="U240" s="667"/>
      <c r="V240" s="667"/>
      <c r="W240" s="667"/>
      <c r="X240" s="667"/>
      <c r="Y240" s="667"/>
      <c r="Z240" s="667"/>
      <c r="AA240" s="667"/>
      <c r="AB240" s="667"/>
      <c r="AC240" s="667"/>
      <c r="AD240" s="667"/>
      <c r="AE240" s="667"/>
      <c r="AF240" s="667"/>
      <c r="AG240" s="667"/>
      <c r="AH240" s="667"/>
      <c r="AI240" s="667"/>
      <c r="AJ240" s="667"/>
      <c r="AK240" s="667"/>
      <c r="AL240" s="668"/>
    </row>
    <row r="241" spans="1:38" ht="21" customHeight="1">
      <c r="A241" s="669" t="s">
        <v>202</v>
      </c>
      <c r="B241" s="669" t="s">
        <v>355</v>
      </c>
      <c r="C241" s="672" t="s">
        <v>422</v>
      </c>
      <c r="D241" s="673"/>
      <c r="E241" s="673"/>
      <c r="F241" s="673"/>
      <c r="G241" s="673"/>
      <c r="H241" s="673"/>
      <c r="I241" s="673"/>
      <c r="J241" s="673"/>
      <c r="K241" s="673"/>
      <c r="L241" s="673"/>
      <c r="M241" s="673"/>
      <c r="N241" s="673"/>
      <c r="O241" s="673"/>
      <c r="P241" s="673"/>
      <c r="Q241" s="673"/>
      <c r="R241" s="673"/>
      <c r="S241" s="673"/>
      <c r="T241" s="674"/>
      <c r="U241" s="672" t="s">
        <v>381</v>
      </c>
      <c r="V241" s="673"/>
      <c r="W241" s="673"/>
      <c r="X241" s="673"/>
      <c r="Y241" s="673"/>
      <c r="Z241" s="673"/>
      <c r="AA241" s="673"/>
      <c r="AB241" s="673"/>
      <c r="AC241" s="673"/>
      <c r="AD241" s="673"/>
      <c r="AE241" s="673"/>
      <c r="AF241" s="673"/>
      <c r="AG241" s="673"/>
      <c r="AH241" s="673"/>
      <c r="AI241" s="673"/>
      <c r="AJ241" s="673"/>
      <c r="AK241" s="673"/>
      <c r="AL241" s="674"/>
    </row>
    <row r="242" spans="1:38" ht="21" customHeight="1">
      <c r="A242" s="670"/>
      <c r="B242" s="670"/>
      <c r="C242" s="672" t="s">
        <v>203</v>
      </c>
      <c r="D242" s="673"/>
      <c r="E242" s="673"/>
      <c r="F242" s="673"/>
      <c r="G242" s="673"/>
      <c r="H242" s="674"/>
      <c r="I242" s="672" t="s">
        <v>204</v>
      </c>
      <c r="J242" s="673"/>
      <c r="K242" s="673"/>
      <c r="L242" s="673"/>
      <c r="M242" s="673"/>
      <c r="N242" s="674"/>
      <c r="O242" s="672" t="s">
        <v>205</v>
      </c>
      <c r="P242" s="673"/>
      <c r="Q242" s="673"/>
      <c r="R242" s="673"/>
      <c r="S242" s="673"/>
      <c r="T242" s="674"/>
      <c r="U242" s="672" t="s">
        <v>203</v>
      </c>
      <c r="V242" s="673"/>
      <c r="W242" s="673"/>
      <c r="X242" s="673"/>
      <c r="Y242" s="673"/>
      <c r="Z242" s="674"/>
      <c r="AA242" s="672" t="s">
        <v>204</v>
      </c>
      <c r="AB242" s="673"/>
      <c r="AC242" s="673"/>
      <c r="AD242" s="673"/>
      <c r="AE242" s="673"/>
      <c r="AF242" s="674"/>
      <c r="AG242" s="672" t="s">
        <v>205</v>
      </c>
      <c r="AH242" s="673"/>
      <c r="AI242" s="673"/>
      <c r="AJ242" s="673"/>
      <c r="AK242" s="673"/>
      <c r="AL242" s="674"/>
    </row>
    <row r="243" spans="1:38" ht="21" customHeight="1">
      <c r="A243" s="670"/>
      <c r="B243" s="670"/>
      <c r="C243" s="672" t="s">
        <v>206</v>
      </c>
      <c r="D243" s="674"/>
      <c r="E243" s="672" t="s">
        <v>207</v>
      </c>
      <c r="F243" s="674"/>
      <c r="G243" s="672" t="s">
        <v>8</v>
      </c>
      <c r="H243" s="674"/>
      <c r="I243" s="672" t="s">
        <v>206</v>
      </c>
      <c r="J243" s="674"/>
      <c r="K243" s="672" t="s">
        <v>207</v>
      </c>
      <c r="L243" s="674"/>
      <c r="M243" s="672" t="s">
        <v>8</v>
      </c>
      <c r="N243" s="674"/>
      <c r="O243" s="672" t="s">
        <v>206</v>
      </c>
      <c r="P243" s="674"/>
      <c r="Q243" s="672" t="s">
        <v>207</v>
      </c>
      <c r="R243" s="674"/>
      <c r="S243" s="672" t="s">
        <v>8</v>
      </c>
      <c r="T243" s="674"/>
      <c r="U243" s="672" t="s">
        <v>206</v>
      </c>
      <c r="V243" s="674"/>
      <c r="W243" s="672" t="s">
        <v>207</v>
      </c>
      <c r="X243" s="674"/>
      <c r="Y243" s="672" t="s">
        <v>8</v>
      </c>
      <c r="Z243" s="674"/>
      <c r="AA243" s="672" t="s">
        <v>206</v>
      </c>
      <c r="AB243" s="674"/>
      <c r="AC243" s="672" t="s">
        <v>207</v>
      </c>
      <c r="AD243" s="674"/>
      <c r="AE243" s="672" t="s">
        <v>8</v>
      </c>
      <c r="AF243" s="674"/>
      <c r="AG243" s="672" t="s">
        <v>206</v>
      </c>
      <c r="AH243" s="674"/>
      <c r="AI243" s="672" t="s">
        <v>207</v>
      </c>
      <c r="AJ243" s="674"/>
      <c r="AK243" s="672" t="s">
        <v>8</v>
      </c>
      <c r="AL243" s="674"/>
    </row>
    <row r="244" spans="1:38" ht="21" customHeight="1">
      <c r="A244" s="671"/>
      <c r="B244" s="671"/>
      <c r="C244" s="252" t="s">
        <v>101</v>
      </c>
      <c r="D244" s="252" t="s">
        <v>356</v>
      </c>
      <c r="E244" s="252" t="s">
        <v>101</v>
      </c>
      <c r="F244" s="252" t="s">
        <v>356</v>
      </c>
      <c r="G244" s="252" t="s">
        <v>101</v>
      </c>
      <c r="H244" s="252" t="s">
        <v>356</v>
      </c>
      <c r="I244" s="252" t="s">
        <v>101</v>
      </c>
      <c r="J244" s="252" t="s">
        <v>356</v>
      </c>
      <c r="K244" s="252" t="s">
        <v>101</v>
      </c>
      <c r="L244" s="252" t="s">
        <v>356</v>
      </c>
      <c r="M244" s="252" t="s">
        <v>101</v>
      </c>
      <c r="N244" s="252" t="s">
        <v>356</v>
      </c>
      <c r="O244" s="252" t="s">
        <v>101</v>
      </c>
      <c r="P244" s="252" t="s">
        <v>356</v>
      </c>
      <c r="Q244" s="252" t="s">
        <v>101</v>
      </c>
      <c r="R244" s="252" t="s">
        <v>356</v>
      </c>
      <c r="S244" s="252" t="s">
        <v>101</v>
      </c>
      <c r="T244" s="257" t="s">
        <v>356</v>
      </c>
      <c r="U244" s="259" t="s">
        <v>101</v>
      </c>
      <c r="V244" s="252" t="s">
        <v>356</v>
      </c>
      <c r="W244" s="252" t="s">
        <v>101</v>
      </c>
      <c r="X244" s="252" t="s">
        <v>356</v>
      </c>
      <c r="Y244" s="252" t="s">
        <v>101</v>
      </c>
      <c r="Z244" s="252" t="s">
        <v>356</v>
      </c>
      <c r="AA244" s="252" t="s">
        <v>101</v>
      </c>
      <c r="AB244" s="252" t="s">
        <v>356</v>
      </c>
      <c r="AC244" s="252" t="s">
        <v>101</v>
      </c>
      <c r="AD244" s="252" t="s">
        <v>356</v>
      </c>
      <c r="AE244" s="252" t="s">
        <v>101</v>
      </c>
      <c r="AF244" s="252" t="s">
        <v>356</v>
      </c>
      <c r="AG244" s="252" t="s">
        <v>101</v>
      </c>
      <c r="AH244" s="252" t="s">
        <v>356</v>
      </c>
      <c r="AI244" s="252" t="s">
        <v>101</v>
      </c>
      <c r="AJ244" s="252" t="s">
        <v>356</v>
      </c>
      <c r="AK244" s="252" t="s">
        <v>101</v>
      </c>
      <c r="AL244" s="252" t="s">
        <v>356</v>
      </c>
    </row>
    <row r="245" spans="1:38" ht="21" customHeight="1">
      <c r="A245" s="251">
        <v>1</v>
      </c>
      <c r="B245" s="250" t="s">
        <v>209</v>
      </c>
      <c r="C245" s="255"/>
      <c r="D245" s="255"/>
      <c r="E245" s="255"/>
      <c r="F245" s="255"/>
      <c r="G245" s="252">
        <v>0</v>
      </c>
      <c r="H245" s="252">
        <v>0</v>
      </c>
      <c r="I245" s="252">
        <v>37</v>
      </c>
      <c r="J245" s="252">
        <v>22.44</v>
      </c>
      <c r="K245" s="255"/>
      <c r="L245" s="255"/>
      <c r="M245" s="252">
        <v>37</v>
      </c>
      <c r="N245" s="252">
        <v>22.44</v>
      </c>
      <c r="O245" s="255"/>
      <c r="P245" s="255"/>
      <c r="Q245" s="255"/>
      <c r="R245" s="255"/>
      <c r="S245" s="252">
        <v>0</v>
      </c>
      <c r="T245" s="257">
        <v>0</v>
      </c>
      <c r="U245" s="260"/>
      <c r="V245" s="255"/>
      <c r="W245" s="255"/>
      <c r="X245" s="255"/>
      <c r="Y245" s="252">
        <v>0</v>
      </c>
      <c r="Z245" s="252">
        <v>0</v>
      </c>
      <c r="AA245" s="252">
        <v>60</v>
      </c>
      <c r="AB245" s="252">
        <v>56.03</v>
      </c>
      <c r="AC245" s="255"/>
      <c r="AD245" s="255"/>
      <c r="AE245" s="252">
        <v>60</v>
      </c>
      <c r="AF245" s="252">
        <v>56.03</v>
      </c>
      <c r="AG245" s="255"/>
      <c r="AH245" s="255"/>
      <c r="AI245" s="255"/>
      <c r="AJ245" s="255"/>
      <c r="AK245" s="252">
        <v>0</v>
      </c>
      <c r="AL245" s="252">
        <v>0</v>
      </c>
    </row>
    <row r="246" spans="1:38" ht="21" customHeight="1">
      <c r="A246" s="251">
        <v>2</v>
      </c>
      <c r="B246" s="250" t="s">
        <v>210</v>
      </c>
      <c r="C246" s="255"/>
      <c r="D246" s="255"/>
      <c r="E246" s="255"/>
      <c r="F246" s="255"/>
      <c r="G246" s="252">
        <v>0</v>
      </c>
      <c r="H246" s="252">
        <v>0</v>
      </c>
      <c r="I246" s="252">
        <v>76</v>
      </c>
      <c r="J246" s="252">
        <v>43</v>
      </c>
      <c r="K246" s="255"/>
      <c r="L246" s="255"/>
      <c r="M246" s="252">
        <v>76</v>
      </c>
      <c r="N246" s="252">
        <v>43</v>
      </c>
      <c r="O246" s="255"/>
      <c r="P246" s="255"/>
      <c r="Q246" s="255"/>
      <c r="R246" s="255"/>
      <c r="S246" s="252">
        <v>0</v>
      </c>
      <c r="T246" s="257">
        <v>0</v>
      </c>
      <c r="U246" s="260"/>
      <c r="V246" s="255"/>
      <c r="W246" s="255"/>
      <c r="X246" s="255"/>
      <c r="Y246" s="252">
        <v>0</v>
      </c>
      <c r="Z246" s="252">
        <v>0</v>
      </c>
      <c r="AA246" s="252">
        <v>111</v>
      </c>
      <c r="AB246" s="252">
        <v>101.5</v>
      </c>
      <c r="AC246" s="255"/>
      <c r="AD246" s="255"/>
      <c r="AE246" s="252">
        <v>111</v>
      </c>
      <c r="AF246" s="252">
        <v>101.5</v>
      </c>
      <c r="AG246" s="255"/>
      <c r="AH246" s="255"/>
      <c r="AI246" s="255"/>
      <c r="AJ246" s="255"/>
      <c r="AK246" s="252">
        <v>0</v>
      </c>
      <c r="AL246" s="252">
        <v>0</v>
      </c>
    </row>
    <row r="247" spans="1:38" ht="21" customHeight="1">
      <c r="A247" s="251">
        <v>3</v>
      </c>
      <c r="B247" s="250" t="s">
        <v>222</v>
      </c>
      <c r="C247" s="255"/>
      <c r="D247" s="255"/>
      <c r="E247" s="255"/>
      <c r="F247" s="255"/>
      <c r="G247" s="252">
        <v>0</v>
      </c>
      <c r="H247" s="252">
        <v>0</v>
      </c>
      <c r="I247" s="252">
        <v>43</v>
      </c>
      <c r="J247" s="252">
        <v>27.17</v>
      </c>
      <c r="K247" s="255"/>
      <c r="L247" s="255"/>
      <c r="M247" s="252">
        <v>43</v>
      </c>
      <c r="N247" s="252">
        <v>27.17</v>
      </c>
      <c r="O247" s="255"/>
      <c r="P247" s="255"/>
      <c r="Q247" s="255"/>
      <c r="R247" s="255"/>
      <c r="S247" s="252">
        <v>0</v>
      </c>
      <c r="T247" s="257">
        <v>0</v>
      </c>
      <c r="U247" s="260"/>
      <c r="V247" s="255"/>
      <c r="W247" s="255"/>
      <c r="X247" s="255"/>
      <c r="Y247" s="252">
        <v>0</v>
      </c>
      <c r="Z247" s="252">
        <v>0</v>
      </c>
      <c r="AA247" s="252">
        <v>71</v>
      </c>
      <c r="AB247" s="252">
        <v>60.97</v>
      </c>
      <c r="AC247" s="255"/>
      <c r="AD247" s="255"/>
      <c r="AE247" s="252">
        <v>71</v>
      </c>
      <c r="AF247" s="252">
        <v>60.97</v>
      </c>
      <c r="AG247" s="255"/>
      <c r="AH247" s="255"/>
      <c r="AI247" s="255"/>
      <c r="AJ247" s="255"/>
      <c r="AK247" s="252">
        <v>0</v>
      </c>
      <c r="AL247" s="252">
        <v>0</v>
      </c>
    </row>
    <row r="248" spans="1:38" ht="21" customHeight="1">
      <c r="A248" s="251">
        <v>4</v>
      </c>
      <c r="B248" s="250" t="s">
        <v>223</v>
      </c>
      <c r="C248" s="255"/>
      <c r="D248" s="255"/>
      <c r="E248" s="255"/>
      <c r="F248" s="255"/>
      <c r="G248" s="252">
        <v>0</v>
      </c>
      <c r="H248" s="252">
        <v>0</v>
      </c>
      <c r="I248" s="252">
        <v>102</v>
      </c>
      <c r="J248" s="252">
        <v>58.28</v>
      </c>
      <c r="K248" s="255"/>
      <c r="L248" s="255"/>
      <c r="M248" s="252">
        <v>102</v>
      </c>
      <c r="N248" s="252">
        <v>58.28</v>
      </c>
      <c r="O248" s="255"/>
      <c r="P248" s="255"/>
      <c r="Q248" s="255"/>
      <c r="R248" s="255"/>
      <c r="S248" s="252">
        <v>0</v>
      </c>
      <c r="T248" s="257">
        <v>0</v>
      </c>
      <c r="U248" s="260"/>
      <c r="V248" s="255"/>
      <c r="W248" s="255"/>
      <c r="X248" s="255"/>
      <c r="Y248" s="252">
        <v>0</v>
      </c>
      <c r="Z248" s="252">
        <v>0</v>
      </c>
      <c r="AA248" s="252">
        <v>138</v>
      </c>
      <c r="AB248" s="252">
        <v>118.61</v>
      </c>
      <c r="AC248" s="255"/>
      <c r="AD248" s="255"/>
      <c r="AE248" s="252">
        <v>138</v>
      </c>
      <c r="AF248" s="252">
        <v>118.61</v>
      </c>
      <c r="AG248" s="255"/>
      <c r="AH248" s="255"/>
      <c r="AI248" s="255"/>
      <c r="AJ248" s="255"/>
      <c r="AK248" s="252">
        <v>0</v>
      </c>
      <c r="AL248" s="252">
        <v>0</v>
      </c>
    </row>
    <row r="249" spans="1:38" ht="21" customHeight="1">
      <c r="A249" s="251">
        <v>5</v>
      </c>
      <c r="B249" s="250" t="s">
        <v>297</v>
      </c>
      <c r="C249" s="255"/>
      <c r="D249" s="255"/>
      <c r="E249" s="255"/>
      <c r="F249" s="255"/>
      <c r="G249" s="252">
        <v>0</v>
      </c>
      <c r="H249" s="252">
        <v>0</v>
      </c>
      <c r="I249" s="252">
        <v>43</v>
      </c>
      <c r="J249" s="252">
        <v>25.97</v>
      </c>
      <c r="K249" s="255"/>
      <c r="L249" s="255"/>
      <c r="M249" s="252">
        <v>43</v>
      </c>
      <c r="N249" s="252">
        <v>25.97</v>
      </c>
      <c r="O249" s="255"/>
      <c r="P249" s="255"/>
      <c r="Q249" s="255"/>
      <c r="R249" s="255"/>
      <c r="S249" s="252">
        <v>0</v>
      </c>
      <c r="T249" s="257">
        <v>0</v>
      </c>
      <c r="U249" s="260"/>
      <c r="V249" s="255"/>
      <c r="W249" s="255"/>
      <c r="X249" s="255"/>
      <c r="Y249" s="252">
        <v>0</v>
      </c>
      <c r="Z249" s="252">
        <v>0</v>
      </c>
      <c r="AA249" s="252">
        <v>60</v>
      </c>
      <c r="AB249" s="252">
        <v>52.69</v>
      </c>
      <c r="AC249" s="255"/>
      <c r="AD249" s="255"/>
      <c r="AE249" s="252">
        <v>60</v>
      </c>
      <c r="AF249" s="252">
        <v>52.69</v>
      </c>
      <c r="AG249" s="255"/>
      <c r="AH249" s="255"/>
      <c r="AI249" s="255"/>
      <c r="AJ249" s="255"/>
      <c r="AK249" s="252">
        <v>0</v>
      </c>
      <c r="AL249" s="252">
        <v>0</v>
      </c>
    </row>
    <row r="250" spans="1:38" ht="21" customHeight="1">
      <c r="A250" s="675" t="s">
        <v>8</v>
      </c>
      <c r="B250" s="676"/>
      <c r="C250" s="252"/>
      <c r="D250" s="252"/>
      <c r="E250" s="252"/>
      <c r="F250" s="252"/>
      <c r="G250" s="252">
        <f>SUM(G245:G249)</f>
        <v>0</v>
      </c>
      <c r="H250" s="252">
        <f>SUM(H245:H249)</f>
        <v>0</v>
      </c>
      <c r="I250" s="252">
        <f>SUM(I245:I249)</f>
        <v>301</v>
      </c>
      <c r="J250" s="252">
        <f>SUM(J245:J249)</f>
        <v>176.85999999999999</v>
      </c>
      <c r="K250" s="252"/>
      <c r="L250" s="252"/>
      <c r="M250" s="252">
        <f>SUM(M245:M249)</f>
        <v>301</v>
      </c>
      <c r="N250" s="252">
        <f>SUM(N245:N249)</f>
        <v>176.85999999999999</v>
      </c>
      <c r="O250" s="252"/>
      <c r="P250" s="252"/>
      <c r="Q250" s="252"/>
      <c r="R250" s="252"/>
      <c r="S250" s="252">
        <f>SUM(S245:S249)</f>
        <v>0</v>
      </c>
      <c r="T250" s="257">
        <f>SUM(T245:T249)</f>
        <v>0</v>
      </c>
      <c r="U250" s="259"/>
      <c r="V250" s="252"/>
      <c r="W250" s="252"/>
      <c r="X250" s="252"/>
      <c r="Y250" s="252">
        <f>SUM(Y245:Y249)</f>
        <v>0</v>
      </c>
      <c r="Z250" s="252">
        <f>SUM(Z245:Z249)</f>
        <v>0</v>
      </c>
      <c r="AA250" s="252">
        <f>SUM(AA245:AA249)</f>
        <v>440</v>
      </c>
      <c r="AB250" s="252">
        <f>SUM(AB245:AB249)</f>
        <v>389.8</v>
      </c>
      <c r="AC250" s="252"/>
      <c r="AD250" s="252"/>
      <c r="AE250" s="252">
        <f>SUM(AE245:AE249)</f>
        <v>440</v>
      </c>
      <c r="AF250" s="252">
        <f>SUM(AF245:AF249)</f>
        <v>389.8</v>
      </c>
      <c r="AG250" s="252"/>
      <c r="AH250" s="252"/>
      <c r="AI250" s="252"/>
      <c r="AJ250" s="252"/>
      <c r="AK250" s="252">
        <f>SUM(AK245:AK249)</f>
        <v>0</v>
      </c>
      <c r="AL250" s="252">
        <f>SUM(AL245:AL249)</f>
        <v>0</v>
      </c>
    </row>
    <row r="251" spans="1:38" ht="21" customHeight="1">
      <c r="A251" s="247"/>
      <c r="B251" s="264" t="s">
        <v>61</v>
      </c>
      <c r="C251" s="247">
        <f>+C19+C36+C53+C61+C69+C79+C89+C102+C127+C144+C155+C167+C183+C203+C215+C227+C238+C250</f>
        <v>0</v>
      </c>
      <c r="D251" s="247">
        <f t="shared" ref="D251:AL251" si="12">+D19+D36+D53+D61+D69+D79+D89+D102+D127+D144+D155+D167+D183+D203+D215+D227+D238+D250</f>
        <v>0</v>
      </c>
      <c r="E251" s="247">
        <f t="shared" si="12"/>
        <v>0</v>
      </c>
      <c r="F251" s="247">
        <f t="shared" si="12"/>
        <v>0</v>
      </c>
      <c r="G251" s="247">
        <f t="shared" si="12"/>
        <v>0</v>
      </c>
      <c r="H251" s="247">
        <f t="shared" si="12"/>
        <v>0</v>
      </c>
      <c r="I251" s="247">
        <f t="shared" si="12"/>
        <v>12535</v>
      </c>
      <c r="J251" s="247">
        <f t="shared" si="12"/>
        <v>6236.03</v>
      </c>
      <c r="K251" s="247">
        <f t="shared" si="12"/>
        <v>1276</v>
      </c>
      <c r="L251" s="247">
        <f t="shared" si="12"/>
        <v>556.33000000000004</v>
      </c>
      <c r="M251" s="247">
        <f t="shared" si="12"/>
        <v>13811</v>
      </c>
      <c r="N251" s="247">
        <f t="shared" si="12"/>
        <v>6792.36</v>
      </c>
      <c r="O251" s="247">
        <f t="shared" si="12"/>
        <v>20</v>
      </c>
      <c r="P251" s="247">
        <f t="shared" si="12"/>
        <v>8.43</v>
      </c>
      <c r="Q251" s="247">
        <f t="shared" si="12"/>
        <v>17</v>
      </c>
      <c r="R251" s="247">
        <f t="shared" si="12"/>
        <v>9.89</v>
      </c>
      <c r="S251" s="247">
        <f t="shared" si="12"/>
        <v>37</v>
      </c>
      <c r="T251" s="266">
        <f t="shared" si="12"/>
        <v>18.32</v>
      </c>
      <c r="U251" s="247">
        <f t="shared" si="12"/>
        <v>0</v>
      </c>
      <c r="V251" s="247">
        <f t="shared" si="12"/>
        <v>0</v>
      </c>
      <c r="W251" s="247">
        <f t="shared" si="12"/>
        <v>0</v>
      </c>
      <c r="X251" s="247">
        <f t="shared" si="12"/>
        <v>0</v>
      </c>
      <c r="Y251" s="247">
        <f t="shared" si="12"/>
        <v>0</v>
      </c>
      <c r="Z251" s="247">
        <f t="shared" si="12"/>
        <v>0</v>
      </c>
      <c r="AA251" s="247">
        <f t="shared" si="12"/>
        <v>16051</v>
      </c>
      <c r="AB251" s="247">
        <f t="shared" si="12"/>
        <v>12145.239999999998</v>
      </c>
      <c r="AC251" s="247">
        <f t="shared" si="12"/>
        <v>1809</v>
      </c>
      <c r="AD251" s="247">
        <f t="shared" si="12"/>
        <v>1263.3299999999997</v>
      </c>
      <c r="AE251" s="247">
        <f t="shared" si="12"/>
        <v>17860</v>
      </c>
      <c r="AF251" s="247">
        <f t="shared" si="12"/>
        <v>13408.569999999998</v>
      </c>
      <c r="AG251" s="247">
        <f t="shared" si="12"/>
        <v>24</v>
      </c>
      <c r="AH251" s="247">
        <f t="shared" si="12"/>
        <v>16.060000000000002</v>
      </c>
      <c r="AI251" s="247">
        <f t="shared" si="12"/>
        <v>26</v>
      </c>
      <c r="AJ251" s="247">
        <f t="shared" si="12"/>
        <v>17.61</v>
      </c>
      <c r="AK251" s="247">
        <f t="shared" si="12"/>
        <v>50</v>
      </c>
      <c r="AL251" s="247">
        <f t="shared" si="12"/>
        <v>33.67</v>
      </c>
    </row>
    <row r="252" spans="1:38" ht="21" customHeight="1">
      <c r="A252" s="247"/>
      <c r="B252" s="247"/>
      <c r="C252" s="247"/>
      <c r="D252" s="247"/>
      <c r="E252" s="247"/>
      <c r="F252" s="247"/>
      <c r="G252" s="247"/>
      <c r="H252" s="247"/>
      <c r="I252" s="247"/>
      <c r="J252" s="247"/>
      <c r="K252" s="247"/>
      <c r="L252" s="247"/>
      <c r="M252" s="247"/>
      <c r="N252" s="247"/>
      <c r="O252" s="247"/>
      <c r="P252" s="247"/>
      <c r="Q252" s="247"/>
      <c r="R252" s="247"/>
      <c r="S252" s="247"/>
      <c r="T252" s="247"/>
      <c r="U252" s="261"/>
      <c r="V252" s="247"/>
      <c r="W252" s="247"/>
      <c r="X252" s="247"/>
      <c r="Y252" s="247"/>
      <c r="Z252" s="247"/>
      <c r="AA252" s="247"/>
      <c r="AB252" s="247"/>
      <c r="AC252" s="247"/>
      <c r="AD252" s="247"/>
      <c r="AE252" s="247"/>
      <c r="AF252" s="247"/>
      <c r="AG252" s="247"/>
      <c r="AH252" s="247"/>
      <c r="AI252" s="247"/>
      <c r="AJ252" s="247"/>
      <c r="AK252" s="247"/>
      <c r="AL252" s="247"/>
    </row>
    <row r="253" spans="1:38" ht="21" customHeight="1">
      <c r="A253" s="247"/>
      <c r="B253" s="247"/>
      <c r="C253" s="247"/>
      <c r="D253" s="247"/>
      <c r="E253" s="247"/>
      <c r="F253" s="247"/>
      <c r="G253" s="247"/>
      <c r="H253" s="247"/>
      <c r="I253" s="247"/>
      <c r="J253" s="247"/>
      <c r="K253" s="247"/>
      <c r="L253" s="247"/>
      <c r="M253" s="247"/>
      <c r="N253" s="247"/>
      <c r="O253" s="247"/>
      <c r="P253" s="247"/>
      <c r="Q253" s="247"/>
      <c r="R253" s="247"/>
      <c r="S253" s="265">
        <f>+G251+M251+S251</f>
        <v>13848</v>
      </c>
      <c r="T253" s="265">
        <f>+H251+N251+T251</f>
        <v>6810.6799999999994</v>
      </c>
      <c r="U253" s="261"/>
      <c r="V253" s="247"/>
      <c r="W253" s="247"/>
      <c r="X253" s="247"/>
      <c r="Y253" s="247"/>
      <c r="Z253" s="247"/>
      <c r="AA253" s="247"/>
      <c r="AB253" s="247"/>
      <c r="AC253" s="247"/>
      <c r="AD253" s="247"/>
      <c r="AE253" s="247"/>
      <c r="AF253" s="247"/>
      <c r="AG253" s="247"/>
      <c r="AH253" s="247"/>
      <c r="AI253" s="247"/>
      <c r="AJ253" s="247"/>
      <c r="AK253" s="265">
        <f>+Y251+AE251+AK251</f>
        <v>17910</v>
      </c>
      <c r="AL253" s="265">
        <f>+Z251+AF251+AL251</f>
        <v>13442.239999999998</v>
      </c>
    </row>
    <row r="254" spans="1:38" ht="21" customHeight="1">
      <c r="A254" s="247"/>
      <c r="B254" s="247"/>
      <c r="C254" s="247"/>
      <c r="D254" s="247"/>
      <c r="E254" s="247"/>
      <c r="F254" s="247"/>
      <c r="G254" s="247"/>
      <c r="H254" s="247"/>
      <c r="I254" s="247"/>
      <c r="J254" s="247"/>
      <c r="K254" s="247"/>
      <c r="L254" s="247"/>
      <c r="M254" s="247"/>
      <c r="N254" s="247"/>
      <c r="O254" s="247"/>
      <c r="P254" s="247"/>
      <c r="Q254" s="247"/>
      <c r="R254" s="247"/>
      <c r="S254" s="247"/>
      <c r="T254" s="247"/>
      <c r="U254" s="261"/>
      <c r="V254" s="247"/>
      <c r="W254" s="247"/>
      <c r="X254" s="247"/>
      <c r="Y254" s="247"/>
      <c r="Z254" s="247"/>
      <c r="AA254" s="247"/>
      <c r="AB254" s="247"/>
      <c r="AC254" s="247"/>
      <c r="AD254" s="247"/>
      <c r="AE254" s="247"/>
      <c r="AF254" s="247"/>
      <c r="AG254" s="247"/>
      <c r="AH254" s="247"/>
      <c r="AI254" s="247"/>
      <c r="AJ254" s="247"/>
      <c r="AK254" s="247"/>
      <c r="AL254" s="247"/>
    </row>
    <row r="255" spans="1:38" ht="21" customHeight="1">
      <c r="A255" s="247"/>
      <c r="B255" s="247"/>
      <c r="C255" s="247"/>
      <c r="D255" s="247"/>
      <c r="E255" s="247"/>
      <c r="F255" s="247"/>
      <c r="G255" s="247"/>
      <c r="H255" s="247"/>
      <c r="I255" s="247"/>
      <c r="J255" s="247"/>
      <c r="K255" s="247"/>
      <c r="L255" s="247"/>
      <c r="M255" s="247"/>
      <c r="N255" s="247"/>
      <c r="O255" s="247"/>
      <c r="P255" s="247"/>
      <c r="Q255" s="247"/>
      <c r="R255" s="247"/>
      <c r="S255" s="247"/>
      <c r="T255" s="247"/>
      <c r="U255" s="261"/>
      <c r="V255" s="247"/>
      <c r="W255" s="247"/>
      <c r="X255" s="247"/>
      <c r="Y255" s="247"/>
      <c r="Z255" s="247"/>
      <c r="AA255" s="247"/>
      <c r="AB255" s="247"/>
      <c r="AC255" s="247"/>
      <c r="AD255" s="247"/>
      <c r="AE255" s="247"/>
      <c r="AF255" s="247"/>
      <c r="AG255" s="247"/>
      <c r="AH255" s="247"/>
      <c r="AI255" s="247"/>
      <c r="AJ255" s="247"/>
      <c r="AK255" s="247"/>
      <c r="AL255" s="247"/>
    </row>
    <row r="256" spans="1:38" ht="21" customHeight="1">
      <c r="A256" s="247"/>
      <c r="B256" s="247"/>
      <c r="C256" s="247"/>
      <c r="D256" s="247"/>
      <c r="E256" s="247"/>
      <c r="F256" s="247"/>
      <c r="G256" s="247"/>
      <c r="H256" s="247"/>
      <c r="I256" s="247"/>
      <c r="J256" s="247"/>
      <c r="K256" s="247"/>
      <c r="L256" s="247"/>
      <c r="M256" s="247"/>
      <c r="N256" s="247"/>
      <c r="O256" s="247"/>
      <c r="P256" s="247"/>
      <c r="Q256" s="247"/>
      <c r="R256" s="247"/>
      <c r="S256" s="247"/>
      <c r="T256" s="247"/>
      <c r="U256" s="261"/>
      <c r="V256" s="247"/>
      <c r="W256" s="247"/>
      <c r="X256" s="247"/>
      <c r="Y256" s="247"/>
      <c r="Z256" s="247"/>
      <c r="AA256" s="247"/>
      <c r="AB256" s="247"/>
      <c r="AC256" s="247"/>
      <c r="AD256" s="247"/>
      <c r="AE256" s="247"/>
      <c r="AF256" s="247"/>
      <c r="AG256" s="247"/>
      <c r="AH256" s="247"/>
      <c r="AI256" s="247"/>
      <c r="AJ256" s="247"/>
      <c r="AK256" s="267"/>
      <c r="AL256" s="267"/>
    </row>
    <row r="257" spans="1:38" ht="21" customHeight="1">
      <c r="A257" s="247"/>
      <c r="B257" s="247"/>
      <c r="C257" s="247"/>
      <c r="D257" s="247"/>
      <c r="E257" s="247"/>
      <c r="F257" s="247"/>
      <c r="G257" s="247"/>
      <c r="H257" s="247"/>
      <c r="I257" s="247"/>
      <c r="J257" s="247"/>
      <c r="K257" s="247"/>
      <c r="L257" s="247"/>
      <c r="M257" s="247"/>
      <c r="N257" s="247"/>
      <c r="O257" s="247"/>
      <c r="P257" s="247"/>
      <c r="Q257" s="247"/>
      <c r="R257" s="247"/>
      <c r="S257" s="247"/>
      <c r="T257" s="247"/>
      <c r="U257" s="261"/>
      <c r="V257" s="247"/>
      <c r="W257" s="247"/>
      <c r="X257" s="247"/>
      <c r="Y257" s="247"/>
      <c r="Z257" s="247"/>
      <c r="AA257" s="247"/>
      <c r="AB257" s="247"/>
      <c r="AC257" s="247"/>
      <c r="AD257" s="247"/>
      <c r="AE257" s="247"/>
      <c r="AF257" s="247"/>
      <c r="AG257" s="247"/>
      <c r="AH257" s="247"/>
      <c r="AI257" s="247"/>
      <c r="AJ257" s="247"/>
      <c r="AK257" s="247"/>
      <c r="AL257" s="247"/>
    </row>
    <row r="281" spans="1:39" ht="21" customHeight="1">
      <c r="A281" s="258"/>
      <c r="B281" s="258"/>
      <c r="C281" s="258"/>
      <c r="D281" s="258"/>
      <c r="E281" s="258"/>
      <c r="F281" s="258"/>
      <c r="G281" s="258"/>
      <c r="H281" s="258"/>
      <c r="I281" s="258"/>
      <c r="J281" s="258"/>
      <c r="K281" s="258"/>
      <c r="L281" s="258"/>
      <c r="M281" s="258"/>
      <c r="N281" s="258"/>
      <c r="O281" s="258"/>
      <c r="P281" s="258"/>
      <c r="Q281" s="258"/>
      <c r="R281" s="258"/>
      <c r="S281" s="258"/>
      <c r="T281" s="258"/>
      <c r="U281" s="263"/>
      <c r="V281" s="258"/>
      <c r="W281" s="258"/>
      <c r="X281" s="258"/>
      <c r="Y281" s="258"/>
      <c r="Z281" s="258"/>
      <c r="AA281" s="258"/>
      <c r="AB281" s="258"/>
      <c r="AC281" s="258"/>
      <c r="AD281" s="258"/>
      <c r="AE281" s="258"/>
      <c r="AF281" s="258"/>
      <c r="AG281" s="258"/>
      <c r="AH281" s="258"/>
      <c r="AI281" s="258"/>
      <c r="AJ281" s="258"/>
      <c r="AK281" s="258"/>
      <c r="AL281" s="258"/>
      <c r="AM281" s="258"/>
    </row>
  </sheetData>
  <mergeCells count="559">
    <mergeCell ref="A250:B250"/>
    <mergeCell ref="U243:V243"/>
    <mergeCell ref="W243:X243"/>
    <mergeCell ref="Y243:Z243"/>
    <mergeCell ref="AA243:AB243"/>
    <mergeCell ref="AC243:AD243"/>
    <mergeCell ref="Q243:R243"/>
    <mergeCell ref="S243:T243"/>
    <mergeCell ref="A238:B238"/>
    <mergeCell ref="A239:AL239"/>
    <mergeCell ref="A240:AL240"/>
    <mergeCell ref="A241:A244"/>
    <mergeCell ref="B241:B244"/>
    <mergeCell ref="C241:T241"/>
    <mergeCell ref="U241:AL241"/>
    <mergeCell ref="C242:H242"/>
    <mergeCell ref="I242:N242"/>
    <mergeCell ref="O242:T242"/>
    <mergeCell ref="AE243:AF243"/>
    <mergeCell ref="AG243:AH243"/>
    <mergeCell ref="AI243:AJ243"/>
    <mergeCell ref="AK243:AL243"/>
    <mergeCell ref="U242:Z242"/>
    <mergeCell ref="AA242:AF242"/>
    <mergeCell ref="AG242:AL242"/>
    <mergeCell ref="C243:D243"/>
    <mergeCell ref="E243:F243"/>
    <mergeCell ref="G243:H243"/>
    <mergeCell ref="I243:J243"/>
    <mergeCell ref="K243:L243"/>
    <mergeCell ref="M243:N243"/>
    <mergeCell ref="O243:P243"/>
    <mergeCell ref="AE220:AF220"/>
    <mergeCell ref="AG220:AH220"/>
    <mergeCell ref="AI220:AJ220"/>
    <mergeCell ref="Q232:R232"/>
    <mergeCell ref="S232:T232"/>
    <mergeCell ref="U232:V232"/>
    <mergeCell ref="W232:X232"/>
    <mergeCell ref="Y232:Z232"/>
    <mergeCell ref="AA232:AB232"/>
    <mergeCell ref="AI232:AJ232"/>
    <mergeCell ref="A230:A233"/>
    <mergeCell ref="B230:B233"/>
    <mergeCell ref="C230:T230"/>
    <mergeCell ref="U230:AL230"/>
    <mergeCell ref="C231:H231"/>
    <mergeCell ref="I231:N231"/>
    <mergeCell ref="AC232:AD232"/>
    <mergeCell ref="AE232:AF232"/>
    <mergeCell ref="AG232:AH232"/>
    <mergeCell ref="AK232:AL232"/>
    <mergeCell ref="O232:P232"/>
    <mergeCell ref="O231:T231"/>
    <mergeCell ref="U231:Z231"/>
    <mergeCell ref="AA231:AF231"/>
    <mergeCell ref="AG231:AL231"/>
    <mergeCell ref="C232:D232"/>
    <mergeCell ref="E232:F232"/>
    <mergeCell ref="G232:H232"/>
    <mergeCell ref="I232:J232"/>
    <mergeCell ref="K232:L232"/>
    <mergeCell ref="M232:N232"/>
    <mergeCell ref="A218:A221"/>
    <mergeCell ref="B218:B221"/>
    <mergeCell ref="C218:T218"/>
    <mergeCell ref="U218:AL218"/>
    <mergeCell ref="C219:H219"/>
    <mergeCell ref="I219:N219"/>
    <mergeCell ref="O219:T219"/>
    <mergeCell ref="U219:Z219"/>
    <mergeCell ref="AA219:AF219"/>
    <mergeCell ref="AK220:AL220"/>
    <mergeCell ref="O220:P220"/>
    <mergeCell ref="Q220:R220"/>
    <mergeCell ref="S220:T220"/>
    <mergeCell ref="A227:B227"/>
    <mergeCell ref="A228:AL228"/>
    <mergeCell ref="A229:AL229"/>
    <mergeCell ref="A215:B215"/>
    <mergeCell ref="A216:AL216"/>
    <mergeCell ref="S208:T208"/>
    <mergeCell ref="U208:V208"/>
    <mergeCell ref="W208:X208"/>
    <mergeCell ref="Y208:Z208"/>
    <mergeCell ref="U220:V220"/>
    <mergeCell ref="W220:X220"/>
    <mergeCell ref="Y220:Z220"/>
    <mergeCell ref="AA220:AB220"/>
    <mergeCell ref="AC220:AD220"/>
    <mergeCell ref="AA208:AB208"/>
    <mergeCell ref="AC208:AD208"/>
    <mergeCell ref="A217:AL217"/>
    <mergeCell ref="AG219:AL219"/>
    <mergeCell ref="C220:D220"/>
    <mergeCell ref="E220:F220"/>
    <mergeCell ref="G220:H220"/>
    <mergeCell ref="I220:J220"/>
    <mergeCell ref="K220:L220"/>
    <mergeCell ref="M220:N220"/>
    <mergeCell ref="A204:AL204"/>
    <mergeCell ref="A205:AL205"/>
    <mergeCell ref="A206:A209"/>
    <mergeCell ref="B206:B209"/>
    <mergeCell ref="C206:T206"/>
    <mergeCell ref="U206:AL206"/>
    <mergeCell ref="C207:H207"/>
    <mergeCell ref="I207:N207"/>
    <mergeCell ref="O207:T207"/>
    <mergeCell ref="U207:Z207"/>
    <mergeCell ref="AE208:AF208"/>
    <mergeCell ref="AG208:AH208"/>
    <mergeCell ref="AI208:AJ208"/>
    <mergeCell ref="AK208:AL208"/>
    <mergeCell ref="AA207:AF207"/>
    <mergeCell ref="AG207:AL207"/>
    <mergeCell ref="C208:D208"/>
    <mergeCell ref="E208:F208"/>
    <mergeCell ref="G208:H208"/>
    <mergeCell ref="I208:J208"/>
    <mergeCell ref="K208:L208"/>
    <mergeCell ref="M208:N208"/>
    <mergeCell ref="O208:P208"/>
    <mergeCell ref="Q208:R208"/>
    <mergeCell ref="A203:B203"/>
    <mergeCell ref="AK172:AL172"/>
    <mergeCell ref="A183:B183"/>
    <mergeCell ref="A184:AL184"/>
    <mergeCell ref="A185:AL185"/>
    <mergeCell ref="A186:A189"/>
    <mergeCell ref="B186:B189"/>
    <mergeCell ref="C186:T186"/>
    <mergeCell ref="W188:X188"/>
    <mergeCell ref="Y188:Z188"/>
    <mergeCell ref="AA188:AB188"/>
    <mergeCell ref="AC188:AD188"/>
    <mergeCell ref="AE188:AF188"/>
    <mergeCell ref="AG188:AH188"/>
    <mergeCell ref="O188:P188"/>
    <mergeCell ref="Q188:R188"/>
    <mergeCell ref="S188:T188"/>
    <mergeCell ref="U188:V188"/>
    <mergeCell ref="S172:T172"/>
    <mergeCell ref="U172:V172"/>
    <mergeCell ref="O172:P172"/>
    <mergeCell ref="Q172:R172"/>
    <mergeCell ref="C188:D188"/>
    <mergeCell ref="E188:F188"/>
    <mergeCell ref="G188:H188"/>
    <mergeCell ref="I188:J188"/>
    <mergeCell ref="K188:L188"/>
    <mergeCell ref="M188:N188"/>
    <mergeCell ref="U186:AL186"/>
    <mergeCell ref="C187:H187"/>
    <mergeCell ref="I187:N187"/>
    <mergeCell ref="O187:T187"/>
    <mergeCell ref="U187:Z187"/>
    <mergeCell ref="AA187:AF187"/>
    <mergeCell ref="AG187:AL187"/>
    <mergeCell ref="AI188:AJ188"/>
    <mergeCell ref="AK188:AL188"/>
    <mergeCell ref="A167:B167"/>
    <mergeCell ref="A168:AL168"/>
    <mergeCell ref="A169:AL169"/>
    <mergeCell ref="A170:A173"/>
    <mergeCell ref="B170:B173"/>
    <mergeCell ref="C170:T170"/>
    <mergeCell ref="W172:X172"/>
    <mergeCell ref="Y172:Z172"/>
    <mergeCell ref="AA172:AB172"/>
    <mergeCell ref="AC172:AD172"/>
    <mergeCell ref="AE172:AF172"/>
    <mergeCell ref="AG172:AH172"/>
    <mergeCell ref="C172:D172"/>
    <mergeCell ref="E172:F172"/>
    <mergeCell ref="G172:H172"/>
    <mergeCell ref="I172:J172"/>
    <mergeCell ref="K172:L172"/>
    <mergeCell ref="M172:N172"/>
    <mergeCell ref="U170:AL170"/>
    <mergeCell ref="C171:H171"/>
    <mergeCell ref="I171:N171"/>
    <mergeCell ref="O171:T171"/>
    <mergeCell ref="U171:Z171"/>
    <mergeCell ref="AA171:AF171"/>
    <mergeCell ref="M132:N132"/>
    <mergeCell ref="AG171:AL171"/>
    <mergeCell ref="AI172:AJ172"/>
    <mergeCell ref="A157:AL157"/>
    <mergeCell ref="A158:A161"/>
    <mergeCell ref="B158:B161"/>
    <mergeCell ref="C158:T158"/>
    <mergeCell ref="U158:AL158"/>
    <mergeCell ref="C159:H159"/>
    <mergeCell ref="AA160:AB160"/>
    <mergeCell ref="AC160:AD160"/>
    <mergeCell ref="AE160:AF160"/>
    <mergeCell ref="O160:P160"/>
    <mergeCell ref="Q160:R160"/>
    <mergeCell ref="S160:T160"/>
    <mergeCell ref="U160:V160"/>
    <mergeCell ref="W160:X160"/>
    <mergeCell ref="Y160:Z160"/>
    <mergeCell ref="AG160:AH160"/>
    <mergeCell ref="AI160:AJ160"/>
    <mergeCell ref="AK160:AL160"/>
    <mergeCell ref="M160:N160"/>
    <mergeCell ref="I159:N159"/>
    <mergeCell ref="O159:T159"/>
    <mergeCell ref="A146:AL146"/>
    <mergeCell ref="A147:A150"/>
    <mergeCell ref="B147:B150"/>
    <mergeCell ref="C147:T147"/>
    <mergeCell ref="U147:AL147"/>
    <mergeCell ref="C148:H148"/>
    <mergeCell ref="I148:N148"/>
    <mergeCell ref="O148:T148"/>
    <mergeCell ref="U148:Z148"/>
    <mergeCell ref="AA159:AF159"/>
    <mergeCell ref="AG159:AL159"/>
    <mergeCell ref="C160:D160"/>
    <mergeCell ref="E160:F160"/>
    <mergeCell ref="G160:H160"/>
    <mergeCell ref="I160:J160"/>
    <mergeCell ref="K160:L160"/>
    <mergeCell ref="AI149:AJ149"/>
    <mergeCell ref="AK149:AL149"/>
    <mergeCell ref="S149:T149"/>
    <mergeCell ref="U149:V149"/>
    <mergeCell ref="W149:X149"/>
    <mergeCell ref="Y149:Z149"/>
    <mergeCell ref="U159:Z159"/>
    <mergeCell ref="A155:B155"/>
    <mergeCell ref="A156:AL156"/>
    <mergeCell ref="AA149:AB149"/>
    <mergeCell ref="Y132:Z132"/>
    <mergeCell ref="AA132:AB132"/>
    <mergeCell ref="A145:AL145"/>
    <mergeCell ref="AA148:AF148"/>
    <mergeCell ref="AG148:AL148"/>
    <mergeCell ref="C149:D149"/>
    <mergeCell ref="E149:F149"/>
    <mergeCell ref="G149:H149"/>
    <mergeCell ref="I149:J149"/>
    <mergeCell ref="K149:L149"/>
    <mergeCell ref="M149:N149"/>
    <mergeCell ref="O149:P149"/>
    <mergeCell ref="Q149:R149"/>
    <mergeCell ref="AC149:AD149"/>
    <mergeCell ref="AE149:AF149"/>
    <mergeCell ref="AG149:AH149"/>
    <mergeCell ref="A144:B144"/>
    <mergeCell ref="Q132:R132"/>
    <mergeCell ref="S132:T132"/>
    <mergeCell ref="U132:V132"/>
    <mergeCell ref="W132:X132"/>
    <mergeCell ref="A102:B102"/>
    <mergeCell ref="A103:AL103"/>
    <mergeCell ref="A104:AL104"/>
    <mergeCell ref="A105:A108"/>
    <mergeCell ref="B105:B108"/>
    <mergeCell ref="U107:V107"/>
    <mergeCell ref="W107:X107"/>
    <mergeCell ref="Y107:Z107"/>
    <mergeCell ref="AA107:AB107"/>
    <mergeCell ref="AC107:AD107"/>
    <mergeCell ref="AE107:AF107"/>
    <mergeCell ref="O107:P107"/>
    <mergeCell ref="Q107:R107"/>
    <mergeCell ref="S107:T107"/>
    <mergeCell ref="A127:B127"/>
    <mergeCell ref="A128:AL128"/>
    <mergeCell ref="A129:AL129"/>
    <mergeCell ref="A130:A133"/>
    <mergeCell ref="B130:B133"/>
    <mergeCell ref="C130:T130"/>
    <mergeCell ref="U130:AL130"/>
    <mergeCell ref="C131:H131"/>
    <mergeCell ref="I131:N131"/>
    <mergeCell ref="O131:T131"/>
    <mergeCell ref="AC132:AD132"/>
    <mergeCell ref="AE132:AF132"/>
    <mergeCell ref="AG132:AH132"/>
    <mergeCell ref="AI132:AJ132"/>
    <mergeCell ref="AK132:AL132"/>
    <mergeCell ref="U131:Z131"/>
    <mergeCell ref="AA131:AF131"/>
    <mergeCell ref="AG131:AL131"/>
    <mergeCell ref="O132:P132"/>
    <mergeCell ref="C132:D132"/>
    <mergeCell ref="E132:F132"/>
    <mergeCell ref="G132:H132"/>
    <mergeCell ref="I132:J132"/>
    <mergeCell ref="K132:L132"/>
    <mergeCell ref="Q94:R94"/>
    <mergeCell ref="S94:T94"/>
    <mergeCell ref="U94:V94"/>
    <mergeCell ref="C107:D107"/>
    <mergeCell ref="E107:F107"/>
    <mergeCell ref="G107:H107"/>
    <mergeCell ref="I107:J107"/>
    <mergeCell ref="K107:L107"/>
    <mergeCell ref="M107:N107"/>
    <mergeCell ref="C105:T105"/>
    <mergeCell ref="U105:AL105"/>
    <mergeCell ref="C106:H106"/>
    <mergeCell ref="I106:N106"/>
    <mergeCell ref="O106:T106"/>
    <mergeCell ref="U106:Z106"/>
    <mergeCell ref="AA106:AF106"/>
    <mergeCell ref="AG106:AL106"/>
    <mergeCell ref="AG107:AH107"/>
    <mergeCell ref="AI107:AJ107"/>
    <mergeCell ref="AK107:AL107"/>
    <mergeCell ref="AI94:AJ94"/>
    <mergeCell ref="A89:B89"/>
    <mergeCell ref="A90:AL90"/>
    <mergeCell ref="A82:A85"/>
    <mergeCell ref="B82:B85"/>
    <mergeCell ref="C82:T82"/>
    <mergeCell ref="U82:AL82"/>
    <mergeCell ref="W94:X94"/>
    <mergeCell ref="Y94:Z94"/>
    <mergeCell ref="AA94:AB94"/>
    <mergeCell ref="AC94:AD94"/>
    <mergeCell ref="AE94:AF94"/>
    <mergeCell ref="AG94:AH94"/>
    <mergeCell ref="AK94:AL94"/>
    <mergeCell ref="C94:D94"/>
    <mergeCell ref="E94:F94"/>
    <mergeCell ref="G94:H94"/>
    <mergeCell ref="I94:J94"/>
    <mergeCell ref="K94:L94"/>
    <mergeCell ref="M94:N94"/>
    <mergeCell ref="O94:P94"/>
    <mergeCell ref="A91:AL91"/>
    <mergeCell ref="A92:A95"/>
    <mergeCell ref="B92:B95"/>
    <mergeCell ref="C92:T92"/>
    <mergeCell ref="U92:AL92"/>
    <mergeCell ref="C93:H93"/>
    <mergeCell ref="I93:N93"/>
    <mergeCell ref="O93:T93"/>
    <mergeCell ref="U93:Z93"/>
    <mergeCell ref="AA93:AF93"/>
    <mergeCell ref="K84:L84"/>
    <mergeCell ref="M84:N84"/>
    <mergeCell ref="C83:H83"/>
    <mergeCell ref="I83:N83"/>
    <mergeCell ref="O83:T83"/>
    <mergeCell ref="U83:Z83"/>
    <mergeCell ref="AA83:AF83"/>
    <mergeCell ref="AG83:AL83"/>
    <mergeCell ref="AG93:AL93"/>
    <mergeCell ref="AE84:AF84"/>
    <mergeCell ref="AG84:AH84"/>
    <mergeCell ref="AI84:AJ84"/>
    <mergeCell ref="AK84:AL84"/>
    <mergeCell ref="A79:B79"/>
    <mergeCell ref="A80:AL80"/>
    <mergeCell ref="A81:AL81"/>
    <mergeCell ref="A70:AL70"/>
    <mergeCell ref="A71:AL71"/>
    <mergeCell ref="A72:A75"/>
    <mergeCell ref="B72:B75"/>
    <mergeCell ref="C72:T72"/>
    <mergeCell ref="AA84:AB84"/>
    <mergeCell ref="AC84:AD84"/>
    <mergeCell ref="AA74:AB74"/>
    <mergeCell ref="AC74:AD74"/>
    <mergeCell ref="AE74:AF74"/>
    <mergeCell ref="AG74:AH74"/>
    <mergeCell ref="O84:P84"/>
    <mergeCell ref="Q84:R84"/>
    <mergeCell ref="S84:T84"/>
    <mergeCell ref="U84:V84"/>
    <mergeCell ref="W84:X84"/>
    <mergeCell ref="Y84:Z84"/>
    <mergeCell ref="C84:D84"/>
    <mergeCell ref="E84:F84"/>
    <mergeCell ref="G84:H84"/>
    <mergeCell ref="I84:J84"/>
    <mergeCell ref="U72:AL72"/>
    <mergeCell ref="C73:H73"/>
    <mergeCell ref="I73:N73"/>
    <mergeCell ref="O73:T73"/>
    <mergeCell ref="U73:Z73"/>
    <mergeCell ref="AA73:AF73"/>
    <mergeCell ref="AG73:AL73"/>
    <mergeCell ref="AI74:AJ74"/>
    <mergeCell ref="AK74:AL74"/>
    <mergeCell ref="O74:P74"/>
    <mergeCell ref="Q74:R74"/>
    <mergeCell ref="S74:T74"/>
    <mergeCell ref="U74:V74"/>
    <mergeCell ref="W74:X74"/>
    <mergeCell ref="Y74:Z74"/>
    <mergeCell ref="C74:D74"/>
    <mergeCell ref="E74:F74"/>
    <mergeCell ref="G74:H74"/>
    <mergeCell ref="I74:J74"/>
    <mergeCell ref="K74:L74"/>
    <mergeCell ref="M74:N74"/>
    <mergeCell ref="A69:B69"/>
    <mergeCell ref="AK58:AL58"/>
    <mergeCell ref="A61:B61"/>
    <mergeCell ref="A62:AL62"/>
    <mergeCell ref="A63:AL63"/>
    <mergeCell ref="A64:A67"/>
    <mergeCell ref="B64:B67"/>
    <mergeCell ref="C64:T64"/>
    <mergeCell ref="W66:X66"/>
    <mergeCell ref="Y66:Z66"/>
    <mergeCell ref="AA66:AB66"/>
    <mergeCell ref="AC66:AD66"/>
    <mergeCell ref="AE66:AF66"/>
    <mergeCell ref="AG66:AH66"/>
    <mergeCell ref="O66:P66"/>
    <mergeCell ref="Q66:R66"/>
    <mergeCell ref="S66:T66"/>
    <mergeCell ref="U66:V66"/>
    <mergeCell ref="S58:T58"/>
    <mergeCell ref="U58:V58"/>
    <mergeCell ref="O58:P58"/>
    <mergeCell ref="Q58:R58"/>
    <mergeCell ref="C66:D66"/>
    <mergeCell ref="E66:F66"/>
    <mergeCell ref="G66:H66"/>
    <mergeCell ref="I66:J66"/>
    <mergeCell ref="K66:L66"/>
    <mergeCell ref="M66:N66"/>
    <mergeCell ref="U64:AL64"/>
    <mergeCell ref="C65:H65"/>
    <mergeCell ref="I65:N65"/>
    <mergeCell ref="O65:T65"/>
    <mergeCell ref="U65:Z65"/>
    <mergeCell ref="AA65:AF65"/>
    <mergeCell ref="AG65:AL65"/>
    <mergeCell ref="AI66:AJ66"/>
    <mergeCell ref="AK66:AL66"/>
    <mergeCell ref="A53:B53"/>
    <mergeCell ref="A54:AL54"/>
    <mergeCell ref="A55:AL55"/>
    <mergeCell ref="A56:A59"/>
    <mergeCell ref="B56:B59"/>
    <mergeCell ref="C56:T56"/>
    <mergeCell ref="W58:X58"/>
    <mergeCell ref="Y58:Z58"/>
    <mergeCell ref="AA58:AB58"/>
    <mergeCell ref="AC58:AD58"/>
    <mergeCell ref="AE58:AF58"/>
    <mergeCell ref="AG58:AH58"/>
    <mergeCell ref="C58:D58"/>
    <mergeCell ref="E58:F58"/>
    <mergeCell ref="G58:H58"/>
    <mergeCell ref="I58:J58"/>
    <mergeCell ref="K58:L58"/>
    <mergeCell ref="M58:N58"/>
    <mergeCell ref="U56:AL56"/>
    <mergeCell ref="C57:H57"/>
    <mergeCell ref="I57:N57"/>
    <mergeCell ref="O57:T57"/>
    <mergeCell ref="U57:Z57"/>
    <mergeCell ref="AA57:AF57"/>
    <mergeCell ref="M6:N6"/>
    <mergeCell ref="AG57:AL57"/>
    <mergeCell ref="AI58:AJ58"/>
    <mergeCell ref="A38:AL38"/>
    <mergeCell ref="A39:A42"/>
    <mergeCell ref="B39:B42"/>
    <mergeCell ref="C39:T39"/>
    <mergeCell ref="U39:AL39"/>
    <mergeCell ref="C40:H40"/>
    <mergeCell ref="AA41:AB41"/>
    <mergeCell ref="AC41:AD41"/>
    <mergeCell ref="AE41:AF41"/>
    <mergeCell ref="O41:P41"/>
    <mergeCell ref="Q41:R41"/>
    <mergeCell ref="S41:T41"/>
    <mergeCell ref="U41:V41"/>
    <mergeCell ref="W41:X41"/>
    <mergeCell ref="Y41:Z41"/>
    <mergeCell ref="AG41:AH41"/>
    <mergeCell ref="AI41:AJ41"/>
    <mergeCell ref="AK41:AL41"/>
    <mergeCell ref="M41:N41"/>
    <mergeCell ref="I40:N40"/>
    <mergeCell ref="O40:T40"/>
    <mergeCell ref="A21:AL21"/>
    <mergeCell ref="A22:A25"/>
    <mergeCell ref="B22:B25"/>
    <mergeCell ref="C22:T22"/>
    <mergeCell ref="U22:AL22"/>
    <mergeCell ref="C23:H23"/>
    <mergeCell ref="I23:N23"/>
    <mergeCell ref="O23:T23"/>
    <mergeCell ref="U23:Z23"/>
    <mergeCell ref="AA40:AF40"/>
    <mergeCell ref="AG40:AL40"/>
    <mergeCell ref="C41:D41"/>
    <mergeCell ref="E41:F41"/>
    <mergeCell ref="G41:H41"/>
    <mergeCell ref="I41:J41"/>
    <mergeCell ref="K41:L41"/>
    <mergeCell ref="AI24:AJ24"/>
    <mergeCell ref="AK24:AL24"/>
    <mergeCell ref="S24:T24"/>
    <mergeCell ref="U24:V24"/>
    <mergeCell ref="W24:X24"/>
    <mergeCell ref="Y24:Z24"/>
    <mergeCell ref="U40:Z40"/>
    <mergeCell ref="A36:B36"/>
    <mergeCell ref="A37:AL37"/>
    <mergeCell ref="AA24:AB24"/>
    <mergeCell ref="Y6:Z6"/>
    <mergeCell ref="AA6:AB6"/>
    <mergeCell ref="A20:AL20"/>
    <mergeCell ref="AA23:AF23"/>
    <mergeCell ref="AG23:AL23"/>
    <mergeCell ref="C24:D24"/>
    <mergeCell ref="E24:F24"/>
    <mergeCell ref="G24:H24"/>
    <mergeCell ref="I24:J24"/>
    <mergeCell ref="K24:L24"/>
    <mergeCell ref="M24:N24"/>
    <mergeCell ref="O24:P24"/>
    <mergeCell ref="Q24:R24"/>
    <mergeCell ref="AC24:AD24"/>
    <mergeCell ref="AE24:AF24"/>
    <mergeCell ref="AG24:AH24"/>
    <mergeCell ref="A19:B19"/>
    <mergeCell ref="Q6:R6"/>
    <mergeCell ref="S6:T6"/>
    <mergeCell ref="U6:V6"/>
    <mergeCell ref="O6:P6"/>
    <mergeCell ref="A1:AL1"/>
    <mergeCell ref="A2:AL2"/>
    <mergeCell ref="A3:AL3"/>
    <mergeCell ref="A4:A7"/>
    <mergeCell ref="B4:B7"/>
    <mergeCell ref="C4:T4"/>
    <mergeCell ref="U4:AL4"/>
    <mergeCell ref="C5:H5"/>
    <mergeCell ref="I5:N5"/>
    <mergeCell ref="O5:T5"/>
    <mergeCell ref="AC6:AD6"/>
    <mergeCell ref="AE6:AF6"/>
    <mergeCell ref="AG6:AH6"/>
    <mergeCell ref="AI6:AJ6"/>
    <mergeCell ref="AK6:AL6"/>
    <mergeCell ref="U5:Z5"/>
    <mergeCell ref="AA5:AF5"/>
    <mergeCell ref="AG5:AL5"/>
    <mergeCell ref="C6:D6"/>
    <mergeCell ref="E6:F6"/>
    <mergeCell ref="G6:H6"/>
    <mergeCell ref="I6:J6"/>
    <mergeCell ref="K6:L6"/>
    <mergeCell ref="W6:X6"/>
  </mergeCells>
  <printOptions horizontalCentered="1"/>
  <pageMargins left="0.19685039370078741" right="0.23622047244094491" top="0.47244094488188981" bottom="0.35433070866141736" header="0.31496062992125984" footer="0.31496062992125984"/>
  <pageSetup scale="60" orientation="landscape" horizontalDpi="0" verticalDpi="0" r:id="rId1"/>
</worksheet>
</file>

<file path=xl/worksheets/sheet15.xml><?xml version="1.0" encoding="utf-8"?>
<worksheet xmlns="http://schemas.openxmlformats.org/spreadsheetml/2006/main" xmlns:r="http://schemas.openxmlformats.org/officeDocument/2006/relationships">
  <dimension ref="A1:M50"/>
  <sheetViews>
    <sheetView workbookViewId="0">
      <selection activeCell="P49" sqref="P49"/>
    </sheetView>
  </sheetViews>
  <sheetFormatPr defaultRowHeight="21"/>
  <cols>
    <col min="1" max="1" width="6.28515625" style="247" customWidth="1"/>
    <col min="2" max="2" width="41.140625" style="247" bestFit="1" customWidth="1"/>
    <col min="3" max="3" width="5.140625" style="247" customWidth="1"/>
    <col min="4" max="4" width="5.42578125" style="247" customWidth="1"/>
    <col min="5" max="5" width="6.85546875" style="247" customWidth="1"/>
    <col min="6" max="6" width="7.140625" style="247" customWidth="1"/>
    <col min="7" max="7" width="7.28515625" style="247" customWidth="1"/>
    <col min="8" max="8" width="7.5703125" style="247" customWidth="1"/>
    <col min="9" max="9" width="4.7109375" style="247" customWidth="1"/>
    <col min="10" max="10" width="5" style="247" customWidth="1"/>
    <col min="11" max="11" width="5.140625" style="247" customWidth="1"/>
    <col min="12" max="12" width="5.42578125" style="247" customWidth="1"/>
    <col min="13" max="13" width="6.140625" style="247" customWidth="1"/>
    <col min="14" max="16384" width="9.140625" style="247"/>
  </cols>
  <sheetData>
    <row r="1" spans="1:13">
      <c r="A1" s="683"/>
      <c r="B1" s="683"/>
      <c r="C1" s="683"/>
      <c r="D1" s="683"/>
      <c r="E1" s="683"/>
      <c r="F1" s="683"/>
      <c r="G1" s="683"/>
      <c r="H1" s="683"/>
    </row>
    <row r="2" spans="1:13" ht="21" customHeight="1">
      <c r="A2" s="692" t="s">
        <v>418</v>
      </c>
      <c r="B2" s="692"/>
      <c r="C2" s="692"/>
      <c r="D2" s="692"/>
      <c r="E2" s="692"/>
      <c r="F2" s="692"/>
      <c r="G2" s="692"/>
      <c r="H2" s="692"/>
      <c r="I2" s="692"/>
      <c r="J2" s="692"/>
      <c r="K2" s="692"/>
      <c r="L2" s="692"/>
      <c r="M2" s="692"/>
    </row>
    <row r="3" spans="1:13" ht="21" customHeight="1">
      <c r="A3" s="693" t="s">
        <v>420</v>
      </c>
      <c r="B3" s="693"/>
      <c r="C3" s="693"/>
      <c r="D3" s="693"/>
      <c r="E3" s="693"/>
      <c r="F3" s="693"/>
      <c r="G3" s="693"/>
      <c r="H3" s="693"/>
      <c r="I3" s="693"/>
      <c r="J3" s="693"/>
      <c r="K3" s="693"/>
      <c r="L3" s="693"/>
      <c r="M3" s="693"/>
    </row>
    <row r="4" spans="1:13">
      <c r="A4" s="684"/>
      <c r="B4" s="684"/>
      <c r="C4" s="684"/>
      <c r="D4" s="684"/>
      <c r="E4" s="684"/>
      <c r="F4" s="684"/>
      <c r="G4" s="684"/>
      <c r="H4" s="684"/>
    </row>
    <row r="5" spans="1:13" ht="21" customHeight="1">
      <c r="A5" s="685" t="s">
        <v>202</v>
      </c>
      <c r="B5" s="687" t="s">
        <v>257</v>
      </c>
      <c r="C5" s="689" t="s">
        <v>258</v>
      </c>
      <c r="D5" s="690"/>
      <c r="E5" s="690"/>
      <c r="F5" s="690"/>
      <c r="G5" s="690"/>
      <c r="H5" s="690"/>
      <c r="I5" s="690"/>
      <c r="J5" s="690"/>
      <c r="K5" s="690"/>
      <c r="L5" s="690"/>
      <c r="M5" s="691"/>
    </row>
    <row r="6" spans="1:13" ht="21" customHeight="1">
      <c r="A6" s="686"/>
      <c r="B6" s="688"/>
      <c r="C6" s="689" t="s">
        <v>259</v>
      </c>
      <c r="D6" s="691"/>
      <c r="E6" s="689" t="s">
        <v>260</v>
      </c>
      <c r="F6" s="691"/>
      <c r="G6" s="689" t="s">
        <v>261</v>
      </c>
      <c r="H6" s="691"/>
      <c r="I6" s="689" t="s">
        <v>262</v>
      </c>
      <c r="J6" s="691"/>
      <c r="K6" s="689" t="s">
        <v>263</v>
      </c>
      <c r="L6" s="691"/>
      <c r="M6" s="249" t="s">
        <v>8</v>
      </c>
    </row>
    <row r="7" spans="1:13">
      <c r="A7" s="679"/>
      <c r="B7" s="680"/>
      <c r="C7" s="249" t="s">
        <v>264</v>
      </c>
      <c r="D7" s="249" t="s">
        <v>265</v>
      </c>
      <c r="E7" s="249" t="s">
        <v>264</v>
      </c>
      <c r="F7" s="249" t="s">
        <v>265</v>
      </c>
      <c r="G7" s="249" t="s">
        <v>264</v>
      </c>
      <c r="H7" s="249" t="s">
        <v>265</v>
      </c>
      <c r="I7" s="249" t="s">
        <v>264</v>
      </c>
      <c r="J7" s="249" t="s">
        <v>265</v>
      </c>
      <c r="K7" s="249" t="s">
        <v>264</v>
      </c>
      <c r="L7" s="249" t="s">
        <v>265</v>
      </c>
      <c r="M7" s="248"/>
    </row>
    <row r="8" spans="1:13">
      <c r="A8" s="250">
        <v>1</v>
      </c>
      <c r="B8" s="250" t="s">
        <v>266</v>
      </c>
      <c r="C8" s="251">
        <v>0</v>
      </c>
      <c r="D8" s="251">
        <v>0</v>
      </c>
      <c r="E8" s="251">
        <v>6</v>
      </c>
      <c r="F8" s="251">
        <v>7</v>
      </c>
      <c r="G8" s="251">
        <v>0</v>
      </c>
      <c r="H8" s="251">
        <v>0</v>
      </c>
      <c r="I8" s="251">
        <v>8</v>
      </c>
      <c r="J8" s="251">
        <v>1</v>
      </c>
      <c r="K8" s="251">
        <v>12</v>
      </c>
      <c r="L8" s="251">
        <v>1</v>
      </c>
      <c r="M8" s="252">
        <v>35</v>
      </c>
    </row>
    <row r="9" spans="1:13">
      <c r="A9" s="250">
        <v>2</v>
      </c>
      <c r="B9" s="250" t="s">
        <v>188</v>
      </c>
      <c r="C9" s="251">
        <v>0</v>
      </c>
      <c r="D9" s="251">
        <v>3</v>
      </c>
      <c r="E9" s="251">
        <v>3</v>
      </c>
      <c r="F9" s="251">
        <v>19</v>
      </c>
      <c r="G9" s="251">
        <v>0</v>
      </c>
      <c r="H9" s="251">
        <v>0</v>
      </c>
      <c r="I9" s="251">
        <v>1</v>
      </c>
      <c r="J9" s="251">
        <v>0</v>
      </c>
      <c r="K9" s="251">
        <v>0</v>
      </c>
      <c r="L9" s="251">
        <v>15</v>
      </c>
      <c r="M9" s="252">
        <v>41</v>
      </c>
    </row>
    <row r="10" spans="1:13">
      <c r="A10" s="250">
        <v>3</v>
      </c>
      <c r="B10" s="250" t="s">
        <v>267</v>
      </c>
      <c r="C10" s="251">
        <v>0</v>
      </c>
      <c r="D10" s="251">
        <v>0</v>
      </c>
      <c r="E10" s="251">
        <v>1</v>
      </c>
      <c r="F10" s="251">
        <v>7</v>
      </c>
      <c r="G10" s="251">
        <v>0</v>
      </c>
      <c r="H10" s="251">
        <v>0</v>
      </c>
      <c r="I10" s="251">
        <v>0</v>
      </c>
      <c r="J10" s="251">
        <v>0</v>
      </c>
      <c r="K10" s="251">
        <v>0</v>
      </c>
      <c r="L10" s="251">
        <v>0</v>
      </c>
      <c r="M10" s="252">
        <v>8</v>
      </c>
    </row>
    <row r="11" spans="1:13">
      <c r="A11" s="250">
        <v>4</v>
      </c>
      <c r="B11" s="250" t="s">
        <v>189</v>
      </c>
      <c r="C11" s="251">
        <v>0</v>
      </c>
      <c r="D11" s="251">
        <v>0</v>
      </c>
      <c r="E11" s="251">
        <v>2</v>
      </c>
      <c r="F11" s="251">
        <v>8</v>
      </c>
      <c r="G11" s="251">
        <v>1</v>
      </c>
      <c r="H11" s="251">
        <v>1</v>
      </c>
      <c r="I11" s="251">
        <v>0</v>
      </c>
      <c r="J11" s="251">
        <v>0</v>
      </c>
      <c r="K11" s="251">
        <v>0</v>
      </c>
      <c r="L11" s="251">
        <v>0</v>
      </c>
      <c r="M11" s="252">
        <v>12</v>
      </c>
    </row>
    <row r="12" spans="1:13">
      <c r="A12" s="250">
        <v>5</v>
      </c>
      <c r="B12" s="250" t="s">
        <v>193</v>
      </c>
      <c r="C12" s="251">
        <v>0</v>
      </c>
      <c r="D12" s="251">
        <v>0</v>
      </c>
      <c r="E12" s="251">
        <v>1</v>
      </c>
      <c r="F12" s="251">
        <v>3</v>
      </c>
      <c r="G12" s="251">
        <v>0</v>
      </c>
      <c r="H12" s="251">
        <v>0</v>
      </c>
      <c r="I12" s="251">
        <v>0</v>
      </c>
      <c r="J12" s="251">
        <v>0</v>
      </c>
      <c r="K12" s="251">
        <v>1</v>
      </c>
      <c r="L12" s="251">
        <v>3</v>
      </c>
      <c r="M12" s="252">
        <v>8</v>
      </c>
    </row>
    <row r="13" spans="1:13">
      <c r="A13" s="250">
        <v>6</v>
      </c>
      <c r="B13" s="250" t="s">
        <v>268</v>
      </c>
      <c r="C13" s="251">
        <v>0</v>
      </c>
      <c r="D13" s="251">
        <v>0</v>
      </c>
      <c r="E13" s="251">
        <v>2</v>
      </c>
      <c r="F13" s="251">
        <v>8</v>
      </c>
      <c r="G13" s="251">
        <v>0</v>
      </c>
      <c r="H13" s="251">
        <v>0</v>
      </c>
      <c r="I13" s="251">
        <v>0</v>
      </c>
      <c r="J13" s="251">
        <v>0</v>
      </c>
      <c r="K13" s="251">
        <v>3</v>
      </c>
      <c r="L13" s="251">
        <v>2</v>
      </c>
      <c r="M13" s="252">
        <v>15</v>
      </c>
    </row>
    <row r="14" spans="1:13">
      <c r="A14" s="250">
        <v>7</v>
      </c>
      <c r="B14" s="250" t="s">
        <v>192</v>
      </c>
      <c r="C14" s="251">
        <v>0</v>
      </c>
      <c r="D14" s="251">
        <v>0</v>
      </c>
      <c r="E14" s="251">
        <v>1</v>
      </c>
      <c r="F14" s="251">
        <v>3</v>
      </c>
      <c r="G14" s="251">
        <v>0</v>
      </c>
      <c r="H14" s="251">
        <v>0</v>
      </c>
      <c r="I14" s="251">
        <v>0</v>
      </c>
      <c r="J14" s="251">
        <v>0</v>
      </c>
      <c r="K14" s="251">
        <v>1</v>
      </c>
      <c r="L14" s="251">
        <v>3</v>
      </c>
      <c r="M14" s="252">
        <v>8</v>
      </c>
    </row>
    <row r="15" spans="1:13">
      <c r="A15" s="250">
        <v>8</v>
      </c>
      <c r="B15" s="250" t="s">
        <v>269</v>
      </c>
      <c r="C15" s="251">
        <v>0</v>
      </c>
      <c r="D15" s="251">
        <v>0</v>
      </c>
      <c r="E15" s="251">
        <v>2</v>
      </c>
      <c r="F15" s="251">
        <v>3</v>
      </c>
      <c r="G15" s="251">
        <v>0</v>
      </c>
      <c r="H15" s="251">
        <v>0</v>
      </c>
      <c r="I15" s="251">
        <v>0</v>
      </c>
      <c r="J15" s="251">
        <v>0</v>
      </c>
      <c r="K15" s="251">
        <v>2</v>
      </c>
      <c r="L15" s="251">
        <v>2</v>
      </c>
      <c r="M15" s="252">
        <v>9</v>
      </c>
    </row>
    <row r="16" spans="1:13">
      <c r="A16" s="250">
        <v>9</v>
      </c>
      <c r="B16" s="250" t="s">
        <v>270</v>
      </c>
      <c r="C16" s="251">
        <v>14</v>
      </c>
      <c r="D16" s="251">
        <v>5</v>
      </c>
      <c r="E16" s="251">
        <v>5</v>
      </c>
      <c r="F16" s="251">
        <v>6</v>
      </c>
      <c r="G16" s="251">
        <v>3</v>
      </c>
      <c r="H16" s="251">
        <v>2</v>
      </c>
      <c r="I16" s="251">
        <v>0</v>
      </c>
      <c r="J16" s="251">
        <v>0</v>
      </c>
      <c r="K16" s="251">
        <v>0</v>
      </c>
      <c r="L16" s="251">
        <v>3</v>
      </c>
      <c r="M16" s="252">
        <v>38</v>
      </c>
    </row>
    <row r="17" spans="1:13">
      <c r="A17" s="250">
        <v>10</v>
      </c>
      <c r="B17" s="250" t="s">
        <v>271</v>
      </c>
      <c r="C17" s="251">
        <v>17</v>
      </c>
      <c r="D17" s="251">
        <v>8</v>
      </c>
      <c r="E17" s="251">
        <v>7</v>
      </c>
      <c r="F17" s="251">
        <v>15</v>
      </c>
      <c r="G17" s="251">
        <v>2</v>
      </c>
      <c r="H17" s="251">
        <v>2</v>
      </c>
      <c r="I17" s="251">
        <v>3</v>
      </c>
      <c r="J17" s="251">
        <v>0</v>
      </c>
      <c r="K17" s="251">
        <v>6</v>
      </c>
      <c r="L17" s="251">
        <v>8</v>
      </c>
      <c r="M17" s="252">
        <v>68</v>
      </c>
    </row>
    <row r="18" spans="1:13">
      <c r="A18" s="250">
        <v>11</v>
      </c>
      <c r="B18" s="250" t="s">
        <v>58</v>
      </c>
      <c r="C18" s="251">
        <v>6</v>
      </c>
      <c r="D18" s="251">
        <v>1</v>
      </c>
      <c r="E18" s="251">
        <v>20</v>
      </c>
      <c r="F18" s="251">
        <v>16</v>
      </c>
      <c r="G18" s="251">
        <v>0</v>
      </c>
      <c r="H18" s="251">
        <v>1</v>
      </c>
      <c r="I18" s="251">
        <v>0</v>
      </c>
      <c r="J18" s="251">
        <v>1</v>
      </c>
      <c r="K18" s="251">
        <v>8</v>
      </c>
      <c r="L18" s="251">
        <v>6</v>
      </c>
      <c r="M18" s="252">
        <v>59</v>
      </c>
    </row>
    <row r="19" spans="1:13">
      <c r="A19" s="250">
        <v>12</v>
      </c>
      <c r="B19" s="250" t="s">
        <v>272</v>
      </c>
      <c r="C19" s="251">
        <v>1</v>
      </c>
      <c r="D19" s="251">
        <v>13</v>
      </c>
      <c r="E19" s="251">
        <v>12</v>
      </c>
      <c r="F19" s="251">
        <v>32</v>
      </c>
      <c r="G19" s="251">
        <v>1</v>
      </c>
      <c r="H19" s="251">
        <v>0</v>
      </c>
      <c r="I19" s="251">
        <v>0</v>
      </c>
      <c r="J19" s="251">
        <v>0</v>
      </c>
      <c r="K19" s="251">
        <v>11</v>
      </c>
      <c r="L19" s="251">
        <v>26</v>
      </c>
      <c r="M19" s="252">
        <v>96</v>
      </c>
    </row>
    <row r="20" spans="1:13">
      <c r="A20" s="250">
        <v>13</v>
      </c>
      <c r="B20" s="250" t="s">
        <v>44</v>
      </c>
      <c r="C20" s="251">
        <v>5</v>
      </c>
      <c r="D20" s="251">
        <v>23</v>
      </c>
      <c r="E20" s="251">
        <v>10</v>
      </c>
      <c r="F20" s="251">
        <v>27</v>
      </c>
      <c r="G20" s="251">
        <v>0</v>
      </c>
      <c r="H20" s="251">
        <v>1</v>
      </c>
      <c r="I20" s="251">
        <v>1</v>
      </c>
      <c r="J20" s="251">
        <v>0</v>
      </c>
      <c r="K20" s="251">
        <v>12</v>
      </c>
      <c r="L20" s="251">
        <v>14</v>
      </c>
      <c r="M20" s="252">
        <v>93</v>
      </c>
    </row>
    <row r="21" spans="1:13">
      <c r="A21" s="250">
        <v>14</v>
      </c>
      <c r="B21" s="250" t="s">
        <v>273</v>
      </c>
      <c r="C21" s="251">
        <v>5</v>
      </c>
      <c r="D21" s="251">
        <v>5</v>
      </c>
      <c r="E21" s="251">
        <v>4</v>
      </c>
      <c r="F21" s="251">
        <v>10</v>
      </c>
      <c r="G21" s="251">
        <v>0</v>
      </c>
      <c r="H21" s="251">
        <v>1</v>
      </c>
      <c r="I21" s="251">
        <v>0</v>
      </c>
      <c r="J21" s="251">
        <v>0</v>
      </c>
      <c r="K21" s="251">
        <v>0</v>
      </c>
      <c r="L21" s="251">
        <v>0</v>
      </c>
      <c r="M21" s="252">
        <v>25</v>
      </c>
    </row>
    <row r="22" spans="1:13">
      <c r="A22" s="250">
        <v>15</v>
      </c>
      <c r="B22" s="250" t="s">
        <v>274</v>
      </c>
      <c r="C22" s="251">
        <v>14</v>
      </c>
      <c r="D22" s="251">
        <v>12</v>
      </c>
      <c r="E22" s="251">
        <v>16</v>
      </c>
      <c r="F22" s="251">
        <v>38</v>
      </c>
      <c r="G22" s="251">
        <v>1</v>
      </c>
      <c r="H22" s="251">
        <v>3</v>
      </c>
      <c r="I22" s="251">
        <v>0</v>
      </c>
      <c r="J22" s="251">
        <v>1</v>
      </c>
      <c r="K22" s="251">
        <v>5</v>
      </c>
      <c r="L22" s="251">
        <v>11</v>
      </c>
      <c r="M22" s="252">
        <v>101</v>
      </c>
    </row>
    <row r="23" spans="1:13">
      <c r="A23" s="250">
        <v>16</v>
      </c>
      <c r="B23" s="250" t="s">
        <v>55</v>
      </c>
      <c r="C23" s="251">
        <v>19</v>
      </c>
      <c r="D23" s="251">
        <v>11</v>
      </c>
      <c r="E23" s="251">
        <v>6</v>
      </c>
      <c r="F23" s="251">
        <v>33</v>
      </c>
      <c r="G23" s="251">
        <v>1</v>
      </c>
      <c r="H23" s="251">
        <v>7</v>
      </c>
      <c r="I23" s="251">
        <v>0</v>
      </c>
      <c r="J23" s="251">
        <v>0</v>
      </c>
      <c r="K23" s="251">
        <v>7</v>
      </c>
      <c r="L23" s="251">
        <v>7</v>
      </c>
      <c r="M23" s="252">
        <v>91</v>
      </c>
    </row>
    <row r="24" spans="1:13">
      <c r="A24" s="250">
        <v>17</v>
      </c>
      <c r="B24" s="250" t="s">
        <v>57</v>
      </c>
      <c r="C24" s="251">
        <v>55</v>
      </c>
      <c r="D24" s="251">
        <v>8</v>
      </c>
      <c r="E24" s="251">
        <v>45</v>
      </c>
      <c r="F24" s="251">
        <v>20</v>
      </c>
      <c r="G24" s="251">
        <v>1</v>
      </c>
      <c r="H24" s="251">
        <v>0</v>
      </c>
      <c r="I24" s="251">
        <v>1</v>
      </c>
      <c r="J24" s="251">
        <v>0</v>
      </c>
      <c r="K24" s="251">
        <v>9</v>
      </c>
      <c r="L24" s="251">
        <v>12</v>
      </c>
      <c r="M24" s="252">
        <v>151</v>
      </c>
    </row>
    <row r="25" spans="1:13">
      <c r="A25" s="250">
        <v>18</v>
      </c>
      <c r="B25" s="250" t="s">
        <v>334</v>
      </c>
      <c r="C25" s="251">
        <v>8</v>
      </c>
      <c r="D25" s="251">
        <v>1</v>
      </c>
      <c r="E25" s="251">
        <v>7</v>
      </c>
      <c r="F25" s="251">
        <v>7</v>
      </c>
      <c r="G25" s="251">
        <v>2</v>
      </c>
      <c r="H25" s="251">
        <v>1</v>
      </c>
      <c r="I25" s="251">
        <v>0</v>
      </c>
      <c r="J25" s="251">
        <v>0</v>
      </c>
      <c r="K25" s="251">
        <v>2</v>
      </c>
      <c r="L25" s="251">
        <v>4</v>
      </c>
      <c r="M25" s="252">
        <v>32</v>
      </c>
    </row>
    <row r="26" spans="1:13">
      <c r="A26" s="250">
        <v>19</v>
      </c>
      <c r="B26" s="250" t="s">
        <v>49</v>
      </c>
      <c r="C26" s="251">
        <v>11</v>
      </c>
      <c r="D26" s="251">
        <v>22</v>
      </c>
      <c r="E26" s="251">
        <v>24</v>
      </c>
      <c r="F26" s="251">
        <v>43</v>
      </c>
      <c r="G26" s="251">
        <v>1</v>
      </c>
      <c r="H26" s="251">
        <v>1</v>
      </c>
      <c r="I26" s="251">
        <v>3</v>
      </c>
      <c r="J26" s="251">
        <v>1</v>
      </c>
      <c r="K26" s="251">
        <v>5</v>
      </c>
      <c r="L26" s="251">
        <v>17</v>
      </c>
      <c r="M26" s="252">
        <v>128</v>
      </c>
    </row>
    <row r="27" spans="1:13">
      <c r="A27" s="250">
        <v>20</v>
      </c>
      <c r="B27" s="250" t="s">
        <v>47</v>
      </c>
      <c r="C27" s="251">
        <v>8</v>
      </c>
      <c r="D27" s="251">
        <v>5</v>
      </c>
      <c r="E27" s="251">
        <v>14</v>
      </c>
      <c r="F27" s="251">
        <v>22</v>
      </c>
      <c r="G27" s="251">
        <v>1</v>
      </c>
      <c r="H27" s="251">
        <v>0</v>
      </c>
      <c r="I27" s="251">
        <v>0</v>
      </c>
      <c r="J27" s="251">
        <v>0</v>
      </c>
      <c r="K27" s="251">
        <v>2</v>
      </c>
      <c r="L27" s="251">
        <v>4</v>
      </c>
      <c r="M27" s="252">
        <v>56</v>
      </c>
    </row>
    <row r="28" spans="1:13">
      <c r="A28" s="250">
        <v>21</v>
      </c>
      <c r="B28" s="250" t="s">
        <v>275</v>
      </c>
      <c r="C28" s="251">
        <v>3</v>
      </c>
      <c r="D28" s="251">
        <v>0</v>
      </c>
      <c r="E28" s="251">
        <v>11</v>
      </c>
      <c r="F28" s="251">
        <v>40</v>
      </c>
      <c r="G28" s="251">
        <v>0</v>
      </c>
      <c r="H28" s="251">
        <v>0</v>
      </c>
      <c r="I28" s="251">
        <v>0</v>
      </c>
      <c r="J28" s="251">
        <v>0</v>
      </c>
      <c r="K28" s="251">
        <v>0</v>
      </c>
      <c r="L28" s="251">
        <v>10</v>
      </c>
      <c r="M28" s="252">
        <v>64</v>
      </c>
    </row>
    <row r="29" spans="1:13">
      <c r="A29" s="250">
        <v>22</v>
      </c>
      <c r="B29" s="250" t="s">
        <v>276</v>
      </c>
      <c r="C29" s="251">
        <v>4</v>
      </c>
      <c r="D29" s="251">
        <v>13</v>
      </c>
      <c r="E29" s="251">
        <v>5</v>
      </c>
      <c r="F29" s="251">
        <v>6</v>
      </c>
      <c r="G29" s="251">
        <v>0</v>
      </c>
      <c r="H29" s="251">
        <v>1</v>
      </c>
      <c r="I29" s="251">
        <v>0</v>
      </c>
      <c r="J29" s="251">
        <v>0</v>
      </c>
      <c r="K29" s="251">
        <v>1</v>
      </c>
      <c r="L29" s="251">
        <v>1</v>
      </c>
      <c r="M29" s="252">
        <v>31</v>
      </c>
    </row>
    <row r="30" spans="1:13">
      <c r="A30" s="250">
        <v>23</v>
      </c>
      <c r="B30" s="250" t="s">
        <v>277</v>
      </c>
      <c r="C30" s="251">
        <v>0</v>
      </c>
      <c r="D30" s="251">
        <v>0</v>
      </c>
      <c r="E30" s="251">
        <v>0</v>
      </c>
      <c r="F30" s="251">
        <v>0</v>
      </c>
      <c r="G30" s="251">
        <v>0</v>
      </c>
      <c r="H30" s="251">
        <v>0</v>
      </c>
      <c r="I30" s="251">
        <v>0</v>
      </c>
      <c r="J30" s="251">
        <v>0</v>
      </c>
      <c r="K30" s="251">
        <v>14</v>
      </c>
      <c r="L30" s="251">
        <v>3</v>
      </c>
      <c r="M30" s="252">
        <v>17</v>
      </c>
    </row>
    <row r="31" spans="1:13">
      <c r="A31" s="250">
        <v>24</v>
      </c>
      <c r="B31" s="250" t="s">
        <v>278</v>
      </c>
      <c r="C31" s="251">
        <v>0</v>
      </c>
      <c r="D31" s="251">
        <v>0</v>
      </c>
      <c r="E31" s="251">
        <v>0</v>
      </c>
      <c r="F31" s="251">
        <v>0</v>
      </c>
      <c r="G31" s="251">
        <v>0</v>
      </c>
      <c r="H31" s="251">
        <v>0</v>
      </c>
      <c r="I31" s="251">
        <v>0</v>
      </c>
      <c r="J31" s="251">
        <v>0</v>
      </c>
      <c r="K31" s="251">
        <v>15</v>
      </c>
      <c r="L31" s="251">
        <v>12</v>
      </c>
      <c r="M31" s="252">
        <v>27</v>
      </c>
    </row>
    <row r="32" spans="1:13" ht="42">
      <c r="A32" s="250">
        <v>25</v>
      </c>
      <c r="B32" s="250" t="s">
        <v>279</v>
      </c>
      <c r="C32" s="251">
        <v>0</v>
      </c>
      <c r="D32" s="251">
        <v>0</v>
      </c>
      <c r="E32" s="251">
        <v>0</v>
      </c>
      <c r="F32" s="251">
        <v>0</v>
      </c>
      <c r="G32" s="251">
        <v>0</v>
      </c>
      <c r="H32" s="251">
        <v>1</v>
      </c>
      <c r="I32" s="251">
        <v>0</v>
      </c>
      <c r="J32" s="251">
        <v>0</v>
      </c>
      <c r="K32" s="251">
        <v>1</v>
      </c>
      <c r="L32" s="251">
        <v>2</v>
      </c>
      <c r="M32" s="252">
        <v>4</v>
      </c>
    </row>
    <row r="33" spans="1:13">
      <c r="A33" s="250">
        <v>26</v>
      </c>
      <c r="B33" s="250" t="s">
        <v>247</v>
      </c>
      <c r="C33" s="251">
        <v>1</v>
      </c>
      <c r="D33" s="251">
        <v>2</v>
      </c>
      <c r="E33" s="251">
        <v>7</v>
      </c>
      <c r="F33" s="251">
        <v>25</v>
      </c>
      <c r="G33" s="251">
        <v>0</v>
      </c>
      <c r="H33" s="251">
        <v>1</v>
      </c>
      <c r="I33" s="251">
        <v>0</v>
      </c>
      <c r="J33" s="251">
        <v>0</v>
      </c>
      <c r="K33" s="251">
        <v>6</v>
      </c>
      <c r="L33" s="251">
        <v>8</v>
      </c>
      <c r="M33" s="252">
        <v>50</v>
      </c>
    </row>
    <row r="34" spans="1:13">
      <c r="A34" s="250">
        <v>27</v>
      </c>
      <c r="B34" s="250" t="s">
        <v>59</v>
      </c>
      <c r="C34" s="251">
        <v>4</v>
      </c>
      <c r="D34" s="251">
        <v>9</v>
      </c>
      <c r="E34" s="251">
        <v>22</v>
      </c>
      <c r="F34" s="251">
        <v>32</v>
      </c>
      <c r="G34" s="251">
        <v>2</v>
      </c>
      <c r="H34" s="251">
        <v>5</v>
      </c>
      <c r="I34" s="251">
        <v>0</v>
      </c>
      <c r="J34" s="251">
        <v>0</v>
      </c>
      <c r="K34" s="251">
        <v>6</v>
      </c>
      <c r="L34" s="251">
        <v>10</v>
      </c>
      <c r="M34" s="252">
        <v>90</v>
      </c>
    </row>
    <row r="35" spans="1:13">
      <c r="A35" s="250">
        <v>28</v>
      </c>
      <c r="B35" s="250" t="s">
        <v>60</v>
      </c>
      <c r="C35" s="251">
        <v>3</v>
      </c>
      <c r="D35" s="251">
        <v>1</v>
      </c>
      <c r="E35" s="251">
        <v>17</v>
      </c>
      <c r="F35" s="251">
        <v>18</v>
      </c>
      <c r="G35" s="251">
        <v>0</v>
      </c>
      <c r="H35" s="251">
        <v>0</v>
      </c>
      <c r="I35" s="251">
        <v>0</v>
      </c>
      <c r="J35" s="251">
        <v>1</v>
      </c>
      <c r="K35" s="251">
        <v>5</v>
      </c>
      <c r="L35" s="251">
        <v>4</v>
      </c>
      <c r="M35" s="252">
        <v>49</v>
      </c>
    </row>
    <row r="36" spans="1:13">
      <c r="A36" s="250">
        <v>29</v>
      </c>
      <c r="B36" s="250" t="s">
        <v>280</v>
      </c>
      <c r="C36" s="251">
        <v>0</v>
      </c>
      <c r="D36" s="251">
        <v>0</v>
      </c>
      <c r="E36" s="251">
        <v>7</v>
      </c>
      <c r="F36" s="251">
        <v>6</v>
      </c>
      <c r="G36" s="251">
        <v>1</v>
      </c>
      <c r="H36" s="251">
        <v>0</v>
      </c>
      <c r="I36" s="251">
        <v>0</v>
      </c>
      <c r="J36" s="251">
        <v>0</v>
      </c>
      <c r="K36" s="251">
        <v>6</v>
      </c>
      <c r="L36" s="251">
        <v>1</v>
      </c>
      <c r="M36" s="252">
        <v>21</v>
      </c>
    </row>
    <row r="37" spans="1:13">
      <c r="A37" s="250">
        <v>30</v>
      </c>
      <c r="B37" s="250" t="s">
        <v>281</v>
      </c>
      <c r="C37" s="251">
        <v>0</v>
      </c>
      <c r="D37" s="251">
        <v>0</v>
      </c>
      <c r="E37" s="251">
        <v>2</v>
      </c>
      <c r="F37" s="251">
        <v>4</v>
      </c>
      <c r="G37" s="251">
        <v>0</v>
      </c>
      <c r="H37" s="251">
        <v>0</v>
      </c>
      <c r="I37" s="251">
        <v>0</v>
      </c>
      <c r="J37" s="251">
        <v>0</v>
      </c>
      <c r="K37" s="251">
        <v>0</v>
      </c>
      <c r="L37" s="251">
        <v>2</v>
      </c>
      <c r="M37" s="252">
        <v>8</v>
      </c>
    </row>
    <row r="38" spans="1:13">
      <c r="A38" s="250">
        <v>31</v>
      </c>
      <c r="B38" s="250" t="s">
        <v>282</v>
      </c>
      <c r="C38" s="251">
        <v>0</v>
      </c>
      <c r="D38" s="251">
        <v>0</v>
      </c>
      <c r="E38" s="251">
        <v>2</v>
      </c>
      <c r="F38" s="251">
        <v>3</v>
      </c>
      <c r="G38" s="251">
        <v>0</v>
      </c>
      <c r="H38" s="251">
        <v>0</v>
      </c>
      <c r="I38" s="251">
        <v>0</v>
      </c>
      <c r="J38" s="251">
        <v>0</v>
      </c>
      <c r="K38" s="251">
        <v>0</v>
      </c>
      <c r="L38" s="251">
        <v>0</v>
      </c>
      <c r="M38" s="252">
        <v>5</v>
      </c>
    </row>
    <row r="39" spans="1:13">
      <c r="A39" s="250">
        <v>32</v>
      </c>
      <c r="B39" s="250" t="s">
        <v>198</v>
      </c>
      <c r="C39" s="251">
        <v>0</v>
      </c>
      <c r="D39" s="251">
        <v>2</v>
      </c>
      <c r="E39" s="251">
        <v>5</v>
      </c>
      <c r="F39" s="251">
        <v>17</v>
      </c>
      <c r="G39" s="251">
        <v>0</v>
      </c>
      <c r="H39" s="251">
        <v>6</v>
      </c>
      <c r="I39" s="251">
        <v>2</v>
      </c>
      <c r="J39" s="251">
        <v>0</v>
      </c>
      <c r="K39" s="251">
        <v>18</v>
      </c>
      <c r="L39" s="251">
        <v>22</v>
      </c>
      <c r="M39" s="252">
        <v>72</v>
      </c>
    </row>
    <row r="40" spans="1:13">
      <c r="A40" s="250">
        <v>33</v>
      </c>
      <c r="B40" s="250" t="s">
        <v>283</v>
      </c>
      <c r="C40" s="251">
        <v>0</v>
      </c>
      <c r="D40" s="251">
        <v>4</v>
      </c>
      <c r="E40" s="251">
        <v>4</v>
      </c>
      <c r="F40" s="251">
        <v>10</v>
      </c>
      <c r="G40" s="251">
        <v>1</v>
      </c>
      <c r="H40" s="251">
        <v>4</v>
      </c>
      <c r="I40" s="251">
        <v>12</v>
      </c>
      <c r="J40" s="251">
        <v>0</v>
      </c>
      <c r="K40" s="251">
        <v>6</v>
      </c>
      <c r="L40" s="251">
        <v>8</v>
      </c>
      <c r="M40" s="252">
        <v>49</v>
      </c>
    </row>
    <row r="41" spans="1:13">
      <c r="A41" s="250">
        <v>34</v>
      </c>
      <c r="B41" s="250" t="s">
        <v>284</v>
      </c>
      <c r="C41" s="251">
        <v>0</v>
      </c>
      <c r="D41" s="251">
        <v>5</v>
      </c>
      <c r="E41" s="251">
        <v>3</v>
      </c>
      <c r="F41" s="251">
        <v>7</v>
      </c>
      <c r="G41" s="251">
        <v>0</v>
      </c>
      <c r="H41" s="251">
        <v>1</v>
      </c>
      <c r="I41" s="251">
        <v>6</v>
      </c>
      <c r="J41" s="251">
        <v>1</v>
      </c>
      <c r="K41" s="251">
        <v>8</v>
      </c>
      <c r="L41" s="251">
        <v>21</v>
      </c>
      <c r="M41" s="252">
        <v>52</v>
      </c>
    </row>
    <row r="42" spans="1:13" ht="42">
      <c r="A42" s="250">
        <v>35</v>
      </c>
      <c r="B42" s="250" t="s">
        <v>285</v>
      </c>
      <c r="C42" s="251">
        <v>0</v>
      </c>
      <c r="D42" s="251">
        <v>0</v>
      </c>
      <c r="E42" s="251">
        <v>0</v>
      </c>
      <c r="F42" s="251">
        <v>3</v>
      </c>
      <c r="G42" s="251">
        <v>0</v>
      </c>
      <c r="H42" s="251">
        <v>0</v>
      </c>
      <c r="I42" s="251">
        <v>0</v>
      </c>
      <c r="J42" s="251">
        <v>0</v>
      </c>
      <c r="K42" s="251">
        <v>0</v>
      </c>
      <c r="L42" s="251">
        <v>1</v>
      </c>
      <c r="M42" s="252">
        <v>4</v>
      </c>
    </row>
    <row r="43" spans="1:13">
      <c r="A43" s="250">
        <v>36</v>
      </c>
      <c r="B43" s="250" t="s">
        <v>186</v>
      </c>
      <c r="C43" s="251">
        <v>0</v>
      </c>
      <c r="D43" s="251">
        <v>0</v>
      </c>
      <c r="E43" s="251">
        <v>0</v>
      </c>
      <c r="F43" s="251">
        <v>6</v>
      </c>
      <c r="G43" s="251">
        <v>0</v>
      </c>
      <c r="H43" s="251">
        <v>0</v>
      </c>
      <c r="I43" s="251">
        <v>0</v>
      </c>
      <c r="J43" s="251">
        <v>0</v>
      </c>
      <c r="K43" s="251">
        <v>0</v>
      </c>
      <c r="L43" s="251">
        <v>8</v>
      </c>
      <c r="M43" s="252">
        <v>14</v>
      </c>
    </row>
    <row r="44" spans="1:13">
      <c r="A44" s="250">
        <v>37</v>
      </c>
      <c r="B44" s="250" t="s">
        <v>194</v>
      </c>
      <c r="C44" s="251">
        <v>0</v>
      </c>
      <c r="D44" s="251">
        <v>0</v>
      </c>
      <c r="E44" s="251">
        <v>9</v>
      </c>
      <c r="F44" s="251">
        <v>4</v>
      </c>
      <c r="G44" s="251">
        <v>0</v>
      </c>
      <c r="H44" s="251">
        <v>0</v>
      </c>
      <c r="I44" s="251">
        <v>0</v>
      </c>
      <c r="J44" s="251">
        <v>0</v>
      </c>
      <c r="K44" s="251">
        <v>5</v>
      </c>
      <c r="L44" s="251">
        <v>6</v>
      </c>
      <c r="M44" s="252">
        <v>24</v>
      </c>
    </row>
    <row r="45" spans="1:13">
      <c r="A45" s="250">
        <v>38</v>
      </c>
      <c r="B45" s="250" t="s">
        <v>419</v>
      </c>
      <c r="C45" s="251">
        <v>0</v>
      </c>
      <c r="D45" s="251">
        <v>0</v>
      </c>
      <c r="E45" s="251">
        <v>3</v>
      </c>
      <c r="F45" s="251">
        <v>0</v>
      </c>
      <c r="G45" s="251">
        <v>0</v>
      </c>
      <c r="H45" s="251">
        <v>0</v>
      </c>
      <c r="I45" s="251">
        <v>0</v>
      </c>
      <c r="J45" s="251">
        <v>0</v>
      </c>
      <c r="K45" s="251">
        <v>0</v>
      </c>
      <c r="L45" s="251">
        <v>0</v>
      </c>
      <c r="M45" s="252">
        <v>3</v>
      </c>
    </row>
    <row r="46" spans="1:13">
      <c r="A46" s="250">
        <v>39</v>
      </c>
      <c r="B46" s="250" t="s">
        <v>195</v>
      </c>
      <c r="C46" s="251">
        <v>0</v>
      </c>
      <c r="D46" s="251">
        <v>1</v>
      </c>
      <c r="E46" s="251">
        <v>1</v>
      </c>
      <c r="F46" s="251">
        <v>8</v>
      </c>
      <c r="G46" s="251">
        <v>0</v>
      </c>
      <c r="H46" s="251">
        <v>0</v>
      </c>
      <c r="I46" s="251">
        <v>0</v>
      </c>
      <c r="J46" s="251">
        <v>0</v>
      </c>
      <c r="K46" s="251">
        <v>0</v>
      </c>
      <c r="L46" s="251">
        <v>3</v>
      </c>
      <c r="M46" s="252">
        <v>13</v>
      </c>
    </row>
    <row r="47" spans="1:13">
      <c r="A47" s="250">
        <v>40</v>
      </c>
      <c r="B47" s="250" t="s">
        <v>286</v>
      </c>
      <c r="C47" s="251">
        <v>0</v>
      </c>
      <c r="D47" s="251">
        <v>1</v>
      </c>
      <c r="E47" s="251">
        <v>0</v>
      </c>
      <c r="F47" s="251">
        <v>3</v>
      </c>
      <c r="G47" s="251">
        <v>0</v>
      </c>
      <c r="H47" s="251">
        <v>0</v>
      </c>
      <c r="I47" s="251">
        <v>0</v>
      </c>
      <c r="J47" s="251">
        <v>0</v>
      </c>
      <c r="K47" s="251">
        <v>0</v>
      </c>
      <c r="L47" s="251">
        <v>1</v>
      </c>
      <c r="M47" s="252">
        <v>5</v>
      </c>
    </row>
    <row r="48" spans="1:13">
      <c r="A48" s="681" t="s">
        <v>8</v>
      </c>
      <c r="B48" s="682"/>
      <c r="C48" s="677">
        <v>333</v>
      </c>
      <c r="D48" s="678"/>
      <c r="E48" s="677">
        <v>805</v>
      </c>
      <c r="F48" s="678"/>
      <c r="G48" s="677">
        <v>57</v>
      </c>
      <c r="H48" s="678"/>
      <c r="I48" s="677">
        <v>43</v>
      </c>
      <c r="J48" s="678"/>
      <c r="K48" s="677">
        <v>438</v>
      </c>
      <c r="L48" s="678"/>
      <c r="M48" s="253">
        <v>1676</v>
      </c>
    </row>
    <row r="50" spans="1:1">
      <c r="A50" s="254"/>
    </row>
  </sheetData>
  <mergeCells count="19">
    <mergeCell ref="A1:H1"/>
    <mergeCell ref="A4:H4"/>
    <mergeCell ref="A5:A6"/>
    <mergeCell ref="B5:B6"/>
    <mergeCell ref="C5:M5"/>
    <mergeCell ref="C6:D6"/>
    <mergeCell ref="E6:F6"/>
    <mergeCell ref="G6:H6"/>
    <mergeCell ref="I6:J6"/>
    <mergeCell ref="K6:L6"/>
    <mergeCell ref="A2:M2"/>
    <mergeCell ref="A3:M3"/>
    <mergeCell ref="K48:L48"/>
    <mergeCell ref="A7:B7"/>
    <mergeCell ref="A48:B48"/>
    <mergeCell ref="C48:D48"/>
    <mergeCell ref="E48:F48"/>
    <mergeCell ref="G48:H48"/>
    <mergeCell ref="I48:J48"/>
  </mergeCells>
  <printOptions horizontalCentered="1"/>
  <pageMargins left="0.19685039370078741" right="0.23622047244094491" top="0.5" bottom="0.44" header="0.31496062992125984" footer="0.31496062992125984"/>
  <pageSetup paperSize="9" scale="80" orientation="portrait" verticalDpi="0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>
  <dimension ref="A3:L25"/>
  <sheetViews>
    <sheetView workbookViewId="0">
      <selection activeCell="N23" sqref="N23"/>
    </sheetView>
  </sheetViews>
  <sheetFormatPr defaultRowHeight="18.75"/>
  <cols>
    <col min="1" max="1" width="44" style="90" customWidth="1"/>
    <col min="2" max="2" width="9.140625" style="111"/>
    <col min="3" max="3" width="13.5703125" style="90" hidden="1" customWidth="1"/>
    <col min="4" max="5" width="7.5703125" style="90" bestFit="1" customWidth="1"/>
    <col min="6" max="9" width="9.42578125" style="90" customWidth="1"/>
    <col min="10" max="11" width="10.28515625" style="90" customWidth="1"/>
    <col min="12" max="12" width="18" style="93" customWidth="1"/>
    <col min="13" max="16384" width="9.140625" style="90"/>
  </cols>
  <sheetData>
    <row r="3" spans="1:12">
      <c r="A3" s="695" t="s">
        <v>161</v>
      </c>
      <c r="B3" s="695" t="s">
        <v>148</v>
      </c>
      <c r="C3" s="89"/>
      <c r="D3" s="694" t="s">
        <v>203</v>
      </c>
      <c r="E3" s="694"/>
      <c r="F3" s="694" t="s">
        <v>479</v>
      </c>
      <c r="G3" s="694"/>
      <c r="H3" s="694" t="s">
        <v>480</v>
      </c>
      <c r="I3" s="694"/>
      <c r="J3" s="694" t="s">
        <v>8</v>
      </c>
      <c r="K3" s="694"/>
      <c r="L3" s="315" t="s">
        <v>369</v>
      </c>
    </row>
    <row r="4" spans="1:12" ht="19.5" thickBot="1">
      <c r="A4" s="696"/>
      <c r="B4" s="696"/>
      <c r="C4" s="313" t="s">
        <v>367</v>
      </c>
      <c r="D4" s="313" t="s">
        <v>366</v>
      </c>
      <c r="E4" s="313" t="s">
        <v>368</v>
      </c>
      <c r="F4" s="313" t="s">
        <v>478</v>
      </c>
      <c r="G4" s="313" t="s">
        <v>368</v>
      </c>
      <c r="H4" s="313" t="s">
        <v>478</v>
      </c>
      <c r="I4" s="313" t="s">
        <v>368</v>
      </c>
      <c r="J4" s="313" t="s">
        <v>478</v>
      </c>
      <c r="K4" s="313" t="s">
        <v>368</v>
      </c>
      <c r="L4" s="316">
        <v>13672042.99</v>
      </c>
    </row>
    <row r="5" spans="1:12">
      <c r="A5" s="309" t="s">
        <v>77</v>
      </c>
      <c r="B5" s="310" t="s">
        <v>288</v>
      </c>
      <c r="C5" s="311">
        <v>2073.0300000000002</v>
      </c>
      <c r="D5" s="312"/>
      <c r="E5" s="312"/>
      <c r="F5" s="311">
        <v>2352.6999999999998</v>
      </c>
      <c r="G5" s="311">
        <v>2989</v>
      </c>
      <c r="H5" s="311">
        <v>15.45</v>
      </c>
      <c r="I5" s="311">
        <v>23</v>
      </c>
      <c r="J5" s="312">
        <f>+D5+F5+H5</f>
        <v>2368.1499999999996</v>
      </c>
      <c r="K5" s="312">
        <f>+E5+G5+I5</f>
        <v>3012</v>
      </c>
      <c r="L5" s="317">
        <f>+L4*J5/J22</f>
        <v>2408634.9155176892</v>
      </c>
    </row>
    <row r="6" spans="1:12">
      <c r="A6" s="82" t="s">
        <v>78</v>
      </c>
      <c r="B6" s="149" t="s">
        <v>287</v>
      </c>
      <c r="C6" s="91">
        <v>2511.67</v>
      </c>
      <c r="D6" s="92"/>
      <c r="E6" s="92"/>
      <c r="F6" s="89">
        <v>2915.16</v>
      </c>
      <c r="G6" s="89">
        <v>4034</v>
      </c>
      <c r="H6" s="89">
        <v>7.33</v>
      </c>
      <c r="I6" s="89">
        <v>8</v>
      </c>
      <c r="J6" s="92">
        <f t="shared" ref="J6:J21" si="0">+D6+F6+H6</f>
        <v>2922.49</v>
      </c>
      <c r="K6" s="92">
        <f t="shared" ref="K6:K21" si="1">+E6+G6+I6</f>
        <v>4042</v>
      </c>
      <c r="L6" s="318">
        <f>+L4*J6/J22</f>
        <v>2972451.6834876561</v>
      </c>
    </row>
    <row r="7" spans="1:12">
      <c r="A7" s="82" t="s">
        <v>79</v>
      </c>
      <c r="B7" s="149" t="s">
        <v>287</v>
      </c>
      <c r="C7" s="91">
        <v>1240.78</v>
      </c>
      <c r="D7" s="92"/>
      <c r="E7" s="92"/>
      <c r="F7" s="89">
        <v>1224.06</v>
      </c>
      <c r="G7" s="89">
        <v>1757</v>
      </c>
      <c r="H7" s="89"/>
      <c r="I7" s="89"/>
      <c r="J7" s="92">
        <f t="shared" si="0"/>
        <v>1224.06</v>
      </c>
      <c r="K7" s="92">
        <f t="shared" si="1"/>
        <v>1757</v>
      </c>
      <c r="L7" s="318">
        <f>+L4*J7/J22</f>
        <v>1244986.0248246873</v>
      </c>
    </row>
    <row r="8" spans="1:12">
      <c r="A8" s="82" t="s">
        <v>80</v>
      </c>
      <c r="B8" s="149" t="s">
        <v>288</v>
      </c>
      <c r="C8" s="89">
        <v>669.54</v>
      </c>
      <c r="D8" s="92"/>
      <c r="E8" s="92"/>
      <c r="F8" s="89">
        <v>634.49</v>
      </c>
      <c r="G8" s="89">
        <v>856</v>
      </c>
      <c r="H8" s="89"/>
      <c r="I8" s="89"/>
      <c r="J8" s="92">
        <f t="shared" si="0"/>
        <v>634.49</v>
      </c>
      <c r="K8" s="92">
        <f t="shared" si="1"/>
        <v>856</v>
      </c>
      <c r="L8" s="318">
        <f>+L4*J8/J22</f>
        <v>645336.97930739983</v>
      </c>
    </row>
    <row r="9" spans="1:12">
      <c r="A9" s="82" t="s">
        <v>81</v>
      </c>
      <c r="B9" s="149" t="s">
        <v>288</v>
      </c>
      <c r="C9" s="89">
        <v>926.33</v>
      </c>
      <c r="D9" s="92"/>
      <c r="E9" s="92"/>
      <c r="F9" s="89">
        <v>948.16</v>
      </c>
      <c r="G9" s="89">
        <v>1154</v>
      </c>
      <c r="H9" s="89"/>
      <c r="I9" s="89"/>
      <c r="J9" s="92">
        <f t="shared" si="0"/>
        <v>948.16</v>
      </c>
      <c r="K9" s="92">
        <f t="shared" si="1"/>
        <v>1154</v>
      </c>
      <c r="L9" s="318">
        <f>+L4*J9/J22</f>
        <v>964369.35223581805</v>
      </c>
    </row>
    <row r="10" spans="1:12">
      <c r="A10" s="82" t="s">
        <v>82</v>
      </c>
      <c r="B10" s="149" t="s">
        <v>288</v>
      </c>
      <c r="C10" s="89">
        <v>549.02</v>
      </c>
      <c r="D10" s="92">
        <v>389.8</v>
      </c>
      <c r="E10" s="92">
        <v>440</v>
      </c>
      <c r="F10" s="89">
        <v>103.6</v>
      </c>
      <c r="G10" s="89">
        <v>155</v>
      </c>
      <c r="H10" s="89"/>
      <c r="I10" s="89"/>
      <c r="J10" s="92">
        <f t="shared" si="0"/>
        <v>493.4</v>
      </c>
      <c r="K10" s="92">
        <f t="shared" si="1"/>
        <v>595</v>
      </c>
      <c r="L10" s="318">
        <f>+L4*J10/J22</f>
        <v>501834.96286824235</v>
      </c>
    </row>
    <row r="11" spans="1:12">
      <c r="A11" s="82" t="s">
        <v>83</v>
      </c>
      <c r="B11" s="149" t="s">
        <v>288</v>
      </c>
      <c r="C11" s="89">
        <v>27.06</v>
      </c>
      <c r="D11" s="92"/>
      <c r="E11" s="92"/>
      <c r="F11" s="89">
        <v>21.17</v>
      </c>
      <c r="G11" s="89">
        <v>30</v>
      </c>
      <c r="H11" s="89"/>
      <c r="I11" s="89"/>
      <c r="J11" s="92">
        <f t="shared" si="0"/>
        <v>21.17</v>
      </c>
      <c r="K11" s="92">
        <f t="shared" si="1"/>
        <v>30</v>
      </c>
      <c r="L11" s="318">
        <f>+L4*J11/J22</f>
        <v>21531.913587192321</v>
      </c>
    </row>
    <row r="12" spans="1:12">
      <c r="A12" s="82" t="s">
        <v>84</v>
      </c>
      <c r="B12" s="149" t="s">
        <v>288</v>
      </c>
      <c r="C12" s="89">
        <v>729.68</v>
      </c>
      <c r="D12" s="92"/>
      <c r="E12" s="92"/>
      <c r="F12" s="89">
        <v>687.37</v>
      </c>
      <c r="G12" s="89">
        <v>882</v>
      </c>
      <c r="H12" s="89"/>
      <c r="I12" s="89"/>
      <c r="J12" s="92">
        <f t="shared" si="0"/>
        <v>687.37</v>
      </c>
      <c r="K12" s="92">
        <f t="shared" si="1"/>
        <v>882</v>
      </c>
      <c r="L12" s="318">
        <f>+L4*J12/J22</f>
        <v>699120.99397394364</v>
      </c>
    </row>
    <row r="13" spans="1:12">
      <c r="A13" s="82" t="s">
        <v>85</v>
      </c>
      <c r="B13" s="149" t="s">
        <v>288</v>
      </c>
      <c r="C13" s="89">
        <v>192.96</v>
      </c>
      <c r="D13" s="92"/>
      <c r="E13" s="92"/>
      <c r="F13" s="89">
        <v>190.22</v>
      </c>
      <c r="G13" s="89">
        <v>240</v>
      </c>
      <c r="H13" s="89">
        <v>1.5</v>
      </c>
      <c r="I13" s="89">
        <v>3</v>
      </c>
      <c r="J13" s="92">
        <f t="shared" si="0"/>
        <v>191.72</v>
      </c>
      <c r="K13" s="92">
        <f t="shared" si="1"/>
        <v>243</v>
      </c>
      <c r="L13" s="318">
        <f>+L4*J13/J22</f>
        <v>194997.56603384559</v>
      </c>
    </row>
    <row r="14" spans="1:12">
      <c r="A14" s="82" t="s">
        <v>86</v>
      </c>
      <c r="B14" s="149" t="s">
        <v>288</v>
      </c>
      <c r="C14" s="89">
        <v>608.95000000000005</v>
      </c>
      <c r="D14" s="92"/>
      <c r="E14" s="92"/>
      <c r="F14" s="89">
        <v>661.41</v>
      </c>
      <c r="G14" s="89">
        <v>898</v>
      </c>
      <c r="H14" s="89">
        <v>6.06</v>
      </c>
      <c r="I14" s="89">
        <v>10</v>
      </c>
      <c r="J14" s="92">
        <f t="shared" si="0"/>
        <v>667.46999999999991</v>
      </c>
      <c r="K14" s="92">
        <f t="shared" si="1"/>
        <v>908</v>
      </c>
      <c r="L14" s="318">
        <f>+L4*J14/J22</f>
        <v>678880.79178286518</v>
      </c>
    </row>
    <row r="15" spans="1:12">
      <c r="A15" s="82" t="s">
        <v>87</v>
      </c>
      <c r="B15" s="149" t="s">
        <v>288</v>
      </c>
      <c r="C15" s="89">
        <v>118.32</v>
      </c>
      <c r="D15" s="92"/>
      <c r="E15" s="92"/>
      <c r="F15" s="89">
        <v>73.42</v>
      </c>
      <c r="G15" s="89">
        <v>109</v>
      </c>
      <c r="H15" s="89"/>
      <c r="I15" s="89"/>
      <c r="J15" s="92">
        <f t="shared" si="0"/>
        <v>73.42</v>
      </c>
      <c r="K15" s="92">
        <f t="shared" si="1"/>
        <v>109</v>
      </c>
      <c r="L15" s="318">
        <f>+L4*J15/J22</f>
        <v>74675.158033616448</v>
      </c>
    </row>
    <row r="16" spans="1:12">
      <c r="A16" s="82" t="s">
        <v>88</v>
      </c>
      <c r="B16" s="149" t="s">
        <v>288</v>
      </c>
      <c r="C16" s="89">
        <v>227.53</v>
      </c>
      <c r="D16" s="92"/>
      <c r="E16" s="92"/>
      <c r="F16" s="89">
        <v>226.58</v>
      </c>
      <c r="G16" s="89">
        <v>234</v>
      </c>
      <c r="H16" s="89"/>
      <c r="I16" s="89"/>
      <c r="J16" s="92">
        <f t="shared" si="0"/>
        <v>226.58</v>
      </c>
      <c r="K16" s="92">
        <f t="shared" si="1"/>
        <v>234</v>
      </c>
      <c r="L16" s="318">
        <f>+L4*J16/J22</f>
        <v>230453.5182137948</v>
      </c>
    </row>
    <row r="17" spans="1:12">
      <c r="A17" s="82" t="s">
        <v>89</v>
      </c>
      <c r="B17" s="149" t="s">
        <v>287</v>
      </c>
      <c r="C17" s="94">
        <v>246.86</v>
      </c>
      <c r="D17" s="92"/>
      <c r="E17" s="92"/>
      <c r="F17" s="89">
        <v>1211.57</v>
      </c>
      <c r="G17" s="89">
        <v>1709</v>
      </c>
      <c r="H17" s="89"/>
      <c r="I17" s="89"/>
      <c r="J17" s="92">
        <f t="shared" si="0"/>
        <v>1211.57</v>
      </c>
      <c r="K17" s="92">
        <f t="shared" si="1"/>
        <v>1709</v>
      </c>
      <c r="L17" s="318">
        <f>+L4*J17/J22</f>
        <v>1232282.5009369201</v>
      </c>
    </row>
    <row r="18" spans="1:12">
      <c r="A18" s="82" t="s">
        <v>90</v>
      </c>
      <c r="B18" s="149" t="s">
        <v>288</v>
      </c>
      <c r="C18" s="89">
        <v>786.07</v>
      </c>
      <c r="D18" s="92"/>
      <c r="E18" s="92"/>
      <c r="F18" s="89">
        <v>335.09</v>
      </c>
      <c r="G18" s="89">
        <v>516</v>
      </c>
      <c r="H18" s="89">
        <v>3.33</v>
      </c>
      <c r="I18" s="89">
        <v>6</v>
      </c>
      <c r="J18" s="92">
        <f t="shared" si="0"/>
        <v>338.41999999999996</v>
      </c>
      <c r="K18" s="92">
        <f t="shared" si="1"/>
        <v>522</v>
      </c>
      <c r="L18" s="318">
        <f>+L4*J18/J22</f>
        <v>344205.48871882964</v>
      </c>
    </row>
    <row r="19" spans="1:12">
      <c r="A19" s="82" t="s">
        <v>91</v>
      </c>
      <c r="B19" s="149" t="s">
        <v>287</v>
      </c>
      <c r="C19" s="91">
        <v>862.39</v>
      </c>
      <c r="D19" s="92"/>
      <c r="E19" s="92"/>
      <c r="F19" s="89">
        <v>702.47</v>
      </c>
      <c r="G19" s="89">
        <v>890</v>
      </c>
      <c r="H19" s="89"/>
      <c r="I19" s="89"/>
      <c r="J19" s="92">
        <f t="shared" si="0"/>
        <v>702.47</v>
      </c>
      <c r="K19" s="92">
        <f t="shared" si="1"/>
        <v>890</v>
      </c>
      <c r="L19" s="318">
        <f>+L4*J19/J22</f>
        <v>714479.13734506327</v>
      </c>
    </row>
    <row r="20" spans="1:12">
      <c r="A20" s="110" t="s">
        <v>325</v>
      </c>
      <c r="B20" s="149" t="s">
        <v>326</v>
      </c>
      <c r="C20" s="89">
        <v>51.5</v>
      </c>
      <c r="D20" s="92"/>
      <c r="E20" s="92"/>
      <c r="F20" s="89">
        <v>306.88</v>
      </c>
      <c r="G20" s="89">
        <v>420</v>
      </c>
      <c r="H20" s="89"/>
      <c r="I20" s="89"/>
      <c r="J20" s="92">
        <f t="shared" si="0"/>
        <v>306.88</v>
      </c>
      <c r="K20" s="92">
        <f t="shared" si="1"/>
        <v>420</v>
      </c>
      <c r="L20" s="318">
        <f>+L4*J20/J22</f>
        <v>312126.29388935189</v>
      </c>
    </row>
    <row r="21" spans="1:12">
      <c r="A21" s="82" t="s">
        <v>92</v>
      </c>
      <c r="B21" s="149" t="s">
        <v>288</v>
      </c>
      <c r="C21" s="89">
        <v>371.34</v>
      </c>
      <c r="D21" s="92"/>
      <c r="E21" s="92"/>
      <c r="F21" s="89">
        <v>424.42</v>
      </c>
      <c r="G21" s="89">
        <v>547</v>
      </c>
      <c r="H21" s="89"/>
      <c r="I21" s="89"/>
      <c r="J21" s="92">
        <f t="shared" si="0"/>
        <v>424.42</v>
      </c>
      <c r="K21" s="92">
        <f t="shared" si="1"/>
        <v>547</v>
      </c>
      <c r="L21" s="318">
        <f>+L4*J21/J22</f>
        <v>431675.70924308762</v>
      </c>
    </row>
    <row r="22" spans="1:12">
      <c r="A22" s="150"/>
      <c r="B22" s="151"/>
      <c r="C22" s="152">
        <f t="shared" ref="C22:L22" si="2">SUM(C5:C21)</f>
        <v>12193.03</v>
      </c>
      <c r="D22" s="152">
        <f t="shared" si="2"/>
        <v>389.8</v>
      </c>
      <c r="E22" s="152">
        <f t="shared" si="2"/>
        <v>440</v>
      </c>
      <c r="F22" s="150">
        <f t="shared" si="2"/>
        <v>13018.769999999999</v>
      </c>
      <c r="G22" s="150">
        <f t="shared" si="2"/>
        <v>17420</v>
      </c>
      <c r="H22" s="150">
        <f t="shared" si="2"/>
        <v>33.67</v>
      </c>
      <c r="I22" s="150">
        <f t="shared" si="2"/>
        <v>50</v>
      </c>
      <c r="J22" s="153">
        <f t="shared" si="2"/>
        <v>13442.239999999996</v>
      </c>
      <c r="K22" s="153">
        <f t="shared" si="2"/>
        <v>17910</v>
      </c>
      <c r="L22" s="153">
        <f t="shared" si="2"/>
        <v>13672042.990000004</v>
      </c>
    </row>
    <row r="25" spans="1:12">
      <c r="C25" s="93"/>
    </row>
  </sheetData>
  <mergeCells count="6">
    <mergeCell ref="F3:G3"/>
    <mergeCell ref="H3:I3"/>
    <mergeCell ref="J3:K3"/>
    <mergeCell ref="D3:E3"/>
    <mergeCell ref="A3:A4"/>
    <mergeCell ref="B3:B4"/>
  </mergeCells>
  <printOptions horizontalCentered="1"/>
  <pageMargins left="0.35433070866141736" right="0.31496062992125984" top="0.98425196850393704" bottom="0.74803149606299213" header="0.31496062992125984" footer="0.31496062992125984"/>
  <pageSetup paperSize="9" orientation="landscape" verticalDpi="0" r:id="rId1"/>
</worksheet>
</file>

<file path=xl/worksheets/sheet17.xml><?xml version="1.0" encoding="utf-8"?>
<worksheet xmlns="http://schemas.openxmlformats.org/spreadsheetml/2006/main" xmlns:r="http://schemas.openxmlformats.org/officeDocument/2006/relationships">
  <sheetPr filterMode="1"/>
  <dimension ref="A2:AJ1374"/>
  <sheetViews>
    <sheetView workbookViewId="0">
      <selection activeCell="E1370" sqref="E1370"/>
    </sheetView>
  </sheetViews>
  <sheetFormatPr defaultColWidth="15.140625" defaultRowHeight="24" customHeight="1"/>
  <cols>
    <col min="1" max="3" width="15.140625" style="452"/>
    <col min="4" max="4" width="36.85546875" style="452" customWidth="1"/>
    <col min="5" max="5" width="36.7109375" style="452" customWidth="1"/>
    <col min="6" max="6" width="15.140625" style="452"/>
    <col min="7" max="7" width="38" style="452" bestFit="1" customWidth="1"/>
    <col min="8" max="8" width="185.140625" style="452" bestFit="1" customWidth="1"/>
    <col min="9" max="10" width="0" style="452" hidden="1" customWidth="1"/>
    <col min="11" max="11" width="10" style="452" bestFit="1" customWidth="1"/>
    <col min="12" max="14" width="15.140625" style="452"/>
    <col min="15" max="18" width="15.140625" style="452" customWidth="1"/>
    <col min="19" max="19" width="16.5703125" style="452" customWidth="1"/>
    <col min="20" max="34" width="15.140625" style="452" customWidth="1"/>
    <col min="35" max="35" width="17.42578125" style="452" customWidth="1"/>
    <col min="36" max="36" width="17.5703125" style="452" customWidth="1"/>
    <col min="37" max="16384" width="15.140625" style="452"/>
  </cols>
  <sheetData>
    <row r="2" spans="1:36" ht="24" customHeight="1">
      <c r="B2" s="744" t="s">
        <v>501</v>
      </c>
      <c r="C2" s="745"/>
      <c r="D2" s="745"/>
      <c r="E2" s="745"/>
      <c r="F2" s="745"/>
      <c r="G2" s="745"/>
      <c r="H2" s="745"/>
      <c r="I2" s="745"/>
      <c r="J2" s="745"/>
      <c r="K2" s="745"/>
      <c r="L2" s="745"/>
      <c r="M2" s="745"/>
      <c r="N2" s="745"/>
      <c r="O2" s="745"/>
      <c r="P2" s="745"/>
      <c r="Q2" s="745"/>
      <c r="R2" s="745"/>
      <c r="S2" s="745"/>
      <c r="T2" s="745"/>
      <c r="U2" s="745"/>
      <c r="V2" s="745"/>
      <c r="W2" s="745"/>
      <c r="X2" s="745"/>
      <c r="Y2" s="745"/>
      <c r="Z2" s="745"/>
      <c r="AA2" s="745"/>
      <c r="AB2" s="745"/>
      <c r="AC2" s="745"/>
      <c r="AD2" s="745"/>
      <c r="AE2" s="745"/>
      <c r="AF2" s="745"/>
      <c r="AG2" s="745"/>
      <c r="AH2" s="745"/>
      <c r="AI2" s="745"/>
      <c r="AJ2" s="745"/>
    </row>
    <row r="3" spans="1:36" ht="24" customHeight="1">
      <c r="B3" s="744" t="s">
        <v>502</v>
      </c>
      <c r="C3" s="745"/>
      <c r="D3" s="745"/>
      <c r="E3" s="745"/>
      <c r="F3" s="745"/>
      <c r="G3" s="745"/>
      <c r="H3" s="745"/>
      <c r="I3" s="745"/>
      <c r="J3" s="745"/>
      <c r="K3" s="745"/>
      <c r="L3" s="745"/>
      <c r="M3" s="745"/>
      <c r="N3" s="745"/>
      <c r="O3" s="745"/>
      <c r="P3" s="745"/>
      <c r="Q3" s="745"/>
      <c r="R3" s="745"/>
      <c r="S3" s="745"/>
      <c r="T3" s="745"/>
      <c r="U3" s="745"/>
      <c r="V3" s="745"/>
      <c r="W3" s="745"/>
      <c r="X3" s="745"/>
      <c r="Y3" s="745"/>
      <c r="Z3" s="745"/>
      <c r="AA3" s="745"/>
      <c r="AB3" s="745"/>
      <c r="AC3" s="745"/>
      <c r="AD3" s="745"/>
      <c r="AE3" s="745"/>
      <c r="AF3" s="745"/>
      <c r="AG3" s="745"/>
      <c r="AH3" s="745"/>
      <c r="AI3" s="745"/>
      <c r="AJ3" s="745"/>
    </row>
    <row r="4" spans="1:36" ht="24" customHeight="1">
      <c r="B4" s="744" t="s">
        <v>503</v>
      </c>
      <c r="C4" s="745"/>
      <c r="D4" s="745"/>
      <c r="E4" s="745"/>
      <c r="F4" s="745"/>
      <c r="G4" s="745"/>
      <c r="H4" s="745"/>
      <c r="I4" s="745"/>
      <c r="J4" s="745"/>
      <c r="K4" s="745"/>
      <c r="L4" s="745"/>
      <c r="M4" s="745"/>
      <c r="N4" s="745"/>
      <c r="O4" s="745"/>
      <c r="P4" s="745"/>
      <c r="Q4" s="745"/>
      <c r="R4" s="745"/>
      <c r="S4" s="745"/>
      <c r="T4" s="745"/>
      <c r="U4" s="745"/>
      <c r="V4" s="745"/>
      <c r="W4" s="745"/>
      <c r="X4" s="745"/>
      <c r="Y4" s="745"/>
      <c r="Z4" s="745"/>
      <c r="AA4" s="745"/>
      <c r="AB4" s="745"/>
      <c r="AC4" s="745"/>
      <c r="AD4" s="745"/>
      <c r="AE4" s="745"/>
      <c r="AF4" s="745"/>
      <c r="AG4" s="745"/>
      <c r="AH4" s="745"/>
      <c r="AI4" s="745"/>
      <c r="AJ4" s="745"/>
    </row>
    <row r="5" spans="1:36" ht="24" customHeight="1">
      <c r="B5" s="739" t="s">
        <v>202</v>
      </c>
      <c r="C5" s="739" t="s">
        <v>371</v>
      </c>
      <c r="D5" s="739" t="s">
        <v>504</v>
      </c>
      <c r="E5" s="739" t="s">
        <v>505</v>
      </c>
      <c r="F5" s="739" t="s">
        <v>506</v>
      </c>
      <c r="G5" s="747" t="s">
        <v>372</v>
      </c>
      <c r="H5" s="739" t="s">
        <v>20</v>
      </c>
      <c r="I5" s="750" t="s">
        <v>507</v>
      </c>
      <c r="J5" s="751"/>
      <c r="K5" s="752"/>
      <c r="L5" s="750" t="s">
        <v>374</v>
      </c>
      <c r="M5" s="751"/>
      <c r="N5" s="752"/>
      <c r="O5" s="750" t="s">
        <v>508</v>
      </c>
      <c r="P5" s="752"/>
      <c r="Q5" s="739" t="s">
        <v>509</v>
      </c>
      <c r="R5" s="750" t="s">
        <v>510</v>
      </c>
      <c r="S5" s="752"/>
      <c r="T5" s="750" t="s">
        <v>511</v>
      </c>
      <c r="U5" s="751"/>
      <c r="V5" s="752"/>
      <c r="W5" s="750" t="s">
        <v>373</v>
      </c>
      <c r="X5" s="751"/>
      <c r="Y5" s="752"/>
      <c r="Z5" s="739" t="s">
        <v>512</v>
      </c>
      <c r="AA5" s="750" t="s">
        <v>513</v>
      </c>
      <c r="AB5" s="751"/>
      <c r="AC5" s="751"/>
      <c r="AD5" s="751"/>
      <c r="AE5" s="751"/>
      <c r="AF5" s="752"/>
      <c r="AG5" s="453" t="s">
        <v>514</v>
      </c>
      <c r="AH5" s="453" t="s">
        <v>515</v>
      </c>
      <c r="AI5" s="453" t="s">
        <v>516</v>
      </c>
      <c r="AJ5" s="739" t="s">
        <v>67</v>
      </c>
    </row>
    <row r="6" spans="1:36" ht="24" customHeight="1">
      <c r="B6" s="746"/>
      <c r="C6" s="746"/>
      <c r="D6" s="746"/>
      <c r="E6" s="746"/>
      <c r="F6" s="746"/>
      <c r="G6" s="748"/>
      <c r="H6" s="746"/>
      <c r="I6" s="753"/>
      <c r="J6" s="754"/>
      <c r="K6" s="755"/>
      <c r="L6" s="753"/>
      <c r="M6" s="754"/>
      <c r="N6" s="755"/>
      <c r="O6" s="753"/>
      <c r="P6" s="755"/>
      <c r="Q6" s="746"/>
      <c r="R6" s="753" t="s">
        <v>517</v>
      </c>
      <c r="S6" s="755"/>
      <c r="T6" s="753"/>
      <c r="U6" s="754"/>
      <c r="V6" s="755"/>
      <c r="W6" s="753"/>
      <c r="X6" s="754"/>
      <c r="Y6" s="755"/>
      <c r="Z6" s="746"/>
      <c r="AA6" s="753"/>
      <c r="AB6" s="754"/>
      <c r="AC6" s="754"/>
      <c r="AD6" s="754"/>
      <c r="AE6" s="754"/>
      <c r="AF6" s="755"/>
      <c r="AG6" s="454" t="s">
        <v>518</v>
      </c>
      <c r="AH6" s="454" t="s">
        <v>519</v>
      </c>
      <c r="AI6" s="454" t="s">
        <v>520</v>
      </c>
      <c r="AJ6" s="746"/>
    </row>
    <row r="7" spans="1:36" ht="24" customHeight="1">
      <c r="B7" s="746"/>
      <c r="C7" s="746"/>
      <c r="D7" s="746"/>
      <c r="E7" s="746"/>
      <c r="F7" s="746"/>
      <c r="G7" s="748"/>
      <c r="H7" s="746"/>
      <c r="I7" s="739" t="s">
        <v>521</v>
      </c>
      <c r="J7" s="739" t="s">
        <v>1</v>
      </c>
      <c r="K7" s="739" t="s">
        <v>522</v>
      </c>
      <c r="L7" s="739" t="s">
        <v>521</v>
      </c>
      <c r="M7" s="739" t="s">
        <v>523</v>
      </c>
      <c r="N7" s="739" t="s">
        <v>522</v>
      </c>
      <c r="O7" s="739" t="s">
        <v>524</v>
      </c>
      <c r="P7" s="739" t="s">
        <v>525</v>
      </c>
      <c r="Q7" s="746"/>
      <c r="R7" s="739" t="s">
        <v>526</v>
      </c>
      <c r="S7" s="739" t="s">
        <v>527</v>
      </c>
      <c r="T7" s="739" t="s">
        <v>528</v>
      </c>
      <c r="U7" s="739" t="s">
        <v>529</v>
      </c>
      <c r="V7" s="739" t="s">
        <v>530</v>
      </c>
      <c r="W7" s="739" t="s">
        <v>528</v>
      </c>
      <c r="X7" s="739" t="s">
        <v>529</v>
      </c>
      <c r="Y7" s="739" t="s">
        <v>530</v>
      </c>
      <c r="Z7" s="746"/>
      <c r="AA7" s="741" t="s">
        <v>531</v>
      </c>
      <c r="AB7" s="742"/>
      <c r="AC7" s="743"/>
      <c r="AD7" s="741" t="s">
        <v>532</v>
      </c>
      <c r="AE7" s="742"/>
      <c r="AF7" s="743"/>
      <c r="AG7" s="455"/>
      <c r="AH7" s="455"/>
      <c r="AI7" s="455"/>
      <c r="AJ7" s="746"/>
    </row>
    <row r="8" spans="1:36" ht="24" customHeight="1">
      <c r="B8" s="740"/>
      <c r="C8" s="740"/>
      <c r="D8" s="740"/>
      <c r="E8" s="740"/>
      <c r="F8" s="740"/>
      <c r="G8" s="749"/>
      <c r="H8" s="740"/>
      <c r="I8" s="740"/>
      <c r="J8" s="740"/>
      <c r="K8" s="740"/>
      <c r="L8" s="740"/>
      <c r="M8" s="740"/>
      <c r="N8" s="740"/>
      <c r="O8" s="740"/>
      <c r="P8" s="740"/>
      <c r="Q8" s="740"/>
      <c r="R8" s="740"/>
      <c r="S8" s="740"/>
      <c r="T8" s="740"/>
      <c r="U8" s="740"/>
      <c r="V8" s="740"/>
      <c r="W8" s="740"/>
      <c r="X8" s="740"/>
      <c r="Y8" s="740"/>
      <c r="Z8" s="740"/>
      <c r="AA8" s="456" t="s">
        <v>533</v>
      </c>
      <c r="AB8" s="456" t="s">
        <v>526</v>
      </c>
      <c r="AC8" s="456" t="s">
        <v>527</v>
      </c>
      <c r="AD8" s="456" t="s">
        <v>533</v>
      </c>
      <c r="AE8" s="456" t="s">
        <v>526</v>
      </c>
      <c r="AF8" s="456" t="s">
        <v>527</v>
      </c>
      <c r="AG8" s="457"/>
      <c r="AH8" s="457"/>
      <c r="AI8" s="457"/>
      <c r="AJ8" s="740"/>
    </row>
    <row r="9" spans="1:36" ht="24" hidden="1" customHeight="1">
      <c r="B9" s="701">
        <v>1</v>
      </c>
      <c r="C9" s="699" t="s">
        <v>534</v>
      </c>
      <c r="D9" s="699"/>
      <c r="E9" s="699" t="s">
        <v>535</v>
      </c>
      <c r="F9" s="699"/>
      <c r="G9" s="699" t="s">
        <v>266</v>
      </c>
      <c r="H9" s="699" t="s">
        <v>536</v>
      </c>
      <c r="I9" s="709" t="s">
        <v>537</v>
      </c>
      <c r="J9" s="709" t="s">
        <v>537</v>
      </c>
      <c r="K9" s="712">
        <v>52680</v>
      </c>
      <c r="L9" s="709" t="s">
        <v>537</v>
      </c>
      <c r="M9" s="709" t="s">
        <v>537</v>
      </c>
      <c r="N9" s="709">
        <v>0</v>
      </c>
      <c r="O9" s="701" t="s">
        <v>537</v>
      </c>
      <c r="P9" s="701" t="s">
        <v>537</v>
      </c>
      <c r="Q9" s="705">
        <v>52680</v>
      </c>
      <c r="R9" s="707">
        <v>241609</v>
      </c>
      <c r="S9" s="699"/>
      <c r="T9" s="701">
        <v>0</v>
      </c>
      <c r="U9" s="701">
        <v>10</v>
      </c>
      <c r="V9" s="701">
        <v>0</v>
      </c>
      <c r="W9" s="701">
        <v>0</v>
      </c>
      <c r="X9" s="701">
        <v>0</v>
      </c>
      <c r="Y9" s="701">
        <v>0</v>
      </c>
      <c r="Z9" s="699"/>
      <c r="AA9" s="697" t="s">
        <v>538</v>
      </c>
      <c r="AB9" s="701" t="s">
        <v>539</v>
      </c>
      <c r="AC9" s="699"/>
      <c r="AD9" s="697" t="s">
        <v>540</v>
      </c>
      <c r="AE9" s="701">
        <v>85</v>
      </c>
      <c r="AF9" s="699"/>
      <c r="AG9" s="701" t="s">
        <v>541</v>
      </c>
      <c r="AH9" s="736" t="s">
        <v>542</v>
      </c>
      <c r="AI9" s="699"/>
      <c r="AJ9" s="697" t="s">
        <v>543</v>
      </c>
    </row>
    <row r="10" spans="1:36" ht="24" hidden="1" customHeight="1">
      <c r="B10" s="702"/>
      <c r="C10" s="700"/>
      <c r="D10" s="700"/>
      <c r="E10" s="700"/>
      <c r="F10" s="700"/>
      <c r="G10" s="700"/>
      <c r="H10" s="700"/>
      <c r="I10" s="710"/>
      <c r="J10" s="710"/>
      <c r="K10" s="713"/>
      <c r="L10" s="710"/>
      <c r="M10" s="710"/>
      <c r="N10" s="710"/>
      <c r="O10" s="702"/>
      <c r="P10" s="702"/>
      <c r="Q10" s="706"/>
      <c r="R10" s="708"/>
      <c r="S10" s="700"/>
      <c r="T10" s="702"/>
      <c r="U10" s="702"/>
      <c r="V10" s="702"/>
      <c r="W10" s="702"/>
      <c r="X10" s="702"/>
      <c r="Y10" s="702"/>
      <c r="Z10" s="700"/>
      <c r="AA10" s="698"/>
      <c r="AB10" s="702"/>
      <c r="AC10" s="700"/>
      <c r="AD10" s="698"/>
      <c r="AE10" s="702"/>
      <c r="AF10" s="700"/>
      <c r="AG10" s="702"/>
      <c r="AH10" s="737"/>
      <c r="AI10" s="700"/>
      <c r="AJ10" s="698"/>
    </row>
    <row r="11" spans="1:36" ht="24" customHeight="1">
      <c r="A11" s="452">
        <v>1</v>
      </c>
      <c r="B11" s="701">
        <v>2</v>
      </c>
      <c r="C11" s="699" t="s">
        <v>337</v>
      </c>
      <c r="D11" s="699" t="s">
        <v>544</v>
      </c>
      <c r="E11" s="699" t="s">
        <v>545</v>
      </c>
      <c r="F11" s="699"/>
      <c r="G11" s="699" t="s">
        <v>270</v>
      </c>
      <c r="H11" s="699" t="s">
        <v>546</v>
      </c>
      <c r="I11" s="709">
        <v>0</v>
      </c>
      <c r="J11" s="709" t="s">
        <v>537</v>
      </c>
      <c r="K11" s="709" t="s">
        <v>537</v>
      </c>
      <c r="L11" s="709">
        <v>0</v>
      </c>
      <c r="M11" s="709" t="s">
        <v>537</v>
      </c>
      <c r="N11" s="709" t="s">
        <v>537</v>
      </c>
      <c r="O11" s="701" t="s">
        <v>537</v>
      </c>
      <c r="P11" s="701" t="s">
        <v>537</v>
      </c>
      <c r="Q11" s="709">
        <v>0</v>
      </c>
      <c r="R11" s="707">
        <v>241579</v>
      </c>
      <c r="S11" s="699"/>
      <c r="T11" s="701">
        <v>0</v>
      </c>
      <c r="U11" s="701">
        <v>7</v>
      </c>
      <c r="V11" s="701">
        <v>30</v>
      </c>
      <c r="W11" s="699"/>
      <c r="X11" s="699"/>
      <c r="Y11" s="699"/>
      <c r="Z11" s="699"/>
      <c r="AA11" s="697" t="s">
        <v>547</v>
      </c>
      <c r="AB11" s="701" t="s">
        <v>539</v>
      </c>
      <c r="AC11" s="699"/>
      <c r="AD11" s="458" t="s">
        <v>548</v>
      </c>
      <c r="AE11" s="459">
        <v>80</v>
      </c>
      <c r="AF11" s="699"/>
      <c r="AG11" s="701" t="s">
        <v>541</v>
      </c>
      <c r="AH11" s="736"/>
      <c r="AI11" s="697" t="s">
        <v>549</v>
      </c>
      <c r="AJ11" s="699"/>
    </row>
    <row r="12" spans="1:36" ht="24" hidden="1" customHeight="1">
      <c r="B12" s="715"/>
      <c r="C12" s="714"/>
      <c r="D12" s="714"/>
      <c r="E12" s="714"/>
      <c r="F12" s="714"/>
      <c r="G12" s="714"/>
      <c r="H12" s="714"/>
      <c r="I12" s="717"/>
      <c r="J12" s="717"/>
      <c r="K12" s="717"/>
      <c r="L12" s="717"/>
      <c r="M12" s="717"/>
      <c r="N12" s="717"/>
      <c r="O12" s="715"/>
      <c r="P12" s="715"/>
      <c r="Q12" s="717"/>
      <c r="R12" s="719"/>
      <c r="S12" s="714"/>
      <c r="T12" s="715"/>
      <c r="U12" s="715"/>
      <c r="V12" s="715"/>
      <c r="W12" s="714"/>
      <c r="X12" s="714"/>
      <c r="Y12" s="714"/>
      <c r="Z12" s="714"/>
      <c r="AA12" s="711"/>
      <c r="AB12" s="715"/>
      <c r="AC12" s="714"/>
      <c r="AD12" s="460" t="s">
        <v>550</v>
      </c>
      <c r="AE12" s="461" t="s">
        <v>539</v>
      </c>
      <c r="AF12" s="714"/>
      <c r="AG12" s="715"/>
      <c r="AH12" s="738"/>
      <c r="AI12" s="711"/>
      <c r="AJ12" s="714"/>
    </row>
    <row r="13" spans="1:36" ht="24" hidden="1" customHeight="1">
      <c r="B13" s="702"/>
      <c r="C13" s="700"/>
      <c r="D13" s="700"/>
      <c r="E13" s="700"/>
      <c r="F13" s="700"/>
      <c r="G13" s="700"/>
      <c r="H13" s="700"/>
      <c r="I13" s="710"/>
      <c r="J13" s="710"/>
      <c r="K13" s="710"/>
      <c r="L13" s="710"/>
      <c r="M13" s="710"/>
      <c r="N13" s="710"/>
      <c r="O13" s="702"/>
      <c r="P13" s="702"/>
      <c r="Q13" s="710"/>
      <c r="R13" s="708"/>
      <c r="S13" s="700"/>
      <c r="T13" s="702"/>
      <c r="U13" s="702"/>
      <c r="V13" s="702"/>
      <c r="W13" s="700"/>
      <c r="X13" s="700"/>
      <c r="Y13" s="700"/>
      <c r="Z13" s="700"/>
      <c r="AA13" s="698"/>
      <c r="AB13" s="702"/>
      <c r="AC13" s="700"/>
      <c r="AD13" s="462"/>
      <c r="AE13" s="462"/>
      <c r="AF13" s="700"/>
      <c r="AG13" s="702"/>
      <c r="AH13" s="737"/>
      <c r="AI13" s="698"/>
      <c r="AJ13" s="700"/>
    </row>
    <row r="14" spans="1:36" ht="24" hidden="1" customHeight="1">
      <c r="B14" s="463">
        <v>3</v>
      </c>
      <c r="C14" s="464" t="s">
        <v>534</v>
      </c>
      <c r="D14" s="464"/>
      <c r="E14" s="464" t="s">
        <v>535</v>
      </c>
      <c r="F14" s="464"/>
      <c r="G14" s="464" t="s">
        <v>186</v>
      </c>
      <c r="H14" s="464" t="s">
        <v>551</v>
      </c>
      <c r="I14" s="465" t="s">
        <v>537</v>
      </c>
      <c r="J14" s="466">
        <v>3000000</v>
      </c>
      <c r="K14" s="465" t="s">
        <v>537</v>
      </c>
      <c r="L14" s="465" t="s">
        <v>537</v>
      </c>
      <c r="M14" s="465">
        <v>0</v>
      </c>
      <c r="N14" s="465" t="s">
        <v>537</v>
      </c>
      <c r="O14" s="467">
        <v>1945000</v>
      </c>
      <c r="P14" s="463" t="s">
        <v>537</v>
      </c>
      <c r="Q14" s="468">
        <v>1055000</v>
      </c>
      <c r="R14" s="463" t="s">
        <v>552</v>
      </c>
      <c r="S14" s="464"/>
      <c r="T14" s="463">
        <v>0</v>
      </c>
      <c r="U14" s="463">
        <v>0</v>
      </c>
      <c r="V14" s="463">
        <v>0</v>
      </c>
      <c r="W14" s="464"/>
      <c r="X14" s="464"/>
      <c r="Y14" s="464"/>
      <c r="Z14" s="464"/>
      <c r="AA14" s="464"/>
      <c r="AB14" s="464"/>
      <c r="AC14" s="464"/>
      <c r="AD14" s="464"/>
      <c r="AE14" s="464"/>
      <c r="AF14" s="464"/>
      <c r="AG14" s="463" t="s">
        <v>541</v>
      </c>
      <c r="AH14" s="469"/>
      <c r="AI14" s="464"/>
      <c r="AJ14" s="464"/>
    </row>
    <row r="15" spans="1:36" ht="24" hidden="1" customHeight="1">
      <c r="B15" s="463">
        <v>4</v>
      </c>
      <c r="C15" s="464" t="s">
        <v>165</v>
      </c>
      <c r="D15" s="464"/>
      <c r="E15" s="464" t="s">
        <v>535</v>
      </c>
      <c r="F15" s="464"/>
      <c r="G15" s="464" t="s">
        <v>186</v>
      </c>
      <c r="H15" s="464" t="s">
        <v>535</v>
      </c>
      <c r="I15" s="466">
        <v>484700</v>
      </c>
      <c r="J15" s="465" t="s">
        <v>537</v>
      </c>
      <c r="K15" s="465" t="s">
        <v>537</v>
      </c>
      <c r="L15" s="465">
        <v>0</v>
      </c>
      <c r="M15" s="465" t="s">
        <v>537</v>
      </c>
      <c r="N15" s="465" t="s">
        <v>537</v>
      </c>
      <c r="O15" s="463" t="s">
        <v>537</v>
      </c>
      <c r="P15" s="463" t="s">
        <v>537</v>
      </c>
      <c r="Q15" s="468">
        <v>484700</v>
      </c>
      <c r="R15" s="463" t="s">
        <v>552</v>
      </c>
      <c r="S15" s="464"/>
      <c r="T15" s="463">
        <v>0</v>
      </c>
      <c r="U15" s="463">
        <v>0</v>
      </c>
      <c r="V15" s="463">
        <v>0</v>
      </c>
      <c r="W15" s="464"/>
      <c r="X15" s="464"/>
      <c r="Y15" s="464"/>
      <c r="Z15" s="464"/>
      <c r="AA15" s="464"/>
      <c r="AB15" s="464"/>
      <c r="AC15" s="464"/>
      <c r="AD15" s="464"/>
      <c r="AE15" s="464"/>
      <c r="AF15" s="464"/>
      <c r="AG15" s="463" t="s">
        <v>541</v>
      </c>
      <c r="AH15" s="469"/>
      <c r="AI15" s="464"/>
      <c r="AJ15" s="464"/>
    </row>
    <row r="16" spans="1:36" ht="24" customHeight="1">
      <c r="A16" s="452">
        <v>2</v>
      </c>
      <c r="B16" s="701">
        <v>5</v>
      </c>
      <c r="C16" s="699" t="s">
        <v>337</v>
      </c>
      <c r="D16" s="699"/>
      <c r="E16" s="699" t="s">
        <v>545</v>
      </c>
      <c r="F16" s="699"/>
      <c r="G16" s="699" t="s">
        <v>186</v>
      </c>
      <c r="H16" s="699" t="s">
        <v>553</v>
      </c>
      <c r="I16" s="712">
        <v>50000</v>
      </c>
      <c r="J16" s="709" t="s">
        <v>537</v>
      </c>
      <c r="K16" s="709" t="s">
        <v>537</v>
      </c>
      <c r="L16" s="709">
        <v>0</v>
      </c>
      <c r="M16" s="709" t="s">
        <v>537</v>
      </c>
      <c r="N16" s="709" t="s">
        <v>537</v>
      </c>
      <c r="O16" s="701" t="s">
        <v>537</v>
      </c>
      <c r="P16" s="701" t="s">
        <v>537</v>
      </c>
      <c r="Q16" s="705">
        <v>50000</v>
      </c>
      <c r="R16" s="707">
        <v>241609</v>
      </c>
      <c r="S16" s="699"/>
      <c r="T16" s="701">
        <v>0</v>
      </c>
      <c r="U16" s="701">
        <v>60</v>
      </c>
      <c r="V16" s="701">
        <v>0</v>
      </c>
      <c r="W16" s="699"/>
      <c r="X16" s="699"/>
      <c r="Y16" s="699"/>
      <c r="Z16" s="699"/>
      <c r="AA16" s="458" t="s">
        <v>554</v>
      </c>
      <c r="AB16" s="459" t="s">
        <v>539</v>
      </c>
      <c r="AC16" s="699"/>
      <c r="AD16" s="697" t="s">
        <v>555</v>
      </c>
      <c r="AE16" s="701" t="s">
        <v>539</v>
      </c>
      <c r="AF16" s="699"/>
      <c r="AG16" s="701" t="s">
        <v>541</v>
      </c>
      <c r="AH16" s="736"/>
      <c r="AI16" s="699"/>
      <c r="AJ16" s="699"/>
    </row>
    <row r="17" spans="1:36" ht="24" hidden="1" customHeight="1">
      <c r="B17" s="715"/>
      <c r="C17" s="714"/>
      <c r="D17" s="714"/>
      <c r="E17" s="714"/>
      <c r="F17" s="714"/>
      <c r="G17" s="714"/>
      <c r="H17" s="714"/>
      <c r="I17" s="720"/>
      <c r="J17" s="717"/>
      <c r="K17" s="717"/>
      <c r="L17" s="717"/>
      <c r="M17" s="717"/>
      <c r="N17" s="717"/>
      <c r="O17" s="715"/>
      <c r="P17" s="715"/>
      <c r="Q17" s="718"/>
      <c r="R17" s="719"/>
      <c r="S17" s="714"/>
      <c r="T17" s="715"/>
      <c r="U17" s="715"/>
      <c r="V17" s="715"/>
      <c r="W17" s="714"/>
      <c r="X17" s="714"/>
      <c r="Y17" s="714"/>
      <c r="Z17" s="714"/>
      <c r="AA17" s="460" t="s">
        <v>556</v>
      </c>
      <c r="AB17" s="461" t="s">
        <v>539</v>
      </c>
      <c r="AC17" s="714"/>
      <c r="AD17" s="711"/>
      <c r="AE17" s="715"/>
      <c r="AF17" s="714"/>
      <c r="AG17" s="715"/>
      <c r="AH17" s="738"/>
      <c r="AI17" s="714"/>
      <c r="AJ17" s="714"/>
    </row>
    <row r="18" spans="1:36" ht="24" hidden="1" customHeight="1">
      <c r="B18" s="702"/>
      <c r="C18" s="700"/>
      <c r="D18" s="700"/>
      <c r="E18" s="700"/>
      <c r="F18" s="700"/>
      <c r="G18" s="700"/>
      <c r="H18" s="700"/>
      <c r="I18" s="713"/>
      <c r="J18" s="710"/>
      <c r="K18" s="710"/>
      <c r="L18" s="710"/>
      <c r="M18" s="710"/>
      <c r="N18" s="710"/>
      <c r="O18" s="702"/>
      <c r="P18" s="702"/>
      <c r="Q18" s="706"/>
      <c r="R18" s="708"/>
      <c r="S18" s="700"/>
      <c r="T18" s="702"/>
      <c r="U18" s="702"/>
      <c r="V18" s="702"/>
      <c r="W18" s="700"/>
      <c r="X18" s="700"/>
      <c r="Y18" s="700"/>
      <c r="Z18" s="700"/>
      <c r="AA18" s="462"/>
      <c r="AB18" s="462"/>
      <c r="AC18" s="700"/>
      <c r="AD18" s="698"/>
      <c r="AE18" s="702"/>
      <c r="AF18" s="700"/>
      <c r="AG18" s="702"/>
      <c r="AH18" s="737"/>
      <c r="AI18" s="700"/>
      <c r="AJ18" s="700"/>
    </row>
    <row r="19" spans="1:36" ht="24" customHeight="1">
      <c r="A19" s="452">
        <v>3</v>
      </c>
      <c r="B19" s="463">
        <v>6</v>
      </c>
      <c r="C19" s="464" t="s">
        <v>337</v>
      </c>
      <c r="D19" s="464"/>
      <c r="E19" s="464" t="s">
        <v>545</v>
      </c>
      <c r="F19" s="464"/>
      <c r="G19" s="464" t="s">
        <v>186</v>
      </c>
      <c r="H19" s="464" t="s">
        <v>557</v>
      </c>
      <c r="I19" s="466">
        <v>1455000</v>
      </c>
      <c r="J19" s="465" t="s">
        <v>537</v>
      </c>
      <c r="K19" s="465" t="s">
        <v>537</v>
      </c>
      <c r="L19" s="465">
        <v>0</v>
      </c>
      <c r="M19" s="465" t="s">
        <v>537</v>
      </c>
      <c r="N19" s="465" t="s">
        <v>537</v>
      </c>
      <c r="O19" s="463" t="s">
        <v>537</v>
      </c>
      <c r="P19" s="463" t="s">
        <v>537</v>
      </c>
      <c r="Q19" s="468">
        <v>1455000</v>
      </c>
      <c r="R19" s="463" t="s">
        <v>552</v>
      </c>
      <c r="S19" s="464"/>
      <c r="T19" s="463">
        <v>0</v>
      </c>
      <c r="U19" s="463">
        <v>0</v>
      </c>
      <c r="V19" s="463">
        <v>0</v>
      </c>
      <c r="W19" s="464"/>
      <c r="X19" s="464"/>
      <c r="Y19" s="464"/>
      <c r="Z19" s="464"/>
      <c r="AA19" s="464"/>
      <c r="AB19" s="464"/>
      <c r="AC19" s="464"/>
      <c r="AD19" s="464"/>
      <c r="AE19" s="464"/>
      <c r="AF19" s="464"/>
      <c r="AG19" s="463" t="s">
        <v>541</v>
      </c>
      <c r="AH19" s="469"/>
      <c r="AI19" s="464"/>
      <c r="AJ19" s="464"/>
    </row>
    <row r="20" spans="1:36" ht="24" hidden="1" customHeight="1">
      <c r="B20" s="463">
        <v>7</v>
      </c>
      <c r="C20" s="464" t="s">
        <v>10</v>
      </c>
      <c r="D20" s="464"/>
      <c r="E20" s="464" t="s">
        <v>558</v>
      </c>
      <c r="F20" s="464"/>
      <c r="G20" s="464" t="s">
        <v>272</v>
      </c>
      <c r="H20" s="464" t="s">
        <v>559</v>
      </c>
      <c r="I20" s="465" t="s">
        <v>537</v>
      </c>
      <c r="J20" s="465" t="s">
        <v>537</v>
      </c>
      <c r="K20" s="466">
        <v>58800</v>
      </c>
      <c r="L20" s="465" t="s">
        <v>537</v>
      </c>
      <c r="M20" s="465" t="s">
        <v>537</v>
      </c>
      <c r="N20" s="465">
        <v>0</v>
      </c>
      <c r="O20" s="463" t="s">
        <v>537</v>
      </c>
      <c r="P20" s="463" t="s">
        <v>537</v>
      </c>
      <c r="Q20" s="468">
        <v>58800</v>
      </c>
      <c r="R20" s="470">
        <v>241640</v>
      </c>
      <c r="S20" s="471">
        <v>22499</v>
      </c>
      <c r="T20" s="463">
        <v>0</v>
      </c>
      <c r="U20" s="463">
        <v>30</v>
      </c>
      <c r="V20" s="463">
        <v>0</v>
      </c>
      <c r="W20" s="464"/>
      <c r="X20" s="463">
        <v>30</v>
      </c>
      <c r="Y20" s="464"/>
      <c r="Z20" s="463">
        <v>92</v>
      </c>
      <c r="AA20" s="472" t="s">
        <v>560</v>
      </c>
      <c r="AB20" s="463" t="s">
        <v>539</v>
      </c>
      <c r="AC20" s="463" t="s">
        <v>539</v>
      </c>
      <c r="AD20" s="472" t="s">
        <v>561</v>
      </c>
      <c r="AE20" s="463">
        <v>85</v>
      </c>
      <c r="AF20" s="463">
        <v>92</v>
      </c>
      <c r="AG20" s="463" t="s">
        <v>541</v>
      </c>
      <c r="AH20" s="469"/>
      <c r="AI20" s="472">
        <v>848402742</v>
      </c>
      <c r="AJ20" s="472" t="s">
        <v>562</v>
      </c>
    </row>
    <row r="21" spans="1:36" ht="24" hidden="1" customHeight="1">
      <c r="B21" s="701">
        <v>8</v>
      </c>
      <c r="C21" s="699" t="s">
        <v>534</v>
      </c>
      <c r="D21" s="699"/>
      <c r="E21" s="699" t="s">
        <v>535</v>
      </c>
      <c r="F21" s="699"/>
      <c r="G21" s="699" t="s">
        <v>189</v>
      </c>
      <c r="H21" s="699" t="s">
        <v>563</v>
      </c>
      <c r="I21" s="709" t="s">
        <v>537</v>
      </c>
      <c r="J21" s="712">
        <v>100000</v>
      </c>
      <c r="K21" s="709" t="s">
        <v>537</v>
      </c>
      <c r="L21" s="709" t="s">
        <v>537</v>
      </c>
      <c r="M21" s="709">
        <v>0</v>
      </c>
      <c r="N21" s="709" t="s">
        <v>537</v>
      </c>
      <c r="O21" s="701" t="s">
        <v>537</v>
      </c>
      <c r="P21" s="701" t="s">
        <v>537</v>
      </c>
      <c r="Q21" s="705">
        <v>100000</v>
      </c>
      <c r="R21" s="707">
        <v>241671</v>
      </c>
      <c r="S21" s="699"/>
      <c r="T21" s="701">
        <v>0</v>
      </c>
      <c r="U21" s="701">
        <v>4</v>
      </c>
      <c r="V21" s="701">
        <v>0</v>
      </c>
      <c r="W21" s="699"/>
      <c r="X21" s="699"/>
      <c r="Y21" s="699"/>
      <c r="Z21" s="699"/>
      <c r="AA21" s="697" t="s">
        <v>564</v>
      </c>
      <c r="AB21" s="701">
        <v>1</v>
      </c>
      <c r="AC21" s="699"/>
      <c r="AD21" s="458" t="s">
        <v>565</v>
      </c>
      <c r="AE21" s="459">
        <v>80</v>
      </c>
      <c r="AF21" s="699"/>
      <c r="AG21" s="701" t="s">
        <v>541</v>
      </c>
      <c r="AH21" s="736"/>
      <c r="AI21" s="697" t="s">
        <v>566</v>
      </c>
      <c r="AJ21" s="699"/>
    </row>
    <row r="22" spans="1:36" ht="24" hidden="1" customHeight="1">
      <c r="B22" s="715"/>
      <c r="C22" s="714"/>
      <c r="D22" s="714"/>
      <c r="E22" s="714"/>
      <c r="F22" s="714"/>
      <c r="G22" s="714"/>
      <c r="H22" s="714"/>
      <c r="I22" s="717"/>
      <c r="J22" s="720"/>
      <c r="K22" s="717"/>
      <c r="L22" s="717"/>
      <c r="M22" s="717"/>
      <c r="N22" s="717"/>
      <c r="O22" s="715"/>
      <c r="P22" s="715"/>
      <c r="Q22" s="718"/>
      <c r="R22" s="719"/>
      <c r="S22" s="714"/>
      <c r="T22" s="715"/>
      <c r="U22" s="715"/>
      <c r="V22" s="715"/>
      <c r="W22" s="714"/>
      <c r="X22" s="714"/>
      <c r="Y22" s="714"/>
      <c r="Z22" s="714"/>
      <c r="AA22" s="711"/>
      <c r="AB22" s="715"/>
      <c r="AC22" s="714"/>
      <c r="AD22" s="460" t="s">
        <v>567</v>
      </c>
      <c r="AE22" s="461">
        <v>1</v>
      </c>
      <c r="AF22" s="714"/>
      <c r="AG22" s="715"/>
      <c r="AH22" s="738"/>
      <c r="AI22" s="711"/>
      <c r="AJ22" s="714"/>
    </row>
    <row r="23" spans="1:36" ht="24" hidden="1" customHeight="1">
      <c r="B23" s="702"/>
      <c r="C23" s="700"/>
      <c r="D23" s="700"/>
      <c r="E23" s="700"/>
      <c r="F23" s="700"/>
      <c r="G23" s="700"/>
      <c r="H23" s="700"/>
      <c r="I23" s="710"/>
      <c r="J23" s="713"/>
      <c r="K23" s="710"/>
      <c r="L23" s="710"/>
      <c r="M23" s="710"/>
      <c r="N23" s="710"/>
      <c r="O23" s="702"/>
      <c r="P23" s="702"/>
      <c r="Q23" s="706"/>
      <c r="R23" s="708"/>
      <c r="S23" s="700"/>
      <c r="T23" s="702"/>
      <c r="U23" s="702"/>
      <c r="V23" s="702"/>
      <c r="W23" s="700"/>
      <c r="X23" s="700"/>
      <c r="Y23" s="700"/>
      <c r="Z23" s="700"/>
      <c r="AA23" s="698"/>
      <c r="AB23" s="702"/>
      <c r="AC23" s="700"/>
      <c r="AD23" s="462"/>
      <c r="AE23" s="462"/>
      <c r="AF23" s="700"/>
      <c r="AG23" s="702"/>
      <c r="AH23" s="737"/>
      <c r="AI23" s="698"/>
      <c r="AJ23" s="700"/>
    </row>
    <row r="24" spans="1:36" ht="24" hidden="1" customHeight="1">
      <c r="B24" s="701">
        <v>9</v>
      </c>
      <c r="C24" s="699" t="s">
        <v>534</v>
      </c>
      <c r="D24" s="699"/>
      <c r="E24" s="699" t="s">
        <v>535</v>
      </c>
      <c r="F24" s="699"/>
      <c r="G24" s="699" t="s">
        <v>60</v>
      </c>
      <c r="H24" s="699" t="s">
        <v>568</v>
      </c>
      <c r="I24" s="709" t="s">
        <v>537</v>
      </c>
      <c r="J24" s="709" t="s">
        <v>537</v>
      </c>
      <c r="K24" s="709">
        <v>0</v>
      </c>
      <c r="L24" s="709" t="s">
        <v>537</v>
      </c>
      <c r="M24" s="709" t="s">
        <v>537</v>
      </c>
      <c r="N24" s="709">
        <v>0</v>
      </c>
      <c r="O24" s="701" t="s">
        <v>537</v>
      </c>
      <c r="P24" s="701" t="s">
        <v>537</v>
      </c>
      <c r="Q24" s="709">
        <v>0</v>
      </c>
      <c r="R24" s="707">
        <v>241579</v>
      </c>
      <c r="S24" s="699"/>
      <c r="T24" s="701">
        <v>0</v>
      </c>
      <c r="U24" s="701">
        <v>0</v>
      </c>
      <c r="V24" s="701">
        <v>0</v>
      </c>
      <c r="W24" s="699"/>
      <c r="X24" s="699"/>
      <c r="Y24" s="699"/>
      <c r="Z24" s="699"/>
      <c r="AA24" s="697" t="s">
        <v>547</v>
      </c>
      <c r="AB24" s="701" t="s">
        <v>539</v>
      </c>
      <c r="AC24" s="699"/>
      <c r="AD24" s="697" t="s">
        <v>548</v>
      </c>
      <c r="AE24" s="701">
        <v>80</v>
      </c>
      <c r="AF24" s="699"/>
      <c r="AG24" s="701" t="s">
        <v>541</v>
      </c>
      <c r="AH24" s="736"/>
      <c r="AI24" s="697" t="s">
        <v>566</v>
      </c>
      <c r="AJ24" s="697" t="s">
        <v>543</v>
      </c>
    </row>
    <row r="25" spans="1:36" ht="24" hidden="1" customHeight="1">
      <c r="B25" s="702"/>
      <c r="C25" s="700"/>
      <c r="D25" s="700"/>
      <c r="E25" s="700"/>
      <c r="F25" s="700"/>
      <c r="G25" s="700"/>
      <c r="H25" s="700"/>
      <c r="I25" s="710"/>
      <c r="J25" s="710"/>
      <c r="K25" s="710"/>
      <c r="L25" s="710"/>
      <c r="M25" s="710"/>
      <c r="N25" s="710"/>
      <c r="O25" s="702"/>
      <c r="P25" s="702"/>
      <c r="Q25" s="710"/>
      <c r="R25" s="708"/>
      <c r="S25" s="700"/>
      <c r="T25" s="702"/>
      <c r="U25" s="702"/>
      <c r="V25" s="702"/>
      <c r="W25" s="700"/>
      <c r="X25" s="700"/>
      <c r="Y25" s="700"/>
      <c r="Z25" s="700"/>
      <c r="AA25" s="698"/>
      <c r="AB25" s="702"/>
      <c r="AC25" s="700"/>
      <c r="AD25" s="698"/>
      <c r="AE25" s="702"/>
      <c r="AF25" s="700"/>
      <c r="AG25" s="702"/>
      <c r="AH25" s="737"/>
      <c r="AI25" s="698"/>
      <c r="AJ25" s="698"/>
    </row>
    <row r="26" spans="1:36" ht="24" hidden="1" customHeight="1">
      <c r="B26" s="463">
        <v>10</v>
      </c>
      <c r="C26" s="464" t="s">
        <v>534</v>
      </c>
      <c r="D26" s="464"/>
      <c r="E26" s="464" t="s">
        <v>535</v>
      </c>
      <c r="F26" s="464"/>
      <c r="G26" s="464" t="s">
        <v>55</v>
      </c>
      <c r="H26" s="464" t="s">
        <v>569</v>
      </c>
      <c r="I26" s="465" t="s">
        <v>537</v>
      </c>
      <c r="J26" s="465" t="s">
        <v>537</v>
      </c>
      <c r="K26" s="465">
        <v>0</v>
      </c>
      <c r="L26" s="465" t="s">
        <v>537</v>
      </c>
      <c r="M26" s="465" t="s">
        <v>537</v>
      </c>
      <c r="N26" s="465">
        <v>0</v>
      </c>
      <c r="O26" s="463" t="s">
        <v>537</v>
      </c>
      <c r="P26" s="463" t="s">
        <v>537</v>
      </c>
      <c r="Q26" s="465">
        <v>0</v>
      </c>
      <c r="R26" s="470">
        <v>241671</v>
      </c>
      <c r="S26" s="471">
        <v>22545</v>
      </c>
      <c r="T26" s="463">
        <v>20</v>
      </c>
      <c r="U26" s="463">
        <v>0</v>
      </c>
      <c r="V26" s="463">
        <v>50</v>
      </c>
      <c r="W26" s="463">
        <v>20</v>
      </c>
      <c r="X26" s="463">
        <v>0</v>
      </c>
      <c r="Y26" s="463">
        <v>50</v>
      </c>
      <c r="Z26" s="463">
        <v>90</v>
      </c>
      <c r="AA26" s="472" t="s">
        <v>570</v>
      </c>
      <c r="AB26" s="463">
        <v>80</v>
      </c>
      <c r="AC26" s="463">
        <v>80</v>
      </c>
      <c r="AD26" s="472" t="s">
        <v>571</v>
      </c>
      <c r="AE26" s="463">
        <v>80</v>
      </c>
      <c r="AF26" s="463">
        <v>80</v>
      </c>
      <c r="AG26" s="463" t="s">
        <v>541</v>
      </c>
      <c r="AH26" s="469"/>
      <c r="AI26" s="472">
        <v>957938784</v>
      </c>
      <c r="AJ26" s="472" t="s">
        <v>543</v>
      </c>
    </row>
    <row r="27" spans="1:36" ht="24" customHeight="1">
      <c r="A27" s="452">
        <v>4</v>
      </c>
      <c r="B27" s="701">
        <v>11</v>
      </c>
      <c r="C27" s="699" t="s">
        <v>337</v>
      </c>
      <c r="D27" s="699"/>
      <c r="E27" s="699" t="s">
        <v>545</v>
      </c>
      <c r="F27" s="699"/>
      <c r="G27" s="699" t="s">
        <v>57</v>
      </c>
      <c r="H27" s="699" t="s">
        <v>572</v>
      </c>
      <c r="I27" s="709">
        <v>0</v>
      </c>
      <c r="J27" s="709" t="s">
        <v>537</v>
      </c>
      <c r="K27" s="709" t="s">
        <v>537</v>
      </c>
      <c r="L27" s="709">
        <v>0</v>
      </c>
      <c r="M27" s="709" t="s">
        <v>537</v>
      </c>
      <c r="N27" s="709" t="s">
        <v>537</v>
      </c>
      <c r="O27" s="701" t="s">
        <v>537</v>
      </c>
      <c r="P27" s="701" t="s">
        <v>537</v>
      </c>
      <c r="Q27" s="709">
        <v>0</v>
      </c>
      <c r="R27" s="707">
        <v>241609</v>
      </c>
      <c r="S27" s="721">
        <v>22535</v>
      </c>
      <c r="T27" s="701">
        <v>2</v>
      </c>
      <c r="U27" s="701">
        <v>3</v>
      </c>
      <c r="V27" s="701">
        <v>20</v>
      </c>
      <c r="W27" s="701" t="s">
        <v>537</v>
      </c>
      <c r="X27" s="701">
        <v>5</v>
      </c>
      <c r="Y27" s="701">
        <v>20</v>
      </c>
      <c r="Z27" s="701">
        <v>93.4</v>
      </c>
      <c r="AA27" s="458" t="s">
        <v>573</v>
      </c>
      <c r="AB27" s="459" t="s">
        <v>539</v>
      </c>
      <c r="AC27" s="459" t="s">
        <v>539</v>
      </c>
      <c r="AD27" s="458" t="s">
        <v>548</v>
      </c>
      <c r="AE27" s="459">
        <v>80</v>
      </c>
      <c r="AF27" s="459">
        <v>90</v>
      </c>
      <c r="AG27" s="701" t="s">
        <v>541</v>
      </c>
      <c r="AH27" s="736"/>
      <c r="AI27" s="697" t="s">
        <v>574</v>
      </c>
      <c r="AJ27" s="699"/>
    </row>
    <row r="28" spans="1:36" ht="24" hidden="1" customHeight="1">
      <c r="B28" s="702"/>
      <c r="C28" s="700"/>
      <c r="D28" s="700"/>
      <c r="E28" s="700"/>
      <c r="F28" s="700"/>
      <c r="G28" s="700"/>
      <c r="H28" s="700"/>
      <c r="I28" s="710"/>
      <c r="J28" s="710"/>
      <c r="K28" s="710"/>
      <c r="L28" s="710"/>
      <c r="M28" s="710"/>
      <c r="N28" s="710"/>
      <c r="O28" s="702"/>
      <c r="P28" s="702"/>
      <c r="Q28" s="710"/>
      <c r="R28" s="708"/>
      <c r="S28" s="722"/>
      <c r="T28" s="702"/>
      <c r="U28" s="702"/>
      <c r="V28" s="702"/>
      <c r="W28" s="702"/>
      <c r="X28" s="702"/>
      <c r="Y28" s="702"/>
      <c r="Z28" s="702"/>
      <c r="AA28" s="473" t="s">
        <v>575</v>
      </c>
      <c r="AB28" s="474" t="s">
        <v>539</v>
      </c>
      <c r="AC28" s="474" t="s">
        <v>539</v>
      </c>
      <c r="AD28" s="473" t="s">
        <v>576</v>
      </c>
      <c r="AE28" s="474" t="s">
        <v>539</v>
      </c>
      <c r="AF28" s="474" t="s">
        <v>539</v>
      </c>
      <c r="AG28" s="702"/>
      <c r="AH28" s="737"/>
      <c r="AI28" s="698"/>
      <c r="AJ28" s="700"/>
    </row>
    <row r="29" spans="1:36" ht="24" hidden="1" customHeight="1">
      <c r="B29" s="701">
        <v>12</v>
      </c>
      <c r="C29" s="699" t="s">
        <v>534</v>
      </c>
      <c r="D29" s="699"/>
      <c r="E29" s="699" t="s">
        <v>577</v>
      </c>
      <c r="F29" s="699"/>
      <c r="G29" s="699" t="s">
        <v>334</v>
      </c>
      <c r="H29" s="699" t="s">
        <v>578</v>
      </c>
      <c r="I29" s="709" t="s">
        <v>537</v>
      </c>
      <c r="J29" s="709" t="s">
        <v>537</v>
      </c>
      <c r="K29" s="712">
        <v>20000</v>
      </c>
      <c r="L29" s="709" t="s">
        <v>537</v>
      </c>
      <c r="M29" s="709" t="s">
        <v>537</v>
      </c>
      <c r="N29" s="709">
        <v>0</v>
      </c>
      <c r="O29" s="701" t="s">
        <v>537</v>
      </c>
      <c r="P29" s="701" t="s">
        <v>537</v>
      </c>
      <c r="Q29" s="705">
        <v>20000</v>
      </c>
      <c r="R29" s="707">
        <v>241428</v>
      </c>
      <c r="S29" s="699"/>
      <c r="T29" s="701">
        <v>0</v>
      </c>
      <c r="U29" s="701">
        <v>0</v>
      </c>
      <c r="V29" s="701">
        <v>0</v>
      </c>
      <c r="W29" s="699"/>
      <c r="X29" s="699"/>
      <c r="Y29" s="699"/>
      <c r="Z29" s="699"/>
      <c r="AA29" s="697" t="s">
        <v>579</v>
      </c>
      <c r="AB29" s="701" t="s">
        <v>539</v>
      </c>
      <c r="AC29" s="699"/>
      <c r="AD29" s="458" t="s">
        <v>580</v>
      </c>
      <c r="AE29" s="459" t="s">
        <v>539</v>
      </c>
      <c r="AF29" s="699"/>
      <c r="AG29" s="701" t="s">
        <v>541</v>
      </c>
      <c r="AH29" s="736"/>
      <c r="AI29" s="699"/>
      <c r="AJ29" s="697" t="s">
        <v>543</v>
      </c>
    </row>
    <row r="30" spans="1:36" ht="24" hidden="1" customHeight="1">
      <c r="B30" s="715"/>
      <c r="C30" s="714"/>
      <c r="D30" s="714"/>
      <c r="E30" s="714"/>
      <c r="F30" s="714"/>
      <c r="G30" s="714"/>
      <c r="H30" s="714"/>
      <c r="I30" s="717"/>
      <c r="J30" s="717"/>
      <c r="K30" s="720"/>
      <c r="L30" s="717"/>
      <c r="M30" s="717"/>
      <c r="N30" s="717"/>
      <c r="O30" s="715"/>
      <c r="P30" s="715"/>
      <c r="Q30" s="718"/>
      <c r="R30" s="719"/>
      <c r="S30" s="714"/>
      <c r="T30" s="715"/>
      <c r="U30" s="715"/>
      <c r="V30" s="715"/>
      <c r="W30" s="714"/>
      <c r="X30" s="714"/>
      <c r="Y30" s="714"/>
      <c r="Z30" s="714"/>
      <c r="AA30" s="711"/>
      <c r="AB30" s="715"/>
      <c r="AC30" s="714"/>
      <c r="AD30" s="460" t="s">
        <v>581</v>
      </c>
      <c r="AE30" s="461" t="s">
        <v>539</v>
      </c>
      <c r="AF30" s="714"/>
      <c r="AG30" s="715"/>
      <c r="AH30" s="738"/>
      <c r="AI30" s="714"/>
      <c r="AJ30" s="711"/>
    </row>
    <row r="31" spans="1:36" ht="24" hidden="1" customHeight="1">
      <c r="B31" s="702"/>
      <c r="C31" s="700"/>
      <c r="D31" s="700"/>
      <c r="E31" s="700"/>
      <c r="F31" s="700"/>
      <c r="G31" s="700"/>
      <c r="H31" s="700"/>
      <c r="I31" s="710"/>
      <c r="J31" s="710"/>
      <c r="K31" s="713"/>
      <c r="L31" s="710"/>
      <c r="M31" s="710"/>
      <c r="N31" s="710"/>
      <c r="O31" s="702"/>
      <c r="P31" s="702"/>
      <c r="Q31" s="706"/>
      <c r="R31" s="708"/>
      <c r="S31" s="700"/>
      <c r="T31" s="702"/>
      <c r="U31" s="702"/>
      <c r="V31" s="702"/>
      <c r="W31" s="700"/>
      <c r="X31" s="700"/>
      <c r="Y31" s="700"/>
      <c r="Z31" s="700"/>
      <c r="AA31" s="698"/>
      <c r="AB31" s="702"/>
      <c r="AC31" s="700"/>
      <c r="AD31" s="462"/>
      <c r="AE31" s="462"/>
      <c r="AF31" s="700"/>
      <c r="AG31" s="702"/>
      <c r="AH31" s="737"/>
      <c r="AI31" s="700"/>
      <c r="AJ31" s="698"/>
    </row>
    <row r="32" spans="1:36" ht="24" hidden="1" customHeight="1">
      <c r="B32" s="463">
        <v>13</v>
      </c>
      <c r="C32" s="464" t="s">
        <v>10</v>
      </c>
      <c r="D32" s="464"/>
      <c r="E32" s="464" t="s">
        <v>558</v>
      </c>
      <c r="F32" s="464"/>
      <c r="G32" s="464" t="s">
        <v>334</v>
      </c>
      <c r="H32" s="464" t="s">
        <v>582</v>
      </c>
      <c r="I32" s="465" t="s">
        <v>537</v>
      </c>
      <c r="J32" s="465" t="s">
        <v>537</v>
      </c>
      <c r="K32" s="466">
        <v>40000</v>
      </c>
      <c r="L32" s="465" t="s">
        <v>537</v>
      </c>
      <c r="M32" s="465" t="s">
        <v>537</v>
      </c>
      <c r="N32" s="465">
        <v>0</v>
      </c>
      <c r="O32" s="463" t="s">
        <v>537</v>
      </c>
      <c r="P32" s="463" t="s">
        <v>537</v>
      </c>
      <c r="Q32" s="468">
        <v>40000</v>
      </c>
      <c r="R32" s="470">
        <v>241640</v>
      </c>
      <c r="S32" s="463" t="s">
        <v>583</v>
      </c>
      <c r="T32" s="463">
        <v>40</v>
      </c>
      <c r="U32" s="463">
        <v>0</v>
      </c>
      <c r="V32" s="463">
        <v>0</v>
      </c>
      <c r="W32" s="463">
        <v>40</v>
      </c>
      <c r="X32" s="463">
        <v>2</v>
      </c>
      <c r="Y32" s="463">
        <v>0</v>
      </c>
      <c r="Z32" s="463">
        <v>93.8</v>
      </c>
      <c r="AA32" s="472" t="s">
        <v>584</v>
      </c>
      <c r="AB32" s="463" t="s">
        <v>539</v>
      </c>
      <c r="AC32" s="463" t="s">
        <v>539</v>
      </c>
      <c r="AD32" s="472" t="s">
        <v>585</v>
      </c>
      <c r="AE32" s="463" t="s">
        <v>539</v>
      </c>
      <c r="AF32" s="463" t="s">
        <v>539</v>
      </c>
      <c r="AG32" s="463" t="s">
        <v>541</v>
      </c>
      <c r="AH32" s="469"/>
      <c r="AI32" s="472" t="s">
        <v>586</v>
      </c>
      <c r="AJ32" s="472" t="s">
        <v>562</v>
      </c>
    </row>
    <row r="33" spans="1:36" ht="24" customHeight="1">
      <c r="A33" s="452">
        <v>5</v>
      </c>
      <c r="B33" s="701">
        <v>14</v>
      </c>
      <c r="C33" s="699" t="s">
        <v>337</v>
      </c>
      <c r="D33" s="699"/>
      <c r="E33" s="699" t="s">
        <v>545</v>
      </c>
      <c r="F33" s="699"/>
      <c r="G33" s="699" t="s">
        <v>275</v>
      </c>
      <c r="H33" s="699" t="s">
        <v>587</v>
      </c>
      <c r="I33" s="709">
        <v>0</v>
      </c>
      <c r="J33" s="709" t="s">
        <v>537</v>
      </c>
      <c r="K33" s="709" t="s">
        <v>537</v>
      </c>
      <c r="L33" s="709">
        <v>0</v>
      </c>
      <c r="M33" s="709" t="s">
        <v>537</v>
      </c>
      <c r="N33" s="709" t="s">
        <v>537</v>
      </c>
      <c r="O33" s="701" t="s">
        <v>537</v>
      </c>
      <c r="P33" s="701" t="s">
        <v>537</v>
      </c>
      <c r="Q33" s="709">
        <v>0</v>
      </c>
      <c r="R33" s="707">
        <v>241609</v>
      </c>
      <c r="S33" s="701" t="s">
        <v>588</v>
      </c>
      <c r="T33" s="701">
        <v>0</v>
      </c>
      <c r="U33" s="701">
        <v>10</v>
      </c>
      <c r="V33" s="701">
        <v>30</v>
      </c>
      <c r="W33" s="701">
        <v>0</v>
      </c>
      <c r="X33" s="701">
        <v>10</v>
      </c>
      <c r="Y33" s="701">
        <v>30</v>
      </c>
      <c r="Z33" s="701">
        <v>90</v>
      </c>
      <c r="AA33" s="458" t="s">
        <v>589</v>
      </c>
      <c r="AB33" s="459" t="s">
        <v>539</v>
      </c>
      <c r="AC33" s="459" t="s">
        <v>539</v>
      </c>
      <c r="AD33" s="697" t="s">
        <v>590</v>
      </c>
      <c r="AE33" s="701" t="s">
        <v>539</v>
      </c>
      <c r="AF33" s="701" t="s">
        <v>539</v>
      </c>
      <c r="AG33" s="701" t="s">
        <v>541</v>
      </c>
      <c r="AH33" s="736"/>
      <c r="AI33" s="697" t="s">
        <v>591</v>
      </c>
      <c r="AJ33" s="699"/>
    </row>
    <row r="34" spans="1:36" ht="24" hidden="1" customHeight="1">
      <c r="B34" s="702"/>
      <c r="C34" s="700"/>
      <c r="D34" s="700"/>
      <c r="E34" s="700"/>
      <c r="F34" s="700"/>
      <c r="G34" s="700"/>
      <c r="H34" s="700"/>
      <c r="I34" s="710"/>
      <c r="J34" s="710"/>
      <c r="K34" s="710"/>
      <c r="L34" s="710"/>
      <c r="M34" s="710"/>
      <c r="N34" s="710"/>
      <c r="O34" s="702"/>
      <c r="P34" s="702"/>
      <c r="Q34" s="710"/>
      <c r="R34" s="708"/>
      <c r="S34" s="702"/>
      <c r="T34" s="702"/>
      <c r="U34" s="702"/>
      <c r="V34" s="702"/>
      <c r="W34" s="702"/>
      <c r="X34" s="702"/>
      <c r="Y34" s="702"/>
      <c r="Z34" s="702"/>
      <c r="AA34" s="473" t="s">
        <v>592</v>
      </c>
      <c r="AB34" s="474" t="s">
        <v>539</v>
      </c>
      <c r="AC34" s="474" t="s">
        <v>539</v>
      </c>
      <c r="AD34" s="698"/>
      <c r="AE34" s="702"/>
      <c r="AF34" s="702"/>
      <c r="AG34" s="702"/>
      <c r="AH34" s="737"/>
      <c r="AI34" s="698"/>
      <c r="AJ34" s="700"/>
    </row>
    <row r="35" spans="1:36" ht="24" customHeight="1">
      <c r="A35" s="452">
        <v>6</v>
      </c>
      <c r="B35" s="701">
        <v>15</v>
      </c>
      <c r="C35" s="699" t="s">
        <v>337</v>
      </c>
      <c r="D35" s="699"/>
      <c r="E35" s="699" t="s">
        <v>545</v>
      </c>
      <c r="F35" s="699"/>
      <c r="G35" s="699" t="s">
        <v>276</v>
      </c>
      <c r="H35" s="699" t="s">
        <v>593</v>
      </c>
      <c r="I35" s="709">
        <v>0</v>
      </c>
      <c r="J35" s="709" t="s">
        <v>537</v>
      </c>
      <c r="K35" s="709" t="s">
        <v>537</v>
      </c>
      <c r="L35" s="709">
        <v>0</v>
      </c>
      <c r="M35" s="709" t="s">
        <v>537</v>
      </c>
      <c r="N35" s="709" t="s">
        <v>537</v>
      </c>
      <c r="O35" s="701" t="s">
        <v>537</v>
      </c>
      <c r="P35" s="701" t="s">
        <v>537</v>
      </c>
      <c r="Q35" s="709">
        <v>0</v>
      </c>
      <c r="R35" s="707">
        <v>241640</v>
      </c>
      <c r="S35" s="721">
        <v>22541</v>
      </c>
      <c r="T35" s="701">
        <v>2</v>
      </c>
      <c r="U35" s="701">
        <v>13</v>
      </c>
      <c r="V35" s="701">
        <v>15</v>
      </c>
      <c r="W35" s="701" t="s">
        <v>537</v>
      </c>
      <c r="X35" s="701">
        <v>5</v>
      </c>
      <c r="Y35" s="701">
        <v>15</v>
      </c>
      <c r="Z35" s="701">
        <v>92.1</v>
      </c>
      <c r="AA35" s="458" t="s">
        <v>547</v>
      </c>
      <c r="AB35" s="459" t="s">
        <v>539</v>
      </c>
      <c r="AC35" s="459" t="s">
        <v>539</v>
      </c>
      <c r="AD35" s="458" t="s">
        <v>548</v>
      </c>
      <c r="AE35" s="459">
        <v>80</v>
      </c>
      <c r="AF35" s="459">
        <v>92.1</v>
      </c>
      <c r="AG35" s="701" t="s">
        <v>541</v>
      </c>
      <c r="AH35" s="736"/>
      <c r="AI35" s="697" t="s">
        <v>594</v>
      </c>
      <c r="AJ35" s="699"/>
    </row>
    <row r="36" spans="1:36" ht="24" hidden="1" customHeight="1">
      <c r="B36" s="702"/>
      <c r="C36" s="700"/>
      <c r="D36" s="700"/>
      <c r="E36" s="700"/>
      <c r="F36" s="700"/>
      <c r="G36" s="700"/>
      <c r="H36" s="700"/>
      <c r="I36" s="710"/>
      <c r="J36" s="710"/>
      <c r="K36" s="710"/>
      <c r="L36" s="710"/>
      <c r="M36" s="710"/>
      <c r="N36" s="710"/>
      <c r="O36" s="702"/>
      <c r="P36" s="702"/>
      <c r="Q36" s="710"/>
      <c r="R36" s="708"/>
      <c r="S36" s="722"/>
      <c r="T36" s="702"/>
      <c r="U36" s="702"/>
      <c r="V36" s="702"/>
      <c r="W36" s="702"/>
      <c r="X36" s="702"/>
      <c r="Y36" s="702"/>
      <c r="Z36" s="702"/>
      <c r="AA36" s="473" t="s">
        <v>595</v>
      </c>
      <c r="AB36" s="474" t="s">
        <v>539</v>
      </c>
      <c r="AC36" s="474" t="s">
        <v>539</v>
      </c>
      <c r="AD36" s="473" t="s">
        <v>596</v>
      </c>
      <c r="AE36" s="474">
        <v>15</v>
      </c>
      <c r="AF36" s="474">
        <v>15</v>
      </c>
      <c r="AG36" s="702"/>
      <c r="AH36" s="737"/>
      <c r="AI36" s="698"/>
      <c r="AJ36" s="700"/>
    </row>
    <row r="37" spans="1:36" ht="24" hidden="1" customHeight="1">
      <c r="B37" s="463">
        <v>16</v>
      </c>
      <c r="C37" s="464" t="s">
        <v>534</v>
      </c>
      <c r="D37" s="464"/>
      <c r="E37" s="464" t="s">
        <v>535</v>
      </c>
      <c r="F37" s="464"/>
      <c r="G37" s="464" t="s">
        <v>186</v>
      </c>
      <c r="H37" s="464" t="s">
        <v>535</v>
      </c>
      <c r="I37" s="466">
        <v>1846600</v>
      </c>
      <c r="J37" s="465" t="s">
        <v>537</v>
      </c>
      <c r="K37" s="465" t="s">
        <v>537</v>
      </c>
      <c r="L37" s="466">
        <v>178520</v>
      </c>
      <c r="M37" s="465" t="s">
        <v>537</v>
      </c>
      <c r="N37" s="465" t="s">
        <v>537</v>
      </c>
      <c r="O37" s="463" t="s">
        <v>537</v>
      </c>
      <c r="P37" s="463" t="s">
        <v>537</v>
      </c>
      <c r="Q37" s="468">
        <v>1668080</v>
      </c>
      <c r="R37" s="463" t="s">
        <v>552</v>
      </c>
      <c r="S37" s="464"/>
      <c r="T37" s="463">
        <v>0</v>
      </c>
      <c r="U37" s="463">
        <v>0</v>
      </c>
      <c r="V37" s="463">
        <v>0</v>
      </c>
      <c r="W37" s="464"/>
      <c r="X37" s="464"/>
      <c r="Y37" s="464"/>
      <c r="Z37" s="464"/>
      <c r="AA37" s="464"/>
      <c r="AB37" s="464"/>
      <c r="AC37" s="464"/>
      <c r="AD37" s="464"/>
      <c r="AE37" s="464"/>
      <c r="AF37" s="464"/>
      <c r="AG37" s="463" t="s">
        <v>541</v>
      </c>
      <c r="AH37" s="475" t="s">
        <v>597</v>
      </c>
      <c r="AI37" s="464"/>
      <c r="AJ37" s="464"/>
    </row>
    <row r="38" spans="1:36" ht="24" hidden="1" customHeight="1">
      <c r="B38" s="463">
        <v>17</v>
      </c>
      <c r="C38" s="464" t="s">
        <v>534</v>
      </c>
      <c r="D38" s="464"/>
      <c r="E38" s="464" t="s">
        <v>535</v>
      </c>
      <c r="F38" s="464"/>
      <c r="G38" s="464" t="s">
        <v>186</v>
      </c>
      <c r="H38" s="464" t="s">
        <v>598</v>
      </c>
      <c r="I38" s="465" t="s">
        <v>537</v>
      </c>
      <c r="J38" s="465" t="s">
        <v>537</v>
      </c>
      <c r="K38" s="466">
        <v>525000</v>
      </c>
      <c r="L38" s="465" t="s">
        <v>537</v>
      </c>
      <c r="M38" s="465" t="s">
        <v>537</v>
      </c>
      <c r="N38" s="466">
        <v>450798</v>
      </c>
      <c r="O38" s="463" t="s">
        <v>537</v>
      </c>
      <c r="P38" s="463" t="s">
        <v>537</v>
      </c>
      <c r="Q38" s="468">
        <v>74202</v>
      </c>
      <c r="R38" s="463" t="s">
        <v>599</v>
      </c>
      <c r="S38" s="463" t="s">
        <v>600</v>
      </c>
      <c r="T38" s="463">
        <v>0</v>
      </c>
      <c r="U38" s="463">
        <v>0</v>
      </c>
      <c r="V38" s="463">
        <v>0</v>
      </c>
      <c r="W38" s="463">
        <v>0</v>
      </c>
      <c r="X38" s="463">
        <v>3</v>
      </c>
      <c r="Y38" s="463">
        <v>0</v>
      </c>
      <c r="Z38" s="464"/>
      <c r="AA38" s="464"/>
      <c r="AB38" s="464"/>
      <c r="AC38" s="464"/>
      <c r="AD38" s="464"/>
      <c r="AE38" s="464"/>
      <c r="AF38" s="464"/>
      <c r="AG38" s="463" t="s">
        <v>541</v>
      </c>
      <c r="AH38" s="475" t="s">
        <v>601</v>
      </c>
      <c r="AI38" s="464"/>
      <c r="AJ38" s="472" t="s">
        <v>543</v>
      </c>
    </row>
    <row r="39" spans="1:36" ht="24" hidden="1" customHeight="1">
      <c r="B39" s="701">
        <v>18</v>
      </c>
      <c r="C39" s="699" t="s">
        <v>377</v>
      </c>
      <c r="D39" s="699"/>
      <c r="E39" s="699" t="s">
        <v>602</v>
      </c>
      <c r="F39" s="699"/>
      <c r="G39" s="699" t="s">
        <v>186</v>
      </c>
      <c r="H39" s="699" t="s">
        <v>603</v>
      </c>
      <c r="I39" s="709" t="s">
        <v>537</v>
      </c>
      <c r="J39" s="709" t="s">
        <v>537</v>
      </c>
      <c r="K39" s="712">
        <v>467240</v>
      </c>
      <c r="L39" s="709" t="s">
        <v>537</v>
      </c>
      <c r="M39" s="709" t="s">
        <v>537</v>
      </c>
      <c r="N39" s="709">
        <v>0</v>
      </c>
      <c r="O39" s="701" t="s">
        <v>537</v>
      </c>
      <c r="P39" s="701" t="s">
        <v>537</v>
      </c>
      <c r="Q39" s="705">
        <v>467240</v>
      </c>
      <c r="R39" s="707">
        <v>241671</v>
      </c>
      <c r="S39" s="701" t="s">
        <v>604</v>
      </c>
      <c r="T39" s="701">
        <v>0</v>
      </c>
      <c r="U39" s="701">
        <v>0</v>
      </c>
      <c r="V39" s="701">
        <v>0</v>
      </c>
      <c r="W39" s="701" t="s">
        <v>537</v>
      </c>
      <c r="X39" s="701" t="s">
        <v>537</v>
      </c>
      <c r="Y39" s="701" t="s">
        <v>537</v>
      </c>
      <c r="Z39" s="699"/>
      <c r="AA39" s="697" t="s">
        <v>605</v>
      </c>
      <c r="AB39" s="701" t="s">
        <v>539</v>
      </c>
      <c r="AC39" s="699"/>
      <c r="AD39" s="697" t="s">
        <v>606</v>
      </c>
      <c r="AE39" s="701">
        <v>80</v>
      </c>
      <c r="AF39" s="699"/>
      <c r="AG39" s="701" t="s">
        <v>541</v>
      </c>
      <c r="AH39" s="734" t="s">
        <v>607</v>
      </c>
      <c r="AI39" s="697">
        <v>954415600</v>
      </c>
      <c r="AJ39" s="697" t="s">
        <v>543</v>
      </c>
    </row>
    <row r="40" spans="1:36" ht="24" hidden="1" customHeight="1">
      <c r="B40" s="702"/>
      <c r="C40" s="700"/>
      <c r="D40" s="700"/>
      <c r="E40" s="700"/>
      <c r="F40" s="700"/>
      <c r="G40" s="700"/>
      <c r="H40" s="700"/>
      <c r="I40" s="710"/>
      <c r="J40" s="710"/>
      <c r="K40" s="713"/>
      <c r="L40" s="710"/>
      <c r="M40" s="710"/>
      <c r="N40" s="710"/>
      <c r="O40" s="702"/>
      <c r="P40" s="702"/>
      <c r="Q40" s="706"/>
      <c r="R40" s="708"/>
      <c r="S40" s="702"/>
      <c r="T40" s="702"/>
      <c r="U40" s="702"/>
      <c r="V40" s="702"/>
      <c r="W40" s="702"/>
      <c r="X40" s="702"/>
      <c r="Y40" s="702"/>
      <c r="Z40" s="700"/>
      <c r="AA40" s="698"/>
      <c r="AB40" s="702"/>
      <c r="AC40" s="700"/>
      <c r="AD40" s="698"/>
      <c r="AE40" s="702"/>
      <c r="AF40" s="700"/>
      <c r="AG40" s="702"/>
      <c r="AH40" s="735"/>
      <c r="AI40" s="698"/>
      <c r="AJ40" s="698"/>
    </row>
    <row r="41" spans="1:36" ht="24" hidden="1" customHeight="1">
      <c r="B41" s="701">
        <v>19</v>
      </c>
      <c r="C41" s="699" t="s">
        <v>377</v>
      </c>
      <c r="D41" s="699"/>
      <c r="E41" s="699" t="s">
        <v>602</v>
      </c>
      <c r="F41" s="699"/>
      <c r="G41" s="699" t="s">
        <v>186</v>
      </c>
      <c r="H41" s="699" t="s">
        <v>608</v>
      </c>
      <c r="I41" s="709" t="s">
        <v>537</v>
      </c>
      <c r="J41" s="709" t="s">
        <v>537</v>
      </c>
      <c r="K41" s="712">
        <v>752720</v>
      </c>
      <c r="L41" s="709" t="s">
        <v>537</v>
      </c>
      <c r="M41" s="709" t="s">
        <v>537</v>
      </c>
      <c r="N41" s="709">
        <v>0</v>
      </c>
      <c r="O41" s="701" t="s">
        <v>537</v>
      </c>
      <c r="P41" s="701" t="s">
        <v>537</v>
      </c>
      <c r="Q41" s="705">
        <v>752720</v>
      </c>
      <c r="R41" s="707">
        <v>241671</v>
      </c>
      <c r="S41" s="701" t="s">
        <v>604</v>
      </c>
      <c r="T41" s="701">
        <v>0</v>
      </c>
      <c r="U41" s="701">
        <v>0</v>
      </c>
      <c r="V41" s="701">
        <v>0</v>
      </c>
      <c r="W41" s="701" t="s">
        <v>537</v>
      </c>
      <c r="X41" s="701" t="s">
        <v>537</v>
      </c>
      <c r="Y41" s="701" t="s">
        <v>537</v>
      </c>
      <c r="Z41" s="699"/>
      <c r="AA41" s="697" t="s">
        <v>605</v>
      </c>
      <c r="AB41" s="701" t="s">
        <v>539</v>
      </c>
      <c r="AC41" s="699"/>
      <c r="AD41" s="697" t="s">
        <v>606</v>
      </c>
      <c r="AE41" s="701">
        <v>80</v>
      </c>
      <c r="AF41" s="699"/>
      <c r="AG41" s="701" t="s">
        <v>541</v>
      </c>
      <c r="AH41" s="734"/>
      <c r="AI41" s="697">
        <v>954415600</v>
      </c>
      <c r="AJ41" s="697" t="s">
        <v>543</v>
      </c>
    </row>
    <row r="42" spans="1:36" ht="24" hidden="1" customHeight="1">
      <c r="B42" s="702"/>
      <c r="C42" s="700"/>
      <c r="D42" s="700"/>
      <c r="E42" s="700"/>
      <c r="F42" s="700"/>
      <c r="G42" s="700"/>
      <c r="H42" s="700"/>
      <c r="I42" s="710"/>
      <c r="J42" s="710"/>
      <c r="K42" s="713"/>
      <c r="L42" s="710"/>
      <c r="M42" s="710"/>
      <c r="N42" s="710"/>
      <c r="O42" s="702"/>
      <c r="P42" s="702"/>
      <c r="Q42" s="706"/>
      <c r="R42" s="708"/>
      <c r="S42" s="702"/>
      <c r="T42" s="702"/>
      <c r="U42" s="702"/>
      <c r="V42" s="702"/>
      <c r="W42" s="702"/>
      <c r="X42" s="702"/>
      <c r="Y42" s="702"/>
      <c r="Z42" s="700"/>
      <c r="AA42" s="698"/>
      <c r="AB42" s="702"/>
      <c r="AC42" s="700"/>
      <c r="AD42" s="698"/>
      <c r="AE42" s="702"/>
      <c r="AF42" s="700"/>
      <c r="AG42" s="702"/>
      <c r="AH42" s="735"/>
      <c r="AI42" s="698"/>
      <c r="AJ42" s="698"/>
    </row>
    <row r="43" spans="1:36" ht="24" hidden="1" customHeight="1">
      <c r="B43" s="463">
        <v>20</v>
      </c>
      <c r="C43" s="464" t="s">
        <v>534</v>
      </c>
      <c r="D43" s="464" t="s">
        <v>544</v>
      </c>
      <c r="E43" s="464" t="s">
        <v>535</v>
      </c>
      <c r="F43" s="464"/>
      <c r="G43" s="464" t="s">
        <v>467</v>
      </c>
      <c r="H43" s="464" t="s">
        <v>609</v>
      </c>
      <c r="I43" s="465" t="s">
        <v>537</v>
      </c>
      <c r="J43" s="466">
        <v>5000000</v>
      </c>
      <c r="K43" s="465" t="s">
        <v>537</v>
      </c>
      <c r="L43" s="465" t="s">
        <v>537</v>
      </c>
      <c r="M43" s="465">
        <v>0</v>
      </c>
      <c r="N43" s="465" t="s">
        <v>537</v>
      </c>
      <c r="O43" s="463" t="s">
        <v>537</v>
      </c>
      <c r="P43" s="463" t="s">
        <v>537</v>
      </c>
      <c r="Q43" s="468">
        <v>5000000</v>
      </c>
      <c r="R43" s="463" t="s">
        <v>552</v>
      </c>
      <c r="S43" s="464"/>
      <c r="T43" s="463">
        <v>0</v>
      </c>
      <c r="U43" s="463">
        <v>0</v>
      </c>
      <c r="V43" s="463">
        <v>0</v>
      </c>
      <c r="W43" s="464"/>
      <c r="X43" s="464"/>
      <c r="Y43" s="464"/>
      <c r="Z43" s="464"/>
      <c r="AA43" s="464"/>
      <c r="AB43" s="464"/>
      <c r="AC43" s="464"/>
      <c r="AD43" s="464"/>
      <c r="AE43" s="464"/>
      <c r="AF43" s="464"/>
      <c r="AG43" s="463" t="s">
        <v>541</v>
      </c>
      <c r="AH43" s="475" t="s">
        <v>610</v>
      </c>
      <c r="AI43" s="464"/>
      <c r="AJ43" s="464"/>
    </row>
    <row r="44" spans="1:36" ht="24" hidden="1" customHeight="1">
      <c r="B44" s="463">
        <v>21</v>
      </c>
      <c r="C44" s="464" t="s">
        <v>377</v>
      </c>
      <c r="D44" s="464"/>
      <c r="E44" s="464" t="s">
        <v>602</v>
      </c>
      <c r="F44" s="464"/>
      <c r="G44" s="464" t="s">
        <v>266</v>
      </c>
      <c r="H44" s="464" t="s">
        <v>611</v>
      </c>
      <c r="I44" s="466">
        <v>30000</v>
      </c>
      <c r="J44" s="465" t="s">
        <v>537</v>
      </c>
      <c r="K44" s="465" t="s">
        <v>537</v>
      </c>
      <c r="L44" s="466">
        <v>23200</v>
      </c>
      <c r="M44" s="465" t="s">
        <v>537</v>
      </c>
      <c r="N44" s="465" t="s">
        <v>537</v>
      </c>
      <c r="O44" s="463" t="s">
        <v>537</v>
      </c>
      <c r="P44" s="463" t="s">
        <v>537</v>
      </c>
      <c r="Q44" s="468">
        <v>6800</v>
      </c>
      <c r="R44" s="470">
        <v>241428</v>
      </c>
      <c r="S44" s="471">
        <v>22299</v>
      </c>
      <c r="T44" s="463">
        <v>400</v>
      </c>
      <c r="U44" s="463">
        <v>100</v>
      </c>
      <c r="V44" s="463">
        <v>0</v>
      </c>
      <c r="W44" s="463">
        <v>580</v>
      </c>
      <c r="X44" s="463">
        <v>65</v>
      </c>
      <c r="Y44" s="463">
        <v>3</v>
      </c>
      <c r="Z44" s="463">
        <v>85</v>
      </c>
      <c r="AA44" s="472" t="s">
        <v>612</v>
      </c>
      <c r="AB44" s="463" t="s">
        <v>539</v>
      </c>
      <c r="AC44" s="463" t="s">
        <v>539</v>
      </c>
      <c r="AD44" s="472" t="s">
        <v>613</v>
      </c>
      <c r="AE44" s="463">
        <v>85</v>
      </c>
      <c r="AF44" s="463">
        <v>85</v>
      </c>
      <c r="AG44" s="463" t="s">
        <v>375</v>
      </c>
      <c r="AH44" s="476"/>
      <c r="AI44" s="472">
        <v>2103</v>
      </c>
      <c r="AJ44" s="464"/>
    </row>
    <row r="45" spans="1:36" ht="24" hidden="1" customHeight="1">
      <c r="B45" s="463">
        <v>22</v>
      </c>
      <c r="C45" s="464" t="s">
        <v>534</v>
      </c>
      <c r="D45" s="464"/>
      <c r="E45" s="464" t="s">
        <v>535</v>
      </c>
      <c r="F45" s="464"/>
      <c r="G45" s="464" t="s">
        <v>266</v>
      </c>
      <c r="H45" s="464" t="s">
        <v>614</v>
      </c>
      <c r="I45" s="466">
        <v>60000</v>
      </c>
      <c r="J45" s="465" t="s">
        <v>537</v>
      </c>
      <c r="K45" s="465" t="s">
        <v>537</v>
      </c>
      <c r="L45" s="466">
        <v>59200</v>
      </c>
      <c r="M45" s="465" t="s">
        <v>537</v>
      </c>
      <c r="N45" s="465" t="s">
        <v>537</v>
      </c>
      <c r="O45" s="463" t="s">
        <v>537</v>
      </c>
      <c r="P45" s="463" t="s">
        <v>537</v>
      </c>
      <c r="Q45" s="465">
        <v>800</v>
      </c>
      <c r="R45" s="470">
        <v>241487</v>
      </c>
      <c r="S45" s="471">
        <v>22355</v>
      </c>
      <c r="T45" s="463">
        <v>0</v>
      </c>
      <c r="U45" s="463">
        <v>100</v>
      </c>
      <c r="V45" s="463">
        <v>0</v>
      </c>
      <c r="W45" s="463">
        <v>0</v>
      </c>
      <c r="X45" s="463">
        <v>96</v>
      </c>
      <c r="Y45" s="463">
        <v>0</v>
      </c>
      <c r="Z45" s="464"/>
      <c r="AA45" s="472" t="s">
        <v>615</v>
      </c>
      <c r="AB45" s="463" t="s">
        <v>539</v>
      </c>
      <c r="AC45" s="463" t="s">
        <v>539</v>
      </c>
      <c r="AD45" s="472" t="s">
        <v>616</v>
      </c>
      <c r="AE45" s="463">
        <v>85</v>
      </c>
      <c r="AF45" s="463">
        <v>79.17</v>
      </c>
      <c r="AG45" s="463" t="s">
        <v>376</v>
      </c>
      <c r="AH45" s="476"/>
      <c r="AI45" s="472">
        <v>2103</v>
      </c>
      <c r="AJ45" s="464"/>
    </row>
    <row r="46" spans="1:36" ht="24" hidden="1" customHeight="1">
      <c r="B46" s="463">
        <v>23</v>
      </c>
      <c r="C46" s="464" t="s">
        <v>377</v>
      </c>
      <c r="D46" s="464" t="s">
        <v>544</v>
      </c>
      <c r="E46" s="464" t="s">
        <v>602</v>
      </c>
      <c r="F46" s="464"/>
      <c r="G46" s="464" t="s">
        <v>247</v>
      </c>
      <c r="H46" s="464" t="s">
        <v>617</v>
      </c>
      <c r="I46" s="465" t="s">
        <v>537</v>
      </c>
      <c r="J46" s="466">
        <v>100000</v>
      </c>
      <c r="K46" s="465" t="s">
        <v>537</v>
      </c>
      <c r="L46" s="465" t="s">
        <v>537</v>
      </c>
      <c r="M46" s="466">
        <v>100000</v>
      </c>
      <c r="N46" s="465" t="s">
        <v>537</v>
      </c>
      <c r="O46" s="463" t="s">
        <v>537</v>
      </c>
      <c r="P46" s="463" t="s">
        <v>537</v>
      </c>
      <c r="Q46" s="465">
        <v>0</v>
      </c>
      <c r="R46" s="470">
        <v>241579</v>
      </c>
      <c r="S46" s="463" t="s">
        <v>618</v>
      </c>
      <c r="T46" s="463">
        <v>220</v>
      </c>
      <c r="U46" s="463">
        <v>10</v>
      </c>
      <c r="V46" s="463">
        <v>0</v>
      </c>
      <c r="W46" s="463">
        <v>232</v>
      </c>
      <c r="X46" s="463">
        <v>14</v>
      </c>
      <c r="Y46" s="463">
        <v>0</v>
      </c>
      <c r="Z46" s="463">
        <v>92.5</v>
      </c>
      <c r="AA46" s="472" t="s">
        <v>619</v>
      </c>
      <c r="AB46" s="463" t="s">
        <v>539</v>
      </c>
      <c r="AC46" s="463" t="s">
        <v>539</v>
      </c>
      <c r="AD46" s="472" t="s">
        <v>565</v>
      </c>
      <c r="AE46" s="463" t="s">
        <v>620</v>
      </c>
      <c r="AF46" s="463">
        <v>92.5</v>
      </c>
      <c r="AG46" s="463" t="s">
        <v>376</v>
      </c>
      <c r="AH46" s="476"/>
      <c r="AI46" s="472">
        <v>856194599</v>
      </c>
      <c r="AJ46" s="464"/>
    </row>
    <row r="47" spans="1:36" ht="24" hidden="1" customHeight="1">
      <c r="B47" s="463">
        <v>24</v>
      </c>
      <c r="C47" s="464" t="s">
        <v>534</v>
      </c>
      <c r="D47" s="464"/>
      <c r="E47" s="464" t="s">
        <v>535</v>
      </c>
      <c r="F47" s="464"/>
      <c r="G47" s="464" t="s">
        <v>247</v>
      </c>
      <c r="H47" s="464" t="s">
        <v>621</v>
      </c>
      <c r="I47" s="465" t="s">
        <v>537</v>
      </c>
      <c r="J47" s="465" t="s">
        <v>537</v>
      </c>
      <c r="K47" s="466">
        <v>200000</v>
      </c>
      <c r="L47" s="465" t="s">
        <v>537</v>
      </c>
      <c r="M47" s="465" t="s">
        <v>537</v>
      </c>
      <c r="N47" s="466">
        <v>167237</v>
      </c>
      <c r="O47" s="463" t="s">
        <v>537</v>
      </c>
      <c r="P47" s="463" t="s">
        <v>537</v>
      </c>
      <c r="Q47" s="468">
        <v>32763</v>
      </c>
      <c r="R47" s="463" t="s">
        <v>622</v>
      </c>
      <c r="S47" s="463" t="s">
        <v>623</v>
      </c>
      <c r="T47" s="463">
        <v>30</v>
      </c>
      <c r="U47" s="463">
        <v>6</v>
      </c>
      <c r="V47" s="463">
        <v>0</v>
      </c>
      <c r="W47" s="463">
        <v>42</v>
      </c>
      <c r="X47" s="463">
        <v>10</v>
      </c>
      <c r="Y47" s="463">
        <v>0</v>
      </c>
      <c r="Z47" s="463">
        <v>87.5</v>
      </c>
      <c r="AA47" s="472" t="s">
        <v>624</v>
      </c>
      <c r="AB47" s="463" t="s">
        <v>539</v>
      </c>
      <c r="AC47" s="463" t="s">
        <v>539</v>
      </c>
      <c r="AD47" s="472" t="s">
        <v>571</v>
      </c>
      <c r="AE47" s="463">
        <v>80</v>
      </c>
      <c r="AF47" s="463">
        <v>87.5</v>
      </c>
      <c r="AG47" s="463" t="s">
        <v>375</v>
      </c>
      <c r="AH47" s="476"/>
      <c r="AI47" s="472">
        <v>819643283</v>
      </c>
      <c r="AJ47" s="472" t="s">
        <v>543</v>
      </c>
    </row>
    <row r="48" spans="1:36" ht="24" hidden="1" customHeight="1">
      <c r="B48" s="463">
        <v>25</v>
      </c>
      <c r="C48" s="464" t="s">
        <v>534</v>
      </c>
      <c r="D48" s="464"/>
      <c r="E48" s="464" t="s">
        <v>535</v>
      </c>
      <c r="F48" s="464"/>
      <c r="G48" s="464" t="s">
        <v>247</v>
      </c>
      <c r="H48" s="464" t="s">
        <v>625</v>
      </c>
      <c r="I48" s="465" t="s">
        <v>537</v>
      </c>
      <c r="J48" s="465" t="s">
        <v>537</v>
      </c>
      <c r="K48" s="466">
        <v>140000</v>
      </c>
      <c r="L48" s="465" t="s">
        <v>537</v>
      </c>
      <c r="M48" s="465" t="s">
        <v>537</v>
      </c>
      <c r="N48" s="466">
        <v>85620</v>
      </c>
      <c r="O48" s="463" t="s">
        <v>537</v>
      </c>
      <c r="P48" s="463" t="s">
        <v>537</v>
      </c>
      <c r="Q48" s="468">
        <v>54380</v>
      </c>
      <c r="R48" s="470">
        <v>241671</v>
      </c>
      <c r="S48" s="463" t="s">
        <v>626</v>
      </c>
      <c r="T48" s="463">
        <v>0</v>
      </c>
      <c r="U48" s="463">
        <v>10</v>
      </c>
      <c r="V48" s="463">
        <v>50</v>
      </c>
      <c r="W48" s="463">
        <v>0</v>
      </c>
      <c r="X48" s="463">
        <v>20</v>
      </c>
      <c r="Y48" s="463">
        <v>35</v>
      </c>
      <c r="Z48" s="463">
        <v>90</v>
      </c>
      <c r="AA48" s="472" t="s">
        <v>547</v>
      </c>
      <c r="AB48" s="463" t="s">
        <v>539</v>
      </c>
      <c r="AC48" s="463" t="s">
        <v>539</v>
      </c>
      <c r="AD48" s="472" t="s">
        <v>627</v>
      </c>
      <c r="AE48" s="463">
        <v>80</v>
      </c>
      <c r="AF48" s="463">
        <v>88.36</v>
      </c>
      <c r="AG48" s="463" t="s">
        <v>375</v>
      </c>
      <c r="AH48" s="476"/>
      <c r="AI48" s="472">
        <v>819643283</v>
      </c>
      <c r="AJ48" s="472" t="s">
        <v>543</v>
      </c>
    </row>
    <row r="49" spans="2:36" ht="24" hidden="1" customHeight="1">
      <c r="B49" s="463">
        <v>26</v>
      </c>
      <c r="C49" s="464" t="s">
        <v>165</v>
      </c>
      <c r="D49" s="464"/>
      <c r="E49" s="464" t="s">
        <v>535</v>
      </c>
      <c r="F49" s="464"/>
      <c r="G49" s="464" t="s">
        <v>247</v>
      </c>
      <c r="H49" s="464" t="s">
        <v>628</v>
      </c>
      <c r="I49" s="465" t="s">
        <v>537</v>
      </c>
      <c r="J49" s="465" t="s">
        <v>537</v>
      </c>
      <c r="K49" s="466">
        <v>16100</v>
      </c>
      <c r="L49" s="465" t="s">
        <v>537</v>
      </c>
      <c r="M49" s="465" t="s">
        <v>537</v>
      </c>
      <c r="N49" s="466">
        <v>14300</v>
      </c>
      <c r="O49" s="463" t="s">
        <v>537</v>
      </c>
      <c r="P49" s="463" t="s">
        <v>537</v>
      </c>
      <c r="Q49" s="468">
        <v>1800</v>
      </c>
      <c r="R49" s="470">
        <v>241397</v>
      </c>
      <c r="S49" s="471">
        <v>22266</v>
      </c>
      <c r="T49" s="463">
        <v>89</v>
      </c>
      <c r="U49" s="463">
        <v>0</v>
      </c>
      <c r="V49" s="463">
        <v>0</v>
      </c>
      <c r="W49" s="463">
        <v>87</v>
      </c>
      <c r="X49" s="463">
        <v>0</v>
      </c>
      <c r="Y49" s="463">
        <v>0</v>
      </c>
      <c r="Z49" s="463">
        <v>81</v>
      </c>
      <c r="AA49" s="472" t="s">
        <v>547</v>
      </c>
      <c r="AB49" s="463" t="s">
        <v>539</v>
      </c>
      <c r="AC49" s="463" t="s">
        <v>539</v>
      </c>
      <c r="AD49" s="472" t="s">
        <v>548</v>
      </c>
      <c r="AE49" s="463">
        <v>80</v>
      </c>
      <c r="AF49" s="463">
        <v>82</v>
      </c>
      <c r="AG49" s="463" t="s">
        <v>375</v>
      </c>
      <c r="AH49" s="476"/>
      <c r="AI49" s="472">
        <v>819643283</v>
      </c>
      <c r="AJ49" s="472" t="s">
        <v>543</v>
      </c>
    </row>
    <row r="50" spans="2:36" ht="24" hidden="1" customHeight="1">
      <c r="B50" s="463">
        <v>27</v>
      </c>
      <c r="C50" s="464" t="s">
        <v>165</v>
      </c>
      <c r="D50" s="464"/>
      <c r="E50" s="464" t="s">
        <v>535</v>
      </c>
      <c r="F50" s="464"/>
      <c r="G50" s="464" t="s">
        <v>247</v>
      </c>
      <c r="H50" s="464" t="s">
        <v>629</v>
      </c>
      <c r="I50" s="465" t="s">
        <v>537</v>
      </c>
      <c r="J50" s="465" t="s">
        <v>537</v>
      </c>
      <c r="K50" s="466">
        <v>24160</v>
      </c>
      <c r="L50" s="465" t="s">
        <v>537</v>
      </c>
      <c r="M50" s="465" t="s">
        <v>537</v>
      </c>
      <c r="N50" s="466">
        <v>12192</v>
      </c>
      <c r="O50" s="463" t="s">
        <v>537</v>
      </c>
      <c r="P50" s="463" t="s">
        <v>537</v>
      </c>
      <c r="Q50" s="468">
        <v>11968</v>
      </c>
      <c r="R50" s="470">
        <v>241609</v>
      </c>
      <c r="S50" s="471">
        <v>22468</v>
      </c>
      <c r="T50" s="463">
        <v>0</v>
      </c>
      <c r="U50" s="463">
        <v>11</v>
      </c>
      <c r="V50" s="463">
        <v>3</v>
      </c>
      <c r="W50" s="463">
        <v>0</v>
      </c>
      <c r="X50" s="463">
        <v>15</v>
      </c>
      <c r="Y50" s="463">
        <v>3</v>
      </c>
      <c r="Z50" s="463">
        <v>87.74</v>
      </c>
      <c r="AA50" s="472" t="s">
        <v>630</v>
      </c>
      <c r="AB50" s="463" t="s">
        <v>539</v>
      </c>
      <c r="AC50" s="463" t="s">
        <v>539</v>
      </c>
      <c r="AD50" s="472" t="s">
        <v>548</v>
      </c>
      <c r="AE50" s="463">
        <v>80</v>
      </c>
      <c r="AF50" s="463">
        <v>83.7</v>
      </c>
      <c r="AG50" s="463" t="s">
        <v>375</v>
      </c>
      <c r="AH50" s="476"/>
      <c r="AI50" s="472">
        <v>819643283</v>
      </c>
      <c r="AJ50" s="472" t="s">
        <v>543</v>
      </c>
    </row>
    <row r="51" spans="2:36" ht="24" hidden="1" customHeight="1">
      <c r="B51" s="463">
        <v>28</v>
      </c>
      <c r="C51" s="464" t="s">
        <v>165</v>
      </c>
      <c r="D51" s="464" t="s">
        <v>544</v>
      </c>
      <c r="E51" s="464" t="s">
        <v>535</v>
      </c>
      <c r="F51" s="464"/>
      <c r="G51" s="464" t="s">
        <v>247</v>
      </c>
      <c r="H51" s="464" t="s">
        <v>631</v>
      </c>
      <c r="I51" s="466">
        <v>105000</v>
      </c>
      <c r="J51" s="465" t="s">
        <v>537</v>
      </c>
      <c r="K51" s="465" t="s">
        <v>537</v>
      </c>
      <c r="L51" s="466">
        <v>80840</v>
      </c>
      <c r="M51" s="465" t="s">
        <v>537</v>
      </c>
      <c r="N51" s="465" t="s">
        <v>537</v>
      </c>
      <c r="O51" s="467">
        <v>24160</v>
      </c>
      <c r="P51" s="463" t="s">
        <v>537</v>
      </c>
      <c r="Q51" s="465">
        <v>0</v>
      </c>
      <c r="R51" s="470">
        <v>241459</v>
      </c>
      <c r="S51" s="463" t="s">
        <v>632</v>
      </c>
      <c r="T51" s="463">
        <v>134</v>
      </c>
      <c r="U51" s="463">
        <v>5</v>
      </c>
      <c r="V51" s="463">
        <v>0</v>
      </c>
      <c r="W51" s="463">
        <v>134</v>
      </c>
      <c r="X51" s="463">
        <v>5</v>
      </c>
      <c r="Y51" s="463">
        <v>0</v>
      </c>
      <c r="Z51" s="463">
        <v>84.25</v>
      </c>
      <c r="AA51" s="472" t="s">
        <v>633</v>
      </c>
      <c r="AB51" s="463" t="s">
        <v>634</v>
      </c>
      <c r="AC51" s="463" t="s">
        <v>539</v>
      </c>
      <c r="AD51" s="472" t="s">
        <v>635</v>
      </c>
      <c r="AE51" s="463" t="s">
        <v>539</v>
      </c>
      <c r="AF51" s="463" t="s">
        <v>539</v>
      </c>
      <c r="AG51" s="463" t="s">
        <v>375</v>
      </c>
      <c r="AH51" s="476"/>
      <c r="AI51" s="472">
        <v>910341514</v>
      </c>
      <c r="AJ51" s="464"/>
    </row>
    <row r="52" spans="2:36" ht="24" hidden="1" customHeight="1">
      <c r="B52" s="463">
        <v>29</v>
      </c>
      <c r="C52" s="464" t="s">
        <v>165</v>
      </c>
      <c r="D52" s="464" t="s">
        <v>544</v>
      </c>
      <c r="E52" s="464" t="s">
        <v>535</v>
      </c>
      <c r="F52" s="464"/>
      <c r="G52" s="464" t="s">
        <v>247</v>
      </c>
      <c r="H52" s="464" t="s">
        <v>636</v>
      </c>
      <c r="I52" s="466">
        <v>200000</v>
      </c>
      <c r="J52" s="465" t="s">
        <v>537</v>
      </c>
      <c r="K52" s="465" t="s">
        <v>537</v>
      </c>
      <c r="L52" s="466">
        <v>175560</v>
      </c>
      <c r="M52" s="465" t="s">
        <v>537</v>
      </c>
      <c r="N52" s="465" t="s">
        <v>537</v>
      </c>
      <c r="O52" s="463" t="s">
        <v>537</v>
      </c>
      <c r="P52" s="463" t="s">
        <v>537</v>
      </c>
      <c r="Q52" s="468">
        <v>24440</v>
      </c>
      <c r="R52" s="470">
        <v>241640</v>
      </c>
      <c r="S52" s="463" t="s">
        <v>637</v>
      </c>
      <c r="T52" s="463">
        <v>90</v>
      </c>
      <c r="U52" s="463">
        <v>17</v>
      </c>
      <c r="V52" s="463">
        <v>0</v>
      </c>
      <c r="W52" s="463">
        <v>80</v>
      </c>
      <c r="X52" s="463">
        <v>11</v>
      </c>
      <c r="Y52" s="463">
        <v>0</v>
      </c>
      <c r="Z52" s="463">
        <v>90.21</v>
      </c>
      <c r="AA52" s="472" t="s">
        <v>638</v>
      </c>
      <c r="AB52" s="463" t="s">
        <v>639</v>
      </c>
      <c r="AC52" s="463">
        <v>12</v>
      </c>
      <c r="AD52" s="472" t="s">
        <v>640</v>
      </c>
      <c r="AE52" s="463" t="s">
        <v>641</v>
      </c>
      <c r="AF52" s="463">
        <v>3</v>
      </c>
      <c r="AG52" s="463" t="s">
        <v>375</v>
      </c>
      <c r="AH52" s="476"/>
      <c r="AI52" s="472">
        <v>800393036</v>
      </c>
      <c r="AJ52" s="464"/>
    </row>
    <row r="53" spans="2:36" ht="24" hidden="1" customHeight="1">
      <c r="B53" s="463">
        <v>30</v>
      </c>
      <c r="C53" s="464" t="s">
        <v>165</v>
      </c>
      <c r="D53" s="464" t="s">
        <v>544</v>
      </c>
      <c r="E53" s="464" t="s">
        <v>535</v>
      </c>
      <c r="F53" s="464"/>
      <c r="G53" s="464" t="s">
        <v>247</v>
      </c>
      <c r="H53" s="464" t="s">
        <v>642</v>
      </c>
      <c r="I53" s="466">
        <v>60000</v>
      </c>
      <c r="J53" s="465" t="s">
        <v>537</v>
      </c>
      <c r="K53" s="465" t="s">
        <v>537</v>
      </c>
      <c r="L53" s="466">
        <v>60000</v>
      </c>
      <c r="M53" s="465" t="s">
        <v>537</v>
      </c>
      <c r="N53" s="465" t="s">
        <v>537</v>
      </c>
      <c r="O53" s="463" t="s">
        <v>537</v>
      </c>
      <c r="P53" s="463" t="s">
        <v>537</v>
      </c>
      <c r="Q53" s="465">
        <v>0</v>
      </c>
      <c r="R53" s="463" t="s">
        <v>643</v>
      </c>
      <c r="S53" s="463" t="s">
        <v>644</v>
      </c>
      <c r="T53" s="463">
        <v>0</v>
      </c>
      <c r="U53" s="463">
        <v>3</v>
      </c>
      <c r="V53" s="463">
        <v>0</v>
      </c>
      <c r="W53" s="463">
        <v>0</v>
      </c>
      <c r="X53" s="463">
        <v>3</v>
      </c>
      <c r="Y53" s="463">
        <v>0</v>
      </c>
      <c r="Z53" s="463">
        <v>100</v>
      </c>
      <c r="AA53" s="472" t="s">
        <v>633</v>
      </c>
      <c r="AB53" s="463" t="s">
        <v>539</v>
      </c>
      <c r="AC53" s="463" t="s">
        <v>539</v>
      </c>
      <c r="AD53" s="472" t="s">
        <v>635</v>
      </c>
      <c r="AE53" s="463" t="s">
        <v>539</v>
      </c>
      <c r="AF53" s="463" t="s">
        <v>539</v>
      </c>
      <c r="AG53" s="463" t="s">
        <v>375</v>
      </c>
      <c r="AH53" s="476"/>
      <c r="AI53" s="472">
        <v>819643283</v>
      </c>
      <c r="AJ53" s="464"/>
    </row>
    <row r="54" spans="2:36" ht="24" hidden="1" customHeight="1">
      <c r="B54" s="463">
        <v>31</v>
      </c>
      <c r="C54" s="464" t="s">
        <v>165</v>
      </c>
      <c r="D54" s="464" t="s">
        <v>544</v>
      </c>
      <c r="E54" s="464" t="s">
        <v>535</v>
      </c>
      <c r="F54" s="464"/>
      <c r="G54" s="464" t="s">
        <v>247</v>
      </c>
      <c r="H54" s="464" t="s">
        <v>645</v>
      </c>
      <c r="I54" s="466">
        <v>25000</v>
      </c>
      <c r="J54" s="465" t="s">
        <v>537</v>
      </c>
      <c r="K54" s="465" t="s">
        <v>537</v>
      </c>
      <c r="L54" s="466">
        <v>24999</v>
      </c>
      <c r="M54" s="465" t="s">
        <v>537</v>
      </c>
      <c r="N54" s="465" t="s">
        <v>537</v>
      </c>
      <c r="O54" s="463" t="s">
        <v>537</v>
      </c>
      <c r="P54" s="463" t="s">
        <v>537</v>
      </c>
      <c r="Q54" s="465">
        <v>1</v>
      </c>
      <c r="R54" s="463" t="s">
        <v>646</v>
      </c>
      <c r="S54" s="463" t="s">
        <v>647</v>
      </c>
      <c r="T54" s="463">
        <v>44</v>
      </c>
      <c r="U54" s="463">
        <v>2</v>
      </c>
      <c r="V54" s="463">
        <v>2</v>
      </c>
      <c r="W54" s="463">
        <v>59</v>
      </c>
      <c r="X54" s="463">
        <v>7</v>
      </c>
      <c r="Y54" s="463">
        <v>7</v>
      </c>
      <c r="Z54" s="463">
        <v>90.35</v>
      </c>
      <c r="AA54" s="472" t="s">
        <v>547</v>
      </c>
      <c r="AB54" s="463" t="s">
        <v>539</v>
      </c>
      <c r="AC54" s="463" t="s">
        <v>539</v>
      </c>
      <c r="AD54" s="472" t="s">
        <v>548</v>
      </c>
      <c r="AE54" s="463" t="s">
        <v>620</v>
      </c>
      <c r="AF54" s="463">
        <v>91.6</v>
      </c>
      <c r="AG54" s="463" t="s">
        <v>376</v>
      </c>
      <c r="AH54" s="476"/>
      <c r="AI54" s="472">
        <v>855104304</v>
      </c>
      <c r="AJ54" s="464"/>
    </row>
    <row r="55" spans="2:36" ht="24" hidden="1" customHeight="1">
      <c r="B55" s="463">
        <v>32</v>
      </c>
      <c r="C55" s="464" t="s">
        <v>165</v>
      </c>
      <c r="D55" s="464" t="s">
        <v>544</v>
      </c>
      <c r="E55" s="464" t="s">
        <v>535</v>
      </c>
      <c r="F55" s="464"/>
      <c r="G55" s="464" t="s">
        <v>247</v>
      </c>
      <c r="H55" s="464" t="s">
        <v>648</v>
      </c>
      <c r="I55" s="466">
        <v>100000</v>
      </c>
      <c r="J55" s="465" t="s">
        <v>537</v>
      </c>
      <c r="K55" s="465" t="s">
        <v>537</v>
      </c>
      <c r="L55" s="466">
        <v>95865</v>
      </c>
      <c r="M55" s="465" t="s">
        <v>537</v>
      </c>
      <c r="N55" s="465" t="s">
        <v>537</v>
      </c>
      <c r="O55" s="463" t="s">
        <v>537</v>
      </c>
      <c r="P55" s="463" t="s">
        <v>537</v>
      </c>
      <c r="Q55" s="468">
        <v>4135</v>
      </c>
      <c r="R55" s="470">
        <v>241459</v>
      </c>
      <c r="S55" s="463" t="s">
        <v>649</v>
      </c>
      <c r="T55" s="463">
        <v>20</v>
      </c>
      <c r="U55" s="463">
        <v>5</v>
      </c>
      <c r="V55" s="463">
        <v>0</v>
      </c>
      <c r="W55" s="463">
        <v>21</v>
      </c>
      <c r="X55" s="463">
        <v>4</v>
      </c>
      <c r="Y55" s="463">
        <v>0</v>
      </c>
      <c r="Z55" s="463">
        <v>86.7</v>
      </c>
      <c r="AA55" s="472" t="s">
        <v>650</v>
      </c>
      <c r="AB55" s="463" t="s">
        <v>641</v>
      </c>
      <c r="AC55" s="463">
        <v>6</v>
      </c>
      <c r="AD55" s="472" t="s">
        <v>651</v>
      </c>
      <c r="AE55" s="463" t="s">
        <v>641</v>
      </c>
      <c r="AF55" s="463">
        <v>6</v>
      </c>
      <c r="AG55" s="463" t="s">
        <v>375</v>
      </c>
      <c r="AH55" s="476"/>
      <c r="AI55" s="472">
        <v>819643283</v>
      </c>
      <c r="AJ55" s="464"/>
    </row>
    <row r="56" spans="2:36" ht="24" hidden="1" customHeight="1">
      <c r="B56" s="463">
        <v>33</v>
      </c>
      <c r="C56" s="464" t="s">
        <v>165</v>
      </c>
      <c r="D56" s="464" t="s">
        <v>544</v>
      </c>
      <c r="E56" s="464" t="s">
        <v>535</v>
      </c>
      <c r="F56" s="464"/>
      <c r="G56" s="464" t="s">
        <v>247</v>
      </c>
      <c r="H56" s="464" t="s">
        <v>652</v>
      </c>
      <c r="I56" s="466">
        <v>70000</v>
      </c>
      <c r="J56" s="465" t="s">
        <v>537</v>
      </c>
      <c r="K56" s="465" t="s">
        <v>537</v>
      </c>
      <c r="L56" s="466">
        <v>68500</v>
      </c>
      <c r="M56" s="465" t="s">
        <v>537</v>
      </c>
      <c r="N56" s="465" t="s">
        <v>537</v>
      </c>
      <c r="O56" s="463" t="s">
        <v>537</v>
      </c>
      <c r="P56" s="463" t="s">
        <v>537</v>
      </c>
      <c r="Q56" s="468">
        <v>1500</v>
      </c>
      <c r="R56" s="470">
        <v>241487</v>
      </c>
      <c r="S56" s="463" t="s">
        <v>653</v>
      </c>
      <c r="T56" s="463">
        <v>80</v>
      </c>
      <c r="U56" s="463">
        <v>4</v>
      </c>
      <c r="V56" s="463">
        <v>0</v>
      </c>
      <c r="W56" s="463">
        <v>80</v>
      </c>
      <c r="X56" s="463">
        <v>4</v>
      </c>
      <c r="Y56" s="463">
        <v>0</v>
      </c>
      <c r="Z56" s="463">
        <v>80</v>
      </c>
      <c r="AA56" s="472" t="s">
        <v>633</v>
      </c>
      <c r="AB56" s="463" t="s">
        <v>539</v>
      </c>
      <c r="AC56" s="463" t="s">
        <v>539</v>
      </c>
      <c r="AD56" s="472" t="s">
        <v>635</v>
      </c>
      <c r="AE56" s="463" t="s">
        <v>539</v>
      </c>
      <c r="AF56" s="463" t="s">
        <v>539</v>
      </c>
      <c r="AG56" s="463" t="s">
        <v>375</v>
      </c>
      <c r="AH56" s="476"/>
      <c r="AI56" s="472">
        <v>952655209</v>
      </c>
      <c r="AJ56" s="464"/>
    </row>
    <row r="57" spans="2:36" ht="24" hidden="1" customHeight="1">
      <c r="B57" s="463">
        <v>34</v>
      </c>
      <c r="C57" s="464" t="s">
        <v>165</v>
      </c>
      <c r="D57" s="464" t="s">
        <v>544</v>
      </c>
      <c r="E57" s="464" t="s">
        <v>535</v>
      </c>
      <c r="F57" s="464"/>
      <c r="G57" s="464" t="s">
        <v>247</v>
      </c>
      <c r="H57" s="464" t="s">
        <v>654</v>
      </c>
      <c r="I57" s="466">
        <v>25000</v>
      </c>
      <c r="J57" s="465" t="s">
        <v>537</v>
      </c>
      <c r="K57" s="465" t="s">
        <v>537</v>
      </c>
      <c r="L57" s="466">
        <v>16460</v>
      </c>
      <c r="M57" s="465" t="s">
        <v>537</v>
      </c>
      <c r="N57" s="465" t="s">
        <v>537</v>
      </c>
      <c r="O57" s="463" t="s">
        <v>537</v>
      </c>
      <c r="P57" s="463" t="s">
        <v>537</v>
      </c>
      <c r="Q57" s="468">
        <v>8540</v>
      </c>
      <c r="R57" s="463" t="s">
        <v>643</v>
      </c>
      <c r="S57" s="463" t="s">
        <v>655</v>
      </c>
      <c r="T57" s="463">
        <v>4</v>
      </c>
      <c r="U57" s="463">
        <v>1</v>
      </c>
      <c r="V57" s="463">
        <v>0</v>
      </c>
      <c r="W57" s="463">
        <v>4</v>
      </c>
      <c r="X57" s="463">
        <v>1</v>
      </c>
      <c r="Y57" s="463">
        <v>0</v>
      </c>
      <c r="Z57" s="463">
        <v>90.36</v>
      </c>
      <c r="AA57" s="472" t="s">
        <v>633</v>
      </c>
      <c r="AB57" s="463" t="s">
        <v>539</v>
      </c>
      <c r="AC57" s="463" t="s">
        <v>539</v>
      </c>
      <c r="AD57" s="472" t="s">
        <v>635</v>
      </c>
      <c r="AE57" s="463" t="s">
        <v>539</v>
      </c>
      <c r="AF57" s="463" t="s">
        <v>539</v>
      </c>
      <c r="AG57" s="463" t="s">
        <v>375</v>
      </c>
      <c r="AH57" s="476"/>
      <c r="AI57" s="472">
        <v>812053566</v>
      </c>
      <c r="AJ57" s="464"/>
    </row>
    <row r="58" spans="2:36" ht="24" hidden="1" customHeight="1">
      <c r="B58" s="463">
        <v>35</v>
      </c>
      <c r="C58" s="464" t="s">
        <v>165</v>
      </c>
      <c r="D58" s="464" t="s">
        <v>544</v>
      </c>
      <c r="E58" s="464" t="s">
        <v>535</v>
      </c>
      <c r="F58" s="464"/>
      <c r="G58" s="464" t="s">
        <v>247</v>
      </c>
      <c r="H58" s="464" t="s">
        <v>656</v>
      </c>
      <c r="I58" s="466">
        <v>17000</v>
      </c>
      <c r="J58" s="465" t="s">
        <v>537</v>
      </c>
      <c r="K58" s="465" t="s">
        <v>537</v>
      </c>
      <c r="L58" s="466">
        <v>16545</v>
      </c>
      <c r="M58" s="465" t="s">
        <v>537</v>
      </c>
      <c r="N58" s="465" t="s">
        <v>537</v>
      </c>
      <c r="O58" s="463" t="s">
        <v>537</v>
      </c>
      <c r="P58" s="463" t="s">
        <v>537</v>
      </c>
      <c r="Q58" s="465">
        <v>455</v>
      </c>
      <c r="R58" s="470">
        <v>241397</v>
      </c>
      <c r="S58" s="471">
        <v>22270</v>
      </c>
      <c r="T58" s="463">
        <v>50</v>
      </c>
      <c r="U58" s="463">
        <v>7</v>
      </c>
      <c r="V58" s="463">
        <v>0</v>
      </c>
      <c r="W58" s="463">
        <v>80</v>
      </c>
      <c r="X58" s="463">
        <v>3</v>
      </c>
      <c r="Y58" s="463">
        <v>0</v>
      </c>
      <c r="Z58" s="463">
        <v>88.12</v>
      </c>
      <c r="AA58" s="472" t="s">
        <v>547</v>
      </c>
      <c r="AB58" s="463" t="s">
        <v>539</v>
      </c>
      <c r="AC58" s="463" t="s">
        <v>539</v>
      </c>
      <c r="AD58" s="472" t="s">
        <v>548</v>
      </c>
      <c r="AE58" s="463" t="s">
        <v>620</v>
      </c>
      <c r="AF58" s="463">
        <v>90</v>
      </c>
      <c r="AG58" s="463" t="s">
        <v>376</v>
      </c>
      <c r="AH58" s="476"/>
      <c r="AI58" s="472">
        <v>896826198</v>
      </c>
      <c r="AJ58" s="464"/>
    </row>
    <row r="59" spans="2:36" ht="24" hidden="1" customHeight="1">
      <c r="B59" s="463">
        <v>36</v>
      </c>
      <c r="C59" s="464" t="s">
        <v>165</v>
      </c>
      <c r="D59" s="464" t="s">
        <v>544</v>
      </c>
      <c r="E59" s="464" t="s">
        <v>535</v>
      </c>
      <c r="F59" s="464"/>
      <c r="G59" s="464" t="s">
        <v>247</v>
      </c>
      <c r="H59" s="464" t="s">
        <v>657</v>
      </c>
      <c r="I59" s="466">
        <v>12000</v>
      </c>
      <c r="J59" s="465" t="s">
        <v>537</v>
      </c>
      <c r="K59" s="465" t="s">
        <v>537</v>
      </c>
      <c r="L59" s="466">
        <v>11906</v>
      </c>
      <c r="M59" s="465" t="s">
        <v>537</v>
      </c>
      <c r="N59" s="465" t="s">
        <v>537</v>
      </c>
      <c r="O59" s="463" t="s">
        <v>537</v>
      </c>
      <c r="P59" s="463" t="s">
        <v>537</v>
      </c>
      <c r="Q59" s="465">
        <v>94</v>
      </c>
      <c r="R59" s="470">
        <v>241397</v>
      </c>
      <c r="S59" s="471">
        <v>22263</v>
      </c>
      <c r="T59" s="463">
        <v>60</v>
      </c>
      <c r="U59" s="463">
        <v>7</v>
      </c>
      <c r="V59" s="463">
        <v>0</v>
      </c>
      <c r="W59" s="463">
        <v>65</v>
      </c>
      <c r="X59" s="463">
        <v>2</v>
      </c>
      <c r="Y59" s="463">
        <v>0</v>
      </c>
      <c r="Z59" s="463">
        <v>87.6</v>
      </c>
      <c r="AA59" s="472" t="s">
        <v>547</v>
      </c>
      <c r="AB59" s="463" t="s">
        <v>539</v>
      </c>
      <c r="AC59" s="463" t="s">
        <v>539</v>
      </c>
      <c r="AD59" s="472" t="s">
        <v>548</v>
      </c>
      <c r="AE59" s="463" t="s">
        <v>620</v>
      </c>
      <c r="AF59" s="463">
        <v>90.67</v>
      </c>
      <c r="AG59" s="463" t="s">
        <v>376</v>
      </c>
      <c r="AH59" s="476"/>
      <c r="AI59" s="472">
        <v>849984546</v>
      </c>
      <c r="AJ59" s="464"/>
    </row>
    <row r="60" spans="2:36" ht="24" hidden="1" customHeight="1">
      <c r="B60" s="463">
        <v>37</v>
      </c>
      <c r="C60" s="464" t="s">
        <v>165</v>
      </c>
      <c r="D60" s="464" t="s">
        <v>544</v>
      </c>
      <c r="E60" s="464" t="s">
        <v>535</v>
      </c>
      <c r="F60" s="464"/>
      <c r="G60" s="464" t="s">
        <v>247</v>
      </c>
      <c r="H60" s="464" t="s">
        <v>658</v>
      </c>
      <c r="I60" s="466">
        <v>17000</v>
      </c>
      <c r="J60" s="465" t="s">
        <v>537</v>
      </c>
      <c r="K60" s="465" t="s">
        <v>537</v>
      </c>
      <c r="L60" s="466">
        <v>16670</v>
      </c>
      <c r="M60" s="465" t="s">
        <v>537</v>
      </c>
      <c r="N60" s="465" t="s">
        <v>537</v>
      </c>
      <c r="O60" s="463" t="s">
        <v>537</v>
      </c>
      <c r="P60" s="463" t="s">
        <v>537</v>
      </c>
      <c r="Q60" s="465">
        <v>330</v>
      </c>
      <c r="R60" s="470">
        <v>241397</v>
      </c>
      <c r="S60" s="471">
        <v>22262</v>
      </c>
      <c r="T60" s="463">
        <v>83</v>
      </c>
      <c r="U60" s="463">
        <v>7</v>
      </c>
      <c r="V60" s="463">
        <v>0</v>
      </c>
      <c r="W60" s="463">
        <v>80</v>
      </c>
      <c r="X60" s="463">
        <v>0</v>
      </c>
      <c r="Y60" s="463">
        <v>0</v>
      </c>
      <c r="Z60" s="463">
        <v>80.53</v>
      </c>
      <c r="AA60" s="472" t="s">
        <v>547</v>
      </c>
      <c r="AB60" s="463" t="s">
        <v>539</v>
      </c>
      <c r="AC60" s="463" t="s">
        <v>539</v>
      </c>
      <c r="AD60" s="472" t="s">
        <v>548</v>
      </c>
      <c r="AE60" s="463" t="s">
        <v>620</v>
      </c>
      <c r="AF60" s="463">
        <v>80.53</v>
      </c>
      <c r="AG60" s="463" t="s">
        <v>376</v>
      </c>
      <c r="AH60" s="476"/>
      <c r="AI60" s="472">
        <v>954141988</v>
      </c>
      <c r="AJ60" s="464"/>
    </row>
    <row r="61" spans="2:36" ht="24" hidden="1" customHeight="1">
      <c r="B61" s="463">
        <v>38</v>
      </c>
      <c r="C61" s="464" t="s">
        <v>165</v>
      </c>
      <c r="D61" s="464" t="s">
        <v>544</v>
      </c>
      <c r="E61" s="464" t="s">
        <v>535</v>
      </c>
      <c r="F61" s="464"/>
      <c r="G61" s="464" t="s">
        <v>247</v>
      </c>
      <c r="H61" s="464" t="s">
        <v>659</v>
      </c>
      <c r="I61" s="466">
        <v>16000</v>
      </c>
      <c r="J61" s="465" t="s">
        <v>537</v>
      </c>
      <c r="K61" s="465" t="s">
        <v>537</v>
      </c>
      <c r="L61" s="466">
        <v>16000</v>
      </c>
      <c r="M61" s="465" t="s">
        <v>537</v>
      </c>
      <c r="N61" s="465" t="s">
        <v>537</v>
      </c>
      <c r="O61" s="463" t="s">
        <v>537</v>
      </c>
      <c r="P61" s="463" t="s">
        <v>537</v>
      </c>
      <c r="Q61" s="465">
        <v>0</v>
      </c>
      <c r="R61" s="470">
        <v>241428</v>
      </c>
      <c r="S61" s="471">
        <v>22299</v>
      </c>
      <c r="T61" s="463">
        <v>50</v>
      </c>
      <c r="U61" s="463">
        <v>7</v>
      </c>
      <c r="V61" s="463">
        <v>0</v>
      </c>
      <c r="W61" s="463">
        <v>59</v>
      </c>
      <c r="X61" s="463">
        <v>7</v>
      </c>
      <c r="Y61" s="463">
        <v>1</v>
      </c>
      <c r="Z61" s="463">
        <v>99.09</v>
      </c>
      <c r="AA61" s="472" t="s">
        <v>547</v>
      </c>
      <c r="AB61" s="463" t="s">
        <v>539</v>
      </c>
      <c r="AC61" s="463" t="s">
        <v>539</v>
      </c>
      <c r="AD61" s="472" t="s">
        <v>548</v>
      </c>
      <c r="AE61" s="463" t="s">
        <v>620</v>
      </c>
      <c r="AF61" s="463">
        <v>91.75</v>
      </c>
      <c r="AG61" s="463" t="s">
        <v>376</v>
      </c>
      <c r="AH61" s="476"/>
      <c r="AI61" s="472">
        <v>899824767</v>
      </c>
      <c r="AJ61" s="464"/>
    </row>
    <row r="62" spans="2:36" ht="24" hidden="1" customHeight="1">
      <c r="B62" s="463">
        <v>39</v>
      </c>
      <c r="C62" s="464" t="s">
        <v>165</v>
      </c>
      <c r="D62" s="464" t="s">
        <v>544</v>
      </c>
      <c r="E62" s="464" t="s">
        <v>535</v>
      </c>
      <c r="F62" s="464"/>
      <c r="G62" s="464" t="s">
        <v>247</v>
      </c>
      <c r="H62" s="464" t="s">
        <v>660</v>
      </c>
      <c r="I62" s="466">
        <v>14000</v>
      </c>
      <c r="J62" s="465" t="s">
        <v>537</v>
      </c>
      <c r="K62" s="465" t="s">
        <v>537</v>
      </c>
      <c r="L62" s="466">
        <v>13906</v>
      </c>
      <c r="M62" s="465" t="s">
        <v>537</v>
      </c>
      <c r="N62" s="465" t="s">
        <v>537</v>
      </c>
      <c r="O62" s="463" t="s">
        <v>537</v>
      </c>
      <c r="P62" s="463" t="s">
        <v>537</v>
      </c>
      <c r="Q62" s="465">
        <v>94</v>
      </c>
      <c r="R62" s="470">
        <v>241428</v>
      </c>
      <c r="S62" s="471">
        <v>22298</v>
      </c>
      <c r="T62" s="463">
        <v>60</v>
      </c>
      <c r="U62" s="463">
        <v>7</v>
      </c>
      <c r="V62" s="463">
        <v>0</v>
      </c>
      <c r="W62" s="463">
        <v>70</v>
      </c>
      <c r="X62" s="463">
        <v>3</v>
      </c>
      <c r="Y62" s="463">
        <v>3</v>
      </c>
      <c r="Z62" s="463">
        <v>93</v>
      </c>
      <c r="AA62" s="472" t="s">
        <v>547</v>
      </c>
      <c r="AB62" s="463" t="s">
        <v>539</v>
      </c>
      <c r="AC62" s="463" t="s">
        <v>539</v>
      </c>
      <c r="AD62" s="472" t="s">
        <v>548</v>
      </c>
      <c r="AE62" s="463" t="s">
        <v>620</v>
      </c>
      <c r="AF62" s="463">
        <v>90.8</v>
      </c>
      <c r="AG62" s="463" t="s">
        <v>376</v>
      </c>
      <c r="AH62" s="476"/>
      <c r="AI62" s="472">
        <v>897979535</v>
      </c>
      <c r="AJ62" s="464"/>
    </row>
    <row r="63" spans="2:36" ht="24" hidden="1" customHeight="1">
      <c r="B63" s="463">
        <v>40</v>
      </c>
      <c r="C63" s="464" t="s">
        <v>165</v>
      </c>
      <c r="D63" s="464" t="s">
        <v>544</v>
      </c>
      <c r="E63" s="464" t="s">
        <v>535</v>
      </c>
      <c r="F63" s="464"/>
      <c r="G63" s="464" t="s">
        <v>247</v>
      </c>
      <c r="H63" s="464" t="s">
        <v>661</v>
      </c>
      <c r="I63" s="466">
        <v>14000</v>
      </c>
      <c r="J63" s="465" t="s">
        <v>537</v>
      </c>
      <c r="K63" s="465" t="s">
        <v>537</v>
      </c>
      <c r="L63" s="466">
        <v>13765</v>
      </c>
      <c r="M63" s="465" t="s">
        <v>537</v>
      </c>
      <c r="N63" s="465" t="s">
        <v>537</v>
      </c>
      <c r="O63" s="463" t="s">
        <v>537</v>
      </c>
      <c r="P63" s="463" t="s">
        <v>537</v>
      </c>
      <c r="Q63" s="465">
        <v>235</v>
      </c>
      <c r="R63" s="470">
        <v>241459</v>
      </c>
      <c r="S63" s="471">
        <v>22322</v>
      </c>
      <c r="T63" s="463">
        <v>50</v>
      </c>
      <c r="U63" s="463">
        <v>7</v>
      </c>
      <c r="V63" s="463">
        <v>0</v>
      </c>
      <c r="W63" s="463">
        <v>50</v>
      </c>
      <c r="X63" s="463">
        <v>4</v>
      </c>
      <c r="Y63" s="463">
        <v>0</v>
      </c>
      <c r="Z63" s="463">
        <v>90</v>
      </c>
      <c r="AA63" s="472" t="s">
        <v>547</v>
      </c>
      <c r="AB63" s="463" t="s">
        <v>539</v>
      </c>
      <c r="AC63" s="463" t="s">
        <v>539</v>
      </c>
      <c r="AD63" s="472" t="s">
        <v>548</v>
      </c>
      <c r="AE63" s="463" t="s">
        <v>620</v>
      </c>
      <c r="AF63" s="463">
        <v>90</v>
      </c>
      <c r="AG63" s="463" t="s">
        <v>376</v>
      </c>
      <c r="AH63" s="476"/>
      <c r="AI63" s="472">
        <v>967546381</v>
      </c>
      <c r="AJ63" s="464"/>
    </row>
    <row r="64" spans="2:36" ht="24" hidden="1" customHeight="1">
      <c r="B64" s="463">
        <v>41</v>
      </c>
      <c r="C64" s="464" t="s">
        <v>165</v>
      </c>
      <c r="D64" s="464" t="s">
        <v>544</v>
      </c>
      <c r="E64" s="464" t="s">
        <v>535</v>
      </c>
      <c r="F64" s="464"/>
      <c r="G64" s="464" t="s">
        <v>247</v>
      </c>
      <c r="H64" s="464" t="s">
        <v>662</v>
      </c>
      <c r="I64" s="466">
        <v>25000</v>
      </c>
      <c r="J64" s="465" t="s">
        <v>537</v>
      </c>
      <c r="K64" s="465" t="s">
        <v>537</v>
      </c>
      <c r="L64" s="466">
        <v>25000</v>
      </c>
      <c r="M64" s="465" t="s">
        <v>537</v>
      </c>
      <c r="N64" s="465" t="s">
        <v>537</v>
      </c>
      <c r="O64" s="463" t="s">
        <v>537</v>
      </c>
      <c r="P64" s="463" t="s">
        <v>537</v>
      </c>
      <c r="Q64" s="465">
        <v>0</v>
      </c>
      <c r="R64" s="470">
        <v>241459</v>
      </c>
      <c r="S64" s="471">
        <v>22309</v>
      </c>
      <c r="T64" s="463">
        <v>55</v>
      </c>
      <c r="U64" s="463">
        <v>3</v>
      </c>
      <c r="V64" s="463">
        <v>2</v>
      </c>
      <c r="W64" s="463">
        <v>57</v>
      </c>
      <c r="X64" s="463">
        <v>3</v>
      </c>
      <c r="Y64" s="463">
        <v>2</v>
      </c>
      <c r="Z64" s="463">
        <v>86.72</v>
      </c>
      <c r="AA64" s="472" t="s">
        <v>547</v>
      </c>
      <c r="AB64" s="463" t="s">
        <v>539</v>
      </c>
      <c r="AC64" s="463" t="s">
        <v>539</v>
      </c>
      <c r="AD64" s="472" t="s">
        <v>548</v>
      </c>
      <c r="AE64" s="463" t="s">
        <v>620</v>
      </c>
      <c r="AF64" s="463">
        <v>86.83</v>
      </c>
      <c r="AG64" s="463" t="s">
        <v>376</v>
      </c>
      <c r="AH64" s="476"/>
      <c r="AI64" s="472">
        <v>954297754</v>
      </c>
      <c r="AJ64" s="464"/>
    </row>
    <row r="65" spans="2:36" ht="24" hidden="1" customHeight="1">
      <c r="B65" s="463">
        <v>42</v>
      </c>
      <c r="C65" s="464" t="s">
        <v>165</v>
      </c>
      <c r="D65" s="464" t="s">
        <v>544</v>
      </c>
      <c r="E65" s="464" t="s">
        <v>535</v>
      </c>
      <c r="F65" s="464"/>
      <c r="G65" s="464" t="s">
        <v>247</v>
      </c>
      <c r="H65" s="464" t="s">
        <v>663</v>
      </c>
      <c r="I65" s="466">
        <v>40000</v>
      </c>
      <c r="J65" s="465" t="s">
        <v>537</v>
      </c>
      <c r="K65" s="465" t="s">
        <v>537</v>
      </c>
      <c r="L65" s="466">
        <v>40000</v>
      </c>
      <c r="M65" s="465" t="s">
        <v>537</v>
      </c>
      <c r="N65" s="465" t="s">
        <v>537</v>
      </c>
      <c r="O65" s="463" t="s">
        <v>537</v>
      </c>
      <c r="P65" s="463" t="s">
        <v>537</v>
      </c>
      <c r="Q65" s="465">
        <v>0</v>
      </c>
      <c r="R65" s="470">
        <v>241459</v>
      </c>
      <c r="S65" s="463" t="s">
        <v>664</v>
      </c>
      <c r="T65" s="463">
        <v>110</v>
      </c>
      <c r="U65" s="463">
        <v>6</v>
      </c>
      <c r="V65" s="463">
        <v>4</v>
      </c>
      <c r="W65" s="463">
        <v>117</v>
      </c>
      <c r="X65" s="463">
        <v>6</v>
      </c>
      <c r="Y65" s="463">
        <v>4</v>
      </c>
      <c r="Z65" s="463">
        <v>89.35</v>
      </c>
      <c r="AA65" s="472" t="s">
        <v>547</v>
      </c>
      <c r="AB65" s="463" t="s">
        <v>539</v>
      </c>
      <c r="AC65" s="463" t="s">
        <v>539</v>
      </c>
      <c r="AD65" s="472" t="s">
        <v>548</v>
      </c>
      <c r="AE65" s="463" t="s">
        <v>620</v>
      </c>
      <c r="AF65" s="463">
        <v>87.8</v>
      </c>
      <c r="AG65" s="463" t="s">
        <v>376</v>
      </c>
      <c r="AH65" s="476"/>
      <c r="AI65" s="472">
        <v>894711535</v>
      </c>
      <c r="AJ65" s="464"/>
    </row>
    <row r="66" spans="2:36" ht="24" hidden="1" customHeight="1">
      <c r="B66" s="463">
        <v>43</v>
      </c>
      <c r="C66" s="464" t="s">
        <v>165</v>
      </c>
      <c r="D66" s="464" t="s">
        <v>544</v>
      </c>
      <c r="E66" s="464" t="s">
        <v>535</v>
      </c>
      <c r="F66" s="464"/>
      <c r="G66" s="464" t="s">
        <v>247</v>
      </c>
      <c r="H66" s="464" t="s">
        <v>665</v>
      </c>
      <c r="I66" s="466">
        <v>100000</v>
      </c>
      <c r="J66" s="465" t="s">
        <v>537</v>
      </c>
      <c r="K66" s="465" t="s">
        <v>537</v>
      </c>
      <c r="L66" s="466">
        <v>74590</v>
      </c>
      <c r="M66" s="465" t="s">
        <v>537</v>
      </c>
      <c r="N66" s="465" t="s">
        <v>537</v>
      </c>
      <c r="O66" s="463" t="s">
        <v>537</v>
      </c>
      <c r="P66" s="463" t="s">
        <v>537</v>
      </c>
      <c r="Q66" s="468">
        <v>25410</v>
      </c>
      <c r="R66" s="470">
        <v>241459</v>
      </c>
      <c r="S66" s="463" t="s">
        <v>666</v>
      </c>
      <c r="T66" s="463">
        <v>20</v>
      </c>
      <c r="U66" s="463">
        <v>5</v>
      </c>
      <c r="V66" s="463">
        <v>0</v>
      </c>
      <c r="W66" s="463">
        <v>20</v>
      </c>
      <c r="X66" s="463">
        <v>4</v>
      </c>
      <c r="Y66" s="463">
        <v>0</v>
      </c>
      <c r="Z66" s="463">
        <v>85.9</v>
      </c>
      <c r="AA66" s="472" t="s">
        <v>650</v>
      </c>
      <c r="AB66" s="463" t="s">
        <v>641</v>
      </c>
      <c r="AC66" s="463">
        <v>6</v>
      </c>
      <c r="AD66" s="472" t="s">
        <v>651</v>
      </c>
      <c r="AE66" s="463" t="s">
        <v>641</v>
      </c>
      <c r="AF66" s="463">
        <v>6</v>
      </c>
      <c r="AG66" s="463" t="s">
        <v>375</v>
      </c>
      <c r="AH66" s="476"/>
      <c r="AI66" s="472">
        <v>819643283</v>
      </c>
      <c r="AJ66" s="464"/>
    </row>
    <row r="67" spans="2:36" ht="24" hidden="1" customHeight="1">
      <c r="B67" s="463">
        <v>44</v>
      </c>
      <c r="C67" s="464" t="s">
        <v>165</v>
      </c>
      <c r="D67" s="464" t="s">
        <v>544</v>
      </c>
      <c r="E67" s="464" t="s">
        <v>535</v>
      </c>
      <c r="F67" s="464"/>
      <c r="G67" s="464" t="s">
        <v>247</v>
      </c>
      <c r="H67" s="464" t="s">
        <v>667</v>
      </c>
      <c r="I67" s="465" t="s">
        <v>537</v>
      </c>
      <c r="J67" s="466">
        <v>50000</v>
      </c>
      <c r="K67" s="465" t="s">
        <v>537</v>
      </c>
      <c r="L67" s="465" t="s">
        <v>537</v>
      </c>
      <c r="M67" s="466">
        <v>49574</v>
      </c>
      <c r="N67" s="465" t="s">
        <v>537</v>
      </c>
      <c r="O67" s="463" t="s">
        <v>537</v>
      </c>
      <c r="P67" s="463" t="s">
        <v>537</v>
      </c>
      <c r="Q67" s="465">
        <v>426</v>
      </c>
      <c r="R67" s="470">
        <v>241579</v>
      </c>
      <c r="S67" s="471">
        <v>22451</v>
      </c>
      <c r="T67" s="463">
        <v>220</v>
      </c>
      <c r="U67" s="463">
        <v>22</v>
      </c>
      <c r="V67" s="463">
        <v>0</v>
      </c>
      <c r="W67" s="463">
        <v>234</v>
      </c>
      <c r="X67" s="463">
        <v>26</v>
      </c>
      <c r="Y67" s="463">
        <v>0</v>
      </c>
      <c r="Z67" s="463">
        <v>88.21</v>
      </c>
      <c r="AA67" s="472" t="s">
        <v>547</v>
      </c>
      <c r="AB67" s="463" t="s">
        <v>539</v>
      </c>
      <c r="AC67" s="463" t="s">
        <v>539</v>
      </c>
      <c r="AD67" s="472" t="s">
        <v>548</v>
      </c>
      <c r="AE67" s="463" t="s">
        <v>620</v>
      </c>
      <c r="AF67" s="463">
        <v>89.4</v>
      </c>
      <c r="AG67" s="463" t="s">
        <v>376</v>
      </c>
      <c r="AH67" s="476"/>
      <c r="AI67" s="472">
        <v>800393036</v>
      </c>
      <c r="AJ67" s="464"/>
    </row>
    <row r="68" spans="2:36" ht="24" hidden="1" customHeight="1">
      <c r="B68" s="463">
        <v>45</v>
      </c>
      <c r="C68" s="464" t="s">
        <v>165</v>
      </c>
      <c r="D68" s="464" t="s">
        <v>544</v>
      </c>
      <c r="E68" s="464" t="s">
        <v>535</v>
      </c>
      <c r="F68" s="464"/>
      <c r="G68" s="464" t="s">
        <v>247</v>
      </c>
      <c r="H68" s="464" t="s">
        <v>668</v>
      </c>
      <c r="I68" s="465" t="s">
        <v>537</v>
      </c>
      <c r="J68" s="466">
        <v>50000</v>
      </c>
      <c r="K68" s="465" t="s">
        <v>537</v>
      </c>
      <c r="L68" s="465" t="s">
        <v>537</v>
      </c>
      <c r="M68" s="466">
        <v>48000</v>
      </c>
      <c r="N68" s="465" t="s">
        <v>537</v>
      </c>
      <c r="O68" s="463" t="s">
        <v>537</v>
      </c>
      <c r="P68" s="463" t="s">
        <v>537</v>
      </c>
      <c r="Q68" s="468">
        <v>2000</v>
      </c>
      <c r="R68" s="463" t="s">
        <v>643</v>
      </c>
      <c r="S68" s="471">
        <v>22361</v>
      </c>
      <c r="T68" s="463">
        <v>240</v>
      </c>
      <c r="U68" s="463">
        <v>20</v>
      </c>
      <c r="V68" s="463">
        <v>0</v>
      </c>
      <c r="W68" s="463">
        <v>240</v>
      </c>
      <c r="X68" s="463">
        <v>20</v>
      </c>
      <c r="Y68" s="463">
        <v>0</v>
      </c>
      <c r="Z68" s="463">
        <v>86.69</v>
      </c>
      <c r="AA68" s="472" t="s">
        <v>547</v>
      </c>
      <c r="AB68" s="463" t="s">
        <v>539</v>
      </c>
      <c r="AC68" s="463" t="s">
        <v>539</v>
      </c>
      <c r="AD68" s="472" t="s">
        <v>548</v>
      </c>
      <c r="AE68" s="463" t="s">
        <v>620</v>
      </c>
      <c r="AF68" s="463">
        <v>84.22</v>
      </c>
      <c r="AG68" s="463" t="s">
        <v>376</v>
      </c>
      <c r="AH68" s="476"/>
      <c r="AI68" s="472">
        <v>800393036</v>
      </c>
      <c r="AJ68" s="464"/>
    </row>
    <row r="69" spans="2:36" ht="24" hidden="1" customHeight="1">
      <c r="B69" s="463">
        <v>46</v>
      </c>
      <c r="C69" s="464" t="s">
        <v>165</v>
      </c>
      <c r="D69" s="464" t="s">
        <v>544</v>
      </c>
      <c r="E69" s="464" t="s">
        <v>535</v>
      </c>
      <c r="F69" s="464"/>
      <c r="G69" s="464" t="s">
        <v>247</v>
      </c>
      <c r="H69" s="464" t="s">
        <v>669</v>
      </c>
      <c r="I69" s="465" t="s">
        <v>537</v>
      </c>
      <c r="J69" s="466">
        <v>200000</v>
      </c>
      <c r="K69" s="465" t="s">
        <v>537</v>
      </c>
      <c r="L69" s="465" t="s">
        <v>537</v>
      </c>
      <c r="M69" s="466">
        <v>200000</v>
      </c>
      <c r="N69" s="465" t="s">
        <v>537</v>
      </c>
      <c r="O69" s="463" t="s">
        <v>537</v>
      </c>
      <c r="P69" s="463" t="s">
        <v>537</v>
      </c>
      <c r="Q69" s="465">
        <v>0</v>
      </c>
      <c r="R69" s="470">
        <v>241640</v>
      </c>
      <c r="S69" s="463" t="s">
        <v>637</v>
      </c>
      <c r="T69" s="463">
        <v>140</v>
      </c>
      <c r="U69" s="463">
        <v>5</v>
      </c>
      <c r="V69" s="463">
        <v>0</v>
      </c>
      <c r="W69" s="463">
        <v>165</v>
      </c>
      <c r="X69" s="463">
        <v>4</v>
      </c>
      <c r="Y69" s="463">
        <v>1</v>
      </c>
      <c r="Z69" s="463">
        <v>89.94</v>
      </c>
      <c r="AA69" s="472" t="s">
        <v>638</v>
      </c>
      <c r="AB69" s="463" t="s">
        <v>639</v>
      </c>
      <c r="AC69" s="463">
        <v>1</v>
      </c>
      <c r="AD69" s="472" t="s">
        <v>670</v>
      </c>
      <c r="AE69" s="463" t="s">
        <v>641</v>
      </c>
      <c r="AF69" s="463">
        <v>4</v>
      </c>
      <c r="AG69" s="463" t="s">
        <v>375</v>
      </c>
      <c r="AH69" s="476"/>
      <c r="AI69" s="472">
        <v>884499551</v>
      </c>
      <c r="AJ69" s="464"/>
    </row>
    <row r="70" spans="2:36" ht="24" hidden="1" customHeight="1">
      <c r="B70" s="463">
        <v>47</v>
      </c>
      <c r="C70" s="464" t="s">
        <v>165</v>
      </c>
      <c r="D70" s="464" t="s">
        <v>544</v>
      </c>
      <c r="E70" s="464" t="s">
        <v>535</v>
      </c>
      <c r="F70" s="464"/>
      <c r="G70" s="464" t="s">
        <v>247</v>
      </c>
      <c r="H70" s="464" t="s">
        <v>671</v>
      </c>
      <c r="I70" s="465" t="s">
        <v>537</v>
      </c>
      <c r="J70" s="466">
        <v>40000</v>
      </c>
      <c r="K70" s="465" t="s">
        <v>537</v>
      </c>
      <c r="L70" s="465" t="s">
        <v>537</v>
      </c>
      <c r="M70" s="466">
        <v>40000</v>
      </c>
      <c r="N70" s="465" t="s">
        <v>537</v>
      </c>
      <c r="O70" s="463" t="s">
        <v>537</v>
      </c>
      <c r="P70" s="463" t="s">
        <v>537</v>
      </c>
      <c r="Q70" s="465">
        <v>0</v>
      </c>
      <c r="R70" s="470">
        <v>241459</v>
      </c>
      <c r="S70" s="463" t="s">
        <v>672</v>
      </c>
      <c r="T70" s="463">
        <v>70</v>
      </c>
      <c r="U70" s="463">
        <v>2</v>
      </c>
      <c r="V70" s="463">
        <v>0</v>
      </c>
      <c r="W70" s="463">
        <v>72</v>
      </c>
      <c r="X70" s="463">
        <v>2</v>
      </c>
      <c r="Y70" s="463">
        <v>0</v>
      </c>
      <c r="Z70" s="463">
        <v>98.42</v>
      </c>
      <c r="AA70" s="472" t="s">
        <v>547</v>
      </c>
      <c r="AB70" s="463" t="s">
        <v>539</v>
      </c>
      <c r="AC70" s="463" t="s">
        <v>539</v>
      </c>
      <c r="AD70" s="472" t="s">
        <v>548</v>
      </c>
      <c r="AE70" s="463" t="s">
        <v>620</v>
      </c>
      <c r="AF70" s="463">
        <v>98.42</v>
      </c>
      <c r="AG70" s="463" t="s">
        <v>376</v>
      </c>
      <c r="AH70" s="476"/>
      <c r="AI70" s="472">
        <v>871154864</v>
      </c>
      <c r="AJ70" s="464"/>
    </row>
    <row r="71" spans="2:36" ht="24" hidden="1" customHeight="1">
      <c r="B71" s="463">
        <v>48</v>
      </c>
      <c r="C71" s="464" t="s">
        <v>165</v>
      </c>
      <c r="D71" s="464" t="s">
        <v>544</v>
      </c>
      <c r="E71" s="464" t="s">
        <v>535</v>
      </c>
      <c r="F71" s="464"/>
      <c r="G71" s="464" t="s">
        <v>247</v>
      </c>
      <c r="H71" s="464" t="s">
        <v>673</v>
      </c>
      <c r="I71" s="465" t="s">
        <v>537</v>
      </c>
      <c r="J71" s="466">
        <v>40000</v>
      </c>
      <c r="K71" s="465" t="s">
        <v>537</v>
      </c>
      <c r="L71" s="465" t="s">
        <v>537</v>
      </c>
      <c r="M71" s="466">
        <v>39960</v>
      </c>
      <c r="N71" s="465" t="s">
        <v>537</v>
      </c>
      <c r="O71" s="463" t="s">
        <v>537</v>
      </c>
      <c r="P71" s="463" t="s">
        <v>537</v>
      </c>
      <c r="Q71" s="465">
        <v>40</v>
      </c>
      <c r="R71" s="463" t="s">
        <v>643</v>
      </c>
      <c r="S71" s="471">
        <v>22335</v>
      </c>
      <c r="T71" s="463">
        <v>140</v>
      </c>
      <c r="U71" s="463">
        <v>10</v>
      </c>
      <c r="V71" s="463">
        <v>0</v>
      </c>
      <c r="W71" s="463">
        <v>142</v>
      </c>
      <c r="X71" s="463">
        <v>9</v>
      </c>
      <c r="Y71" s="463">
        <v>2</v>
      </c>
      <c r="Z71" s="463">
        <v>85.25</v>
      </c>
      <c r="AA71" s="472" t="s">
        <v>547</v>
      </c>
      <c r="AB71" s="463" t="s">
        <v>539</v>
      </c>
      <c r="AC71" s="463" t="s">
        <v>539</v>
      </c>
      <c r="AD71" s="472" t="s">
        <v>548</v>
      </c>
      <c r="AE71" s="463" t="s">
        <v>620</v>
      </c>
      <c r="AF71" s="463">
        <v>85.59</v>
      </c>
      <c r="AG71" s="463" t="s">
        <v>376</v>
      </c>
      <c r="AH71" s="476"/>
      <c r="AI71" s="472">
        <v>843240815</v>
      </c>
      <c r="AJ71" s="464"/>
    </row>
    <row r="72" spans="2:36" ht="24" hidden="1" customHeight="1">
      <c r="B72" s="463">
        <v>49</v>
      </c>
      <c r="C72" s="464" t="s">
        <v>165</v>
      </c>
      <c r="D72" s="464" t="s">
        <v>544</v>
      </c>
      <c r="E72" s="464" t="s">
        <v>535</v>
      </c>
      <c r="F72" s="464"/>
      <c r="G72" s="464" t="s">
        <v>247</v>
      </c>
      <c r="H72" s="464" t="s">
        <v>674</v>
      </c>
      <c r="I72" s="465" t="s">
        <v>537</v>
      </c>
      <c r="J72" s="466">
        <v>90000</v>
      </c>
      <c r="K72" s="465" t="s">
        <v>537</v>
      </c>
      <c r="L72" s="465" t="s">
        <v>537</v>
      </c>
      <c r="M72" s="466">
        <v>87815</v>
      </c>
      <c r="N72" s="465" t="s">
        <v>537</v>
      </c>
      <c r="O72" s="463" t="s">
        <v>537</v>
      </c>
      <c r="P72" s="463" t="s">
        <v>537</v>
      </c>
      <c r="Q72" s="468">
        <v>2185</v>
      </c>
      <c r="R72" s="470">
        <v>241459</v>
      </c>
      <c r="S72" s="471">
        <v>22340</v>
      </c>
      <c r="T72" s="463">
        <v>140</v>
      </c>
      <c r="U72" s="463">
        <v>10</v>
      </c>
      <c r="V72" s="463">
        <v>0</v>
      </c>
      <c r="W72" s="463">
        <v>150</v>
      </c>
      <c r="X72" s="463">
        <v>10</v>
      </c>
      <c r="Y72" s="463">
        <v>0</v>
      </c>
      <c r="Z72" s="463">
        <v>91.5</v>
      </c>
      <c r="AA72" s="472" t="s">
        <v>547</v>
      </c>
      <c r="AB72" s="463" t="s">
        <v>539</v>
      </c>
      <c r="AC72" s="463" t="s">
        <v>539</v>
      </c>
      <c r="AD72" s="472" t="s">
        <v>675</v>
      </c>
      <c r="AE72" s="463" t="s">
        <v>620</v>
      </c>
      <c r="AF72" s="463">
        <v>92</v>
      </c>
      <c r="AG72" s="463" t="s">
        <v>376</v>
      </c>
      <c r="AH72" s="476"/>
      <c r="AI72" s="472">
        <v>819643283</v>
      </c>
      <c r="AJ72" s="464"/>
    </row>
    <row r="73" spans="2:36" ht="24" hidden="1" customHeight="1">
      <c r="B73" s="463">
        <v>50</v>
      </c>
      <c r="C73" s="464" t="s">
        <v>165</v>
      </c>
      <c r="D73" s="464" t="s">
        <v>544</v>
      </c>
      <c r="E73" s="464" t="s">
        <v>535</v>
      </c>
      <c r="F73" s="464"/>
      <c r="G73" s="464" t="s">
        <v>247</v>
      </c>
      <c r="H73" s="464" t="s">
        <v>676</v>
      </c>
      <c r="I73" s="465" t="s">
        <v>537</v>
      </c>
      <c r="J73" s="466">
        <v>19000</v>
      </c>
      <c r="K73" s="465" t="s">
        <v>537</v>
      </c>
      <c r="L73" s="465" t="s">
        <v>537</v>
      </c>
      <c r="M73" s="466">
        <v>14609</v>
      </c>
      <c r="N73" s="465" t="s">
        <v>537</v>
      </c>
      <c r="O73" s="463" t="s">
        <v>537</v>
      </c>
      <c r="P73" s="463" t="s">
        <v>537</v>
      </c>
      <c r="Q73" s="468">
        <v>4391</v>
      </c>
      <c r="R73" s="470">
        <v>241609</v>
      </c>
      <c r="S73" s="471">
        <v>22362</v>
      </c>
      <c r="T73" s="463">
        <v>0</v>
      </c>
      <c r="U73" s="463">
        <v>53</v>
      </c>
      <c r="V73" s="463">
        <v>1</v>
      </c>
      <c r="W73" s="463">
        <v>10</v>
      </c>
      <c r="X73" s="463">
        <v>27</v>
      </c>
      <c r="Y73" s="463">
        <v>3</v>
      </c>
      <c r="Z73" s="463">
        <v>85</v>
      </c>
      <c r="AA73" s="472" t="s">
        <v>677</v>
      </c>
      <c r="AB73" s="463" t="s">
        <v>539</v>
      </c>
      <c r="AC73" s="463" t="s">
        <v>539</v>
      </c>
      <c r="AD73" s="472" t="s">
        <v>548</v>
      </c>
      <c r="AE73" s="463" t="s">
        <v>620</v>
      </c>
      <c r="AF73" s="463">
        <v>87</v>
      </c>
      <c r="AG73" s="463" t="s">
        <v>376</v>
      </c>
      <c r="AH73" s="476"/>
      <c r="AI73" s="472">
        <v>843240815</v>
      </c>
      <c r="AJ73" s="464"/>
    </row>
    <row r="74" spans="2:36" ht="24" hidden="1" customHeight="1">
      <c r="B74" s="463">
        <v>51</v>
      </c>
      <c r="C74" s="464" t="s">
        <v>165</v>
      </c>
      <c r="D74" s="464" t="s">
        <v>544</v>
      </c>
      <c r="E74" s="464" t="s">
        <v>535</v>
      </c>
      <c r="F74" s="464"/>
      <c r="G74" s="464" t="s">
        <v>247</v>
      </c>
      <c r="H74" s="464" t="s">
        <v>678</v>
      </c>
      <c r="I74" s="465" t="s">
        <v>537</v>
      </c>
      <c r="J74" s="466">
        <v>40000</v>
      </c>
      <c r="K74" s="465" t="s">
        <v>537</v>
      </c>
      <c r="L74" s="465" t="s">
        <v>537</v>
      </c>
      <c r="M74" s="466">
        <v>39880</v>
      </c>
      <c r="N74" s="465" t="s">
        <v>537</v>
      </c>
      <c r="O74" s="463" t="s">
        <v>537</v>
      </c>
      <c r="P74" s="463" t="s">
        <v>537</v>
      </c>
      <c r="Q74" s="465">
        <v>120</v>
      </c>
      <c r="R74" s="470">
        <v>241487</v>
      </c>
      <c r="S74" s="463" t="s">
        <v>679</v>
      </c>
      <c r="T74" s="463">
        <v>80</v>
      </c>
      <c r="U74" s="463">
        <v>4</v>
      </c>
      <c r="V74" s="463">
        <v>0</v>
      </c>
      <c r="W74" s="463">
        <v>80</v>
      </c>
      <c r="X74" s="463">
        <v>4</v>
      </c>
      <c r="Y74" s="463">
        <v>0</v>
      </c>
      <c r="Z74" s="463">
        <v>80</v>
      </c>
      <c r="AA74" s="472" t="s">
        <v>633</v>
      </c>
      <c r="AB74" s="463" t="s">
        <v>539</v>
      </c>
      <c r="AC74" s="463" t="s">
        <v>539</v>
      </c>
      <c r="AD74" s="472" t="s">
        <v>635</v>
      </c>
      <c r="AE74" s="463" t="s">
        <v>539</v>
      </c>
      <c r="AF74" s="463" t="s">
        <v>539</v>
      </c>
      <c r="AG74" s="463" t="s">
        <v>375</v>
      </c>
      <c r="AH74" s="476"/>
      <c r="AI74" s="472">
        <v>875451591</v>
      </c>
      <c r="AJ74" s="464"/>
    </row>
    <row r="75" spans="2:36" ht="24" hidden="1" customHeight="1">
      <c r="B75" s="463">
        <v>52</v>
      </c>
      <c r="C75" s="464" t="s">
        <v>165</v>
      </c>
      <c r="D75" s="464" t="s">
        <v>544</v>
      </c>
      <c r="E75" s="464" t="s">
        <v>535</v>
      </c>
      <c r="F75" s="464"/>
      <c r="G75" s="464" t="s">
        <v>247</v>
      </c>
      <c r="H75" s="464" t="s">
        <v>680</v>
      </c>
      <c r="I75" s="465" t="s">
        <v>537</v>
      </c>
      <c r="J75" s="466">
        <v>21000</v>
      </c>
      <c r="K75" s="465" t="s">
        <v>537</v>
      </c>
      <c r="L75" s="465" t="s">
        <v>537</v>
      </c>
      <c r="M75" s="466">
        <v>19931</v>
      </c>
      <c r="N75" s="465" t="s">
        <v>537</v>
      </c>
      <c r="O75" s="463" t="s">
        <v>537</v>
      </c>
      <c r="P75" s="463" t="s">
        <v>537</v>
      </c>
      <c r="Q75" s="468">
        <v>1069</v>
      </c>
      <c r="R75" s="470">
        <v>241640</v>
      </c>
      <c r="S75" s="471">
        <v>22363</v>
      </c>
      <c r="T75" s="463">
        <v>0</v>
      </c>
      <c r="U75" s="463">
        <v>54</v>
      </c>
      <c r="V75" s="463">
        <v>1</v>
      </c>
      <c r="W75" s="463">
        <v>11</v>
      </c>
      <c r="X75" s="463">
        <v>28</v>
      </c>
      <c r="Y75" s="463">
        <v>7</v>
      </c>
      <c r="Z75" s="463">
        <v>89</v>
      </c>
      <c r="AA75" s="472" t="s">
        <v>677</v>
      </c>
      <c r="AB75" s="463" t="s">
        <v>539</v>
      </c>
      <c r="AC75" s="463" t="s">
        <v>539</v>
      </c>
      <c r="AD75" s="472" t="s">
        <v>548</v>
      </c>
      <c r="AE75" s="463" t="s">
        <v>620</v>
      </c>
      <c r="AF75" s="463">
        <v>90</v>
      </c>
      <c r="AG75" s="463" t="s">
        <v>376</v>
      </c>
      <c r="AH75" s="476"/>
      <c r="AI75" s="472">
        <v>843240815</v>
      </c>
      <c r="AJ75" s="464"/>
    </row>
    <row r="76" spans="2:36" ht="24" hidden="1" customHeight="1">
      <c r="B76" s="463">
        <v>53</v>
      </c>
      <c r="C76" s="464" t="s">
        <v>534</v>
      </c>
      <c r="D76" s="464"/>
      <c r="E76" s="464" t="s">
        <v>577</v>
      </c>
      <c r="F76" s="464"/>
      <c r="G76" s="464" t="s">
        <v>247</v>
      </c>
      <c r="H76" s="464" t="s">
        <v>681</v>
      </c>
      <c r="I76" s="465" t="s">
        <v>537</v>
      </c>
      <c r="J76" s="465" t="s">
        <v>537</v>
      </c>
      <c r="K76" s="466">
        <v>40000</v>
      </c>
      <c r="L76" s="465" t="s">
        <v>537</v>
      </c>
      <c r="M76" s="465" t="s">
        <v>537</v>
      </c>
      <c r="N76" s="466">
        <v>40000</v>
      </c>
      <c r="O76" s="463" t="s">
        <v>537</v>
      </c>
      <c r="P76" s="463" t="s">
        <v>537</v>
      </c>
      <c r="Q76" s="465">
        <v>0</v>
      </c>
      <c r="R76" s="470">
        <v>241459</v>
      </c>
      <c r="S76" s="463" t="s">
        <v>682</v>
      </c>
      <c r="T76" s="463">
        <v>35</v>
      </c>
      <c r="U76" s="463">
        <v>15</v>
      </c>
      <c r="V76" s="463">
        <v>0</v>
      </c>
      <c r="W76" s="463">
        <v>5</v>
      </c>
      <c r="X76" s="463">
        <v>5</v>
      </c>
      <c r="Y76" s="463">
        <v>45</v>
      </c>
      <c r="Z76" s="463">
        <v>84.21</v>
      </c>
      <c r="AA76" s="472" t="s">
        <v>683</v>
      </c>
      <c r="AB76" s="463" t="s">
        <v>539</v>
      </c>
      <c r="AC76" s="463" t="s">
        <v>539</v>
      </c>
      <c r="AD76" s="472" t="s">
        <v>684</v>
      </c>
      <c r="AE76" s="463">
        <v>80</v>
      </c>
      <c r="AF76" s="463">
        <v>84.21</v>
      </c>
      <c r="AG76" s="463" t="s">
        <v>375</v>
      </c>
      <c r="AH76" s="476"/>
      <c r="AI76" s="472">
        <v>982692621</v>
      </c>
      <c r="AJ76" s="472" t="s">
        <v>543</v>
      </c>
    </row>
    <row r="77" spans="2:36" ht="24" hidden="1" customHeight="1">
      <c r="B77" s="463">
        <v>54</v>
      </c>
      <c r="C77" s="464" t="s">
        <v>10</v>
      </c>
      <c r="D77" s="464"/>
      <c r="E77" s="464" t="s">
        <v>558</v>
      </c>
      <c r="F77" s="464" t="s">
        <v>685</v>
      </c>
      <c r="G77" s="464" t="s">
        <v>247</v>
      </c>
      <c r="H77" s="464" t="s">
        <v>686</v>
      </c>
      <c r="I77" s="465" t="s">
        <v>537</v>
      </c>
      <c r="J77" s="465" t="s">
        <v>537</v>
      </c>
      <c r="K77" s="466">
        <v>20000</v>
      </c>
      <c r="L77" s="465" t="s">
        <v>537</v>
      </c>
      <c r="M77" s="465" t="s">
        <v>537</v>
      </c>
      <c r="N77" s="466">
        <v>13149</v>
      </c>
      <c r="O77" s="463" t="s">
        <v>537</v>
      </c>
      <c r="P77" s="463" t="s">
        <v>537</v>
      </c>
      <c r="Q77" s="468">
        <v>6851</v>
      </c>
      <c r="R77" s="470">
        <v>241579</v>
      </c>
      <c r="S77" s="471">
        <v>22452</v>
      </c>
      <c r="T77" s="463">
        <v>0</v>
      </c>
      <c r="U77" s="463">
        <v>33</v>
      </c>
      <c r="V77" s="463">
        <v>9</v>
      </c>
      <c r="W77" s="463">
        <v>3</v>
      </c>
      <c r="X77" s="463">
        <v>17</v>
      </c>
      <c r="Y77" s="463">
        <v>3</v>
      </c>
      <c r="Z77" s="463">
        <v>87.64</v>
      </c>
      <c r="AA77" s="472" t="s">
        <v>547</v>
      </c>
      <c r="AB77" s="463" t="s">
        <v>539</v>
      </c>
      <c r="AC77" s="463" t="s">
        <v>539</v>
      </c>
      <c r="AD77" s="472" t="s">
        <v>548</v>
      </c>
      <c r="AE77" s="463">
        <v>80</v>
      </c>
      <c r="AF77" s="463">
        <v>87.3</v>
      </c>
      <c r="AG77" s="463" t="s">
        <v>375</v>
      </c>
      <c r="AH77" s="476"/>
      <c r="AI77" s="472">
        <v>819643283</v>
      </c>
      <c r="AJ77" s="472" t="s">
        <v>562</v>
      </c>
    </row>
    <row r="78" spans="2:36" ht="24" hidden="1" customHeight="1">
      <c r="B78" s="463">
        <v>55</v>
      </c>
      <c r="C78" s="464" t="s">
        <v>10</v>
      </c>
      <c r="D78" s="464"/>
      <c r="E78" s="464" t="s">
        <v>558</v>
      </c>
      <c r="F78" s="464" t="s">
        <v>685</v>
      </c>
      <c r="G78" s="464" t="s">
        <v>247</v>
      </c>
      <c r="H78" s="464" t="s">
        <v>687</v>
      </c>
      <c r="I78" s="465" t="s">
        <v>537</v>
      </c>
      <c r="J78" s="465" t="s">
        <v>537</v>
      </c>
      <c r="K78" s="466">
        <v>30000</v>
      </c>
      <c r="L78" s="465" t="s">
        <v>537</v>
      </c>
      <c r="M78" s="465" t="s">
        <v>537</v>
      </c>
      <c r="N78" s="466">
        <v>21480</v>
      </c>
      <c r="O78" s="463" t="s">
        <v>537</v>
      </c>
      <c r="P78" s="463" t="s">
        <v>537</v>
      </c>
      <c r="Q78" s="468">
        <v>8520</v>
      </c>
      <c r="R78" s="470">
        <v>241609</v>
      </c>
      <c r="S78" s="471">
        <v>22478</v>
      </c>
      <c r="T78" s="463">
        <v>0</v>
      </c>
      <c r="U78" s="463">
        <v>42</v>
      </c>
      <c r="V78" s="463">
        <v>10</v>
      </c>
      <c r="W78" s="463">
        <v>9</v>
      </c>
      <c r="X78" s="463">
        <v>42</v>
      </c>
      <c r="Y78" s="463">
        <v>4</v>
      </c>
      <c r="Z78" s="463">
        <v>85.59</v>
      </c>
      <c r="AA78" s="472" t="s">
        <v>630</v>
      </c>
      <c r="AB78" s="463" t="s">
        <v>539</v>
      </c>
      <c r="AC78" s="463" t="s">
        <v>539</v>
      </c>
      <c r="AD78" s="472" t="s">
        <v>548</v>
      </c>
      <c r="AE78" s="463">
        <v>80</v>
      </c>
      <c r="AF78" s="463">
        <v>85.25</v>
      </c>
      <c r="AG78" s="463" t="s">
        <v>375</v>
      </c>
      <c r="AH78" s="476"/>
      <c r="AI78" s="472">
        <v>819643283</v>
      </c>
      <c r="AJ78" s="472" t="s">
        <v>562</v>
      </c>
    </row>
    <row r="79" spans="2:36" ht="24" hidden="1" customHeight="1">
      <c r="B79" s="463">
        <v>56</v>
      </c>
      <c r="C79" s="464" t="s">
        <v>10</v>
      </c>
      <c r="D79" s="464"/>
      <c r="E79" s="464" t="s">
        <v>558</v>
      </c>
      <c r="F79" s="464"/>
      <c r="G79" s="464" t="s">
        <v>247</v>
      </c>
      <c r="H79" s="464" t="s">
        <v>688</v>
      </c>
      <c r="I79" s="465" t="s">
        <v>537</v>
      </c>
      <c r="J79" s="465" t="s">
        <v>537</v>
      </c>
      <c r="K79" s="466">
        <v>54000</v>
      </c>
      <c r="L79" s="465" t="s">
        <v>537</v>
      </c>
      <c r="M79" s="465" t="s">
        <v>537</v>
      </c>
      <c r="N79" s="466">
        <v>46868.5</v>
      </c>
      <c r="O79" s="463" t="s">
        <v>537</v>
      </c>
      <c r="P79" s="463" t="s">
        <v>537</v>
      </c>
      <c r="Q79" s="468">
        <v>7132</v>
      </c>
      <c r="R79" s="470">
        <v>241609</v>
      </c>
      <c r="S79" s="463" t="s">
        <v>689</v>
      </c>
      <c r="T79" s="463">
        <v>0</v>
      </c>
      <c r="U79" s="463">
        <v>16</v>
      </c>
      <c r="V79" s="463">
        <v>3</v>
      </c>
      <c r="W79" s="463">
        <v>0</v>
      </c>
      <c r="X79" s="463">
        <v>16</v>
      </c>
      <c r="Y79" s="463">
        <v>3</v>
      </c>
      <c r="Z79" s="463">
        <v>92.5</v>
      </c>
      <c r="AA79" s="472" t="s">
        <v>547</v>
      </c>
      <c r="AB79" s="463" t="s">
        <v>539</v>
      </c>
      <c r="AC79" s="463" t="s">
        <v>539</v>
      </c>
      <c r="AD79" s="472" t="s">
        <v>690</v>
      </c>
      <c r="AE79" s="463">
        <v>80</v>
      </c>
      <c r="AF79" s="463">
        <v>92</v>
      </c>
      <c r="AG79" s="463" t="s">
        <v>375</v>
      </c>
      <c r="AH79" s="476"/>
      <c r="AI79" s="472">
        <v>819643283</v>
      </c>
      <c r="AJ79" s="472" t="s">
        <v>562</v>
      </c>
    </row>
    <row r="80" spans="2:36" ht="24" hidden="1" customHeight="1">
      <c r="B80" s="463">
        <v>57</v>
      </c>
      <c r="C80" s="464" t="s">
        <v>10</v>
      </c>
      <c r="D80" s="464"/>
      <c r="E80" s="464" t="s">
        <v>558</v>
      </c>
      <c r="F80" s="464"/>
      <c r="G80" s="464" t="s">
        <v>247</v>
      </c>
      <c r="H80" s="464" t="s">
        <v>691</v>
      </c>
      <c r="I80" s="465" t="s">
        <v>537</v>
      </c>
      <c r="J80" s="465" t="s">
        <v>537</v>
      </c>
      <c r="K80" s="466">
        <v>40000</v>
      </c>
      <c r="L80" s="465" t="s">
        <v>537</v>
      </c>
      <c r="M80" s="465" t="s">
        <v>537</v>
      </c>
      <c r="N80" s="466">
        <v>18519</v>
      </c>
      <c r="O80" s="463" t="s">
        <v>537</v>
      </c>
      <c r="P80" s="463" t="s">
        <v>537</v>
      </c>
      <c r="Q80" s="468">
        <v>21481</v>
      </c>
      <c r="R80" s="470">
        <v>241579</v>
      </c>
      <c r="S80" s="463" t="s">
        <v>692</v>
      </c>
      <c r="T80" s="463">
        <v>0</v>
      </c>
      <c r="U80" s="463">
        <v>23</v>
      </c>
      <c r="V80" s="463">
        <v>4</v>
      </c>
      <c r="W80" s="463">
        <v>0</v>
      </c>
      <c r="X80" s="463">
        <v>24</v>
      </c>
      <c r="Y80" s="463">
        <v>4</v>
      </c>
      <c r="Z80" s="463">
        <v>90.23</v>
      </c>
      <c r="AA80" s="472" t="s">
        <v>693</v>
      </c>
      <c r="AB80" s="463">
        <v>100</v>
      </c>
      <c r="AC80" s="463">
        <v>100</v>
      </c>
      <c r="AD80" s="472" t="s">
        <v>694</v>
      </c>
      <c r="AE80" s="463">
        <v>100</v>
      </c>
      <c r="AF80" s="463">
        <v>100</v>
      </c>
      <c r="AG80" s="463" t="s">
        <v>375</v>
      </c>
      <c r="AH80" s="476"/>
      <c r="AI80" s="472">
        <v>819643283</v>
      </c>
      <c r="AJ80" s="472" t="s">
        <v>562</v>
      </c>
    </row>
    <row r="81" spans="1:36" ht="24" hidden="1" customHeight="1">
      <c r="B81" s="463">
        <v>58</v>
      </c>
      <c r="C81" s="464" t="s">
        <v>10</v>
      </c>
      <c r="D81" s="464"/>
      <c r="E81" s="464" t="s">
        <v>558</v>
      </c>
      <c r="F81" s="464"/>
      <c r="G81" s="464" t="s">
        <v>247</v>
      </c>
      <c r="H81" s="464" t="s">
        <v>695</v>
      </c>
      <c r="I81" s="465" t="s">
        <v>537</v>
      </c>
      <c r="J81" s="465" t="s">
        <v>537</v>
      </c>
      <c r="K81" s="466">
        <v>50000</v>
      </c>
      <c r="L81" s="465" t="s">
        <v>537</v>
      </c>
      <c r="M81" s="465" t="s">
        <v>537</v>
      </c>
      <c r="N81" s="466">
        <v>50000</v>
      </c>
      <c r="O81" s="463" t="s">
        <v>537</v>
      </c>
      <c r="P81" s="463" t="s">
        <v>537</v>
      </c>
      <c r="Q81" s="465">
        <v>0</v>
      </c>
      <c r="R81" s="470">
        <v>241609</v>
      </c>
      <c r="S81" s="463" t="s">
        <v>696</v>
      </c>
      <c r="T81" s="463">
        <v>0</v>
      </c>
      <c r="U81" s="463">
        <v>4</v>
      </c>
      <c r="V81" s="463">
        <v>0</v>
      </c>
      <c r="W81" s="463">
        <v>0</v>
      </c>
      <c r="X81" s="463">
        <v>4</v>
      </c>
      <c r="Y81" s="463">
        <v>0</v>
      </c>
      <c r="Z81" s="463">
        <v>98.5</v>
      </c>
      <c r="AA81" s="472" t="s">
        <v>547</v>
      </c>
      <c r="AB81" s="463" t="s">
        <v>539</v>
      </c>
      <c r="AC81" s="463" t="s">
        <v>539</v>
      </c>
      <c r="AD81" s="472" t="s">
        <v>548</v>
      </c>
      <c r="AE81" s="463" t="s">
        <v>539</v>
      </c>
      <c r="AF81" s="463" t="s">
        <v>539</v>
      </c>
      <c r="AG81" s="463" t="s">
        <v>375</v>
      </c>
      <c r="AH81" s="476"/>
      <c r="AI81" s="472">
        <v>894711535</v>
      </c>
      <c r="AJ81" s="472" t="s">
        <v>562</v>
      </c>
    </row>
    <row r="82" spans="1:36" ht="24" hidden="1" customHeight="1">
      <c r="B82" s="463">
        <v>59</v>
      </c>
      <c r="C82" s="464" t="s">
        <v>10</v>
      </c>
      <c r="D82" s="464"/>
      <c r="E82" s="464" t="s">
        <v>558</v>
      </c>
      <c r="F82" s="464"/>
      <c r="G82" s="464" t="s">
        <v>247</v>
      </c>
      <c r="H82" s="464" t="s">
        <v>697</v>
      </c>
      <c r="I82" s="465" t="s">
        <v>537</v>
      </c>
      <c r="J82" s="465" t="s">
        <v>537</v>
      </c>
      <c r="K82" s="466">
        <v>98040</v>
      </c>
      <c r="L82" s="465" t="s">
        <v>537</v>
      </c>
      <c r="M82" s="465" t="s">
        <v>537</v>
      </c>
      <c r="N82" s="466">
        <v>62760</v>
      </c>
      <c r="O82" s="463" t="s">
        <v>537</v>
      </c>
      <c r="P82" s="463" t="s">
        <v>537</v>
      </c>
      <c r="Q82" s="468">
        <v>35280</v>
      </c>
      <c r="R82" s="470">
        <v>241640</v>
      </c>
      <c r="S82" s="463" t="s">
        <v>698</v>
      </c>
      <c r="T82" s="463">
        <v>0</v>
      </c>
      <c r="U82" s="463">
        <v>20</v>
      </c>
      <c r="V82" s="463">
        <v>0</v>
      </c>
      <c r="W82" s="463">
        <v>0</v>
      </c>
      <c r="X82" s="463">
        <v>16</v>
      </c>
      <c r="Y82" s="463">
        <v>0</v>
      </c>
      <c r="Z82" s="463">
        <v>85</v>
      </c>
      <c r="AA82" s="472" t="s">
        <v>547</v>
      </c>
      <c r="AB82" s="463" t="s">
        <v>539</v>
      </c>
      <c r="AC82" s="463" t="s">
        <v>539</v>
      </c>
      <c r="AD82" s="472" t="s">
        <v>699</v>
      </c>
      <c r="AE82" s="463">
        <v>1</v>
      </c>
      <c r="AF82" s="463">
        <v>1</v>
      </c>
      <c r="AG82" s="463" t="s">
        <v>375</v>
      </c>
      <c r="AH82" s="476"/>
      <c r="AI82" s="472">
        <v>819643283</v>
      </c>
      <c r="AJ82" s="472" t="s">
        <v>562</v>
      </c>
    </row>
    <row r="83" spans="1:36" ht="24" customHeight="1">
      <c r="A83" s="452">
        <v>7</v>
      </c>
      <c r="B83" s="463">
        <v>60</v>
      </c>
      <c r="C83" s="464" t="s">
        <v>337</v>
      </c>
      <c r="D83" s="464" t="s">
        <v>544</v>
      </c>
      <c r="E83" s="464" t="s">
        <v>545</v>
      </c>
      <c r="F83" s="464"/>
      <c r="G83" s="464" t="s">
        <v>247</v>
      </c>
      <c r="H83" s="464" t="s">
        <v>700</v>
      </c>
      <c r="I83" s="466">
        <v>15000</v>
      </c>
      <c r="J83" s="465" t="s">
        <v>537</v>
      </c>
      <c r="K83" s="465" t="s">
        <v>537</v>
      </c>
      <c r="L83" s="466">
        <v>15000</v>
      </c>
      <c r="M83" s="465" t="s">
        <v>537</v>
      </c>
      <c r="N83" s="465" t="s">
        <v>537</v>
      </c>
      <c r="O83" s="463" t="s">
        <v>537</v>
      </c>
      <c r="P83" s="463" t="s">
        <v>537</v>
      </c>
      <c r="Q83" s="465">
        <v>0</v>
      </c>
      <c r="R83" s="470">
        <v>241518</v>
      </c>
      <c r="S83" s="471">
        <v>22381</v>
      </c>
      <c r="T83" s="463">
        <v>10</v>
      </c>
      <c r="U83" s="463">
        <v>2</v>
      </c>
      <c r="V83" s="463">
        <v>20</v>
      </c>
      <c r="W83" s="463">
        <v>10</v>
      </c>
      <c r="X83" s="463">
        <v>2</v>
      </c>
      <c r="Y83" s="463">
        <v>20</v>
      </c>
      <c r="Z83" s="463">
        <v>98.8</v>
      </c>
      <c r="AA83" s="472" t="s">
        <v>547</v>
      </c>
      <c r="AB83" s="463" t="s">
        <v>539</v>
      </c>
      <c r="AC83" s="463" t="s">
        <v>539</v>
      </c>
      <c r="AD83" s="472" t="s">
        <v>548</v>
      </c>
      <c r="AE83" s="463" t="s">
        <v>620</v>
      </c>
      <c r="AF83" s="463">
        <v>96.6</v>
      </c>
      <c r="AG83" s="463" t="s">
        <v>376</v>
      </c>
      <c r="AH83" s="476"/>
      <c r="AI83" s="472">
        <v>967546381</v>
      </c>
      <c r="AJ83" s="464"/>
    </row>
    <row r="84" spans="1:36" ht="24" customHeight="1">
      <c r="A84" s="452">
        <v>8</v>
      </c>
      <c r="B84" s="463">
        <v>61</v>
      </c>
      <c r="C84" s="464" t="s">
        <v>337</v>
      </c>
      <c r="D84" s="464" t="s">
        <v>544</v>
      </c>
      <c r="E84" s="464" t="s">
        <v>545</v>
      </c>
      <c r="F84" s="464"/>
      <c r="G84" s="464" t="s">
        <v>247</v>
      </c>
      <c r="H84" s="464" t="s">
        <v>701</v>
      </c>
      <c r="I84" s="466">
        <v>20000</v>
      </c>
      <c r="J84" s="465" t="s">
        <v>537</v>
      </c>
      <c r="K84" s="465" t="s">
        <v>537</v>
      </c>
      <c r="L84" s="466">
        <v>20000</v>
      </c>
      <c r="M84" s="465" t="s">
        <v>537</v>
      </c>
      <c r="N84" s="465" t="s">
        <v>537</v>
      </c>
      <c r="O84" s="463" t="s">
        <v>537</v>
      </c>
      <c r="P84" s="463" t="s">
        <v>537</v>
      </c>
      <c r="Q84" s="465">
        <v>0</v>
      </c>
      <c r="R84" s="470">
        <v>241459</v>
      </c>
      <c r="S84" s="463" t="s">
        <v>682</v>
      </c>
      <c r="T84" s="463">
        <v>3</v>
      </c>
      <c r="U84" s="463">
        <v>0</v>
      </c>
      <c r="V84" s="463">
        <v>30</v>
      </c>
      <c r="W84" s="463">
        <v>0</v>
      </c>
      <c r="X84" s="463">
        <v>3</v>
      </c>
      <c r="Y84" s="463">
        <v>35</v>
      </c>
      <c r="Z84" s="463">
        <v>87</v>
      </c>
      <c r="AA84" s="472" t="s">
        <v>547</v>
      </c>
      <c r="AB84" s="463" t="s">
        <v>539</v>
      </c>
      <c r="AC84" s="463" t="s">
        <v>539</v>
      </c>
      <c r="AD84" s="472" t="s">
        <v>548</v>
      </c>
      <c r="AE84" s="463" t="s">
        <v>620</v>
      </c>
      <c r="AF84" s="463">
        <v>89</v>
      </c>
      <c r="AG84" s="463" t="s">
        <v>376</v>
      </c>
      <c r="AH84" s="476"/>
      <c r="AI84" s="472">
        <v>894645023</v>
      </c>
      <c r="AJ84" s="464"/>
    </row>
    <row r="85" spans="1:36" ht="24" customHeight="1">
      <c r="A85" s="452">
        <v>9</v>
      </c>
      <c r="B85" s="463">
        <v>62</v>
      </c>
      <c r="C85" s="464" t="s">
        <v>337</v>
      </c>
      <c r="D85" s="464" t="s">
        <v>544</v>
      </c>
      <c r="E85" s="464" t="s">
        <v>545</v>
      </c>
      <c r="F85" s="464"/>
      <c r="G85" s="464" t="s">
        <v>247</v>
      </c>
      <c r="H85" s="464" t="s">
        <v>702</v>
      </c>
      <c r="I85" s="466">
        <v>30000</v>
      </c>
      <c r="J85" s="465" t="s">
        <v>537</v>
      </c>
      <c r="K85" s="465" t="s">
        <v>537</v>
      </c>
      <c r="L85" s="466">
        <v>29900</v>
      </c>
      <c r="M85" s="465" t="s">
        <v>537</v>
      </c>
      <c r="N85" s="465" t="s">
        <v>537</v>
      </c>
      <c r="O85" s="463" t="s">
        <v>537</v>
      </c>
      <c r="P85" s="463" t="s">
        <v>537</v>
      </c>
      <c r="Q85" s="465">
        <v>100</v>
      </c>
      <c r="R85" s="470">
        <v>241487</v>
      </c>
      <c r="S85" s="463" t="s">
        <v>703</v>
      </c>
      <c r="T85" s="463">
        <v>5</v>
      </c>
      <c r="U85" s="463">
        <v>5</v>
      </c>
      <c r="V85" s="463">
        <v>30</v>
      </c>
      <c r="W85" s="463">
        <v>5</v>
      </c>
      <c r="X85" s="463">
        <v>5</v>
      </c>
      <c r="Y85" s="463">
        <v>32</v>
      </c>
      <c r="Z85" s="463">
        <v>87.16</v>
      </c>
      <c r="AA85" s="472" t="s">
        <v>547</v>
      </c>
      <c r="AB85" s="463" t="s">
        <v>539</v>
      </c>
      <c r="AC85" s="463" t="s">
        <v>539</v>
      </c>
      <c r="AD85" s="472" t="s">
        <v>548</v>
      </c>
      <c r="AE85" s="463" t="s">
        <v>620</v>
      </c>
      <c r="AF85" s="463">
        <v>88.5</v>
      </c>
      <c r="AG85" s="463" t="s">
        <v>376</v>
      </c>
      <c r="AH85" s="476"/>
      <c r="AI85" s="472">
        <v>954305199</v>
      </c>
      <c r="AJ85" s="464"/>
    </row>
    <row r="86" spans="1:36" ht="24" customHeight="1">
      <c r="A86" s="452">
        <v>10</v>
      </c>
      <c r="B86" s="463">
        <v>63</v>
      </c>
      <c r="C86" s="464" t="s">
        <v>337</v>
      </c>
      <c r="D86" s="464" t="s">
        <v>544</v>
      </c>
      <c r="E86" s="464" t="s">
        <v>545</v>
      </c>
      <c r="F86" s="464"/>
      <c r="G86" s="464" t="s">
        <v>247</v>
      </c>
      <c r="H86" s="464" t="s">
        <v>704</v>
      </c>
      <c r="I86" s="466">
        <v>30000</v>
      </c>
      <c r="J86" s="465" t="s">
        <v>537</v>
      </c>
      <c r="K86" s="465" t="s">
        <v>537</v>
      </c>
      <c r="L86" s="466">
        <v>29900</v>
      </c>
      <c r="M86" s="465" t="s">
        <v>537</v>
      </c>
      <c r="N86" s="465" t="s">
        <v>537</v>
      </c>
      <c r="O86" s="463" t="s">
        <v>537</v>
      </c>
      <c r="P86" s="463" t="s">
        <v>537</v>
      </c>
      <c r="Q86" s="465">
        <v>100</v>
      </c>
      <c r="R86" s="470">
        <v>241487</v>
      </c>
      <c r="S86" s="463" t="s">
        <v>705</v>
      </c>
      <c r="T86" s="463">
        <v>5</v>
      </c>
      <c r="U86" s="463">
        <v>5</v>
      </c>
      <c r="V86" s="463">
        <v>20</v>
      </c>
      <c r="W86" s="463">
        <v>5</v>
      </c>
      <c r="X86" s="463">
        <v>5</v>
      </c>
      <c r="Y86" s="463">
        <v>25</v>
      </c>
      <c r="Z86" s="463">
        <v>88.76</v>
      </c>
      <c r="AA86" s="472" t="s">
        <v>547</v>
      </c>
      <c r="AB86" s="463" t="s">
        <v>539</v>
      </c>
      <c r="AC86" s="463" t="s">
        <v>539</v>
      </c>
      <c r="AD86" s="472" t="s">
        <v>548</v>
      </c>
      <c r="AE86" s="463" t="s">
        <v>620</v>
      </c>
      <c r="AF86" s="463">
        <v>100</v>
      </c>
      <c r="AG86" s="463" t="s">
        <v>376</v>
      </c>
      <c r="AH86" s="476"/>
      <c r="AI86" s="472">
        <v>843774489</v>
      </c>
      <c r="AJ86" s="464"/>
    </row>
    <row r="87" spans="1:36" ht="24" customHeight="1">
      <c r="A87" s="452">
        <v>11</v>
      </c>
      <c r="B87" s="463">
        <v>64</v>
      </c>
      <c r="C87" s="464" t="s">
        <v>337</v>
      </c>
      <c r="D87" s="464" t="s">
        <v>544</v>
      </c>
      <c r="E87" s="464" t="s">
        <v>545</v>
      </c>
      <c r="F87" s="464"/>
      <c r="G87" s="464" t="s">
        <v>247</v>
      </c>
      <c r="H87" s="464" t="s">
        <v>706</v>
      </c>
      <c r="I87" s="466">
        <v>30000</v>
      </c>
      <c r="J87" s="465" t="s">
        <v>537</v>
      </c>
      <c r="K87" s="465" t="s">
        <v>537</v>
      </c>
      <c r="L87" s="466">
        <v>29865</v>
      </c>
      <c r="M87" s="465" t="s">
        <v>537</v>
      </c>
      <c r="N87" s="465" t="s">
        <v>537</v>
      </c>
      <c r="O87" s="463" t="s">
        <v>537</v>
      </c>
      <c r="P87" s="463" t="s">
        <v>537</v>
      </c>
      <c r="Q87" s="465">
        <v>135</v>
      </c>
      <c r="R87" s="470">
        <v>241459</v>
      </c>
      <c r="S87" s="463" t="s">
        <v>707</v>
      </c>
      <c r="T87" s="463">
        <v>2</v>
      </c>
      <c r="U87" s="463">
        <v>3</v>
      </c>
      <c r="V87" s="463">
        <v>30</v>
      </c>
      <c r="W87" s="463">
        <v>2</v>
      </c>
      <c r="X87" s="463">
        <v>3</v>
      </c>
      <c r="Y87" s="463">
        <v>30</v>
      </c>
      <c r="Z87" s="463">
        <v>90.08</v>
      </c>
      <c r="AA87" s="472" t="s">
        <v>547</v>
      </c>
      <c r="AB87" s="463" t="s">
        <v>539</v>
      </c>
      <c r="AC87" s="463" t="s">
        <v>539</v>
      </c>
      <c r="AD87" s="472" t="s">
        <v>548</v>
      </c>
      <c r="AE87" s="463" t="s">
        <v>620</v>
      </c>
      <c r="AF87" s="463">
        <v>89.87</v>
      </c>
      <c r="AG87" s="463" t="s">
        <v>376</v>
      </c>
      <c r="AH87" s="476"/>
      <c r="AI87" s="472">
        <v>896826198</v>
      </c>
      <c r="AJ87" s="464"/>
    </row>
    <row r="88" spans="1:36" ht="24" customHeight="1">
      <c r="A88" s="452">
        <v>12</v>
      </c>
      <c r="B88" s="463">
        <v>65</v>
      </c>
      <c r="C88" s="464" t="s">
        <v>337</v>
      </c>
      <c r="D88" s="464" t="s">
        <v>544</v>
      </c>
      <c r="E88" s="464" t="s">
        <v>545</v>
      </c>
      <c r="F88" s="464"/>
      <c r="G88" s="464" t="s">
        <v>247</v>
      </c>
      <c r="H88" s="464" t="s">
        <v>708</v>
      </c>
      <c r="I88" s="466">
        <v>30000</v>
      </c>
      <c r="J88" s="465" t="s">
        <v>537</v>
      </c>
      <c r="K88" s="465" t="s">
        <v>537</v>
      </c>
      <c r="L88" s="466">
        <v>30000</v>
      </c>
      <c r="M88" s="465" t="s">
        <v>537</v>
      </c>
      <c r="N88" s="465" t="s">
        <v>537</v>
      </c>
      <c r="O88" s="463" t="s">
        <v>537</v>
      </c>
      <c r="P88" s="463" t="s">
        <v>537</v>
      </c>
      <c r="Q88" s="465">
        <v>0</v>
      </c>
      <c r="R88" s="470">
        <v>241518</v>
      </c>
      <c r="S88" s="463" t="s">
        <v>709</v>
      </c>
      <c r="T88" s="463">
        <v>2</v>
      </c>
      <c r="U88" s="463">
        <v>3</v>
      </c>
      <c r="V88" s="463">
        <v>40</v>
      </c>
      <c r="W88" s="463">
        <v>2</v>
      </c>
      <c r="X88" s="463">
        <v>3</v>
      </c>
      <c r="Y88" s="463">
        <v>40</v>
      </c>
      <c r="Z88" s="463">
        <v>85</v>
      </c>
      <c r="AA88" s="472" t="s">
        <v>547</v>
      </c>
      <c r="AB88" s="463" t="s">
        <v>539</v>
      </c>
      <c r="AC88" s="463" t="s">
        <v>539</v>
      </c>
      <c r="AD88" s="472" t="s">
        <v>548</v>
      </c>
      <c r="AE88" s="463" t="s">
        <v>620</v>
      </c>
      <c r="AF88" s="463">
        <v>85</v>
      </c>
      <c r="AG88" s="463" t="s">
        <v>376</v>
      </c>
      <c r="AH88" s="476"/>
      <c r="AI88" s="472">
        <v>954305199</v>
      </c>
      <c r="AJ88" s="464"/>
    </row>
    <row r="89" spans="1:36" ht="24" customHeight="1">
      <c r="A89" s="452">
        <v>13</v>
      </c>
      <c r="B89" s="463">
        <v>66</v>
      </c>
      <c r="C89" s="464" t="s">
        <v>337</v>
      </c>
      <c r="D89" s="464" t="s">
        <v>544</v>
      </c>
      <c r="E89" s="464" t="s">
        <v>545</v>
      </c>
      <c r="F89" s="464"/>
      <c r="G89" s="464" t="s">
        <v>247</v>
      </c>
      <c r="H89" s="464" t="s">
        <v>710</v>
      </c>
      <c r="I89" s="466">
        <v>30000</v>
      </c>
      <c r="J89" s="465" t="s">
        <v>537</v>
      </c>
      <c r="K89" s="465" t="s">
        <v>537</v>
      </c>
      <c r="L89" s="466">
        <v>27500</v>
      </c>
      <c r="M89" s="465" t="s">
        <v>537</v>
      </c>
      <c r="N89" s="465" t="s">
        <v>537</v>
      </c>
      <c r="O89" s="463" t="s">
        <v>537</v>
      </c>
      <c r="P89" s="463" t="s">
        <v>537</v>
      </c>
      <c r="Q89" s="468">
        <v>2500</v>
      </c>
      <c r="R89" s="470">
        <v>241487</v>
      </c>
      <c r="S89" s="463" t="s">
        <v>679</v>
      </c>
      <c r="T89" s="463">
        <v>2</v>
      </c>
      <c r="U89" s="463">
        <v>3</v>
      </c>
      <c r="V89" s="463">
        <v>25</v>
      </c>
      <c r="W89" s="463">
        <v>3</v>
      </c>
      <c r="X89" s="463">
        <v>3</v>
      </c>
      <c r="Y89" s="463">
        <v>25</v>
      </c>
      <c r="Z89" s="463">
        <v>94</v>
      </c>
      <c r="AA89" s="472" t="s">
        <v>547</v>
      </c>
      <c r="AB89" s="463" t="s">
        <v>539</v>
      </c>
      <c r="AC89" s="463" t="s">
        <v>539</v>
      </c>
      <c r="AD89" s="472" t="s">
        <v>548</v>
      </c>
      <c r="AE89" s="463" t="s">
        <v>620</v>
      </c>
      <c r="AF89" s="463">
        <v>97</v>
      </c>
      <c r="AG89" s="463" t="s">
        <v>376</v>
      </c>
      <c r="AH89" s="476"/>
      <c r="AI89" s="472">
        <v>879297145</v>
      </c>
      <c r="AJ89" s="464"/>
    </row>
    <row r="90" spans="1:36" ht="24" customHeight="1">
      <c r="A90" s="452">
        <v>14</v>
      </c>
      <c r="B90" s="463">
        <v>67</v>
      </c>
      <c r="C90" s="464" t="s">
        <v>337</v>
      </c>
      <c r="D90" s="464" t="s">
        <v>544</v>
      </c>
      <c r="E90" s="464" t="s">
        <v>545</v>
      </c>
      <c r="F90" s="464"/>
      <c r="G90" s="464" t="s">
        <v>247</v>
      </c>
      <c r="H90" s="464" t="s">
        <v>711</v>
      </c>
      <c r="I90" s="465">
        <v>0</v>
      </c>
      <c r="J90" s="465" t="s">
        <v>537</v>
      </c>
      <c r="K90" s="465" t="s">
        <v>537</v>
      </c>
      <c r="L90" s="465">
        <v>0</v>
      </c>
      <c r="M90" s="465" t="s">
        <v>537</v>
      </c>
      <c r="N90" s="465" t="s">
        <v>537</v>
      </c>
      <c r="O90" s="463" t="s">
        <v>537</v>
      </c>
      <c r="P90" s="463" t="s">
        <v>537</v>
      </c>
      <c r="Q90" s="465">
        <v>0</v>
      </c>
      <c r="R90" s="470">
        <v>241609</v>
      </c>
      <c r="S90" s="471">
        <v>22472</v>
      </c>
      <c r="T90" s="463">
        <v>2</v>
      </c>
      <c r="U90" s="463">
        <v>3</v>
      </c>
      <c r="V90" s="463">
        <v>25</v>
      </c>
      <c r="W90" s="463">
        <v>2</v>
      </c>
      <c r="X90" s="463">
        <v>3</v>
      </c>
      <c r="Y90" s="463">
        <v>25</v>
      </c>
      <c r="Z90" s="463">
        <v>85</v>
      </c>
      <c r="AA90" s="472" t="s">
        <v>547</v>
      </c>
      <c r="AB90" s="463" t="s">
        <v>539</v>
      </c>
      <c r="AC90" s="463" t="s">
        <v>539</v>
      </c>
      <c r="AD90" s="472" t="s">
        <v>548</v>
      </c>
      <c r="AE90" s="463" t="s">
        <v>620</v>
      </c>
      <c r="AF90" s="463">
        <v>89</v>
      </c>
      <c r="AG90" s="463" t="s">
        <v>376</v>
      </c>
      <c r="AH90" s="476"/>
      <c r="AI90" s="472">
        <v>954305199</v>
      </c>
      <c r="AJ90" s="464"/>
    </row>
    <row r="91" spans="1:36" ht="24" customHeight="1">
      <c r="A91" s="452">
        <v>15</v>
      </c>
      <c r="B91" s="701">
        <v>68</v>
      </c>
      <c r="C91" s="699" t="s">
        <v>337</v>
      </c>
      <c r="D91" s="699"/>
      <c r="E91" s="699" t="s">
        <v>545</v>
      </c>
      <c r="F91" s="699"/>
      <c r="G91" s="699" t="s">
        <v>247</v>
      </c>
      <c r="H91" s="699" t="s">
        <v>712</v>
      </c>
      <c r="I91" s="709" t="s">
        <v>537</v>
      </c>
      <c r="J91" s="709" t="s">
        <v>537</v>
      </c>
      <c r="K91" s="712">
        <v>15000</v>
      </c>
      <c r="L91" s="709" t="s">
        <v>537</v>
      </c>
      <c r="M91" s="709" t="s">
        <v>537</v>
      </c>
      <c r="N91" s="712">
        <v>15000</v>
      </c>
      <c r="O91" s="701" t="s">
        <v>537</v>
      </c>
      <c r="P91" s="701" t="s">
        <v>537</v>
      </c>
      <c r="Q91" s="709">
        <v>0</v>
      </c>
      <c r="R91" s="701" t="s">
        <v>643</v>
      </c>
      <c r="S91" s="701" t="s">
        <v>713</v>
      </c>
      <c r="T91" s="701">
        <v>3</v>
      </c>
      <c r="U91" s="701">
        <v>2</v>
      </c>
      <c r="V91" s="701">
        <v>15</v>
      </c>
      <c r="W91" s="701">
        <v>0</v>
      </c>
      <c r="X91" s="701">
        <v>4</v>
      </c>
      <c r="Y91" s="701">
        <v>18</v>
      </c>
      <c r="Z91" s="701">
        <v>86</v>
      </c>
      <c r="AA91" s="697" t="s">
        <v>714</v>
      </c>
      <c r="AB91" s="701" t="s">
        <v>539</v>
      </c>
      <c r="AC91" s="701" t="s">
        <v>539</v>
      </c>
      <c r="AD91" s="458" t="s">
        <v>715</v>
      </c>
      <c r="AE91" s="459" t="s">
        <v>539</v>
      </c>
      <c r="AF91" s="459" t="s">
        <v>539</v>
      </c>
      <c r="AG91" s="701" t="s">
        <v>375</v>
      </c>
      <c r="AH91" s="728"/>
      <c r="AI91" s="697">
        <v>952655209</v>
      </c>
      <c r="AJ91" s="697" t="s">
        <v>543</v>
      </c>
    </row>
    <row r="92" spans="1:36" ht="24" hidden="1" customHeight="1">
      <c r="B92" s="702"/>
      <c r="C92" s="700"/>
      <c r="D92" s="700"/>
      <c r="E92" s="700"/>
      <c r="F92" s="700"/>
      <c r="G92" s="700"/>
      <c r="H92" s="700"/>
      <c r="I92" s="710"/>
      <c r="J92" s="710"/>
      <c r="K92" s="713"/>
      <c r="L92" s="710"/>
      <c r="M92" s="710"/>
      <c r="N92" s="713"/>
      <c r="O92" s="702"/>
      <c r="P92" s="702"/>
      <c r="Q92" s="710"/>
      <c r="R92" s="702"/>
      <c r="S92" s="702"/>
      <c r="T92" s="702"/>
      <c r="U92" s="702"/>
      <c r="V92" s="702"/>
      <c r="W92" s="702"/>
      <c r="X92" s="702"/>
      <c r="Y92" s="702"/>
      <c r="Z92" s="702"/>
      <c r="AA92" s="698"/>
      <c r="AB92" s="702"/>
      <c r="AC92" s="702"/>
      <c r="AD92" s="473" t="s">
        <v>716</v>
      </c>
      <c r="AE92" s="474" t="s">
        <v>539</v>
      </c>
      <c r="AF92" s="474" t="s">
        <v>539</v>
      </c>
      <c r="AG92" s="702"/>
      <c r="AH92" s="729"/>
      <c r="AI92" s="698"/>
      <c r="AJ92" s="698"/>
    </row>
    <row r="93" spans="1:36" ht="24" customHeight="1">
      <c r="A93" s="452">
        <v>16</v>
      </c>
      <c r="B93" s="463">
        <v>69</v>
      </c>
      <c r="C93" s="464" t="s">
        <v>337</v>
      </c>
      <c r="D93" s="464"/>
      <c r="E93" s="464" t="s">
        <v>545</v>
      </c>
      <c r="F93" s="464"/>
      <c r="G93" s="464" t="s">
        <v>247</v>
      </c>
      <c r="H93" s="464" t="s">
        <v>717</v>
      </c>
      <c r="I93" s="465" t="s">
        <v>537</v>
      </c>
      <c r="J93" s="465" t="s">
        <v>537</v>
      </c>
      <c r="K93" s="466">
        <v>15000</v>
      </c>
      <c r="L93" s="465" t="s">
        <v>537</v>
      </c>
      <c r="M93" s="465" t="s">
        <v>537</v>
      </c>
      <c r="N93" s="466">
        <v>15000</v>
      </c>
      <c r="O93" s="463" t="s">
        <v>537</v>
      </c>
      <c r="P93" s="463" t="s">
        <v>537</v>
      </c>
      <c r="Q93" s="465">
        <v>0</v>
      </c>
      <c r="R93" s="470">
        <v>241609</v>
      </c>
      <c r="S93" s="471">
        <v>22493</v>
      </c>
      <c r="T93" s="463">
        <v>17</v>
      </c>
      <c r="U93" s="463">
        <v>3</v>
      </c>
      <c r="V93" s="463">
        <v>40</v>
      </c>
      <c r="W93" s="463">
        <v>17</v>
      </c>
      <c r="X93" s="463">
        <v>3</v>
      </c>
      <c r="Y93" s="463">
        <v>40</v>
      </c>
      <c r="Z93" s="463">
        <v>85</v>
      </c>
      <c r="AA93" s="472" t="s">
        <v>718</v>
      </c>
      <c r="AB93" s="463" t="s">
        <v>539</v>
      </c>
      <c r="AC93" s="463" t="s">
        <v>539</v>
      </c>
      <c r="AD93" s="472" t="s">
        <v>719</v>
      </c>
      <c r="AE93" s="463">
        <v>80</v>
      </c>
      <c r="AF93" s="463">
        <v>85</v>
      </c>
      <c r="AG93" s="463" t="s">
        <v>375</v>
      </c>
      <c r="AH93" s="476"/>
      <c r="AI93" s="472">
        <v>849984546</v>
      </c>
      <c r="AJ93" s="472" t="s">
        <v>543</v>
      </c>
    </row>
    <row r="94" spans="1:36" ht="24" customHeight="1">
      <c r="A94" s="452">
        <v>17</v>
      </c>
      <c r="B94" s="701">
        <v>70</v>
      </c>
      <c r="C94" s="699" t="s">
        <v>337</v>
      </c>
      <c r="D94" s="699"/>
      <c r="E94" s="699" t="s">
        <v>545</v>
      </c>
      <c r="F94" s="699"/>
      <c r="G94" s="699" t="s">
        <v>247</v>
      </c>
      <c r="H94" s="699" t="s">
        <v>720</v>
      </c>
      <c r="I94" s="709" t="s">
        <v>537</v>
      </c>
      <c r="J94" s="709" t="s">
        <v>537</v>
      </c>
      <c r="K94" s="712">
        <v>12000</v>
      </c>
      <c r="L94" s="709" t="s">
        <v>537</v>
      </c>
      <c r="M94" s="709" t="s">
        <v>537</v>
      </c>
      <c r="N94" s="709">
        <v>0</v>
      </c>
      <c r="O94" s="701" t="s">
        <v>537</v>
      </c>
      <c r="P94" s="701" t="s">
        <v>537</v>
      </c>
      <c r="Q94" s="705">
        <v>12000</v>
      </c>
      <c r="R94" s="707">
        <v>241609</v>
      </c>
      <c r="S94" s="721">
        <v>22482</v>
      </c>
      <c r="T94" s="701">
        <v>1</v>
      </c>
      <c r="U94" s="701">
        <v>2</v>
      </c>
      <c r="V94" s="701">
        <v>25</v>
      </c>
      <c r="W94" s="701">
        <v>1</v>
      </c>
      <c r="X94" s="701">
        <v>2</v>
      </c>
      <c r="Y94" s="701">
        <v>25</v>
      </c>
      <c r="Z94" s="701">
        <v>85</v>
      </c>
      <c r="AA94" s="697" t="s">
        <v>721</v>
      </c>
      <c r="AB94" s="701" t="s">
        <v>539</v>
      </c>
      <c r="AC94" s="701" t="s">
        <v>539</v>
      </c>
      <c r="AD94" s="458" t="s">
        <v>722</v>
      </c>
      <c r="AE94" s="459" t="s">
        <v>539</v>
      </c>
      <c r="AF94" s="459" t="s">
        <v>539</v>
      </c>
      <c r="AG94" s="701" t="s">
        <v>375</v>
      </c>
      <c r="AH94" s="728"/>
      <c r="AI94" s="697">
        <v>954305199</v>
      </c>
      <c r="AJ94" s="697" t="s">
        <v>543</v>
      </c>
    </row>
    <row r="95" spans="1:36" ht="24" hidden="1" customHeight="1">
      <c r="B95" s="702"/>
      <c r="C95" s="700"/>
      <c r="D95" s="700"/>
      <c r="E95" s="700"/>
      <c r="F95" s="700"/>
      <c r="G95" s="700"/>
      <c r="H95" s="700"/>
      <c r="I95" s="710"/>
      <c r="J95" s="710"/>
      <c r="K95" s="713"/>
      <c r="L95" s="710"/>
      <c r="M95" s="710"/>
      <c r="N95" s="710"/>
      <c r="O95" s="702"/>
      <c r="P95" s="702"/>
      <c r="Q95" s="706"/>
      <c r="R95" s="708"/>
      <c r="S95" s="722"/>
      <c r="T95" s="702"/>
      <c r="U95" s="702"/>
      <c r="V95" s="702"/>
      <c r="W95" s="702"/>
      <c r="X95" s="702"/>
      <c r="Y95" s="702"/>
      <c r="Z95" s="702"/>
      <c r="AA95" s="698"/>
      <c r="AB95" s="702"/>
      <c r="AC95" s="702"/>
      <c r="AD95" s="473" t="s">
        <v>723</v>
      </c>
      <c r="AE95" s="474" t="s">
        <v>539</v>
      </c>
      <c r="AF95" s="474" t="s">
        <v>539</v>
      </c>
      <c r="AG95" s="702"/>
      <c r="AH95" s="729"/>
      <c r="AI95" s="698"/>
      <c r="AJ95" s="698"/>
    </row>
    <row r="96" spans="1:36" ht="24" hidden="1" customHeight="1">
      <c r="B96" s="463">
        <v>71</v>
      </c>
      <c r="C96" s="464" t="s">
        <v>534</v>
      </c>
      <c r="D96" s="464" t="s">
        <v>544</v>
      </c>
      <c r="E96" s="464" t="s">
        <v>535</v>
      </c>
      <c r="F96" s="464"/>
      <c r="G96" s="464" t="s">
        <v>270</v>
      </c>
      <c r="H96" s="464" t="s">
        <v>724</v>
      </c>
      <c r="I96" s="466">
        <v>25000</v>
      </c>
      <c r="J96" s="465" t="s">
        <v>537</v>
      </c>
      <c r="K96" s="465" t="s">
        <v>537</v>
      </c>
      <c r="L96" s="466">
        <v>25000</v>
      </c>
      <c r="M96" s="465" t="s">
        <v>537</v>
      </c>
      <c r="N96" s="465" t="s">
        <v>537</v>
      </c>
      <c r="O96" s="463" t="s">
        <v>537</v>
      </c>
      <c r="P96" s="463" t="s">
        <v>537</v>
      </c>
      <c r="Q96" s="465">
        <v>0</v>
      </c>
      <c r="R96" s="463" t="s">
        <v>725</v>
      </c>
      <c r="S96" s="471">
        <v>22360</v>
      </c>
      <c r="T96" s="463">
        <v>60</v>
      </c>
      <c r="U96" s="463">
        <v>12</v>
      </c>
      <c r="V96" s="463">
        <v>0</v>
      </c>
      <c r="W96" s="463">
        <v>63</v>
      </c>
      <c r="X96" s="463">
        <v>13</v>
      </c>
      <c r="Y96" s="464"/>
      <c r="Z96" s="463">
        <v>86</v>
      </c>
      <c r="AA96" s="472" t="s">
        <v>547</v>
      </c>
      <c r="AB96" s="463" t="s">
        <v>539</v>
      </c>
      <c r="AC96" s="463" t="s">
        <v>539</v>
      </c>
      <c r="AD96" s="472" t="s">
        <v>548</v>
      </c>
      <c r="AE96" s="463">
        <v>80</v>
      </c>
      <c r="AF96" s="463">
        <v>86</v>
      </c>
      <c r="AG96" s="463" t="s">
        <v>375</v>
      </c>
      <c r="AH96" s="476"/>
      <c r="AI96" s="472" t="s">
        <v>726</v>
      </c>
      <c r="AJ96" s="464"/>
    </row>
    <row r="97" spans="2:36" ht="24" hidden="1" customHeight="1">
      <c r="B97" s="463">
        <v>72</v>
      </c>
      <c r="C97" s="464" t="s">
        <v>534</v>
      </c>
      <c r="D97" s="464" t="s">
        <v>544</v>
      </c>
      <c r="E97" s="464" t="s">
        <v>535</v>
      </c>
      <c r="F97" s="464"/>
      <c r="G97" s="464" t="s">
        <v>270</v>
      </c>
      <c r="H97" s="464" t="s">
        <v>636</v>
      </c>
      <c r="I97" s="466">
        <v>200000</v>
      </c>
      <c r="J97" s="465" t="s">
        <v>537</v>
      </c>
      <c r="K97" s="465" t="s">
        <v>537</v>
      </c>
      <c r="L97" s="466">
        <v>200000</v>
      </c>
      <c r="M97" s="465" t="s">
        <v>537</v>
      </c>
      <c r="N97" s="465" t="s">
        <v>537</v>
      </c>
      <c r="O97" s="463" t="s">
        <v>537</v>
      </c>
      <c r="P97" s="463" t="s">
        <v>537</v>
      </c>
      <c r="Q97" s="465">
        <v>0</v>
      </c>
      <c r="R97" s="463" t="s">
        <v>727</v>
      </c>
      <c r="S97" s="463" t="s">
        <v>637</v>
      </c>
      <c r="T97" s="463">
        <v>90</v>
      </c>
      <c r="U97" s="463">
        <v>16</v>
      </c>
      <c r="V97" s="463">
        <v>0</v>
      </c>
      <c r="W97" s="463">
        <v>90</v>
      </c>
      <c r="X97" s="463">
        <v>16</v>
      </c>
      <c r="Y97" s="463">
        <v>0</v>
      </c>
      <c r="Z97" s="463">
        <v>95.2</v>
      </c>
      <c r="AA97" s="472" t="s">
        <v>728</v>
      </c>
      <c r="AB97" s="463">
        <v>1</v>
      </c>
      <c r="AC97" s="463">
        <v>44</v>
      </c>
      <c r="AD97" s="472" t="s">
        <v>729</v>
      </c>
      <c r="AE97" s="463">
        <v>1</v>
      </c>
      <c r="AF97" s="463">
        <v>2</v>
      </c>
      <c r="AG97" s="463" t="s">
        <v>375</v>
      </c>
      <c r="AH97" s="476"/>
      <c r="AI97" s="472" t="s">
        <v>730</v>
      </c>
      <c r="AJ97" s="464"/>
    </row>
    <row r="98" spans="2:36" ht="24" hidden="1" customHeight="1">
      <c r="B98" s="463">
        <v>73</v>
      </c>
      <c r="C98" s="464" t="s">
        <v>534</v>
      </c>
      <c r="D98" s="464" t="s">
        <v>544</v>
      </c>
      <c r="E98" s="464" t="s">
        <v>535</v>
      </c>
      <c r="F98" s="464"/>
      <c r="G98" s="464" t="s">
        <v>270</v>
      </c>
      <c r="H98" s="464" t="s">
        <v>731</v>
      </c>
      <c r="I98" s="466">
        <v>81000</v>
      </c>
      <c r="J98" s="465" t="s">
        <v>537</v>
      </c>
      <c r="K98" s="465" t="s">
        <v>537</v>
      </c>
      <c r="L98" s="466">
        <v>80752</v>
      </c>
      <c r="M98" s="465" t="s">
        <v>537</v>
      </c>
      <c r="N98" s="465" t="s">
        <v>537</v>
      </c>
      <c r="O98" s="463" t="s">
        <v>537</v>
      </c>
      <c r="P98" s="463" t="s">
        <v>537</v>
      </c>
      <c r="Q98" s="465">
        <v>248</v>
      </c>
      <c r="R98" s="470">
        <v>241487</v>
      </c>
      <c r="S98" s="463" t="s">
        <v>732</v>
      </c>
      <c r="T98" s="463">
        <v>60</v>
      </c>
      <c r="U98" s="463">
        <v>10</v>
      </c>
      <c r="V98" s="463">
        <v>60</v>
      </c>
      <c r="W98" s="463">
        <v>65</v>
      </c>
      <c r="X98" s="463">
        <v>14</v>
      </c>
      <c r="Y98" s="463">
        <v>95</v>
      </c>
      <c r="Z98" s="463">
        <v>95</v>
      </c>
      <c r="AA98" s="472" t="s">
        <v>547</v>
      </c>
      <c r="AB98" s="463" t="s">
        <v>539</v>
      </c>
      <c r="AC98" s="463" t="s">
        <v>539</v>
      </c>
      <c r="AD98" s="472" t="s">
        <v>733</v>
      </c>
      <c r="AE98" s="463">
        <v>1</v>
      </c>
      <c r="AF98" s="463">
        <v>1</v>
      </c>
      <c r="AG98" s="463" t="s">
        <v>375</v>
      </c>
      <c r="AH98" s="476"/>
      <c r="AI98" s="472" t="s">
        <v>734</v>
      </c>
      <c r="AJ98" s="464"/>
    </row>
    <row r="99" spans="2:36" ht="24" hidden="1" customHeight="1">
      <c r="B99" s="463">
        <v>74</v>
      </c>
      <c r="C99" s="464" t="s">
        <v>534</v>
      </c>
      <c r="D99" s="464" t="s">
        <v>544</v>
      </c>
      <c r="E99" s="464" t="s">
        <v>535</v>
      </c>
      <c r="F99" s="464"/>
      <c r="G99" s="464" t="s">
        <v>270</v>
      </c>
      <c r="H99" s="464" t="s">
        <v>735</v>
      </c>
      <c r="I99" s="466">
        <v>100000</v>
      </c>
      <c r="J99" s="465" t="s">
        <v>537</v>
      </c>
      <c r="K99" s="465" t="s">
        <v>537</v>
      </c>
      <c r="L99" s="466">
        <v>100000</v>
      </c>
      <c r="M99" s="465" t="s">
        <v>537</v>
      </c>
      <c r="N99" s="465" t="s">
        <v>537</v>
      </c>
      <c r="O99" s="463" t="s">
        <v>537</v>
      </c>
      <c r="P99" s="463" t="s">
        <v>537</v>
      </c>
      <c r="Q99" s="465">
        <v>0</v>
      </c>
      <c r="R99" s="470">
        <v>241459</v>
      </c>
      <c r="S99" s="463" t="s">
        <v>736</v>
      </c>
      <c r="T99" s="463">
        <v>35</v>
      </c>
      <c r="U99" s="463">
        <v>5</v>
      </c>
      <c r="V99" s="463">
        <v>0</v>
      </c>
      <c r="W99" s="463">
        <v>41</v>
      </c>
      <c r="X99" s="463">
        <v>5</v>
      </c>
      <c r="Y99" s="463">
        <v>0</v>
      </c>
      <c r="Z99" s="463">
        <v>94.4</v>
      </c>
      <c r="AA99" s="472" t="s">
        <v>737</v>
      </c>
      <c r="AB99" s="463" t="s">
        <v>539</v>
      </c>
      <c r="AC99" s="463" t="s">
        <v>539</v>
      </c>
      <c r="AD99" s="472" t="s">
        <v>635</v>
      </c>
      <c r="AE99" s="463" t="s">
        <v>539</v>
      </c>
      <c r="AF99" s="463" t="s">
        <v>539</v>
      </c>
      <c r="AG99" s="463" t="s">
        <v>375</v>
      </c>
      <c r="AH99" s="476"/>
      <c r="AI99" s="472" t="s">
        <v>738</v>
      </c>
      <c r="AJ99" s="464"/>
    </row>
    <row r="100" spans="2:36" ht="24" hidden="1" customHeight="1">
      <c r="B100" s="463">
        <v>75</v>
      </c>
      <c r="C100" s="464" t="s">
        <v>534</v>
      </c>
      <c r="D100" s="464" t="s">
        <v>544</v>
      </c>
      <c r="E100" s="464" t="s">
        <v>535</v>
      </c>
      <c r="F100" s="464"/>
      <c r="G100" s="464" t="s">
        <v>270</v>
      </c>
      <c r="H100" s="464" t="s">
        <v>739</v>
      </c>
      <c r="I100" s="466">
        <v>1000000</v>
      </c>
      <c r="J100" s="465" t="s">
        <v>537</v>
      </c>
      <c r="K100" s="465" t="s">
        <v>537</v>
      </c>
      <c r="L100" s="466">
        <v>963991.62</v>
      </c>
      <c r="M100" s="465" t="s">
        <v>537</v>
      </c>
      <c r="N100" s="465" t="s">
        <v>537</v>
      </c>
      <c r="O100" s="463" t="s">
        <v>537</v>
      </c>
      <c r="P100" s="463" t="s">
        <v>537</v>
      </c>
      <c r="Q100" s="468">
        <v>36008</v>
      </c>
      <c r="R100" s="463" t="s">
        <v>552</v>
      </c>
      <c r="S100" s="463" t="s">
        <v>740</v>
      </c>
      <c r="T100" s="463">
        <v>30</v>
      </c>
      <c r="U100" s="463">
        <v>13</v>
      </c>
      <c r="V100" s="463">
        <v>17</v>
      </c>
      <c r="W100" s="463">
        <v>30</v>
      </c>
      <c r="X100" s="463">
        <v>13</v>
      </c>
      <c r="Y100" s="463">
        <v>17</v>
      </c>
      <c r="Z100" s="463">
        <v>86</v>
      </c>
      <c r="AA100" s="472" t="s">
        <v>547</v>
      </c>
      <c r="AB100" s="463" t="s">
        <v>539</v>
      </c>
      <c r="AC100" s="463" t="s">
        <v>539</v>
      </c>
      <c r="AD100" s="472" t="s">
        <v>548</v>
      </c>
      <c r="AE100" s="463">
        <v>80</v>
      </c>
      <c r="AF100" s="463">
        <v>86</v>
      </c>
      <c r="AG100" s="463" t="s">
        <v>375</v>
      </c>
      <c r="AH100" s="476"/>
      <c r="AI100" s="472" t="s">
        <v>741</v>
      </c>
      <c r="AJ100" s="464"/>
    </row>
    <row r="101" spans="2:36" ht="24" hidden="1" customHeight="1">
      <c r="B101" s="463">
        <v>76</v>
      </c>
      <c r="C101" s="464" t="s">
        <v>534</v>
      </c>
      <c r="D101" s="464"/>
      <c r="E101" s="464" t="s">
        <v>535</v>
      </c>
      <c r="F101" s="464"/>
      <c r="G101" s="464" t="s">
        <v>270</v>
      </c>
      <c r="H101" s="464" t="s">
        <v>742</v>
      </c>
      <c r="I101" s="465" t="s">
        <v>537</v>
      </c>
      <c r="J101" s="465" t="s">
        <v>537</v>
      </c>
      <c r="K101" s="466">
        <v>28600</v>
      </c>
      <c r="L101" s="465" t="s">
        <v>537</v>
      </c>
      <c r="M101" s="465" t="s">
        <v>537</v>
      </c>
      <c r="N101" s="466">
        <v>28600</v>
      </c>
      <c r="O101" s="463" t="s">
        <v>537</v>
      </c>
      <c r="P101" s="463" t="s">
        <v>537</v>
      </c>
      <c r="Q101" s="465">
        <v>0</v>
      </c>
      <c r="R101" s="470">
        <v>241579</v>
      </c>
      <c r="S101" s="463" t="s">
        <v>743</v>
      </c>
      <c r="T101" s="463">
        <v>0</v>
      </c>
      <c r="U101" s="463">
        <v>65</v>
      </c>
      <c r="V101" s="463">
        <v>0</v>
      </c>
      <c r="W101" s="463">
        <v>0</v>
      </c>
      <c r="X101" s="463">
        <v>65</v>
      </c>
      <c r="Y101" s="464"/>
      <c r="Z101" s="463">
        <v>80</v>
      </c>
      <c r="AA101" s="472" t="s">
        <v>744</v>
      </c>
      <c r="AB101" s="463">
        <v>80</v>
      </c>
      <c r="AC101" s="463">
        <v>80</v>
      </c>
      <c r="AD101" s="472" t="s">
        <v>745</v>
      </c>
      <c r="AE101" s="463">
        <v>80</v>
      </c>
      <c r="AF101" s="463">
        <v>80</v>
      </c>
      <c r="AG101" s="463" t="s">
        <v>375</v>
      </c>
      <c r="AH101" s="476"/>
      <c r="AI101" s="472" t="s">
        <v>537</v>
      </c>
      <c r="AJ101" s="472" t="s">
        <v>543</v>
      </c>
    </row>
    <row r="102" spans="2:36" ht="24" hidden="1" customHeight="1">
      <c r="B102" s="701">
        <v>77</v>
      </c>
      <c r="C102" s="699" t="s">
        <v>534</v>
      </c>
      <c r="D102" s="699"/>
      <c r="E102" s="699" t="s">
        <v>577</v>
      </c>
      <c r="F102" s="699"/>
      <c r="G102" s="699" t="s">
        <v>270</v>
      </c>
      <c r="H102" s="699" t="s">
        <v>746</v>
      </c>
      <c r="I102" s="709" t="s">
        <v>537</v>
      </c>
      <c r="J102" s="709" t="s">
        <v>537</v>
      </c>
      <c r="K102" s="712">
        <v>60000</v>
      </c>
      <c r="L102" s="709" t="s">
        <v>537</v>
      </c>
      <c r="M102" s="709" t="s">
        <v>537</v>
      </c>
      <c r="N102" s="712">
        <v>27000</v>
      </c>
      <c r="O102" s="701" t="s">
        <v>537</v>
      </c>
      <c r="P102" s="701" t="s">
        <v>537</v>
      </c>
      <c r="Q102" s="705">
        <v>33000</v>
      </c>
      <c r="R102" s="701" t="s">
        <v>747</v>
      </c>
      <c r="S102" s="701" t="s">
        <v>748</v>
      </c>
      <c r="T102" s="701">
        <v>0</v>
      </c>
      <c r="U102" s="701">
        <v>0</v>
      </c>
      <c r="V102" s="701">
        <v>0</v>
      </c>
      <c r="W102" s="701">
        <v>0</v>
      </c>
      <c r="X102" s="701">
        <v>0</v>
      </c>
      <c r="Y102" s="701">
        <v>0</v>
      </c>
      <c r="Z102" s="701">
        <v>80</v>
      </c>
      <c r="AA102" s="458" t="s">
        <v>749</v>
      </c>
      <c r="AB102" s="459" t="s">
        <v>539</v>
      </c>
      <c r="AC102" s="459" t="s">
        <v>539</v>
      </c>
      <c r="AD102" s="458" t="s">
        <v>750</v>
      </c>
      <c r="AE102" s="459">
        <v>20</v>
      </c>
      <c r="AF102" s="459">
        <v>20</v>
      </c>
      <c r="AG102" s="701" t="s">
        <v>375</v>
      </c>
      <c r="AH102" s="728"/>
      <c r="AI102" s="697" t="s">
        <v>751</v>
      </c>
      <c r="AJ102" s="697" t="s">
        <v>543</v>
      </c>
    </row>
    <row r="103" spans="2:36" ht="24" hidden="1" customHeight="1">
      <c r="B103" s="702"/>
      <c r="C103" s="700"/>
      <c r="D103" s="700"/>
      <c r="E103" s="700"/>
      <c r="F103" s="700"/>
      <c r="G103" s="700"/>
      <c r="H103" s="700"/>
      <c r="I103" s="710"/>
      <c r="J103" s="710"/>
      <c r="K103" s="713"/>
      <c r="L103" s="710"/>
      <c r="M103" s="710"/>
      <c r="N103" s="713"/>
      <c r="O103" s="702"/>
      <c r="P103" s="702"/>
      <c r="Q103" s="706"/>
      <c r="R103" s="702"/>
      <c r="S103" s="702"/>
      <c r="T103" s="702"/>
      <c r="U103" s="702"/>
      <c r="V103" s="702"/>
      <c r="W103" s="702"/>
      <c r="X103" s="702"/>
      <c r="Y103" s="702"/>
      <c r="Z103" s="702"/>
      <c r="AA103" s="473" t="s">
        <v>752</v>
      </c>
      <c r="AB103" s="474" t="s">
        <v>539</v>
      </c>
      <c r="AC103" s="474" t="s">
        <v>539</v>
      </c>
      <c r="AD103" s="473" t="s">
        <v>753</v>
      </c>
      <c r="AE103" s="474">
        <v>100</v>
      </c>
      <c r="AF103" s="474">
        <v>100</v>
      </c>
      <c r="AG103" s="702"/>
      <c r="AH103" s="729"/>
      <c r="AI103" s="698"/>
      <c r="AJ103" s="698"/>
    </row>
    <row r="104" spans="2:36" ht="24" hidden="1" customHeight="1">
      <c r="B104" s="701">
        <v>78</v>
      </c>
      <c r="C104" s="699" t="s">
        <v>534</v>
      </c>
      <c r="D104" s="699"/>
      <c r="E104" s="699" t="s">
        <v>577</v>
      </c>
      <c r="F104" s="699"/>
      <c r="G104" s="699" t="s">
        <v>270</v>
      </c>
      <c r="H104" s="699" t="s">
        <v>754</v>
      </c>
      <c r="I104" s="709" t="s">
        <v>537</v>
      </c>
      <c r="J104" s="709" t="s">
        <v>537</v>
      </c>
      <c r="K104" s="712">
        <v>60000</v>
      </c>
      <c r="L104" s="709" t="s">
        <v>537</v>
      </c>
      <c r="M104" s="709" t="s">
        <v>537</v>
      </c>
      <c r="N104" s="712">
        <v>21387.1</v>
      </c>
      <c r="O104" s="701" t="s">
        <v>537</v>
      </c>
      <c r="P104" s="701" t="s">
        <v>537</v>
      </c>
      <c r="Q104" s="705">
        <v>38613</v>
      </c>
      <c r="R104" s="701" t="s">
        <v>747</v>
      </c>
      <c r="S104" s="701" t="s">
        <v>748</v>
      </c>
      <c r="T104" s="701">
        <v>0</v>
      </c>
      <c r="U104" s="701">
        <v>0</v>
      </c>
      <c r="V104" s="701">
        <v>0</v>
      </c>
      <c r="W104" s="701">
        <v>0</v>
      </c>
      <c r="X104" s="701">
        <v>0</v>
      </c>
      <c r="Y104" s="701">
        <v>0</v>
      </c>
      <c r="Z104" s="701">
        <v>80</v>
      </c>
      <c r="AA104" s="458" t="s">
        <v>755</v>
      </c>
      <c r="AB104" s="459" t="s">
        <v>539</v>
      </c>
      <c r="AC104" s="459" t="s">
        <v>539</v>
      </c>
      <c r="AD104" s="458" t="s">
        <v>756</v>
      </c>
      <c r="AE104" s="459">
        <v>20</v>
      </c>
      <c r="AF104" s="459">
        <v>20</v>
      </c>
      <c r="AG104" s="701" t="s">
        <v>375</v>
      </c>
      <c r="AH104" s="728"/>
      <c r="AI104" s="697" t="s">
        <v>751</v>
      </c>
      <c r="AJ104" s="697" t="s">
        <v>543</v>
      </c>
    </row>
    <row r="105" spans="2:36" ht="24" hidden="1" customHeight="1">
      <c r="B105" s="702"/>
      <c r="C105" s="700"/>
      <c r="D105" s="700"/>
      <c r="E105" s="700"/>
      <c r="F105" s="700"/>
      <c r="G105" s="700"/>
      <c r="H105" s="700"/>
      <c r="I105" s="710"/>
      <c r="J105" s="710"/>
      <c r="K105" s="713"/>
      <c r="L105" s="710"/>
      <c r="M105" s="710"/>
      <c r="N105" s="713"/>
      <c r="O105" s="702"/>
      <c r="P105" s="702"/>
      <c r="Q105" s="706"/>
      <c r="R105" s="702"/>
      <c r="S105" s="702"/>
      <c r="T105" s="702"/>
      <c r="U105" s="702"/>
      <c r="V105" s="702"/>
      <c r="W105" s="702"/>
      <c r="X105" s="702"/>
      <c r="Y105" s="702"/>
      <c r="Z105" s="702"/>
      <c r="AA105" s="473" t="s">
        <v>752</v>
      </c>
      <c r="AB105" s="474" t="s">
        <v>539</v>
      </c>
      <c r="AC105" s="474" t="s">
        <v>539</v>
      </c>
      <c r="AD105" s="473" t="s">
        <v>757</v>
      </c>
      <c r="AE105" s="474">
        <v>80</v>
      </c>
      <c r="AF105" s="474">
        <v>80</v>
      </c>
      <c r="AG105" s="702"/>
      <c r="AH105" s="729"/>
      <c r="AI105" s="698"/>
      <c r="AJ105" s="698"/>
    </row>
    <row r="106" spans="2:36" ht="24" hidden="1" customHeight="1">
      <c r="B106" s="463">
        <v>79</v>
      </c>
      <c r="C106" s="464" t="s">
        <v>534</v>
      </c>
      <c r="D106" s="464"/>
      <c r="E106" s="464" t="s">
        <v>577</v>
      </c>
      <c r="F106" s="464"/>
      <c r="G106" s="464" t="s">
        <v>270</v>
      </c>
      <c r="H106" s="464" t="s">
        <v>758</v>
      </c>
      <c r="I106" s="465" t="s">
        <v>537</v>
      </c>
      <c r="J106" s="465" t="s">
        <v>537</v>
      </c>
      <c r="K106" s="466">
        <v>150000</v>
      </c>
      <c r="L106" s="465" t="s">
        <v>537</v>
      </c>
      <c r="M106" s="465" t="s">
        <v>537</v>
      </c>
      <c r="N106" s="466">
        <v>149939</v>
      </c>
      <c r="O106" s="463" t="s">
        <v>537</v>
      </c>
      <c r="P106" s="463" t="s">
        <v>537</v>
      </c>
      <c r="Q106" s="465">
        <v>61</v>
      </c>
      <c r="R106" s="463" t="s">
        <v>552</v>
      </c>
      <c r="S106" s="463" t="s">
        <v>759</v>
      </c>
      <c r="T106" s="463">
        <v>0</v>
      </c>
      <c r="U106" s="463">
        <v>0</v>
      </c>
      <c r="V106" s="463">
        <v>0</v>
      </c>
      <c r="W106" s="463">
        <v>0</v>
      </c>
      <c r="X106" s="464"/>
      <c r="Y106" s="464"/>
      <c r="Z106" s="463">
        <v>80</v>
      </c>
      <c r="AA106" s="472" t="s">
        <v>760</v>
      </c>
      <c r="AB106" s="463" t="s">
        <v>539</v>
      </c>
      <c r="AC106" s="463" t="s">
        <v>539</v>
      </c>
      <c r="AD106" s="472" t="s">
        <v>761</v>
      </c>
      <c r="AE106" s="463" t="s">
        <v>539</v>
      </c>
      <c r="AF106" s="463" t="s">
        <v>539</v>
      </c>
      <c r="AG106" s="463" t="s">
        <v>375</v>
      </c>
      <c r="AH106" s="476"/>
      <c r="AI106" s="472" t="s">
        <v>762</v>
      </c>
      <c r="AJ106" s="472" t="s">
        <v>543</v>
      </c>
    </row>
    <row r="107" spans="2:36" ht="24" hidden="1" customHeight="1">
      <c r="B107" s="701">
        <v>80</v>
      </c>
      <c r="C107" s="699" t="s">
        <v>534</v>
      </c>
      <c r="D107" s="699"/>
      <c r="E107" s="699" t="s">
        <v>577</v>
      </c>
      <c r="F107" s="699"/>
      <c r="G107" s="699" t="s">
        <v>270</v>
      </c>
      <c r="H107" s="699" t="s">
        <v>763</v>
      </c>
      <c r="I107" s="709" t="s">
        <v>537</v>
      </c>
      <c r="J107" s="709" t="s">
        <v>537</v>
      </c>
      <c r="K107" s="712">
        <v>50000</v>
      </c>
      <c r="L107" s="709" t="s">
        <v>537</v>
      </c>
      <c r="M107" s="709" t="s">
        <v>537</v>
      </c>
      <c r="N107" s="712">
        <v>49386.67</v>
      </c>
      <c r="O107" s="701" t="s">
        <v>537</v>
      </c>
      <c r="P107" s="701" t="s">
        <v>537</v>
      </c>
      <c r="Q107" s="709">
        <v>613</v>
      </c>
      <c r="R107" s="701" t="s">
        <v>764</v>
      </c>
      <c r="S107" s="701" t="s">
        <v>765</v>
      </c>
      <c r="T107" s="701">
        <v>0</v>
      </c>
      <c r="U107" s="701">
        <v>0</v>
      </c>
      <c r="V107" s="701">
        <v>0</v>
      </c>
      <c r="W107" s="699"/>
      <c r="X107" s="701">
        <v>1</v>
      </c>
      <c r="Y107" s="699"/>
      <c r="Z107" s="701">
        <v>80</v>
      </c>
      <c r="AA107" s="697" t="s">
        <v>766</v>
      </c>
      <c r="AB107" s="701">
        <v>80</v>
      </c>
      <c r="AC107" s="701">
        <v>80</v>
      </c>
      <c r="AD107" s="458" t="s">
        <v>767</v>
      </c>
      <c r="AE107" s="459">
        <v>1</v>
      </c>
      <c r="AF107" s="459">
        <v>1</v>
      </c>
      <c r="AG107" s="701" t="s">
        <v>375</v>
      </c>
      <c r="AH107" s="728"/>
      <c r="AI107" s="697" t="s">
        <v>768</v>
      </c>
      <c r="AJ107" s="697" t="s">
        <v>543</v>
      </c>
    </row>
    <row r="108" spans="2:36" ht="24" hidden="1" customHeight="1">
      <c r="B108" s="702"/>
      <c r="C108" s="700"/>
      <c r="D108" s="700"/>
      <c r="E108" s="700"/>
      <c r="F108" s="700"/>
      <c r="G108" s="700"/>
      <c r="H108" s="700"/>
      <c r="I108" s="710"/>
      <c r="J108" s="710"/>
      <c r="K108" s="713"/>
      <c r="L108" s="710"/>
      <c r="M108" s="710"/>
      <c r="N108" s="713"/>
      <c r="O108" s="702"/>
      <c r="P108" s="702"/>
      <c r="Q108" s="710"/>
      <c r="R108" s="702"/>
      <c r="S108" s="702"/>
      <c r="T108" s="702"/>
      <c r="U108" s="702"/>
      <c r="V108" s="702"/>
      <c r="W108" s="700"/>
      <c r="X108" s="702"/>
      <c r="Y108" s="700"/>
      <c r="Z108" s="702"/>
      <c r="AA108" s="698"/>
      <c r="AB108" s="702"/>
      <c r="AC108" s="702"/>
      <c r="AD108" s="473" t="s">
        <v>769</v>
      </c>
      <c r="AE108" s="474">
        <v>1</v>
      </c>
      <c r="AF108" s="474">
        <v>1</v>
      </c>
      <c r="AG108" s="702"/>
      <c r="AH108" s="729"/>
      <c r="AI108" s="698"/>
      <c r="AJ108" s="698"/>
    </row>
    <row r="109" spans="2:36" ht="24" hidden="1" customHeight="1">
      <c r="B109" s="463">
        <v>81</v>
      </c>
      <c r="C109" s="464" t="s">
        <v>534</v>
      </c>
      <c r="D109" s="464" t="s">
        <v>544</v>
      </c>
      <c r="E109" s="464" t="s">
        <v>535</v>
      </c>
      <c r="F109" s="464"/>
      <c r="G109" s="464" t="s">
        <v>270</v>
      </c>
      <c r="H109" s="464" t="s">
        <v>770</v>
      </c>
      <c r="I109" s="465" t="s">
        <v>537</v>
      </c>
      <c r="J109" s="466">
        <v>25600</v>
      </c>
      <c r="K109" s="465" t="s">
        <v>537</v>
      </c>
      <c r="L109" s="465" t="s">
        <v>537</v>
      </c>
      <c r="M109" s="466">
        <v>25600</v>
      </c>
      <c r="N109" s="465" t="s">
        <v>537</v>
      </c>
      <c r="O109" s="463" t="s">
        <v>537</v>
      </c>
      <c r="P109" s="463" t="s">
        <v>537</v>
      </c>
      <c r="Q109" s="465">
        <v>0</v>
      </c>
      <c r="R109" s="463" t="s">
        <v>771</v>
      </c>
      <c r="S109" s="463" t="s">
        <v>772</v>
      </c>
      <c r="T109" s="463">
        <v>0</v>
      </c>
      <c r="U109" s="463">
        <v>40</v>
      </c>
      <c r="V109" s="463">
        <v>0</v>
      </c>
      <c r="W109" s="463">
        <v>0</v>
      </c>
      <c r="X109" s="463">
        <v>44</v>
      </c>
      <c r="Y109" s="463">
        <v>0</v>
      </c>
      <c r="Z109" s="463">
        <v>90.07</v>
      </c>
      <c r="AA109" s="472" t="s">
        <v>547</v>
      </c>
      <c r="AB109" s="463" t="s">
        <v>539</v>
      </c>
      <c r="AC109" s="463" t="s">
        <v>539</v>
      </c>
      <c r="AD109" s="472" t="s">
        <v>548</v>
      </c>
      <c r="AE109" s="463">
        <v>80</v>
      </c>
      <c r="AF109" s="463">
        <v>90.07</v>
      </c>
      <c r="AG109" s="463" t="s">
        <v>375</v>
      </c>
      <c r="AH109" s="476"/>
      <c r="AI109" s="472" t="s">
        <v>773</v>
      </c>
      <c r="AJ109" s="464"/>
    </row>
    <row r="110" spans="2:36" ht="24" hidden="1" customHeight="1">
      <c r="B110" s="463">
        <v>82</v>
      </c>
      <c r="C110" s="464" t="s">
        <v>534</v>
      </c>
      <c r="D110" s="464" t="s">
        <v>544</v>
      </c>
      <c r="E110" s="464" t="s">
        <v>535</v>
      </c>
      <c r="F110" s="464"/>
      <c r="G110" s="464" t="s">
        <v>270</v>
      </c>
      <c r="H110" s="464" t="s">
        <v>774</v>
      </c>
      <c r="I110" s="465" t="s">
        <v>537</v>
      </c>
      <c r="J110" s="466">
        <v>67400</v>
      </c>
      <c r="K110" s="465" t="s">
        <v>537</v>
      </c>
      <c r="L110" s="465" t="s">
        <v>537</v>
      </c>
      <c r="M110" s="466">
        <v>67388</v>
      </c>
      <c r="N110" s="465" t="s">
        <v>537</v>
      </c>
      <c r="O110" s="463" t="s">
        <v>537</v>
      </c>
      <c r="P110" s="463" t="s">
        <v>537</v>
      </c>
      <c r="Q110" s="465">
        <v>12</v>
      </c>
      <c r="R110" s="463" t="s">
        <v>775</v>
      </c>
      <c r="S110" s="463" t="s">
        <v>776</v>
      </c>
      <c r="T110" s="463">
        <v>0</v>
      </c>
      <c r="U110" s="463">
        <v>63</v>
      </c>
      <c r="V110" s="463">
        <v>27</v>
      </c>
      <c r="W110" s="463">
        <v>0</v>
      </c>
      <c r="X110" s="463">
        <v>72</v>
      </c>
      <c r="Y110" s="463">
        <v>27</v>
      </c>
      <c r="Z110" s="463">
        <v>82</v>
      </c>
      <c r="AA110" s="472" t="s">
        <v>547</v>
      </c>
      <c r="AB110" s="463" t="s">
        <v>539</v>
      </c>
      <c r="AC110" s="463" t="s">
        <v>539</v>
      </c>
      <c r="AD110" s="472" t="s">
        <v>548</v>
      </c>
      <c r="AE110" s="463">
        <v>80</v>
      </c>
      <c r="AF110" s="463">
        <v>82</v>
      </c>
      <c r="AG110" s="463" t="s">
        <v>375</v>
      </c>
      <c r="AH110" s="476"/>
      <c r="AI110" s="472" t="s">
        <v>773</v>
      </c>
      <c r="AJ110" s="464"/>
    </row>
    <row r="111" spans="2:36" ht="24" hidden="1" customHeight="1">
      <c r="B111" s="463">
        <v>83</v>
      </c>
      <c r="C111" s="464" t="s">
        <v>534</v>
      </c>
      <c r="D111" s="464" t="s">
        <v>544</v>
      </c>
      <c r="E111" s="464" t="s">
        <v>535</v>
      </c>
      <c r="F111" s="464"/>
      <c r="G111" s="464" t="s">
        <v>270</v>
      </c>
      <c r="H111" s="464" t="s">
        <v>777</v>
      </c>
      <c r="I111" s="465" t="s">
        <v>537</v>
      </c>
      <c r="J111" s="466">
        <v>20600</v>
      </c>
      <c r="K111" s="465" t="s">
        <v>537</v>
      </c>
      <c r="L111" s="465" t="s">
        <v>537</v>
      </c>
      <c r="M111" s="466">
        <v>20282</v>
      </c>
      <c r="N111" s="465" t="s">
        <v>537</v>
      </c>
      <c r="O111" s="463" t="s">
        <v>537</v>
      </c>
      <c r="P111" s="463" t="s">
        <v>537</v>
      </c>
      <c r="Q111" s="465">
        <v>318</v>
      </c>
      <c r="R111" s="470">
        <v>241640</v>
      </c>
      <c r="S111" s="471">
        <v>22488</v>
      </c>
      <c r="T111" s="463">
        <v>0</v>
      </c>
      <c r="U111" s="463">
        <v>41</v>
      </c>
      <c r="V111" s="463">
        <v>4</v>
      </c>
      <c r="W111" s="463">
        <v>0</v>
      </c>
      <c r="X111" s="463">
        <v>54</v>
      </c>
      <c r="Y111" s="463">
        <v>4</v>
      </c>
      <c r="Z111" s="463">
        <v>93.4</v>
      </c>
      <c r="AA111" s="472" t="s">
        <v>547</v>
      </c>
      <c r="AB111" s="463" t="s">
        <v>539</v>
      </c>
      <c r="AC111" s="463" t="s">
        <v>539</v>
      </c>
      <c r="AD111" s="472" t="s">
        <v>548</v>
      </c>
      <c r="AE111" s="463">
        <v>80</v>
      </c>
      <c r="AF111" s="463">
        <v>93.4</v>
      </c>
      <c r="AG111" s="463" t="s">
        <v>375</v>
      </c>
      <c r="AH111" s="476"/>
      <c r="AI111" s="472" t="s">
        <v>773</v>
      </c>
      <c r="AJ111" s="464"/>
    </row>
    <row r="112" spans="2:36" ht="24" hidden="1" customHeight="1">
      <c r="B112" s="463">
        <v>84</v>
      </c>
      <c r="C112" s="464" t="s">
        <v>534</v>
      </c>
      <c r="D112" s="464" t="s">
        <v>544</v>
      </c>
      <c r="E112" s="464" t="s">
        <v>535</v>
      </c>
      <c r="F112" s="464"/>
      <c r="G112" s="464" t="s">
        <v>270</v>
      </c>
      <c r="H112" s="464" t="s">
        <v>778</v>
      </c>
      <c r="I112" s="465" t="s">
        <v>537</v>
      </c>
      <c r="J112" s="466">
        <v>25000</v>
      </c>
      <c r="K112" s="465" t="s">
        <v>537</v>
      </c>
      <c r="L112" s="465" t="s">
        <v>537</v>
      </c>
      <c r="M112" s="466">
        <v>24110</v>
      </c>
      <c r="N112" s="465" t="s">
        <v>537</v>
      </c>
      <c r="O112" s="463" t="s">
        <v>537</v>
      </c>
      <c r="P112" s="463" t="s">
        <v>537</v>
      </c>
      <c r="Q112" s="465">
        <v>890</v>
      </c>
      <c r="R112" s="470">
        <v>241487</v>
      </c>
      <c r="S112" s="463" t="s">
        <v>779</v>
      </c>
      <c r="T112" s="463">
        <v>200</v>
      </c>
      <c r="U112" s="463">
        <v>60</v>
      </c>
      <c r="V112" s="463">
        <v>0</v>
      </c>
      <c r="W112" s="463">
        <v>225</v>
      </c>
      <c r="X112" s="463">
        <v>78</v>
      </c>
      <c r="Y112" s="463">
        <v>0</v>
      </c>
      <c r="Z112" s="463">
        <v>86.1</v>
      </c>
      <c r="AA112" s="472" t="s">
        <v>547</v>
      </c>
      <c r="AB112" s="463" t="s">
        <v>539</v>
      </c>
      <c r="AC112" s="463" t="s">
        <v>539</v>
      </c>
      <c r="AD112" s="472" t="s">
        <v>548</v>
      </c>
      <c r="AE112" s="463">
        <v>80</v>
      </c>
      <c r="AF112" s="463">
        <v>86.1</v>
      </c>
      <c r="AG112" s="463" t="s">
        <v>375</v>
      </c>
      <c r="AH112" s="476"/>
      <c r="AI112" s="472" t="s">
        <v>780</v>
      </c>
      <c r="AJ112" s="464"/>
    </row>
    <row r="113" spans="2:36" ht="24" hidden="1" customHeight="1">
      <c r="B113" s="463">
        <v>85</v>
      </c>
      <c r="C113" s="464" t="s">
        <v>534</v>
      </c>
      <c r="D113" s="464" t="s">
        <v>544</v>
      </c>
      <c r="E113" s="464" t="s">
        <v>535</v>
      </c>
      <c r="F113" s="464"/>
      <c r="G113" s="464" t="s">
        <v>270</v>
      </c>
      <c r="H113" s="464" t="s">
        <v>781</v>
      </c>
      <c r="I113" s="465" t="s">
        <v>537</v>
      </c>
      <c r="J113" s="466">
        <v>40000</v>
      </c>
      <c r="K113" s="465" t="s">
        <v>537</v>
      </c>
      <c r="L113" s="465" t="s">
        <v>537</v>
      </c>
      <c r="M113" s="466">
        <v>31500</v>
      </c>
      <c r="N113" s="465" t="s">
        <v>537</v>
      </c>
      <c r="O113" s="463" t="s">
        <v>537</v>
      </c>
      <c r="P113" s="463" t="s">
        <v>537</v>
      </c>
      <c r="Q113" s="468">
        <v>8500</v>
      </c>
      <c r="R113" s="463" t="s">
        <v>727</v>
      </c>
      <c r="S113" s="463" t="s">
        <v>664</v>
      </c>
      <c r="T113" s="463">
        <v>25</v>
      </c>
      <c r="U113" s="463">
        <v>50</v>
      </c>
      <c r="V113" s="463">
        <v>25</v>
      </c>
      <c r="W113" s="463">
        <v>1</v>
      </c>
      <c r="X113" s="463">
        <v>86</v>
      </c>
      <c r="Y113" s="463">
        <v>48</v>
      </c>
      <c r="Z113" s="463">
        <v>84.7</v>
      </c>
      <c r="AA113" s="472" t="s">
        <v>547</v>
      </c>
      <c r="AB113" s="463" t="s">
        <v>539</v>
      </c>
      <c r="AC113" s="463" t="s">
        <v>539</v>
      </c>
      <c r="AD113" s="472" t="s">
        <v>548</v>
      </c>
      <c r="AE113" s="463">
        <v>80</v>
      </c>
      <c r="AF113" s="463">
        <v>84.1</v>
      </c>
      <c r="AG113" s="463" t="s">
        <v>375</v>
      </c>
      <c r="AH113" s="476"/>
      <c r="AI113" s="472" t="s">
        <v>773</v>
      </c>
      <c r="AJ113" s="464"/>
    </row>
    <row r="114" spans="2:36" ht="24" hidden="1" customHeight="1">
      <c r="B114" s="463">
        <v>86</v>
      </c>
      <c r="C114" s="464" t="s">
        <v>534</v>
      </c>
      <c r="D114" s="464" t="s">
        <v>544</v>
      </c>
      <c r="E114" s="464" t="s">
        <v>535</v>
      </c>
      <c r="F114" s="464"/>
      <c r="G114" s="464" t="s">
        <v>270</v>
      </c>
      <c r="H114" s="464" t="s">
        <v>782</v>
      </c>
      <c r="I114" s="465" t="s">
        <v>537</v>
      </c>
      <c r="J114" s="466">
        <v>10000</v>
      </c>
      <c r="K114" s="465" t="s">
        <v>537</v>
      </c>
      <c r="L114" s="465" t="s">
        <v>537</v>
      </c>
      <c r="M114" s="466">
        <v>10000</v>
      </c>
      <c r="N114" s="465" t="s">
        <v>537</v>
      </c>
      <c r="O114" s="463" t="s">
        <v>537</v>
      </c>
      <c r="P114" s="463" t="s">
        <v>537</v>
      </c>
      <c r="Q114" s="465">
        <v>0</v>
      </c>
      <c r="R114" s="470">
        <v>241428</v>
      </c>
      <c r="S114" s="463" t="s">
        <v>783</v>
      </c>
      <c r="T114" s="463">
        <v>35</v>
      </c>
      <c r="U114" s="463">
        <v>5</v>
      </c>
      <c r="V114" s="463">
        <v>0</v>
      </c>
      <c r="W114" s="463">
        <v>128</v>
      </c>
      <c r="X114" s="463">
        <v>8</v>
      </c>
      <c r="Y114" s="463">
        <v>0</v>
      </c>
      <c r="Z114" s="463">
        <v>90.8</v>
      </c>
      <c r="AA114" s="472" t="s">
        <v>547</v>
      </c>
      <c r="AB114" s="463" t="s">
        <v>539</v>
      </c>
      <c r="AC114" s="463" t="s">
        <v>539</v>
      </c>
      <c r="AD114" s="472" t="s">
        <v>548</v>
      </c>
      <c r="AE114" s="463">
        <v>80</v>
      </c>
      <c r="AF114" s="463">
        <v>95.87</v>
      </c>
      <c r="AG114" s="463" t="s">
        <v>375</v>
      </c>
      <c r="AH114" s="476"/>
      <c r="AI114" s="472" t="s">
        <v>730</v>
      </c>
      <c r="AJ114" s="464"/>
    </row>
    <row r="115" spans="2:36" ht="24" hidden="1" customHeight="1">
      <c r="B115" s="463">
        <v>87</v>
      </c>
      <c r="C115" s="464" t="s">
        <v>534</v>
      </c>
      <c r="D115" s="464" t="s">
        <v>544</v>
      </c>
      <c r="E115" s="464" t="s">
        <v>535</v>
      </c>
      <c r="F115" s="464"/>
      <c r="G115" s="464" t="s">
        <v>270</v>
      </c>
      <c r="H115" s="464" t="s">
        <v>784</v>
      </c>
      <c r="I115" s="465" t="s">
        <v>537</v>
      </c>
      <c r="J115" s="466">
        <v>12000</v>
      </c>
      <c r="K115" s="465" t="s">
        <v>537</v>
      </c>
      <c r="L115" s="465" t="s">
        <v>537</v>
      </c>
      <c r="M115" s="466">
        <v>12000</v>
      </c>
      <c r="N115" s="465" t="s">
        <v>537</v>
      </c>
      <c r="O115" s="463" t="s">
        <v>537</v>
      </c>
      <c r="P115" s="463" t="s">
        <v>537</v>
      </c>
      <c r="Q115" s="465">
        <v>0</v>
      </c>
      <c r="R115" s="463" t="s">
        <v>785</v>
      </c>
      <c r="S115" s="463" t="s">
        <v>786</v>
      </c>
      <c r="T115" s="463">
        <v>10</v>
      </c>
      <c r="U115" s="463">
        <v>10</v>
      </c>
      <c r="V115" s="463">
        <v>0</v>
      </c>
      <c r="W115" s="463">
        <v>10</v>
      </c>
      <c r="X115" s="463">
        <v>10</v>
      </c>
      <c r="Y115" s="463">
        <v>0</v>
      </c>
      <c r="Z115" s="463">
        <v>85</v>
      </c>
      <c r="AA115" s="472" t="s">
        <v>547</v>
      </c>
      <c r="AB115" s="463" t="s">
        <v>539</v>
      </c>
      <c r="AC115" s="463" t="s">
        <v>539</v>
      </c>
      <c r="AD115" s="472" t="s">
        <v>548</v>
      </c>
      <c r="AE115" s="463">
        <v>80</v>
      </c>
      <c r="AF115" s="463">
        <v>80</v>
      </c>
      <c r="AG115" s="463" t="s">
        <v>375</v>
      </c>
      <c r="AH115" s="476"/>
      <c r="AI115" s="472" t="s">
        <v>787</v>
      </c>
      <c r="AJ115" s="464"/>
    </row>
    <row r="116" spans="2:36" ht="24" hidden="1" customHeight="1">
      <c r="B116" s="463">
        <v>88</v>
      </c>
      <c r="C116" s="464" t="s">
        <v>534</v>
      </c>
      <c r="D116" s="464"/>
      <c r="E116" s="464" t="s">
        <v>535</v>
      </c>
      <c r="F116" s="464"/>
      <c r="G116" s="464" t="s">
        <v>270</v>
      </c>
      <c r="H116" s="464" t="s">
        <v>788</v>
      </c>
      <c r="I116" s="465" t="s">
        <v>537</v>
      </c>
      <c r="J116" s="465" t="s">
        <v>537</v>
      </c>
      <c r="K116" s="466">
        <v>24400</v>
      </c>
      <c r="L116" s="465" t="s">
        <v>537</v>
      </c>
      <c r="M116" s="465" t="s">
        <v>537</v>
      </c>
      <c r="N116" s="466">
        <v>23064</v>
      </c>
      <c r="O116" s="463" t="s">
        <v>537</v>
      </c>
      <c r="P116" s="463" t="s">
        <v>537</v>
      </c>
      <c r="Q116" s="468">
        <v>1336</v>
      </c>
      <c r="R116" s="470">
        <v>241579</v>
      </c>
      <c r="S116" s="463" t="s">
        <v>789</v>
      </c>
      <c r="T116" s="463">
        <v>2</v>
      </c>
      <c r="U116" s="463">
        <v>0</v>
      </c>
      <c r="V116" s="463">
        <v>0</v>
      </c>
      <c r="W116" s="463">
        <v>2</v>
      </c>
      <c r="X116" s="464"/>
      <c r="Y116" s="464"/>
      <c r="Z116" s="463">
        <v>80</v>
      </c>
      <c r="AA116" s="472" t="s">
        <v>790</v>
      </c>
      <c r="AB116" s="463">
        <v>1</v>
      </c>
      <c r="AC116" s="463">
        <v>1</v>
      </c>
      <c r="AD116" s="472" t="s">
        <v>791</v>
      </c>
      <c r="AE116" s="463">
        <v>80</v>
      </c>
      <c r="AF116" s="463">
        <v>80</v>
      </c>
      <c r="AG116" s="463" t="s">
        <v>375</v>
      </c>
      <c r="AH116" s="476"/>
      <c r="AI116" s="472">
        <v>836566529</v>
      </c>
      <c r="AJ116" s="472" t="s">
        <v>792</v>
      </c>
    </row>
    <row r="117" spans="2:36" ht="24" hidden="1" customHeight="1">
      <c r="B117" s="463">
        <v>89</v>
      </c>
      <c r="C117" s="464" t="s">
        <v>534</v>
      </c>
      <c r="D117" s="464"/>
      <c r="E117" s="464" t="s">
        <v>535</v>
      </c>
      <c r="F117" s="464"/>
      <c r="G117" s="464" t="s">
        <v>270</v>
      </c>
      <c r="H117" s="464" t="s">
        <v>793</v>
      </c>
      <c r="I117" s="465" t="s">
        <v>537</v>
      </c>
      <c r="J117" s="465" t="s">
        <v>537</v>
      </c>
      <c r="K117" s="466">
        <v>14950</v>
      </c>
      <c r="L117" s="465" t="s">
        <v>537</v>
      </c>
      <c r="M117" s="465" t="s">
        <v>537</v>
      </c>
      <c r="N117" s="466">
        <v>14950</v>
      </c>
      <c r="O117" s="463" t="s">
        <v>537</v>
      </c>
      <c r="P117" s="463" t="s">
        <v>537</v>
      </c>
      <c r="Q117" s="465">
        <v>0</v>
      </c>
      <c r="R117" s="463" t="s">
        <v>646</v>
      </c>
      <c r="S117" s="463" t="s">
        <v>794</v>
      </c>
      <c r="T117" s="463">
        <v>83</v>
      </c>
      <c r="U117" s="463">
        <v>6</v>
      </c>
      <c r="V117" s="463">
        <v>0</v>
      </c>
      <c r="W117" s="463">
        <v>83</v>
      </c>
      <c r="X117" s="463">
        <v>6</v>
      </c>
      <c r="Y117" s="463">
        <v>0</v>
      </c>
      <c r="Z117" s="463">
        <v>96</v>
      </c>
      <c r="AA117" s="472" t="s">
        <v>547</v>
      </c>
      <c r="AB117" s="463" t="s">
        <v>539</v>
      </c>
      <c r="AC117" s="463" t="s">
        <v>539</v>
      </c>
      <c r="AD117" s="472" t="s">
        <v>795</v>
      </c>
      <c r="AE117" s="463">
        <v>80</v>
      </c>
      <c r="AF117" s="463">
        <v>88.61</v>
      </c>
      <c r="AG117" s="463" t="s">
        <v>375</v>
      </c>
      <c r="AH117" s="476"/>
      <c r="AI117" s="472" t="s">
        <v>537</v>
      </c>
      <c r="AJ117" s="472" t="s">
        <v>543</v>
      </c>
    </row>
    <row r="118" spans="2:36" ht="24" hidden="1" customHeight="1">
      <c r="B118" s="463">
        <v>90</v>
      </c>
      <c r="C118" s="464" t="s">
        <v>534</v>
      </c>
      <c r="D118" s="464"/>
      <c r="E118" s="464" t="s">
        <v>535</v>
      </c>
      <c r="F118" s="464"/>
      <c r="G118" s="464" t="s">
        <v>270</v>
      </c>
      <c r="H118" s="464" t="s">
        <v>796</v>
      </c>
      <c r="I118" s="465" t="s">
        <v>537</v>
      </c>
      <c r="J118" s="465" t="s">
        <v>537</v>
      </c>
      <c r="K118" s="466">
        <v>25000</v>
      </c>
      <c r="L118" s="465" t="s">
        <v>537</v>
      </c>
      <c r="M118" s="465" t="s">
        <v>537</v>
      </c>
      <c r="N118" s="466">
        <v>22850</v>
      </c>
      <c r="O118" s="463" t="s">
        <v>537</v>
      </c>
      <c r="P118" s="463" t="s">
        <v>537</v>
      </c>
      <c r="Q118" s="468">
        <v>2150</v>
      </c>
      <c r="R118" s="470">
        <v>241428</v>
      </c>
      <c r="S118" s="463" t="s">
        <v>623</v>
      </c>
      <c r="T118" s="463">
        <v>0</v>
      </c>
      <c r="U118" s="463">
        <v>0</v>
      </c>
      <c r="V118" s="463">
        <v>0</v>
      </c>
      <c r="W118" s="463">
        <v>160</v>
      </c>
      <c r="X118" s="463">
        <v>15</v>
      </c>
      <c r="Y118" s="463">
        <v>17</v>
      </c>
      <c r="Z118" s="463">
        <v>82</v>
      </c>
      <c r="AA118" s="472" t="s">
        <v>797</v>
      </c>
      <c r="AB118" s="463">
        <v>80</v>
      </c>
      <c r="AC118" s="463">
        <v>96</v>
      </c>
      <c r="AD118" s="472" t="s">
        <v>571</v>
      </c>
      <c r="AE118" s="463">
        <v>80</v>
      </c>
      <c r="AF118" s="463">
        <v>89</v>
      </c>
      <c r="AG118" s="463" t="s">
        <v>375</v>
      </c>
      <c r="AH118" s="476"/>
      <c r="AI118" s="472">
        <v>830611031</v>
      </c>
      <c r="AJ118" s="472" t="s">
        <v>543</v>
      </c>
    </row>
    <row r="119" spans="2:36" ht="24" hidden="1" customHeight="1">
      <c r="B119" s="463">
        <v>91</v>
      </c>
      <c r="C119" s="464" t="s">
        <v>534</v>
      </c>
      <c r="D119" s="464"/>
      <c r="E119" s="464" t="s">
        <v>535</v>
      </c>
      <c r="F119" s="464"/>
      <c r="G119" s="464" t="s">
        <v>270</v>
      </c>
      <c r="H119" s="464" t="s">
        <v>798</v>
      </c>
      <c r="I119" s="465" t="s">
        <v>537</v>
      </c>
      <c r="J119" s="465" t="s">
        <v>537</v>
      </c>
      <c r="K119" s="466">
        <v>25000</v>
      </c>
      <c r="L119" s="465" t="s">
        <v>537</v>
      </c>
      <c r="M119" s="465" t="s">
        <v>537</v>
      </c>
      <c r="N119" s="466">
        <v>24600</v>
      </c>
      <c r="O119" s="463" t="s">
        <v>537</v>
      </c>
      <c r="P119" s="463" t="s">
        <v>537</v>
      </c>
      <c r="Q119" s="465">
        <v>400</v>
      </c>
      <c r="R119" s="470">
        <v>241428</v>
      </c>
      <c r="S119" s="463" t="s">
        <v>623</v>
      </c>
      <c r="T119" s="463">
        <v>0</v>
      </c>
      <c r="U119" s="463">
        <v>0</v>
      </c>
      <c r="V119" s="463">
        <v>0</v>
      </c>
      <c r="W119" s="463">
        <v>100</v>
      </c>
      <c r="X119" s="463">
        <v>13</v>
      </c>
      <c r="Y119" s="463">
        <v>80</v>
      </c>
      <c r="Z119" s="463">
        <v>90</v>
      </c>
      <c r="AA119" s="472" t="s">
        <v>797</v>
      </c>
      <c r="AB119" s="463">
        <v>80</v>
      </c>
      <c r="AC119" s="463">
        <v>90</v>
      </c>
      <c r="AD119" s="472" t="s">
        <v>797</v>
      </c>
      <c r="AE119" s="463">
        <v>80</v>
      </c>
      <c r="AF119" s="463">
        <v>90</v>
      </c>
      <c r="AG119" s="463" t="s">
        <v>375</v>
      </c>
      <c r="AH119" s="476"/>
      <c r="AI119" s="472">
        <v>819786283</v>
      </c>
      <c r="AJ119" s="472" t="s">
        <v>543</v>
      </c>
    </row>
    <row r="120" spans="2:36" ht="24" hidden="1" customHeight="1">
      <c r="B120" s="463">
        <v>92</v>
      </c>
      <c r="C120" s="464" t="s">
        <v>534</v>
      </c>
      <c r="D120" s="464"/>
      <c r="E120" s="464" t="s">
        <v>535</v>
      </c>
      <c r="F120" s="464"/>
      <c r="G120" s="464" t="s">
        <v>270</v>
      </c>
      <c r="H120" s="464" t="s">
        <v>799</v>
      </c>
      <c r="I120" s="465" t="s">
        <v>537</v>
      </c>
      <c r="J120" s="465" t="s">
        <v>537</v>
      </c>
      <c r="K120" s="466">
        <v>25000</v>
      </c>
      <c r="L120" s="465" t="s">
        <v>537</v>
      </c>
      <c r="M120" s="465" t="s">
        <v>537</v>
      </c>
      <c r="N120" s="466">
        <v>25000</v>
      </c>
      <c r="O120" s="463" t="s">
        <v>537</v>
      </c>
      <c r="P120" s="463" t="s">
        <v>537</v>
      </c>
      <c r="Q120" s="465">
        <v>0</v>
      </c>
      <c r="R120" s="470">
        <v>241428</v>
      </c>
      <c r="S120" s="463" t="s">
        <v>623</v>
      </c>
      <c r="T120" s="463">
        <v>0</v>
      </c>
      <c r="U120" s="463">
        <v>0</v>
      </c>
      <c r="V120" s="463">
        <v>0</v>
      </c>
      <c r="W120" s="463">
        <v>25</v>
      </c>
      <c r="X120" s="463">
        <v>11</v>
      </c>
      <c r="Y120" s="463">
        <v>114</v>
      </c>
      <c r="Z120" s="463">
        <v>85</v>
      </c>
      <c r="AA120" s="472" t="s">
        <v>797</v>
      </c>
      <c r="AB120" s="463">
        <v>80</v>
      </c>
      <c r="AC120" s="463">
        <v>92</v>
      </c>
      <c r="AD120" s="472" t="s">
        <v>797</v>
      </c>
      <c r="AE120" s="463">
        <v>80</v>
      </c>
      <c r="AF120" s="463">
        <v>92</v>
      </c>
      <c r="AG120" s="463" t="s">
        <v>375</v>
      </c>
      <c r="AH120" s="476"/>
      <c r="AI120" s="472">
        <v>815990778</v>
      </c>
      <c r="AJ120" s="472" t="s">
        <v>543</v>
      </c>
    </row>
    <row r="121" spans="2:36" ht="24" hidden="1" customHeight="1">
      <c r="B121" s="463">
        <v>93</v>
      </c>
      <c r="C121" s="464" t="s">
        <v>534</v>
      </c>
      <c r="D121" s="464"/>
      <c r="E121" s="464" t="s">
        <v>535</v>
      </c>
      <c r="F121" s="464"/>
      <c r="G121" s="464" t="s">
        <v>270</v>
      </c>
      <c r="H121" s="464" t="s">
        <v>800</v>
      </c>
      <c r="I121" s="465" t="s">
        <v>537</v>
      </c>
      <c r="J121" s="465" t="s">
        <v>537</v>
      </c>
      <c r="K121" s="466">
        <v>26000</v>
      </c>
      <c r="L121" s="465" t="s">
        <v>537</v>
      </c>
      <c r="M121" s="465" t="s">
        <v>537</v>
      </c>
      <c r="N121" s="466">
        <v>26000</v>
      </c>
      <c r="O121" s="463" t="s">
        <v>537</v>
      </c>
      <c r="P121" s="463" t="s">
        <v>537</v>
      </c>
      <c r="Q121" s="465">
        <v>0</v>
      </c>
      <c r="R121" s="470">
        <v>241428</v>
      </c>
      <c r="S121" s="463" t="s">
        <v>623</v>
      </c>
      <c r="T121" s="463">
        <v>0</v>
      </c>
      <c r="U121" s="463">
        <v>0</v>
      </c>
      <c r="V121" s="463">
        <v>0</v>
      </c>
      <c r="W121" s="463">
        <v>10</v>
      </c>
      <c r="X121" s="463">
        <v>6</v>
      </c>
      <c r="Y121" s="463">
        <v>20</v>
      </c>
      <c r="Z121" s="463">
        <v>96.8</v>
      </c>
      <c r="AA121" s="472" t="s">
        <v>797</v>
      </c>
      <c r="AB121" s="463">
        <v>80</v>
      </c>
      <c r="AC121" s="463">
        <v>96</v>
      </c>
      <c r="AD121" s="472" t="s">
        <v>571</v>
      </c>
      <c r="AE121" s="463">
        <v>80</v>
      </c>
      <c r="AF121" s="463">
        <v>96</v>
      </c>
      <c r="AG121" s="463" t="s">
        <v>375</v>
      </c>
      <c r="AH121" s="476"/>
      <c r="AI121" s="472">
        <v>891696364</v>
      </c>
      <c r="AJ121" s="472" t="s">
        <v>543</v>
      </c>
    </row>
    <row r="122" spans="2:36" ht="24" hidden="1" customHeight="1">
      <c r="B122" s="463">
        <v>94</v>
      </c>
      <c r="C122" s="464" t="s">
        <v>534</v>
      </c>
      <c r="D122" s="464"/>
      <c r="E122" s="464" t="s">
        <v>535</v>
      </c>
      <c r="F122" s="464"/>
      <c r="G122" s="464" t="s">
        <v>270</v>
      </c>
      <c r="H122" s="464" t="s">
        <v>801</v>
      </c>
      <c r="I122" s="465" t="s">
        <v>537</v>
      </c>
      <c r="J122" s="465" t="s">
        <v>537</v>
      </c>
      <c r="K122" s="466">
        <v>25000</v>
      </c>
      <c r="L122" s="465" t="s">
        <v>537</v>
      </c>
      <c r="M122" s="465" t="s">
        <v>537</v>
      </c>
      <c r="N122" s="466">
        <v>25000</v>
      </c>
      <c r="O122" s="463" t="s">
        <v>537</v>
      </c>
      <c r="P122" s="463" t="s">
        <v>537</v>
      </c>
      <c r="Q122" s="465">
        <v>0</v>
      </c>
      <c r="R122" s="470">
        <v>241428</v>
      </c>
      <c r="S122" s="463" t="s">
        <v>623</v>
      </c>
      <c r="T122" s="463">
        <v>0</v>
      </c>
      <c r="U122" s="463">
        <v>0</v>
      </c>
      <c r="V122" s="463">
        <v>0</v>
      </c>
      <c r="W122" s="463">
        <v>80</v>
      </c>
      <c r="X122" s="463">
        <v>30</v>
      </c>
      <c r="Y122" s="463">
        <v>100</v>
      </c>
      <c r="Z122" s="463">
        <v>91.25</v>
      </c>
      <c r="AA122" s="472" t="s">
        <v>797</v>
      </c>
      <c r="AB122" s="463">
        <v>80</v>
      </c>
      <c r="AC122" s="463">
        <v>91</v>
      </c>
      <c r="AD122" s="472" t="s">
        <v>571</v>
      </c>
      <c r="AE122" s="463">
        <v>80</v>
      </c>
      <c r="AF122" s="463">
        <v>91.5</v>
      </c>
      <c r="AG122" s="463" t="s">
        <v>375</v>
      </c>
      <c r="AH122" s="476"/>
      <c r="AI122" s="472">
        <v>992355451</v>
      </c>
      <c r="AJ122" s="472" t="s">
        <v>543</v>
      </c>
    </row>
    <row r="123" spans="2:36" ht="24" hidden="1" customHeight="1">
      <c r="B123" s="463">
        <v>95</v>
      </c>
      <c r="C123" s="464" t="s">
        <v>534</v>
      </c>
      <c r="D123" s="464"/>
      <c r="E123" s="464" t="s">
        <v>535</v>
      </c>
      <c r="F123" s="464"/>
      <c r="G123" s="464" t="s">
        <v>270</v>
      </c>
      <c r="H123" s="464" t="s">
        <v>802</v>
      </c>
      <c r="I123" s="465" t="s">
        <v>537</v>
      </c>
      <c r="J123" s="465" t="s">
        <v>537</v>
      </c>
      <c r="K123" s="466">
        <v>25000</v>
      </c>
      <c r="L123" s="465" t="s">
        <v>537</v>
      </c>
      <c r="M123" s="465" t="s">
        <v>537</v>
      </c>
      <c r="N123" s="466">
        <v>25000</v>
      </c>
      <c r="O123" s="463" t="s">
        <v>537</v>
      </c>
      <c r="P123" s="463" t="s">
        <v>537</v>
      </c>
      <c r="Q123" s="465">
        <v>0</v>
      </c>
      <c r="R123" s="470">
        <v>241428</v>
      </c>
      <c r="S123" s="463" t="s">
        <v>623</v>
      </c>
      <c r="T123" s="463">
        <v>0</v>
      </c>
      <c r="U123" s="463">
        <v>0</v>
      </c>
      <c r="V123" s="463">
        <v>0</v>
      </c>
      <c r="W123" s="463">
        <v>40</v>
      </c>
      <c r="X123" s="463">
        <v>6</v>
      </c>
      <c r="Y123" s="463">
        <v>0</v>
      </c>
      <c r="Z123" s="463">
        <v>97.6</v>
      </c>
      <c r="AA123" s="472" t="s">
        <v>797</v>
      </c>
      <c r="AB123" s="463">
        <v>80</v>
      </c>
      <c r="AC123" s="463">
        <v>96</v>
      </c>
      <c r="AD123" s="472" t="s">
        <v>571</v>
      </c>
      <c r="AE123" s="463">
        <v>80</v>
      </c>
      <c r="AF123" s="463">
        <v>96</v>
      </c>
      <c r="AG123" s="463" t="s">
        <v>375</v>
      </c>
      <c r="AH123" s="476"/>
      <c r="AI123" s="472">
        <v>961595997</v>
      </c>
      <c r="AJ123" s="472" t="s">
        <v>543</v>
      </c>
    </row>
    <row r="124" spans="2:36" ht="24" hidden="1" customHeight="1">
      <c r="B124" s="463">
        <v>96</v>
      </c>
      <c r="C124" s="464" t="s">
        <v>534</v>
      </c>
      <c r="D124" s="464"/>
      <c r="E124" s="464" t="s">
        <v>535</v>
      </c>
      <c r="F124" s="464"/>
      <c r="G124" s="464" t="s">
        <v>270</v>
      </c>
      <c r="H124" s="464" t="s">
        <v>803</v>
      </c>
      <c r="I124" s="465" t="s">
        <v>537</v>
      </c>
      <c r="J124" s="465" t="s">
        <v>537</v>
      </c>
      <c r="K124" s="466">
        <v>99000</v>
      </c>
      <c r="L124" s="465" t="s">
        <v>537</v>
      </c>
      <c r="M124" s="465" t="s">
        <v>537</v>
      </c>
      <c r="N124" s="466">
        <v>99000</v>
      </c>
      <c r="O124" s="463" t="s">
        <v>537</v>
      </c>
      <c r="P124" s="463" t="s">
        <v>537</v>
      </c>
      <c r="Q124" s="465">
        <v>0</v>
      </c>
      <c r="R124" s="470">
        <v>241428</v>
      </c>
      <c r="S124" s="463" t="s">
        <v>623</v>
      </c>
      <c r="T124" s="463">
        <v>0</v>
      </c>
      <c r="U124" s="463">
        <v>0</v>
      </c>
      <c r="V124" s="463">
        <v>0</v>
      </c>
      <c r="W124" s="463">
        <v>262</v>
      </c>
      <c r="X124" s="463">
        <v>92</v>
      </c>
      <c r="Y124" s="463">
        <v>1154</v>
      </c>
      <c r="Z124" s="463">
        <v>83.94</v>
      </c>
      <c r="AA124" s="472" t="s">
        <v>797</v>
      </c>
      <c r="AB124" s="463">
        <v>80</v>
      </c>
      <c r="AC124" s="463">
        <v>80.8</v>
      </c>
      <c r="AD124" s="472" t="s">
        <v>571</v>
      </c>
      <c r="AE124" s="463">
        <v>80</v>
      </c>
      <c r="AF124" s="463">
        <v>88.8</v>
      </c>
      <c r="AG124" s="463" t="s">
        <v>375</v>
      </c>
      <c r="AH124" s="476"/>
      <c r="AI124" s="472">
        <v>813262944</v>
      </c>
      <c r="AJ124" s="472" t="s">
        <v>543</v>
      </c>
    </row>
    <row r="125" spans="2:36" ht="24" hidden="1" customHeight="1">
      <c r="B125" s="463">
        <v>97</v>
      </c>
      <c r="C125" s="464" t="s">
        <v>534</v>
      </c>
      <c r="D125" s="464" t="s">
        <v>544</v>
      </c>
      <c r="E125" s="464" t="s">
        <v>535</v>
      </c>
      <c r="F125" s="464"/>
      <c r="G125" s="464" t="s">
        <v>270</v>
      </c>
      <c r="H125" s="464" t="s">
        <v>804</v>
      </c>
      <c r="I125" s="466">
        <v>25000</v>
      </c>
      <c r="J125" s="465" t="s">
        <v>537</v>
      </c>
      <c r="K125" s="465" t="s">
        <v>537</v>
      </c>
      <c r="L125" s="466">
        <v>25000</v>
      </c>
      <c r="M125" s="465" t="s">
        <v>537</v>
      </c>
      <c r="N125" s="465" t="s">
        <v>537</v>
      </c>
      <c r="O125" s="463" t="s">
        <v>537</v>
      </c>
      <c r="P125" s="463" t="s">
        <v>537</v>
      </c>
      <c r="Q125" s="465">
        <v>0</v>
      </c>
      <c r="R125" s="463" t="s">
        <v>805</v>
      </c>
      <c r="S125" s="463" t="s">
        <v>806</v>
      </c>
      <c r="T125" s="463">
        <v>20</v>
      </c>
      <c r="U125" s="463">
        <v>5</v>
      </c>
      <c r="V125" s="463">
        <v>0</v>
      </c>
      <c r="W125" s="463">
        <v>20</v>
      </c>
      <c r="X125" s="463">
        <v>5</v>
      </c>
      <c r="Y125" s="463">
        <v>0</v>
      </c>
      <c r="Z125" s="463">
        <v>89.5</v>
      </c>
      <c r="AA125" s="472" t="s">
        <v>547</v>
      </c>
      <c r="AB125" s="463" t="s">
        <v>539</v>
      </c>
      <c r="AC125" s="463" t="s">
        <v>539</v>
      </c>
      <c r="AD125" s="472" t="s">
        <v>548</v>
      </c>
      <c r="AE125" s="463">
        <v>80</v>
      </c>
      <c r="AF125" s="463">
        <v>89.5</v>
      </c>
      <c r="AG125" s="463" t="s">
        <v>375</v>
      </c>
      <c r="AH125" s="476"/>
      <c r="AI125" s="472" t="s">
        <v>807</v>
      </c>
      <c r="AJ125" s="464"/>
    </row>
    <row r="126" spans="2:36" ht="24" hidden="1" customHeight="1">
      <c r="B126" s="463">
        <v>98</v>
      </c>
      <c r="C126" s="464" t="s">
        <v>534</v>
      </c>
      <c r="D126" s="464" t="s">
        <v>544</v>
      </c>
      <c r="E126" s="464" t="s">
        <v>535</v>
      </c>
      <c r="F126" s="464"/>
      <c r="G126" s="464" t="s">
        <v>270</v>
      </c>
      <c r="H126" s="464" t="s">
        <v>808</v>
      </c>
      <c r="I126" s="466">
        <v>25000</v>
      </c>
      <c r="J126" s="465" t="s">
        <v>537</v>
      </c>
      <c r="K126" s="465" t="s">
        <v>537</v>
      </c>
      <c r="L126" s="466">
        <v>24390</v>
      </c>
      <c r="M126" s="465" t="s">
        <v>537</v>
      </c>
      <c r="N126" s="465" t="s">
        <v>537</v>
      </c>
      <c r="O126" s="463" t="s">
        <v>537</v>
      </c>
      <c r="P126" s="463" t="s">
        <v>537</v>
      </c>
      <c r="Q126" s="465">
        <v>610</v>
      </c>
      <c r="R126" s="470">
        <v>241428</v>
      </c>
      <c r="S126" s="471">
        <v>22312</v>
      </c>
      <c r="T126" s="463">
        <v>45</v>
      </c>
      <c r="U126" s="463">
        <v>5</v>
      </c>
      <c r="V126" s="463">
        <v>0</v>
      </c>
      <c r="W126" s="463">
        <v>45</v>
      </c>
      <c r="X126" s="463">
        <v>5</v>
      </c>
      <c r="Y126" s="463">
        <v>0</v>
      </c>
      <c r="Z126" s="464"/>
      <c r="AA126" s="472" t="s">
        <v>547</v>
      </c>
      <c r="AB126" s="463" t="s">
        <v>539</v>
      </c>
      <c r="AC126" s="463" t="s">
        <v>539</v>
      </c>
      <c r="AD126" s="472" t="s">
        <v>548</v>
      </c>
      <c r="AE126" s="463">
        <v>80</v>
      </c>
      <c r="AF126" s="463">
        <v>80</v>
      </c>
      <c r="AG126" s="463" t="s">
        <v>375</v>
      </c>
      <c r="AH126" s="476"/>
      <c r="AI126" s="472" t="s">
        <v>809</v>
      </c>
      <c r="AJ126" s="464"/>
    </row>
    <row r="127" spans="2:36" ht="24" hidden="1" customHeight="1">
      <c r="B127" s="463">
        <v>99</v>
      </c>
      <c r="C127" s="464" t="s">
        <v>534</v>
      </c>
      <c r="D127" s="464" t="s">
        <v>544</v>
      </c>
      <c r="E127" s="464" t="s">
        <v>535</v>
      </c>
      <c r="F127" s="464"/>
      <c r="G127" s="464" t="s">
        <v>270</v>
      </c>
      <c r="H127" s="464" t="s">
        <v>810</v>
      </c>
      <c r="I127" s="466">
        <v>25000</v>
      </c>
      <c r="J127" s="465" t="s">
        <v>537</v>
      </c>
      <c r="K127" s="465" t="s">
        <v>537</v>
      </c>
      <c r="L127" s="466">
        <v>24850</v>
      </c>
      <c r="M127" s="465" t="s">
        <v>537</v>
      </c>
      <c r="N127" s="465" t="s">
        <v>537</v>
      </c>
      <c r="O127" s="463" t="s">
        <v>537</v>
      </c>
      <c r="P127" s="463" t="s">
        <v>537</v>
      </c>
      <c r="Q127" s="465">
        <v>150</v>
      </c>
      <c r="R127" s="470">
        <v>241428</v>
      </c>
      <c r="S127" s="463" t="s">
        <v>811</v>
      </c>
      <c r="T127" s="463">
        <v>40</v>
      </c>
      <c r="U127" s="463">
        <v>8</v>
      </c>
      <c r="V127" s="463">
        <v>0</v>
      </c>
      <c r="W127" s="463">
        <v>40</v>
      </c>
      <c r="X127" s="463">
        <v>8</v>
      </c>
      <c r="Y127" s="463">
        <v>0</v>
      </c>
      <c r="Z127" s="463">
        <v>90</v>
      </c>
      <c r="AA127" s="472" t="s">
        <v>547</v>
      </c>
      <c r="AB127" s="463" t="s">
        <v>539</v>
      </c>
      <c r="AC127" s="463" t="s">
        <v>539</v>
      </c>
      <c r="AD127" s="472" t="s">
        <v>548</v>
      </c>
      <c r="AE127" s="463">
        <v>80</v>
      </c>
      <c r="AF127" s="463">
        <v>90</v>
      </c>
      <c r="AG127" s="463" t="s">
        <v>375</v>
      </c>
      <c r="AH127" s="476"/>
      <c r="AI127" s="472" t="s">
        <v>812</v>
      </c>
      <c r="AJ127" s="464"/>
    </row>
    <row r="128" spans="2:36" ht="24" hidden="1" customHeight="1">
      <c r="B128" s="463">
        <v>100</v>
      </c>
      <c r="C128" s="464" t="s">
        <v>534</v>
      </c>
      <c r="D128" s="464" t="s">
        <v>544</v>
      </c>
      <c r="E128" s="464" t="s">
        <v>535</v>
      </c>
      <c r="F128" s="464"/>
      <c r="G128" s="464" t="s">
        <v>270</v>
      </c>
      <c r="H128" s="464" t="s">
        <v>813</v>
      </c>
      <c r="I128" s="466">
        <v>25000</v>
      </c>
      <c r="J128" s="465" t="s">
        <v>537</v>
      </c>
      <c r="K128" s="465" t="s">
        <v>537</v>
      </c>
      <c r="L128" s="466">
        <v>25000</v>
      </c>
      <c r="M128" s="465" t="s">
        <v>537</v>
      </c>
      <c r="N128" s="465" t="s">
        <v>537</v>
      </c>
      <c r="O128" s="463" t="s">
        <v>537</v>
      </c>
      <c r="P128" s="463" t="s">
        <v>537</v>
      </c>
      <c r="Q128" s="465">
        <v>0</v>
      </c>
      <c r="R128" s="470">
        <v>241459</v>
      </c>
      <c r="S128" s="471">
        <v>22322</v>
      </c>
      <c r="T128" s="463">
        <v>80</v>
      </c>
      <c r="U128" s="463">
        <v>13</v>
      </c>
      <c r="V128" s="463">
        <v>0</v>
      </c>
      <c r="W128" s="463">
        <v>87</v>
      </c>
      <c r="X128" s="463">
        <v>15</v>
      </c>
      <c r="Y128" s="463">
        <v>0</v>
      </c>
      <c r="Z128" s="463">
        <v>89</v>
      </c>
      <c r="AA128" s="472" t="s">
        <v>547</v>
      </c>
      <c r="AB128" s="463" t="s">
        <v>539</v>
      </c>
      <c r="AC128" s="463" t="s">
        <v>539</v>
      </c>
      <c r="AD128" s="472" t="s">
        <v>548</v>
      </c>
      <c r="AE128" s="463">
        <v>80</v>
      </c>
      <c r="AF128" s="463">
        <v>90</v>
      </c>
      <c r="AG128" s="463" t="s">
        <v>375</v>
      </c>
      <c r="AH128" s="476"/>
      <c r="AI128" s="472" t="s">
        <v>787</v>
      </c>
      <c r="AJ128" s="464"/>
    </row>
    <row r="129" spans="1:36" ht="24" hidden="1" customHeight="1">
      <c r="B129" s="463">
        <v>101</v>
      </c>
      <c r="C129" s="464" t="s">
        <v>534</v>
      </c>
      <c r="D129" s="464" t="s">
        <v>544</v>
      </c>
      <c r="E129" s="464" t="s">
        <v>535</v>
      </c>
      <c r="F129" s="464"/>
      <c r="G129" s="464" t="s">
        <v>270</v>
      </c>
      <c r="H129" s="464" t="s">
        <v>814</v>
      </c>
      <c r="I129" s="466">
        <v>25000</v>
      </c>
      <c r="J129" s="465" t="s">
        <v>537</v>
      </c>
      <c r="K129" s="465" t="s">
        <v>537</v>
      </c>
      <c r="L129" s="466">
        <v>25000</v>
      </c>
      <c r="M129" s="465" t="s">
        <v>537</v>
      </c>
      <c r="N129" s="465" t="s">
        <v>537</v>
      </c>
      <c r="O129" s="463" t="s">
        <v>537</v>
      </c>
      <c r="P129" s="463" t="s">
        <v>537</v>
      </c>
      <c r="Q129" s="465">
        <v>0</v>
      </c>
      <c r="R129" s="470">
        <v>241609</v>
      </c>
      <c r="S129" s="463" t="s">
        <v>815</v>
      </c>
      <c r="T129" s="463">
        <v>20</v>
      </c>
      <c r="U129" s="463">
        <v>10</v>
      </c>
      <c r="V129" s="463">
        <v>0</v>
      </c>
      <c r="W129" s="463">
        <v>22</v>
      </c>
      <c r="X129" s="463">
        <v>10</v>
      </c>
      <c r="Y129" s="463">
        <v>0</v>
      </c>
      <c r="Z129" s="463">
        <v>86.85</v>
      </c>
      <c r="AA129" s="472" t="s">
        <v>547</v>
      </c>
      <c r="AB129" s="463" t="s">
        <v>539</v>
      </c>
      <c r="AC129" s="463" t="s">
        <v>539</v>
      </c>
      <c r="AD129" s="472" t="s">
        <v>548</v>
      </c>
      <c r="AE129" s="463">
        <v>80</v>
      </c>
      <c r="AF129" s="463">
        <v>85.84</v>
      </c>
      <c r="AG129" s="463" t="s">
        <v>375</v>
      </c>
      <c r="AH129" s="476"/>
      <c r="AI129" s="472" t="s">
        <v>816</v>
      </c>
      <c r="AJ129" s="464"/>
    </row>
    <row r="130" spans="1:36" ht="24" hidden="1" customHeight="1">
      <c r="B130" s="463">
        <v>102</v>
      </c>
      <c r="C130" s="464" t="s">
        <v>534</v>
      </c>
      <c r="D130" s="464" t="s">
        <v>544</v>
      </c>
      <c r="E130" s="464" t="s">
        <v>535</v>
      </c>
      <c r="F130" s="464"/>
      <c r="G130" s="464" t="s">
        <v>270</v>
      </c>
      <c r="H130" s="464" t="s">
        <v>817</v>
      </c>
      <c r="I130" s="466">
        <v>25000</v>
      </c>
      <c r="J130" s="465" t="s">
        <v>537</v>
      </c>
      <c r="K130" s="465" t="s">
        <v>537</v>
      </c>
      <c r="L130" s="466">
        <v>22000</v>
      </c>
      <c r="M130" s="465" t="s">
        <v>537</v>
      </c>
      <c r="N130" s="465" t="s">
        <v>537</v>
      </c>
      <c r="O130" s="463" t="s">
        <v>537</v>
      </c>
      <c r="P130" s="463" t="s">
        <v>537</v>
      </c>
      <c r="Q130" s="468">
        <v>3000</v>
      </c>
      <c r="R130" s="463" t="s">
        <v>818</v>
      </c>
      <c r="S130" s="471">
        <v>22336</v>
      </c>
      <c r="T130" s="463">
        <v>30</v>
      </c>
      <c r="U130" s="463">
        <v>4</v>
      </c>
      <c r="V130" s="463">
        <v>1</v>
      </c>
      <c r="W130" s="463">
        <v>35</v>
      </c>
      <c r="X130" s="463">
        <v>8</v>
      </c>
      <c r="Y130" s="463">
        <v>1</v>
      </c>
      <c r="Z130" s="463">
        <v>93.49</v>
      </c>
      <c r="AA130" s="472" t="s">
        <v>547</v>
      </c>
      <c r="AB130" s="463" t="s">
        <v>539</v>
      </c>
      <c r="AC130" s="463" t="s">
        <v>539</v>
      </c>
      <c r="AD130" s="472" t="s">
        <v>548</v>
      </c>
      <c r="AE130" s="463">
        <v>80</v>
      </c>
      <c r="AF130" s="463">
        <v>93.71</v>
      </c>
      <c r="AG130" s="463" t="s">
        <v>375</v>
      </c>
      <c r="AH130" s="476"/>
      <c r="AI130" s="472" t="s">
        <v>819</v>
      </c>
      <c r="AJ130" s="464"/>
    </row>
    <row r="131" spans="1:36" ht="24" hidden="1" customHeight="1">
      <c r="B131" s="463">
        <v>103</v>
      </c>
      <c r="C131" s="464" t="s">
        <v>534</v>
      </c>
      <c r="D131" s="464" t="s">
        <v>544</v>
      </c>
      <c r="E131" s="464" t="s">
        <v>535</v>
      </c>
      <c r="F131" s="464"/>
      <c r="G131" s="464" t="s">
        <v>270</v>
      </c>
      <c r="H131" s="464" t="s">
        <v>820</v>
      </c>
      <c r="I131" s="466">
        <v>25000</v>
      </c>
      <c r="J131" s="465" t="s">
        <v>537</v>
      </c>
      <c r="K131" s="465" t="s">
        <v>537</v>
      </c>
      <c r="L131" s="466">
        <v>25000</v>
      </c>
      <c r="M131" s="465" t="s">
        <v>537</v>
      </c>
      <c r="N131" s="465" t="s">
        <v>537</v>
      </c>
      <c r="O131" s="463" t="s">
        <v>537</v>
      </c>
      <c r="P131" s="463" t="s">
        <v>537</v>
      </c>
      <c r="Q131" s="465">
        <v>0</v>
      </c>
      <c r="R131" s="470">
        <v>241428</v>
      </c>
      <c r="S131" s="463" t="s">
        <v>821</v>
      </c>
      <c r="T131" s="463">
        <v>35</v>
      </c>
      <c r="U131" s="463">
        <v>5</v>
      </c>
      <c r="V131" s="463">
        <v>0</v>
      </c>
      <c r="W131" s="463">
        <v>35</v>
      </c>
      <c r="X131" s="463">
        <v>5</v>
      </c>
      <c r="Y131" s="464"/>
      <c r="Z131" s="463">
        <v>98.8</v>
      </c>
      <c r="AA131" s="472" t="s">
        <v>547</v>
      </c>
      <c r="AB131" s="463" t="s">
        <v>539</v>
      </c>
      <c r="AC131" s="463" t="s">
        <v>539</v>
      </c>
      <c r="AD131" s="472" t="s">
        <v>548</v>
      </c>
      <c r="AE131" s="463">
        <v>80</v>
      </c>
      <c r="AF131" s="463">
        <v>99.1</v>
      </c>
      <c r="AG131" s="463" t="s">
        <v>375</v>
      </c>
      <c r="AH131" s="476"/>
      <c r="AI131" s="472" t="s">
        <v>738</v>
      </c>
      <c r="AJ131" s="464"/>
    </row>
    <row r="132" spans="1:36" ht="24" customHeight="1">
      <c r="A132" s="452">
        <v>18</v>
      </c>
      <c r="B132" s="701">
        <v>104</v>
      </c>
      <c r="C132" s="699" t="s">
        <v>337</v>
      </c>
      <c r="D132" s="699" t="s">
        <v>544</v>
      </c>
      <c r="E132" s="699" t="s">
        <v>545</v>
      </c>
      <c r="F132" s="699"/>
      <c r="G132" s="699" t="s">
        <v>270</v>
      </c>
      <c r="H132" s="699" t="s">
        <v>822</v>
      </c>
      <c r="I132" s="712">
        <v>30000</v>
      </c>
      <c r="J132" s="709" t="s">
        <v>537</v>
      </c>
      <c r="K132" s="709" t="s">
        <v>537</v>
      </c>
      <c r="L132" s="712">
        <v>29748</v>
      </c>
      <c r="M132" s="709" t="s">
        <v>537</v>
      </c>
      <c r="N132" s="709" t="s">
        <v>537</v>
      </c>
      <c r="O132" s="701" t="s">
        <v>537</v>
      </c>
      <c r="P132" s="701" t="s">
        <v>537</v>
      </c>
      <c r="Q132" s="709">
        <v>252</v>
      </c>
      <c r="R132" s="707">
        <v>241459</v>
      </c>
      <c r="S132" s="701" t="s">
        <v>823</v>
      </c>
      <c r="T132" s="701">
        <v>0</v>
      </c>
      <c r="U132" s="701">
        <v>3</v>
      </c>
      <c r="V132" s="701">
        <v>17</v>
      </c>
      <c r="W132" s="701">
        <v>3</v>
      </c>
      <c r="X132" s="701">
        <v>0</v>
      </c>
      <c r="Y132" s="701">
        <v>17</v>
      </c>
      <c r="Z132" s="701">
        <v>86.5</v>
      </c>
      <c r="AA132" s="458" t="s">
        <v>547</v>
      </c>
      <c r="AB132" s="459" t="s">
        <v>539</v>
      </c>
      <c r="AC132" s="459" t="s">
        <v>539</v>
      </c>
      <c r="AD132" s="458" t="s">
        <v>548</v>
      </c>
      <c r="AE132" s="459">
        <v>80</v>
      </c>
      <c r="AF132" s="459">
        <v>85.2</v>
      </c>
      <c r="AG132" s="701" t="s">
        <v>376</v>
      </c>
      <c r="AH132" s="728"/>
      <c r="AI132" s="697" t="s">
        <v>824</v>
      </c>
      <c r="AJ132" s="699"/>
    </row>
    <row r="133" spans="1:36" ht="24" hidden="1" customHeight="1">
      <c r="B133" s="702"/>
      <c r="C133" s="700"/>
      <c r="D133" s="700"/>
      <c r="E133" s="700"/>
      <c r="F133" s="700"/>
      <c r="G133" s="700"/>
      <c r="H133" s="700"/>
      <c r="I133" s="713"/>
      <c r="J133" s="710"/>
      <c r="K133" s="710"/>
      <c r="L133" s="713"/>
      <c r="M133" s="710"/>
      <c r="N133" s="710"/>
      <c r="O133" s="702"/>
      <c r="P133" s="702"/>
      <c r="Q133" s="710"/>
      <c r="R133" s="708"/>
      <c r="S133" s="702"/>
      <c r="T133" s="702"/>
      <c r="U133" s="702"/>
      <c r="V133" s="702"/>
      <c r="W133" s="702"/>
      <c r="X133" s="702"/>
      <c r="Y133" s="702"/>
      <c r="Z133" s="702"/>
      <c r="AA133" s="473" t="s">
        <v>825</v>
      </c>
      <c r="AB133" s="474">
        <v>80</v>
      </c>
      <c r="AC133" s="474">
        <v>87.8</v>
      </c>
      <c r="AD133" s="473" t="s">
        <v>826</v>
      </c>
      <c r="AE133" s="474">
        <v>20</v>
      </c>
      <c r="AF133" s="474">
        <v>16</v>
      </c>
      <c r="AG133" s="702"/>
      <c r="AH133" s="729"/>
      <c r="AI133" s="698"/>
      <c r="AJ133" s="700"/>
    </row>
    <row r="134" spans="1:36" ht="24" customHeight="1">
      <c r="A134" s="452">
        <v>19</v>
      </c>
      <c r="B134" s="701">
        <v>105</v>
      </c>
      <c r="C134" s="699" t="s">
        <v>337</v>
      </c>
      <c r="D134" s="699" t="s">
        <v>544</v>
      </c>
      <c r="E134" s="699" t="s">
        <v>545</v>
      </c>
      <c r="F134" s="699"/>
      <c r="G134" s="699" t="s">
        <v>270</v>
      </c>
      <c r="H134" s="699" t="s">
        <v>827</v>
      </c>
      <c r="I134" s="712">
        <v>30000</v>
      </c>
      <c r="J134" s="709" t="s">
        <v>537</v>
      </c>
      <c r="K134" s="709" t="s">
        <v>537</v>
      </c>
      <c r="L134" s="712">
        <v>30000</v>
      </c>
      <c r="M134" s="709" t="s">
        <v>537</v>
      </c>
      <c r="N134" s="709" t="s">
        <v>537</v>
      </c>
      <c r="O134" s="701" t="s">
        <v>537</v>
      </c>
      <c r="P134" s="701" t="s">
        <v>537</v>
      </c>
      <c r="Q134" s="709">
        <v>0</v>
      </c>
      <c r="R134" s="707">
        <v>241487</v>
      </c>
      <c r="S134" s="721">
        <v>22370</v>
      </c>
      <c r="T134" s="701">
        <v>0</v>
      </c>
      <c r="U134" s="701">
        <v>2</v>
      </c>
      <c r="V134" s="701">
        <v>20</v>
      </c>
      <c r="W134" s="701">
        <v>0</v>
      </c>
      <c r="X134" s="701">
        <v>4</v>
      </c>
      <c r="Y134" s="701">
        <v>22</v>
      </c>
      <c r="Z134" s="701">
        <v>85.89</v>
      </c>
      <c r="AA134" s="458" t="s">
        <v>547</v>
      </c>
      <c r="AB134" s="459" t="s">
        <v>539</v>
      </c>
      <c r="AC134" s="459" t="s">
        <v>539</v>
      </c>
      <c r="AD134" s="697" t="s">
        <v>699</v>
      </c>
      <c r="AE134" s="701">
        <v>1</v>
      </c>
      <c r="AF134" s="701">
        <v>1</v>
      </c>
      <c r="AG134" s="701" t="s">
        <v>375</v>
      </c>
      <c r="AH134" s="728"/>
      <c r="AI134" s="697" t="s">
        <v>828</v>
      </c>
      <c r="AJ134" s="699"/>
    </row>
    <row r="135" spans="1:36" ht="24" hidden="1" customHeight="1">
      <c r="B135" s="702"/>
      <c r="C135" s="700"/>
      <c r="D135" s="700"/>
      <c r="E135" s="700"/>
      <c r="F135" s="700"/>
      <c r="G135" s="700"/>
      <c r="H135" s="700"/>
      <c r="I135" s="713"/>
      <c r="J135" s="710"/>
      <c r="K135" s="710"/>
      <c r="L135" s="713"/>
      <c r="M135" s="710"/>
      <c r="N135" s="710"/>
      <c r="O135" s="702"/>
      <c r="P135" s="702"/>
      <c r="Q135" s="710"/>
      <c r="R135" s="708"/>
      <c r="S135" s="722"/>
      <c r="T135" s="702"/>
      <c r="U135" s="702"/>
      <c r="V135" s="702"/>
      <c r="W135" s="702"/>
      <c r="X135" s="702"/>
      <c r="Y135" s="702"/>
      <c r="Z135" s="702"/>
      <c r="AA135" s="473" t="s">
        <v>829</v>
      </c>
      <c r="AB135" s="474" t="s">
        <v>539</v>
      </c>
      <c r="AC135" s="474" t="s">
        <v>539</v>
      </c>
      <c r="AD135" s="698"/>
      <c r="AE135" s="702"/>
      <c r="AF135" s="702"/>
      <c r="AG135" s="702"/>
      <c r="AH135" s="729"/>
      <c r="AI135" s="698"/>
      <c r="AJ135" s="700"/>
    </row>
    <row r="136" spans="1:36" ht="24" customHeight="1">
      <c r="A136" s="452">
        <v>20</v>
      </c>
      <c r="B136" s="701">
        <v>106</v>
      </c>
      <c r="C136" s="699" t="s">
        <v>337</v>
      </c>
      <c r="D136" s="699" t="s">
        <v>544</v>
      </c>
      <c r="E136" s="699" t="s">
        <v>545</v>
      </c>
      <c r="F136" s="699"/>
      <c r="G136" s="699" t="s">
        <v>270</v>
      </c>
      <c r="H136" s="699" t="s">
        <v>830</v>
      </c>
      <c r="I136" s="712">
        <v>80000</v>
      </c>
      <c r="J136" s="709" t="s">
        <v>537</v>
      </c>
      <c r="K136" s="709" t="s">
        <v>537</v>
      </c>
      <c r="L136" s="712">
        <v>80000</v>
      </c>
      <c r="M136" s="709" t="s">
        <v>537</v>
      </c>
      <c r="N136" s="709" t="s">
        <v>537</v>
      </c>
      <c r="O136" s="701" t="s">
        <v>537</v>
      </c>
      <c r="P136" s="701" t="s">
        <v>537</v>
      </c>
      <c r="Q136" s="709">
        <v>0</v>
      </c>
      <c r="R136" s="707">
        <v>241459</v>
      </c>
      <c r="S136" s="721">
        <v>22336</v>
      </c>
      <c r="T136" s="701">
        <v>0</v>
      </c>
      <c r="U136" s="701">
        <v>3</v>
      </c>
      <c r="V136" s="701">
        <v>30</v>
      </c>
      <c r="W136" s="701">
        <v>0</v>
      </c>
      <c r="X136" s="701">
        <v>6</v>
      </c>
      <c r="Y136" s="701">
        <v>30</v>
      </c>
      <c r="Z136" s="701">
        <v>92</v>
      </c>
      <c r="AA136" s="697" t="s">
        <v>547</v>
      </c>
      <c r="AB136" s="701" t="s">
        <v>539</v>
      </c>
      <c r="AC136" s="701" t="s">
        <v>539</v>
      </c>
      <c r="AD136" s="458" t="s">
        <v>733</v>
      </c>
      <c r="AE136" s="459">
        <v>1</v>
      </c>
      <c r="AF136" s="459">
        <v>1</v>
      </c>
      <c r="AG136" s="701" t="s">
        <v>375</v>
      </c>
      <c r="AH136" s="728"/>
      <c r="AI136" s="697" t="s">
        <v>734</v>
      </c>
      <c r="AJ136" s="699"/>
    </row>
    <row r="137" spans="1:36" ht="24" hidden="1" customHeight="1">
      <c r="B137" s="702"/>
      <c r="C137" s="700"/>
      <c r="D137" s="700"/>
      <c r="E137" s="700"/>
      <c r="F137" s="700"/>
      <c r="G137" s="700"/>
      <c r="H137" s="700"/>
      <c r="I137" s="713"/>
      <c r="J137" s="710"/>
      <c r="K137" s="710"/>
      <c r="L137" s="713"/>
      <c r="M137" s="710"/>
      <c r="N137" s="710"/>
      <c r="O137" s="702"/>
      <c r="P137" s="702"/>
      <c r="Q137" s="710"/>
      <c r="R137" s="708"/>
      <c r="S137" s="722"/>
      <c r="T137" s="702"/>
      <c r="U137" s="702"/>
      <c r="V137" s="702"/>
      <c r="W137" s="702"/>
      <c r="X137" s="702"/>
      <c r="Y137" s="702"/>
      <c r="Z137" s="702"/>
      <c r="AA137" s="698"/>
      <c r="AB137" s="702"/>
      <c r="AC137" s="702"/>
      <c r="AD137" s="473" t="s">
        <v>831</v>
      </c>
      <c r="AE137" s="474">
        <v>100</v>
      </c>
      <c r="AF137" s="474">
        <v>150</v>
      </c>
      <c r="AG137" s="702"/>
      <c r="AH137" s="729"/>
      <c r="AI137" s="698"/>
      <c r="AJ137" s="700"/>
    </row>
    <row r="138" spans="1:36" ht="24" customHeight="1">
      <c r="A138" s="452">
        <v>21</v>
      </c>
      <c r="B138" s="701">
        <v>107</v>
      </c>
      <c r="C138" s="699" t="s">
        <v>337</v>
      </c>
      <c r="D138" s="699" t="s">
        <v>544</v>
      </c>
      <c r="E138" s="699" t="s">
        <v>545</v>
      </c>
      <c r="F138" s="699"/>
      <c r="G138" s="699" t="s">
        <v>270</v>
      </c>
      <c r="H138" s="699" t="s">
        <v>832</v>
      </c>
      <c r="I138" s="712">
        <v>45000</v>
      </c>
      <c r="J138" s="709" t="s">
        <v>537</v>
      </c>
      <c r="K138" s="709" t="s">
        <v>537</v>
      </c>
      <c r="L138" s="712">
        <v>45000</v>
      </c>
      <c r="M138" s="709" t="s">
        <v>537</v>
      </c>
      <c r="N138" s="709" t="s">
        <v>537</v>
      </c>
      <c r="O138" s="701" t="s">
        <v>537</v>
      </c>
      <c r="P138" s="701" t="s">
        <v>537</v>
      </c>
      <c r="Q138" s="709">
        <v>0</v>
      </c>
      <c r="R138" s="707">
        <v>241459</v>
      </c>
      <c r="S138" s="721">
        <v>22335</v>
      </c>
      <c r="T138" s="701">
        <v>0</v>
      </c>
      <c r="U138" s="701">
        <v>2</v>
      </c>
      <c r="V138" s="701">
        <v>20</v>
      </c>
      <c r="W138" s="701">
        <v>0</v>
      </c>
      <c r="X138" s="701">
        <v>2</v>
      </c>
      <c r="Y138" s="701">
        <v>25</v>
      </c>
      <c r="Z138" s="701">
        <v>96.31</v>
      </c>
      <c r="AA138" s="458" t="s">
        <v>547</v>
      </c>
      <c r="AB138" s="459" t="s">
        <v>539</v>
      </c>
      <c r="AC138" s="459" t="s">
        <v>539</v>
      </c>
      <c r="AD138" s="458" t="s">
        <v>733</v>
      </c>
      <c r="AE138" s="459">
        <v>1</v>
      </c>
      <c r="AF138" s="459">
        <v>1</v>
      </c>
      <c r="AG138" s="701" t="s">
        <v>375</v>
      </c>
      <c r="AH138" s="728"/>
      <c r="AI138" s="697" t="s">
        <v>833</v>
      </c>
      <c r="AJ138" s="699"/>
    </row>
    <row r="139" spans="1:36" ht="24" hidden="1" customHeight="1">
      <c r="B139" s="702"/>
      <c r="C139" s="700"/>
      <c r="D139" s="700"/>
      <c r="E139" s="700"/>
      <c r="F139" s="700"/>
      <c r="G139" s="700"/>
      <c r="H139" s="700"/>
      <c r="I139" s="713"/>
      <c r="J139" s="710"/>
      <c r="K139" s="710"/>
      <c r="L139" s="713"/>
      <c r="M139" s="710"/>
      <c r="N139" s="710"/>
      <c r="O139" s="702"/>
      <c r="P139" s="702"/>
      <c r="Q139" s="710"/>
      <c r="R139" s="708"/>
      <c r="S139" s="722"/>
      <c r="T139" s="702"/>
      <c r="U139" s="702"/>
      <c r="V139" s="702"/>
      <c r="W139" s="702"/>
      <c r="X139" s="702"/>
      <c r="Y139" s="702"/>
      <c r="Z139" s="702"/>
      <c r="AA139" s="473" t="s">
        <v>834</v>
      </c>
      <c r="AB139" s="474">
        <v>1</v>
      </c>
      <c r="AC139" s="474">
        <v>1</v>
      </c>
      <c r="AD139" s="473" t="s">
        <v>835</v>
      </c>
      <c r="AE139" s="474">
        <v>1</v>
      </c>
      <c r="AF139" s="474">
        <v>1</v>
      </c>
      <c r="AG139" s="702"/>
      <c r="AH139" s="729"/>
      <c r="AI139" s="698"/>
      <c r="AJ139" s="700"/>
    </row>
    <row r="140" spans="1:36" ht="24" customHeight="1">
      <c r="A140" s="452">
        <v>22</v>
      </c>
      <c r="B140" s="701">
        <v>108</v>
      </c>
      <c r="C140" s="699" t="s">
        <v>337</v>
      </c>
      <c r="D140" s="699" t="s">
        <v>544</v>
      </c>
      <c r="E140" s="699" t="s">
        <v>545</v>
      </c>
      <c r="F140" s="699"/>
      <c r="G140" s="699" t="s">
        <v>270</v>
      </c>
      <c r="H140" s="699" t="s">
        <v>836</v>
      </c>
      <c r="I140" s="712">
        <v>25000</v>
      </c>
      <c r="J140" s="709" t="s">
        <v>537</v>
      </c>
      <c r="K140" s="709" t="s">
        <v>537</v>
      </c>
      <c r="L140" s="712">
        <v>25000</v>
      </c>
      <c r="M140" s="709" t="s">
        <v>537</v>
      </c>
      <c r="N140" s="709" t="s">
        <v>537</v>
      </c>
      <c r="O140" s="701" t="s">
        <v>537</v>
      </c>
      <c r="P140" s="701" t="s">
        <v>537</v>
      </c>
      <c r="Q140" s="709">
        <v>0</v>
      </c>
      <c r="R140" s="707">
        <v>241487</v>
      </c>
      <c r="S140" s="721">
        <v>22342</v>
      </c>
      <c r="T140" s="701">
        <v>0</v>
      </c>
      <c r="U140" s="701">
        <v>3</v>
      </c>
      <c r="V140" s="701">
        <v>30</v>
      </c>
      <c r="W140" s="701">
        <v>0</v>
      </c>
      <c r="X140" s="701">
        <v>5</v>
      </c>
      <c r="Y140" s="701">
        <v>30</v>
      </c>
      <c r="Z140" s="701">
        <v>89.47</v>
      </c>
      <c r="AA140" s="458" t="s">
        <v>547</v>
      </c>
      <c r="AB140" s="459" t="s">
        <v>539</v>
      </c>
      <c r="AC140" s="459" t="s">
        <v>539</v>
      </c>
      <c r="AD140" s="697" t="s">
        <v>548</v>
      </c>
      <c r="AE140" s="701">
        <v>80</v>
      </c>
      <c r="AF140" s="701">
        <v>82.22</v>
      </c>
      <c r="AG140" s="701" t="s">
        <v>375</v>
      </c>
      <c r="AH140" s="728"/>
      <c r="AI140" s="697" t="s">
        <v>738</v>
      </c>
      <c r="AJ140" s="699"/>
    </row>
    <row r="141" spans="1:36" ht="24" hidden="1" customHeight="1">
      <c r="B141" s="702"/>
      <c r="C141" s="700"/>
      <c r="D141" s="700"/>
      <c r="E141" s="700"/>
      <c r="F141" s="700"/>
      <c r="G141" s="700"/>
      <c r="H141" s="700"/>
      <c r="I141" s="713"/>
      <c r="J141" s="710"/>
      <c r="K141" s="710"/>
      <c r="L141" s="713"/>
      <c r="M141" s="710"/>
      <c r="N141" s="710"/>
      <c r="O141" s="702"/>
      <c r="P141" s="702"/>
      <c r="Q141" s="710"/>
      <c r="R141" s="708"/>
      <c r="S141" s="722"/>
      <c r="T141" s="702"/>
      <c r="U141" s="702"/>
      <c r="V141" s="702"/>
      <c r="W141" s="702"/>
      <c r="X141" s="702"/>
      <c r="Y141" s="702"/>
      <c r="Z141" s="702"/>
      <c r="AA141" s="473" t="s">
        <v>837</v>
      </c>
      <c r="AB141" s="474" t="s">
        <v>539</v>
      </c>
      <c r="AC141" s="474" t="s">
        <v>539</v>
      </c>
      <c r="AD141" s="698"/>
      <c r="AE141" s="702"/>
      <c r="AF141" s="702"/>
      <c r="AG141" s="702"/>
      <c r="AH141" s="729"/>
      <c r="AI141" s="698"/>
      <c r="AJ141" s="700"/>
    </row>
    <row r="142" spans="1:36" ht="24" customHeight="1">
      <c r="A142" s="452">
        <v>23</v>
      </c>
      <c r="B142" s="463">
        <v>109</v>
      </c>
      <c r="C142" s="464" t="s">
        <v>337</v>
      </c>
      <c r="D142" s="464"/>
      <c r="E142" s="464" t="s">
        <v>545</v>
      </c>
      <c r="F142" s="464"/>
      <c r="G142" s="464" t="s">
        <v>270</v>
      </c>
      <c r="H142" s="464" t="s">
        <v>838</v>
      </c>
      <c r="I142" s="465" t="s">
        <v>537</v>
      </c>
      <c r="J142" s="465" t="s">
        <v>537</v>
      </c>
      <c r="K142" s="466">
        <v>15000</v>
      </c>
      <c r="L142" s="465" t="s">
        <v>537</v>
      </c>
      <c r="M142" s="465" t="s">
        <v>537</v>
      </c>
      <c r="N142" s="466">
        <v>15000</v>
      </c>
      <c r="O142" s="463" t="s">
        <v>537</v>
      </c>
      <c r="P142" s="463" t="s">
        <v>537</v>
      </c>
      <c r="Q142" s="465">
        <v>0</v>
      </c>
      <c r="R142" s="470">
        <v>241579</v>
      </c>
      <c r="S142" s="471">
        <v>22455</v>
      </c>
      <c r="T142" s="463">
        <v>0</v>
      </c>
      <c r="U142" s="463">
        <v>4</v>
      </c>
      <c r="V142" s="463">
        <v>45</v>
      </c>
      <c r="W142" s="464"/>
      <c r="X142" s="463">
        <v>5</v>
      </c>
      <c r="Y142" s="463">
        <v>45</v>
      </c>
      <c r="Z142" s="463">
        <v>85</v>
      </c>
      <c r="AA142" s="472" t="s">
        <v>839</v>
      </c>
      <c r="AB142" s="463">
        <v>85</v>
      </c>
      <c r="AC142" s="463">
        <v>85</v>
      </c>
      <c r="AD142" s="472" t="s">
        <v>840</v>
      </c>
      <c r="AE142" s="463">
        <v>80</v>
      </c>
      <c r="AF142" s="463">
        <v>85</v>
      </c>
      <c r="AG142" s="463" t="s">
        <v>375</v>
      </c>
      <c r="AH142" s="476"/>
      <c r="AI142" s="472">
        <v>887653674</v>
      </c>
      <c r="AJ142" s="472" t="s">
        <v>543</v>
      </c>
    </row>
    <row r="143" spans="1:36" ht="24" customHeight="1">
      <c r="A143" s="452">
        <v>24</v>
      </c>
      <c r="B143" s="463">
        <v>110</v>
      </c>
      <c r="C143" s="464" t="s">
        <v>337</v>
      </c>
      <c r="D143" s="464"/>
      <c r="E143" s="464" t="s">
        <v>545</v>
      </c>
      <c r="F143" s="464"/>
      <c r="G143" s="464" t="s">
        <v>270</v>
      </c>
      <c r="H143" s="464" t="s">
        <v>841</v>
      </c>
      <c r="I143" s="465" t="s">
        <v>537</v>
      </c>
      <c r="J143" s="465" t="s">
        <v>537</v>
      </c>
      <c r="K143" s="466">
        <v>15000</v>
      </c>
      <c r="L143" s="465" t="s">
        <v>537</v>
      </c>
      <c r="M143" s="465" t="s">
        <v>537</v>
      </c>
      <c r="N143" s="466">
        <v>15000</v>
      </c>
      <c r="O143" s="463" t="s">
        <v>537</v>
      </c>
      <c r="P143" s="463" t="s">
        <v>537</v>
      </c>
      <c r="Q143" s="465">
        <v>0</v>
      </c>
      <c r="R143" s="470">
        <v>241640</v>
      </c>
      <c r="S143" s="471">
        <v>22510</v>
      </c>
      <c r="T143" s="463">
        <v>2</v>
      </c>
      <c r="U143" s="463">
        <v>1</v>
      </c>
      <c r="V143" s="463">
        <v>29</v>
      </c>
      <c r="W143" s="463">
        <v>6</v>
      </c>
      <c r="X143" s="463">
        <v>6</v>
      </c>
      <c r="Y143" s="463">
        <v>30</v>
      </c>
      <c r="Z143" s="463">
        <v>91.67</v>
      </c>
      <c r="AA143" s="472" t="s">
        <v>842</v>
      </c>
      <c r="AB143" s="463">
        <v>80</v>
      </c>
      <c r="AC143" s="463">
        <v>88.81</v>
      </c>
      <c r="AD143" s="472" t="s">
        <v>843</v>
      </c>
      <c r="AE143" s="463" t="s">
        <v>539</v>
      </c>
      <c r="AF143" s="463" t="s">
        <v>539</v>
      </c>
      <c r="AG143" s="463" t="s">
        <v>375</v>
      </c>
      <c r="AH143" s="476"/>
      <c r="AI143" s="472">
        <v>819687402</v>
      </c>
      <c r="AJ143" s="472" t="s">
        <v>543</v>
      </c>
    </row>
    <row r="144" spans="1:36" ht="24" customHeight="1">
      <c r="A144" s="452">
        <v>25</v>
      </c>
      <c r="B144" s="701">
        <v>111</v>
      </c>
      <c r="C144" s="699" t="s">
        <v>337</v>
      </c>
      <c r="D144" s="699"/>
      <c r="E144" s="699" t="s">
        <v>545</v>
      </c>
      <c r="F144" s="699"/>
      <c r="G144" s="699" t="s">
        <v>270</v>
      </c>
      <c r="H144" s="699" t="s">
        <v>844</v>
      </c>
      <c r="I144" s="709" t="s">
        <v>537</v>
      </c>
      <c r="J144" s="709" t="s">
        <v>537</v>
      </c>
      <c r="K144" s="712">
        <v>13000</v>
      </c>
      <c r="L144" s="709" t="s">
        <v>537</v>
      </c>
      <c r="M144" s="709" t="s">
        <v>537</v>
      </c>
      <c r="N144" s="712">
        <v>12500</v>
      </c>
      <c r="O144" s="701" t="s">
        <v>537</v>
      </c>
      <c r="P144" s="701" t="s">
        <v>537</v>
      </c>
      <c r="Q144" s="709">
        <v>500</v>
      </c>
      <c r="R144" s="707">
        <v>241609</v>
      </c>
      <c r="S144" s="721">
        <v>22486</v>
      </c>
      <c r="T144" s="701">
        <v>0</v>
      </c>
      <c r="U144" s="701">
        <v>3</v>
      </c>
      <c r="V144" s="701">
        <v>32</v>
      </c>
      <c r="W144" s="701">
        <v>0</v>
      </c>
      <c r="X144" s="701">
        <v>5</v>
      </c>
      <c r="Y144" s="701">
        <v>50</v>
      </c>
      <c r="Z144" s="701">
        <v>85.13</v>
      </c>
      <c r="AA144" s="458" t="s">
        <v>845</v>
      </c>
      <c r="AB144" s="459">
        <v>85</v>
      </c>
      <c r="AC144" s="459">
        <v>85.13</v>
      </c>
      <c r="AD144" s="458" t="s">
        <v>846</v>
      </c>
      <c r="AE144" s="459" t="s">
        <v>539</v>
      </c>
      <c r="AF144" s="459" t="s">
        <v>539</v>
      </c>
      <c r="AG144" s="701" t="s">
        <v>375</v>
      </c>
      <c r="AH144" s="728"/>
      <c r="AI144" s="697">
        <v>817887753</v>
      </c>
      <c r="AJ144" s="697" t="s">
        <v>543</v>
      </c>
    </row>
    <row r="145" spans="1:36" ht="24" hidden="1" customHeight="1">
      <c r="B145" s="702"/>
      <c r="C145" s="700"/>
      <c r="D145" s="700"/>
      <c r="E145" s="700"/>
      <c r="F145" s="700"/>
      <c r="G145" s="700"/>
      <c r="H145" s="700"/>
      <c r="I145" s="710"/>
      <c r="J145" s="710"/>
      <c r="K145" s="713"/>
      <c r="L145" s="710"/>
      <c r="M145" s="710"/>
      <c r="N145" s="713"/>
      <c r="O145" s="702"/>
      <c r="P145" s="702"/>
      <c r="Q145" s="710"/>
      <c r="R145" s="708"/>
      <c r="S145" s="722"/>
      <c r="T145" s="702"/>
      <c r="U145" s="702"/>
      <c r="V145" s="702"/>
      <c r="W145" s="702"/>
      <c r="X145" s="702"/>
      <c r="Y145" s="702"/>
      <c r="Z145" s="702"/>
      <c r="AA145" s="473" t="s">
        <v>847</v>
      </c>
      <c r="AB145" s="474" t="s">
        <v>539</v>
      </c>
      <c r="AC145" s="474" t="s">
        <v>539</v>
      </c>
      <c r="AD145" s="473" t="s">
        <v>848</v>
      </c>
      <c r="AE145" s="474" t="s">
        <v>539</v>
      </c>
      <c r="AF145" s="474" t="s">
        <v>539</v>
      </c>
      <c r="AG145" s="702"/>
      <c r="AH145" s="729"/>
      <c r="AI145" s="698"/>
      <c r="AJ145" s="698"/>
    </row>
    <row r="146" spans="1:36" ht="24" customHeight="1">
      <c r="A146" s="452">
        <v>26</v>
      </c>
      <c r="B146" s="463">
        <v>112</v>
      </c>
      <c r="C146" s="464" t="s">
        <v>337</v>
      </c>
      <c r="D146" s="464"/>
      <c r="E146" s="464" t="s">
        <v>545</v>
      </c>
      <c r="F146" s="464"/>
      <c r="G146" s="464" t="s">
        <v>270</v>
      </c>
      <c r="H146" s="464" t="s">
        <v>849</v>
      </c>
      <c r="I146" s="465" t="s">
        <v>537</v>
      </c>
      <c r="J146" s="465" t="s">
        <v>537</v>
      </c>
      <c r="K146" s="466">
        <v>18000</v>
      </c>
      <c r="L146" s="465" t="s">
        <v>537</v>
      </c>
      <c r="M146" s="465" t="s">
        <v>537</v>
      </c>
      <c r="N146" s="466">
        <v>18000</v>
      </c>
      <c r="O146" s="463" t="s">
        <v>537</v>
      </c>
      <c r="P146" s="463" t="s">
        <v>537</v>
      </c>
      <c r="Q146" s="465">
        <v>0</v>
      </c>
      <c r="R146" s="470">
        <v>241609</v>
      </c>
      <c r="S146" s="463" t="s">
        <v>850</v>
      </c>
      <c r="T146" s="463">
        <v>1</v>
      </c>
      <c r="U146" s="463">
        <v>1</v>
      </c>
      <c r="V146" s="463">
        <v>18</v>
      </c>
      <c r="W146" s="463">
        <v>4</v>
      </c>
      <c r="X146" s="463">
        <v>2</v>
      </c>
      <c r="Y146" s="463">
        <v>26</v>
      </c>
      <c r="Z146" s="463">
        <v>89.84</v>
      </c>
      <c r="AA146" s="472" t="s">
        <v>851</v>
      </c>
      <c r="AB146" s="463" t="s">
        <v>539</v>
      </c>
      <c r="AC146" s="463" t="s">
        <v>539</v>
      </c>
      <c r="AD146" s="472" t="s">
        <v>852</v>
      </c>
      <c r="AE146" s="463" t="s">
        <v>539</v>
      </c>
      <c r="AF146" s="463" t="s">
        <v>539</v>
      </c>
      <c r="AG146" s="463" t="s">
        <v>375</v>
      </c>
      <c r="AH146" s="476"/>
      <c r="AI146" s="472">
        <v>882520395</v>
      </c>
      <c r="AJ146" s="472" t="s">
        <v>543</v>
      </c>
    </row>
    <row r="147" spans="1:36" ht="24" customHeight="1">
      <c r="A147" s="452">
        <v>27</v>
      </c>
      <c r="B147" s="701">
        <v>113</v>
      </c>
      <c r="C147" s="699" t="s">
        <v>337</v>
      </c>
      <c r="D147" s="699"/>
      <c r="E147" s="699" t="s">
        <v>545</v>
      </c>
      <c r="F147" s="699"/>
      <c r="G147" s="699" t="s">
        <v>270</v>
      </c>
      <c r="H147" s="699" t="s">
        <v>853</v>
      </c>
      <c r="I147" s="709" t="s">
        <v>537</v>
      </c>
      <c r="J147" s="709" t="s">
        <v>537</v>
      </c>
      <c r="K147" s="712">
        <v>18000</v>
      </c>
      <c r="L147" s="709" t="s">
        <v>537</v>
      </c>
      <c r="M147" s="709" t="s">
        <v>537</v>
      </c>
      <c r="N147" s="712">
        <v>18000</v>
      </c>
      <c r="O147" s="701" t="s">
        <v>537</v>
      </c>
      <c r="P147" s="701" t="s">
        <v>537</v>
      </c>
      <c r="Q147" s="709">
        <v>0</v>
      </c>
      <c r="R147" s="701" t="s">
        <v>643</v>
      </c>
      <c r="S147" s="701" t="s">
        <v>854</v>
      </c>
      <c r="T147" s="701">
        <v>0</v>
      </c>
      <c r="U147" s="701">
        <v>3</v>
      </c>
      <c r="V147" s="701">
        <v>30</v>
      </c>
      <c r="W147" s="699"/>
      <c r="X147" s="701">
        <v>3</v>
      </c>
      <c r="Y147" s="701">
        <v>30</v>
      </c>
      <c r="Z147" s="701">
        <v>95</v>
      </c>
      <c r="AA147" s="697" t="s">
        <v>842</v>
      </c>
      <c r="AB147" s="701">
        <v>80</v>
      </c>
      <c r="AC147" s="701">
        <v>95</v>
      </c>
      <c r="AD147" s="458" t="s">
        <v>855</v>
      </c>
      <c r="AE147" s="459" t="s">
        <v>539</v>
      </c>
      <c r="AF147" s="459" t="s">
        <v>539</v>
      </c>
      <c r="AG147" s="701" t="s">
        <v>375</v>
      </c>
      <c r="AH147" s="728"/>
      <c r="AI147" s="697">
        <v>887653674</v>
      </c>
      <c r="AJ147" s="697" t="s">
        <v>543</v>
      </c>
    </row>
    <row r="148" spans="1:36" ht="24" hidden="1" customHeight="1">
      <c r="B148" s="702"/>
      <c r="C148" s="700"/>
      <c r="D148" s="700"/>
      <c r="E148" s="700"/>
      <c r="F148" s="700"/>
      <c r="G148" s="700"/>
      <c r="H148" s="700"/>
      <c r="I148" s="710"/>
      <c r="J148" s="710"/>
      <c r="K148" s="713"/>
      <c r="L148" s="710"/>
      <c r="M148" s="710"/>
      <c r="N148" s="713"/>
      <c r="O148" s="702"/>
      <c r="P148" s="702"/>
      <c r="Q148" s="710"/>
      <c r="R148" s="702"/>
      <c r="S148" s="702"/>
      <c r="T148" s="702"/>
      <c r="U148" s="702"/>
      <c r="V148" s="702"/>
      <c r="W148" s="700"/>
      <c r="X148" s="702"/>
      <c r="Y148" s="702"/>
      <c r="Z148" s="702"/>
      <c r="AA148" s="698"/>
      <c r="AB148" s="702"/>
      <c r="AC148" s="702"/>
      <c r="AD148" s="473" t="s">
        <v>856</v>
      </c>
      <c r="AE148" s="474" t="s">
        <v>539</v>
      </c>
      <c r="AF148" s="474" t="s">
        <v>539</v>
      </c>
      <c r="AG148" s="702"/>
      <c r="AH148" s="729"/>
      <c r="AI148" s="698"/>
      <c r="AJ148" s="698"/>
    </row>
    <row r="149" spans="1:36" ht="24" customHeight="1">
      <c r="A149" s="452">
        <v>28</v>
      </c>
      <c r="B149" s="701">
        <v>114</v>
      </c>
      <c r="C149" s="699" t="s">
        <v>337</v>
      </c>
      <c r="D149" s="699"/>
      <c r="E149" s="699" t="s">
        <v>545</v>
      </c>
      <c r="F149" s="699"/>
      <c r="G149" s="699" t="s">
        <v>270</v>
      </c>
      <c r="H149" s="699" t="s">
        <v>857</v>
      </c>
      <c r="I149" s="709" t="s">
        <v>537</v>
      </c>
      <c r="J149" s="709" t="s">
        <v>537</v>
      </c>
      <c r="K149" s="712">
        <v>30000</v>
      </c>
      <c r="L149" s="709" t="s">
        <v>537</v>
      </c>
      <c r="M149" s="709" t="s">
        <v>537</v>
      </c>
      <c r="N149" s="712">
        <v>13800</v>
      </c>
      <c r="O149" s="701" t="s">
        <v>537</v>
      </c>
      <c r="P149" s="701" t="s">
        <v>537</v>
      </c>
      <c r="Q149" s="705">
        <v>16200</v>
      </c>
      <c r="R149" s="701" t="s">
        <v>643</v>
      </c>
      <c r="S149" s="721">
        <v>22485</v>
      </c>
      <c r="T149" s="701">
        <v>0</v>
      </c>
      <c r="U149" s="701">
        <v>4</v>
      </c>
      <c r="V149" s="701">
        <v>50</v>
      </c>
      <c r="W149" s="699"/>
      <c r="X149" s="701">
        <v>4</v>
      </c>
      <c r="Y149" s="701">
        <v>50</v>
      </c>
      <c r="Z149" s="701">
        <v>80</v>
      </c>
      <c r="AA149" s="458" t="s">
        <v>858</v>
      </c>
      <c r="AB149" s="459" t="s">
        <v>539</v>
      </c>
      <c r="AC149" s="459" t="s">
        <v>539</v>
      </c>
      <c r="AD149" s="458" t="s">
        <v>859</v>
      </c>
      <c r="AE149" s="459" t="s">
        <v>539</v>
      </c>
      <c r="AF149" s="459" t="s">
        <v>539</v>
      </c>
      <c r="AG149" s="701" t="s">
        <v>375</v>
      </c>
      <c r="AH149" s="728"/>
      <c r="AI149" s="697">
        <v>867815670</v>
      </c>
      <c r="AJ149" s="697" t="s">
        <v>543</v>
      </c>
    </row>
    <row r="150" spans="1:36" ht="24" hidden="1" customHeight="1">
      <c r="B150" s="702"/>
      <c r="C150" s="700"/>
      <c r="D150" s="700"/>
      <c r="E150" s="700"/>
      <c r="F150" s="700"/>
      <c r="G150" s="700"/>
      <c r="H150" s="700"/>
      <c r="I150" s="710"/>
      <c r="J150" s="710"/>
      <c r="K150" s="713"/>
      <c r="L150" s="710"/>
      <c r="M150" s="710"/>
      <c r="N150" s="713"/>
      <c r="O150" s="702"/>
      <c r="P150" s="702"/>
      <c r="Q150" s="706"/>
      <c r="R150" s="702"/>
      <c r="S150" s="722"/>
      <c r="T150" s="702"/>
      <c r="U150" s="702"/>
      <c r="V150" s="702"/>
      <c r="W150" s="700"/>
      <c r="X150" s="702"/>
      <c r="Y150" s="702"/>
      <c r="Z150" s="702"/>
      <c r="AA150" s="473" t="s">
        <v>860</v>
      </c>
      <c r="AB150" s="474">
        <v>80</v>
      </c>
      <c r="AC150" s="474">
        <v>80</v>
      </c>
      <c r="AD150" s="473" t="s">
        <v>861</v>
      </c>
      <c r="AE150" s="474">
        <v>50</v>
      </c>
      <c r="AF150" s="474">
        <v>50</v>
      </c>
      <c r="AG150" s="702"/>
      <c r="AH150" s="729"/>
      <c r="AI150" s="698"/>
      <c r="AJ150" s="698"/>
    </row>
    <row r="151" spans="1:36" ht="24" hidden="1" customHeight="1">
      <c r="B151" s="463">
        <v>115</v>
      </c>
      <c r="C151" s="464" t="s">
        <v>377</v>
      </c>
      <c r="D151" s="464" t="s">
        <v>544</v>
      </c>
      <c r="E151" s="464" t="s">
        <v>602</v>
      </c>
      <c r="F151" s="464"/>
      <c r="G151" s="464" t="s">
        <v>270</v>
      </c>
      <c r="H151" s="464" t="s">
        <v>862</v>
      </c>
      <c r="I151" s="466">
        <v>30000</v>
      </c>
      <c r="J151" s="465" t="s">
        <v>537</v>
      </c>
      <c r="K151" s="465" t="s">
        <v>537</v>
      </c>
      <c r="L151" s="466">
        <v>29150</v>
      </c>
      <c r="M151" s="465" t="s">
        <v>537</v>
      </c>
      <c r="N151" s="465" t="s">
        <v>537</v>
      </c>
      <c r="O151" s="463" t="s">
        <v>537</v>
      </c>
      <c r="P151" s="463" t="s">
        <v>537</v>
      </c>
      <c r="Q151" s="465">
        <v>850</v>
      </c>
      <c r="R151" s="463" t="s">
        <v>863</v>
      </c>
      <c r="S151" s="463" t="s">
        <v>864</v>
      </c>
      <c r="T151" s="463">
        <v>50</v>
      </c>
      <c r="U151" s="463">
        <v>10</v>
      </c>
      <c r="V151" s="463">
        <v>0</v>
      </c>
      <c r="W151" s="463">
        <v>90</v>
      </c>
      <c r="X151" s="463">
        <v>11</v>
      </c>
      <c r="Y151" s="463">
        <v>0</v>
      </c>
      <c r="Z151" s="463">
        <v>96</v>
      </c>
      <c r="AA151" s="472" t="s">
        <v>612</v>
      </c>
      <c r="AB151" s="463" t="s">
        <v>539</v>
      </c>
      <c r="AC151" s="463" t="s">
        <v>539</v>
      </c>
      <c r="AD151" s="472" t="s">
        <v>565</v>
      </c>
      <c r="AE151" s="463">
        <v>80</v>
      </c>
      <c r="AF151" s="463">
        <v>96</v>
      </c>
      <c r="AG151" s="463" t="s">
        <v>375</v>
      </c>
      <c r="AH151" s="476"/>
      <c r="AI151" s="472" t="s">
        <v>824</v>
      </c>
      <c r="AJ151" s="464"/>
    </row>
    <row r="152" spans="1:36" ht="24" hidden="1" customHeight="1">
      <c r="B152" s="463">
        <v>116</v>
      </c>
      <c r="C152" s="464" t="s">
        <v>377</v>
      </c>
      <c r="D152" s="464" t="s">
        <v>544</v>
      </c>
      <c r="E152" s="464" t="s">
        <v>602</v>
      </c>
      <c r="F152" s="464"/>
      <c r="G152" s="464" t="s">
        <v>270</v>
      </c>
      <c r="H152" s="464" t="s">
        <v>617</v>
      </c>
      <c r="I152" s="465" t="s">
        <v>537</v>
      </c>
      <c r="J152" s="466">
        <v>150000</v>
      </c>
      <c r="K152" s="465" t="s">
        <v>537</v>
      </c>
      <c r="L152" s="465" t="s">
        <v>537</v>
      </c>
      <c r="M152" s="466">
        <v>150000</v>
      </c>
      <c r="N152" s="465" t="s">
        <v>537</v>
      </c>
      <c r="O152" s="463" t="s">
        <v>537</v>
      </c>
      <c r="P152" s="463" t="s">
        <v>537</v>
      </c>
      <c r="Q152" s="465">
        <v>0</v>
      </c>
      <c r="R152" s="470">
        <v>241609</v>
      </c>
      <c r="S152" s="463" t="s">
        <v>865</v>
      </c>
      <c r="T152" s="463">
        <v>280</v>
      </c>
      <c r="U152" s="463">
        <v>20</v>
      </c>
      <c r="V152" s="463">
        <v>0</v>
      </c>
      <c r="W152" s="463">
        <v>285</v>
      </c>
      <c r="X152" s="463">
        <v>26</v>
      </c>
      <c r="Y152" s="464"/>
      <c r="Z152" s="463">
        <v>85</v>
      </c>
      <c r="AA152" s="472" t="s">
        <v>619</v>
      </c>
      <c r="AB152" s="463" t="s">
        <v>539</v>
      </c>
      <c r="AC152" s="463" t="s">
        <v>539</v>
      </c>
      <c r="AD152" s="472" t="s">
        <v>565</v>
      </c>
      <c r="AE152" s="463">
        <v>80</v>
      </c>
      <c r="AF152" s="463">
        <v>85</v>
      </c>
      <c r="AG152" s="463" t="s">
        <v>375</v>
      </c>
      <c r="AH152" s="476"/>
      <c r="AI152" s="472" t="s">
        <v>866</v>
      </c>
      <c r="AJ152" s="464"/>
    </row>
    <row r="153" spans="1:36" ht="24" hidden="1" customHeight="1">
      <c r="B153" s="463">
        <v>117</v>
      </c>
      <c r="C153" s="464" t="s">
        <v>377</v>
      </c>
      <c r="D153" s="464" t="s">
        <v>544</v>
      </c>
      <c r="E153" s="464" t="s">
        <v>602</v>
      </c>
      <c r="F153" s="464"/>
      <c r="G153" s="464" t="s">
        <v>270</v>
      </c>
      <c r="H153" s="464" t="s">
        <v>867</v>
      </c>
      <c r="I153" s="465" t="s">
        <v>537</v>
      </c>
      <c r="J153" s="466">
        <v>10000</v>
      </c>
      <c r="K153" s="465" t="s">
        <v>537</v>
      </c>
      <c r="L153" s="465" t="s">
        <v>537</v>
      </c>
      <c r="M153" s="466">
        <v>10000</v>
      </c>
      <c r="N153" s="465" t="s">
        <v>537</v>
      </c>
      <c r="O153" s="463" t="s">
        <v>537</v>
      </c>
      <c r="P153" s="463" t="s">
        <v>537</v>
      </c>
      <c r="Q153" s="465">
        <v>0</v>
      </c>
      <c r="R153" s="470">
        <v>241459</v>
      </c>
      <c r="S153" s="471">
        <v>22322</v>
      </c>
      <c r="T153" s="463">
        <v>30</v>
      </c>
      <c r="U153" s="463">
        <v>12</v>
      </c>
      <c r="V153" s="463">
        <v>0</v>
      </c>
      <c r="W153" s="463">
        <v>40</v>
      </c>
      <c r="X153" s="463">
        <v>4</v>
      </c>
      <c r="Y153" s="463">
        <v>0</v>
      </c>
      <c r="Z153" s="463">
        <v>86</v>
      </c>
      <c r="AA153" s="472" t="s">
        <v>619</v>
      </c>
      <c r="AB153" s="463" t="s">
        <v>539</v>
      </c>
      <c r="AC153" s="463" t="s">
        <v>539</v>
      </c>
      <c r="AD153" s="472" t="s">
        <v>565</v>
      </c>
      <c r="AE153" s="463">
        <v>80</v>
      </c>
      <c r="AF153" s="463">
        <v>86</v>
      </c>
      <c r="AG153" s="463" t="s">
        <v>375</v>
      </c>
      <c r="AH153" s="476"/>
      <c r="AI153" s="472" t="s">
        <v>868</v>
      </c>
      <c r="AJ153" s="464"/>
    </row>
    <row r="154" spans="1:36" ht="24" hidden="1" customHeight="1">
      <c r="B154" s="463">
        <v>118</v>
      </c>
      <c r="C154" s="464" t="s">
        <v>534</v>
      </c>
      <c r="D154" s="464"/>
      <c r="E154" s="464" t="s">
        <v>535</v>
      </c>
      <c r="F154" s="464"/>
      <c r="G154" s="464" t="s">
        <v>270</v>
      </c>
      <c r="H154" s="464" t="s">
        <v>869</v>
      </c>
      <c r="I154" s="465" t="s">
        <v>537</v>
      </c>
      <c r="J154" s="465" t="s">
        <v>537</v>
      </c>
      <c r="K154" s="466">
        <v>159600</v>
      </c>
      <c r="L154" s="465" t="s">
        <v>537</v>
      </c>
      <c r="M154" s="465" t="s">
        <v>537</v>
      </c>
      <c r="N154" s="466">
        <v>148520</v>
      </c>
      <c r="O154" s="463" t="s">
        <v>537</v>
      </c>
      <c r="P154" s="463" t="s">
        <v>537</v>
      </c>
      <c r="Q154" s="468">
        <v>11080</v>
      </c>
      <c r="R154" s="470">
        <v>241428</v>
      </c>
      <c r="S154" s="463" t="s">
        <v>870</v>
      </c>
      <c r="T154" s="463">
        <v>45</v>
      </c>
      <c r="U154" s="463">
        <v>10</v>
      </c>
      <c r="V154" s="463">
        <v>0</v>
      </c>
      <c r="W154" s="463">
        <v>44</v>
      </c>
      <c r="X154" s="463">
        <v>10</v>
      </c>
      <c r="Y154" s="463">
        <v>0</v>
      </c>
      <c r="Z154" s="463">
        <v>82.11</v>
      </c>
      <c r="AA154" s="472" t="s">
        <v>871</v>
      </c>
      <c r="AB154" s="463" t="s">
        <v>539</v>
      </c>
      <c r="AC154" s="463" t="s">
        <v>539</v>
      </c>
      <c r="AD154" s="472" t="s">
        <v>872</v>
      </c>
      <c r="AE154" s="463">
        <v>45</v>
      </c>
      <c r="AF154" s="463">
        <v>44</v>
      </c>
      <c r="AG154" s="463" t="s">
        <v>376</v>
      </c>
      <c r="AH154" s="476"/>
      <c r="AI154" s="472">
        <v>75773131</v>
      </c>
      <c r="AJ154" s="472" t="s">
        <v>792</v>
      </c>
    </row>
    <row r="155" spans="1:36" ht="24" hidden="1" customHeight="1">
      <c r="B155" s="463">
        <v>119</v>
      </c>
      <c r="C155" s="464" t="s">
        <v>534</v>
      </c>
      <c r="D155" s="464"/>
      <c r="E155" s="464" t="s">
        <v>535</v>
      </c>
      <c r="F155" s="464"/>
      <c r="G155" s="464" t="s">
        <v>270</v>
      </c>
      <c r="H155" s="464" t="s">
        <v>873</v>
      </c>
      <c r="I155" s="465" t="s">
        <v>537</v>
      </c>
      <c r="J155" s="465" t="s">
        <v>537</v>
      </c>
      <c r="K155" s="466">
        <v>15200</v>
      </c>
      <c r="L155" s="465" t="s">
        <v>537</v>
      </c>
      <c r="M155" s="465" t="s">
        <v>537</v>
      </c>
      <c r="N155" s="466">
        <v>13800</v>
      </c>
      <c r="O155" s="463" t="s">
        <v>537</v>
      </c>
      <c r="P155" s="463" t="s">
        <v>537</v>
      </c>
      <c r="Q155" s="468">
        <v>1400</v>
      </c>
      <c r="R155" s="470">
        <v>241487</v>
      </c>
      <c r="S155" s="463" t="s">
        <v>874</v>
      </c>
      <c r="T155" s="463">
        <v>10</v>
      </c>
      <c r="U155" s="463">
        <v>5</v>
      </c>
      <c r="V155" s="463">
        <v>0</v>
      </c>
      <c r="W155" s="463">
        <v>10</v>
      </c>
      <c r="X155" s="463">
        <v>7</v>
      </c>
      <c r="Y155" s="464"/>
      <c r="Z155" s="463">
        <v>90</v>
      </c>
      <c r="AA155" s="472" t="s">
        <v>875</v>
      </c>
      <c r="AB155" s="463">
        <v>2</v>
      </c>
      <c r="AC155" s="463">
        <v>3</v>
      </c>
      <c r="AD155" s="472" t="s">
        <v>876</v>
      </c>
      <c r="AE155" s="463">
        <v>10</v>
      </c>
      <c r="AF155" s="463">
        <v>17</v>
      </c>
      <c r="AG155" s="463" t="s">
        <v>375</v>
      </c>
      <c r="AH155" s="476"/>
      <c r="AI155" s="472">
        <v>870093652</v>
      </c>
      <c r="AJ155" s="472" t="s">
        <v>792</v>
      </c>
    </row>
    <row r="156" spans="1:36" ht="24" hidden="1" customHeight="1">
      <c r="B156" s="463">
        <v>120</v>
      </c>
      <c r="C156" s="464" t="s">
        <v>534</v>
      </c>
      <c r="D156" s="464" t="s">
        <v>544</v>
      </c>
      <c r="E156" s="464" t="s">
        <v>535</v>
      </c>
      <c r="F156" s="464"/>
      <c r="G156" s="464" t="s">
        <v>270</v>
      </c>
      <c r="H156" s="464" t="s">
        <v>667</v>
      </c>
      <c r="I156" s="465" t="s">
        <v>537</v>
      </c>
      <c r="J156" s="466">
        <v>54000</v>
      </c>
      <c r="K156" s="465" t="s">
        <v>537</v>
      </c>
      <c r="L156" s="465" t="s">
        <v>537</v>
      </c>
      <c r="M156" s="466">
        <v>54000</v>
      </c>
      <c r="N156" s="465" t="s">
        <v>537</v>
      </c>
      <c r="O156" s="463" t="s">
        <v>537</v>
      </c>
      <c r="P156" s="463" t="s">
        <v>537</v>
      </c>
      <c r="Q156" s="465">
        <v>0</v>
      </c>
      <c r="R156" s="463" t="s">
        <v>877</v>
      </c>
      <c r="S156" s="471">
        <v>22452</v>
      </c>
      <c r="T156" s="463">
        <v>250</v>
      </c>
      <c r="U156" s="463">
        <v>25</v>
      </c>
      <c r="V156" s="463">
        <v>0</v>
      </c>
      <c r="W156" s="463">
        <v>240</v>
      </c>
      <c r="X156" s="463">
        <v>20</v>
      </c>
      <c r="Y156" s="464"/>
      <c r="Z156" s="463">
        <v>90</v>
      </c>
      <c r="AA156" s="472" t="s">
        <v>547</v>
      </c>
      <c r="AB156" s="463" t="s">
        <v>539</v>
      </c>
      <c r="AC156" s="463" t="s">
        <v>539</v>
      </c>
      <c r="AD156" s="472" t="s">
        <v>548</v>
      </c>
      <c r="AE156" s="463">
        <v>80</v>
      </c>
      <c r="AF156" s="463">
        <v>90</v>
      </c>
      <c r="AG156" s="463" t="s">
        <v>375</v>
      </c>
      <c r="AH156" s="476"/>
      <c r="AI156" s="472" t="s">
        <v>878</v>
      </c>
      <c r="AJ156" s="464"/>
    </row>
    <row r="157" spans="1:36" ht="24" hidden="1" customHeight="1">
      <c r="B157" s="463">
        <v>121</v>
      </c>
      <c r="C157" s="464" t="s">
        <v>534</v>
      </c>
      <c r="D157" s="464" t="s">
        <v>544</v>
      </c>
      <c r="E157" s="464" t="s">
        <v>535</v>
      </c>
      <c r="F157" s="464"/>
      <c r="G157" s="464" t="s">
        <v>270</v>
      </c>
      <c r="H157" s="464" t="s">
        <v>668</v>
      </c>
      <c r="I157" s="465" t="s">
        <v>537</v>
      </c>
      <c r="J157" s="466">
        <v>65000</v>
      </c>
      <c r="K157" s="465" t="s">
        <v>537</v>
      </c>
      <c r="L157" s="465" t="s">
        <v>537</v>
      </c>
      <c r="M157" s="466">
        <v>63000</v>
      </c>
      <c r="N157" s="465" t="s">
        <v>537</v>
      </c>
      <c r="O157" s="463" t="s">
        <v>537</v>
      </c>
      <c r="P157" s="463" t="s">
        <v>537</v>
      </c>
      <c r="Q157" s="468">
        <v>2000</v>
      </c>
      <c r="R157" s="463" t="s">
        <v>771</v>
      </c>
      <c r="S157" s="471">
        <v>22340</v>
      </c>
      <c r="T157" s="463">
        <v>240</v>
      </c>
      <c r="U157" s="463">
        <v>35</v>
      </c>
      <c r="V157" s="463">
        <v>0</v>
      </c>
      <c r="W157" s="463">
        <v>240</v>
      </c>
      <c r="X157" s="463">
        <v>43</v>
      </c>
      <c r="Y157" s="463">
        <v>7</v>
      </c>
      <c r="Z157" s="463">
        <v>86.5</v>
      </c>
      <c r="AA157" s="472" t="s">
        <v>547</v>
      </c>
      <c r="AB157" s="463" t="s">
        <v>539</v>
      </c>
      <c r="AC157" s="463" t="s">
        <v>539</v>
      </c>
      <c r="AD157" s="472" t="s">
        <v>548</v>
      </c>
      <c r="AE157" s="463">
        <v>80</v>
      </c>
      <c r="AF157" s="463">
        <v>86.5</v>
      </c>
      <c r="AG157" s="463" t="s">
        <v>375</v>
      </c>
      <c r="AH157" s="476"/>
      <c r="AI157" s="472" t="s">
        <v>879</v>
      </c>
      <c r="AJ157" s="464"/>
    </row>
    <row r="158" spans="1:36" ht="24" hidden="1" customHeight="1">
      <c r="B158" s="463">
        <v>122</v>
      </c>
      <c r="C158" s="464" t="s">
        <v>534</v>
      </c>
      <c r="D158" s="464" t="s">
        <v>544</v>
      </c>
      <c r="E158" s="464" t="s">
        <v>535</v>
      </c>
      <c r="F158" s="464"/>
      <c r="G158" s="464" t="s">
        <v>270</v>
      </c>
      <c r="H158" s="464" t="s">
        <v>669</v>
      </c>
      <c r="I158" s="465" t="s">
        <v>537</v>
      </c>
      <c r="J158" s="466">
        <v>100000</v>
      </c>
      <c r="K158" s="465" t="s">
        <v>537</v>
      </c>
      <c r="L158" s="465" t="s">
        <v>537</v>
      </c>
      <c r="M158" s="466">
        <v>60180</v>
      </c>
      <c r="N158" s="465" t="s">
        <v>537</v>
      </c>
      <c r="O158" s="463" t="s">
        <v>537</v>
      </c>
      <c r="P158" s="463" t="s">
        <v>537</v>
      </c>
      <c r="Q158" s="468">
        <v>39820</v>
      </c>
      <c r="R158" s="470">
        <v>241609</v>
      </c>
      <c r="S158" s="463" t="s">
        <v>880</v>
      </c>
      <c r="T158" s="463">
        <v>40</v>
      </c>
      <c r="U158" s="463">
        <v>0</v>
      </c>
      <c r="V158" s="463">
        <v>0</v>
      </c>
      <c r="W158" s="463">
        <v>85</v>
      </c>
      <c r="X158" s="463">
        <v>2</v>
      </c>
      <c r="Y158" s="463">
        <v>0</v>
      </c>
      <c r="Z158" s="463">
        <v>89</v>
      </c>
      <c r="AA158" s="472" t="s">
        <v>728</v>
      </c>
      <c r="AB158" s="463">
        <v>1</v>
      </c>
      <c r="AC158" s="463">
        <v>1</v>
      </c>
      <c r="AD158" s="472" t="s">
        <v>729</v>
      </c>
      <c r="AE158" s="463">
        <v>1</v>
      </c>
      <c r="AF158" s="463">
        <v>1</v>
      </c>
      <c r="AG158" s="463" t="s">
        <v>375</v>
      </c>
      <c r="AH158" s="476"/>
      <c r="AI158" s="472" t="s">
        <v>881</v>
      </c>
      <c r="AJ158" s="464"/>
    </row>
    <row r="159" spans="1:36" ht="24" hidden="1" customHeight="1">
      <c r="B159" s="463">
        <v>123</v>
      </c>
      <c r="C159" s="464" t="s">
        <v>534</v>
      </c>
      <c r="D159" s="464" t="s">
        <v>544</v>
      </c>
      <c r="E159" s="464" t="s">
        <v>535</v>
      </c>
      <c r="F159" s="464"/>
      <c r="G159" s="464" t="s">
        <v>270</v>
      </c>
      <c r="H159" s="464" t="s">
        <v>882</v>
      </c>
      <c r="I159" s="465" t="s">
        <v>537</v>
      </c>
      <c r="J159" s="466">
        <v>25000</v>
      </c>
      <c r="K159" s="465" t="s">
        <v>537</v>
      </c>
      <c r="L159" s="465" t="s">
        <v>537</v>
      </c>
      <c r="M159" s="466">
        <v>25000</v>
      </c>
      <c r="N159" s="465" t="s">
        <v>537</v>
      </c>
      <c r="O159" s="463" t="s">
        <v>537</v>
      </c>
      <c r="P159" s="463" t="s">
        <v>537</v>
      </c>
      <c r="Q159" s="465">
        <v>0</v>
      </c>
      <c r="R159" s="463" t="s">
        <v>775</v>
      </c>
      <c r="S159" s="471">
        <v>22466</v>
      </c>
      <c r="T159" s="463">
        <v>80</v>
      </c>
      <c r="U159" s="463">
        <v>20</v>
      </c>
      <c r="V159" s="463">
        <v>0</v>
      </c>
      <c r="W159" s="463">
        <v>85</v>
      </c>
      <c r="X159" s="463">
        <v>30</v>
      </c>
      <c r="Y159" s="464"/>
      <c r="Z159" s="463">
        <v>85</v>
      </c>
      <c r="AA159" s="472" t="s">
        <v>728</v>
      </c>
      <c r="AB159" s="463">
        <v>1</v>
      </c>
      <c r="AC159" s="463">
        <v>1</v>
      </c>
      <c r="AD159" s="472" t="s">
        <v>729</v>
      </c>
      <c r="AE159" s="463">
        <v>1</v>
      </c>
      <c r="AF159" s="463">
        <v>1</v>
      </c>
      <c r="AG159" s="463" t="s">
        <v>375</v>
      </c>
      <c r="AH159" s="476"/>
      <c r="AI159" s="472" t="s">
        <v>730</v>
      </c>
      <c r="AJ159" s="464"/>
    </row>
    <row r="160" spans="1:36" ht="24" hidden="1" customHeight="1">
      <c r="B160" s="463">
        <v>124</v>
      </c>
      <c r="C160" s="464" t="s">
        <v>10</v>
      </c>
      <c r="D160" s="464"/>
      <c r="E160" s="464" t="s">
        <v>558</v>
      </c>
      <c r="F160" s="464"/>
      <c r="G160" s="464" t="s">
        <v>270</v>
      </c>
      <c r="H160" s="464" t="s">
        <v>883</v>
      </c>
      <c r="I160" s="465" t="s">
        <v>537</v>
      </c>
      <c r="J160" s="465" t="s">
        <v>537</v>
      </c>
      <c r="K160" s="466">
        <v>30000</v>
      </c>
      <c r="L160" s="465" t="s">
        <v>537</v>
      </c>
      <c r="M160" s="465" t="s">
        <v>537</v>
      </c>
      <c r="N160" s="466">
        <v>30000</v>
      </c>
      <c r="O160" s="463" t="s">
        <v>537</v>
      </c>
      <c r="P160" s="463" t="s">
        <v>537</v>
      </c>
      <c r="Q160" s="465">
        <v>0</v>
      </c>
      <c r="R160" s="470">
        <v>241518</v>
      </c>
      <c r="S160" s="463" t="s">
        <v>884</v>
      </c>
      <c r="T160" s="463">
        <v>0</v>
      </c>
      <c r="U160" s="463">
        <v>1</v>
      </c>
      <c r="V160" s="463">
        <v>0</v>
      </c>
      <c r="W160" s="463">
        <v>0</v>
      </c>
      <c r="X160" s="463">
        <v>1</v>
      </c>
      <c r="Y160" s="463">
        <v>0</v>
      </c>
      <c r="Z160" s="463">
        <v>80</v>
      </c>
      <c r="AA160" s="472" t="s">
        <v>885</v>
      </c>
      <c r="AB160" s="463" t="s">
        <v>539</v>
      </c>
      <c r="AC160" s="463" t="s">
        <v>539</v>
      </c>
      <c r="AD160" s="472" t="s">
        <v>886</v>
      </c>
      <c r="AE160" s="463" t="s">
        <v>539</v>
      </c>
      <c r="AF160" s="463" t="s">
        <v>539</v>
      </c>
      <c r="AG160" s="463" t="s">
        <v>375</v>
      </c>
      <c r="AH160" s="476"/>
      <c r="AI160" s="472" t="s">
        <v>887</v>
      </c>
      <c r="AJ160" s="472" t="s">
        <v>562</v>
      </c>
    </row>
    <row r="161" spans="2:36" ht="24" hidden="1" customHeight="1">
      <c r="B161" s="463">
        <v>125</v>
      </c>
      <c r="C161" s="464" t="s">
        <v>534</v>
      </c>
      <c r="D161" s="464"/>
      <c r="E161" s="464" t="s">
        <v>535</v>
      </c>
      <c r="F161" s="464"/>
      <c r="G161" s="464" t="s">
        <v>888</v>
      </c>
      <c r="H161" s="464" t="s">
        <v>889</v>
      </c>
      <c r="I161" s="465" t="s">
        <v>537</v>
      </c>
      <c r="J161" s="465" t="s">
        <v>537</v>
      </c>
      <c r="K161" s="466">
        <v>93032</v>
      </c>
      <c r="L161" s="465" t="s">
        <v>537</v>
      </c>
      <c r="M161" s="465" t="s">
        <v>537</v>
      </c>
      <c r="N161" s="466">
        <v>67292</v>
      </c>
      <c r="O161" s="463" t="s">
        <v>537</v>
      </c>
      <c r="P161" s="463" t="s">
        <v>537</v>
      </c>
      <c r="Q161" s="468">
        <v>25740</v>
      </c>
      <c r="R161" s="470">
        <v>241609</v>
      </c>
      <c r="S161" s="463" t="s">
        <v>890</v>
      </c>
      <c r="T161" s="463">
        <v>0</v>
      </c>
      <c r="U161" s="463">
        <v>19</v>
      </c>
      <c r="V161" s="463">
        <v>3</v>
      </c>
      <c r="W161" s="463">
        <v>0</v>
      </c>
      <c r="X161" s="463">
        <v>20</v>
      </c>
      <c r="Y161" s="463">
        <v>0</v>
      </c>
      <c r="Z161" s="463">
        <v>85</v>
      </c>
      <c r="AA161" s="472" t="s">
        <v>891</v>
      </c>
      <c r="AB161" s="463" t="s">
        <v>539</v>
      </c>
      <c r="AC161" s="463" t="s">
        <v>539</v>
      </c>
      <c r="AD161" s="472" t="s">
        <v>548</v>
      </c>
      <c r="AE161" s="463">
        <v>80</v>
      </c>
      <c r="AF161" s="463">
        <v>85</v>
      </c>
      <c r="AG161" s="463" t="s">
        <v>375</v>
      </c>
      <c r="AH161" s="476"/>
      <c r="AI161" s="472" t="s">
        <v>566</v>
      </c>
      <c r="AJ161" s="472" t="s">
        <v>543</v>
      </c>
    </row>
    <row r="162" spans="2:36" ht="24" hidden="1" customHeight="1">
      <c r="B162" s="463">
        <v>126</v>
      </c>
      <c r="C162" s="464" t="s">
        <v>534</v>
      </c>
      <c r="D162" s="464"/>
      <c r="E162" s="464" t="s">
        <v>535</v>
      </c>
      <c r="F162" s="464"/>
      <c r="G162" s="464" t="s">
        <v>58</v>
      </c>
      <c r="H162" s="464" t="s">
        <v>892</v>
      </c>
      <c r="I162" s="465" t="s">
        <v>537</v>
      </c>
      <c r="J162" s="465" t="s">
        <v>537</v>
      </c>
      <c r="K162" s="466">
        <v>15340</v>
      </c>
      <c r="L162" s="465" t="s">
        <v>537</v>
      </c>
      <c r="M162" s="465" t="s">
        <v>537</v>
      </c>
      <c r="N162" s="466">
        <v>11340</v>
      </c>
      <c r="O162" s="463" t="s">
        <v>537</v>
      </c>
      <c r="P162" s="463" t="s">
        <v>537</v>
      </c>
      <c r="Q162" s="468">
        <v>4000</v>
      </c>
      <c r="R162" s="470">
        <v>241609</v>
      </c>
      <c r="S162" s="463" t="s">
        <v>893</v>
      </c>
      <c r="T162" s="463">
        <v>5</v>
      </c>
      <c r="U162" s="463">
        <v>14</v>
      </c>
      <c r="V162" s="463">
        <v>13</v>
      </c>
      <c r="W162" s="463">
        <v>18</v>
      </c>
      <c r="X162" s="463">
        <v>12</v>
      </c>
      <c r="Y162" s="463">
        <v>0</v>
      </c>
      <c r="Z162" s="463">
        <v>95.33</v>
      </c>
      <c r="AA162" s="472" t="s">
        <v>547</v>
      </c>
      <c r="AB162" s="463" t="s">
        <v>539</v>
      </c>
      <c r="AC162" s="463" t="s">
        <v>539</v>
      </c>
      <c r="AD162" s="472" t="s">
        <v>548</v>
      </c>
      <c r="AE162" s="463">
        <v>80</v>
      </c>
      <c r="AF162" s="463">
        <v>95.33</v>
      </c>
      <c r="AG162" s="463" t="s">
        <v>375</v>
      </c>
      <c r="AH162" s="476"/>
      <c r="AI162" s="472" t="s">
        <v>894</v>
      </c>
      <c r="AJ162" s="472" t="s">
        <v>792</v>
      </c>
    </row>
    <row r="163" spans="2:36" ht="24" hidden="1" customHeight="1">
      <c r="B163" s="463">
        <v>127</v>
      </c>
      <c r="C163" s="464" t="s">
        <v>534</v>
      </c>
      <c r="D163" s="464" t="s">
        <v>544</v>
      </c>
      <c r="E163" s="464" t="s">
        <v>535</v>
      </c>
      <c r="F163" s="464"/>
      <c r="G163" s="464" t="s">
        <v>58</v>
      </c>
      <c r="H163" s="464" t="s">
        <v>895</v>
      </c>
      <c r="I163" s="465" t="s">
        <v>537</v>
      </c>
      <c r="J163" s="466">
        <v>20000</v>
      </c>
      <c r="K163" s="465" t="s">
        <v>537</v>
      </c>
      <c r="L163" s="465" t="s">
        <v>537</v>
      </c>
      <c r="M163" s="466">
        <v>20000</v>
      </c>
      <c r="N163" s="465" t="s">
        <v>537</v>
      </c>
      <c r="O163" s="463" t="s">
        <v>537</v>
      </c>
      <c r="P163" s="463" t="s">
        <v>537</v>
      </c>
      <c r="Q163" s="465">
        <v>0</v>
      </c>
      <c r="R163" s="470">
        <v>241579</v>
      </c>
      <c r="S163" s="471">
        <v>22459</v>
      </c>
      <c r="T163" s="463">
        <v>180</v>
      </c>
      <c r="U163" s="463">
        <v>10</v>
      </c>
      <c r="V163" s="463">
        <v>0</v>
      </c>
      <c r="W163" s="463">
        <v>170</v>
      </c>
      <c r="X163" s="463">
        <v>27</v>
      </c>
      <c r="Y163" s="463">
        <v>0</v>
      </c>
      <c r="Z163" s="463">
        <v>94.69</v>
      </c>
      <c r="AA163" s="472" t="s">
        <v>547</v>
      </c>
      <c r="AB163" s="463" t="s">
        <v>539</v>
      </c>
      <c r="AC163" s="463" t="s">
        <v>539</v>
      </c>
      <c r="AD163" s="472" t="s">
        <v>548</v>
      </c>
      <c r="AE163" s="463">
        <v>80</v>
      </c>
      <c r="AF163" s="463">
        <v>94.69</v>
      </c>
      <c r="AG163" s="463" t="s">
        <v>375</v>
      </c>
      <c r="AH163" s="476"/>
      <c r="AI163" s="472" t="s">
        <v>896</v>
      </c>
      <c r="AJ163" s="464"/>
    </row>
    <row r="164" spans="2:36" ht="24" hidden="1" customHeight="1">
      <c r="B164" s="463">
        <v>128</v>
      </c>
      <c r="C164" s="464" t="s">
        <v>534</v>
      </c>
      <c r="D164" s="464" t="s">
        <v>544</v>
      </c>
      <c r="E164" s="464" t="s">
        <v>535</v>
      </c>
      <c r="F164" s="464"/>
      <c r="G164" s="464" t="s">
        <v>58</v>
      </c>
      <c r="H164" s="464" t="s">
        <v>897</v>
      </c>
      <c r="I164" s="465" t="s">
        <v>537</v>
      </c>
      <c r="J164" s="466">
        <v>20000</v>
      </c>
      <c r="K164" s="465" t="s">
        <v>537</v>
      </c>
      <c r="L164" s="465" t="s">
        <v>537</v>
      </c>
      <c r="M164" s="466">
        <v>20000</v>
      </c>
      <c r="N164" s="465" t="s">
        <v>537</v>
      </c>
      <c r="O164" s="463" t="s">
        <v>537</v>
      </c>
      <c r="P164" s="463" t="s">
        <v>537</v>
      </c>
      <c r="Q164" s="465">
        <v>0</v>
      </c>
      <c r="R164" s="470">
        <v>241487</v>
      </c>
      <c r="S164" s="471">
        <v>22364</v>
      </c>
      <c r="T164" s="463">
        <v>140</v>
      </c>
      <c r="U164" s="463">
        <v>9</v>
      </c>
      <c r="V164" s="463">
        <v>1</v>
      </c>
      <c r="W164" s="463">
        <v>192</v>
      </c>
      <c r="X164" s="463">
        <v>22</v>
      </c>
      <c r="Y164" s="463">
        <v>0</v>
      </c>
      <c r="Z164" s="463">
        <v>96.54</v>
      </c>
      <c r="AA164" s="472" t="s">
        <v>547</v>
      </c>
      <c r="AB164" s="463" t="s">
        <v>539</v>
      </c>
      <c r="AC164" s="463" t="s">
        <v>539</v>
      </c>
      <c r="AD164" s="472" t="s">
        <v>548</v>
      </c>
      <c r="AE164" s="463">
        <v>80</v>
      </c>
      <c r="AF164" s="463">
        <v>96.54</v>
      </c>
      <c r="AG164" s="463" t="s">
        <v>375</v>
      </c>
      <c r="AH164" s="476"/>
      <c r="AI164" s="472">
        <v>841942744</v>
      </c>
      <c r="AJ164" s="464"/>
    </row>
    <row r="165" spans="2:36" ht="24" hidden="1" customHeight="1">
      <c r="B165" s="463">
        <v>129</v>
      </c>
      <c r="C165" s="464" t="s">
        <v>534</v>
      </c>
      <c r="D165" s="464" t="s">
        <v>544</v>
      </c>
      <c r="E165" s="464" t="s">
        <v>535</v>
      </c>
      <c r="F165" s="464"/>
      <c r="G165" s="464" t="s">
        <v>58</v>
      </c>
      <c r="H165" s="464" t="s">
        <v>898</v>
      </c>
      <c r="I165" s="465" t="s">
        <v>537</v>
      </c>
      <c r="J165" s="466">
        <v>50000</v>
      </c>
      <c r="K165" s="465" t="s">
        <v>537</v>
      </c>
      <c r="L165" s="465" t="s">
        <v>537</v>
      </c>
      <c r="M165" s="466">
        <v>50000</v>
      </c>
      <c r="N165" s="465" t="s">
        <v>537</v>
      </c>
      <c r="O165" s="463" t="s">
        <v>537</v>
      </c>
      <c r="P165" s="463" t="s">
        <v>537</v>
      </c>
      <c r="Q165" s="465">
        <v>0</v>
      </c>
      <c r="R165" s="470">
        <v>241609</v>
      </c>
      <c r="S165" s="471">
        <v>22486</v>
      </c>
      <c r="T165" s="463">
        <v>30</v>
      </c>
      <c r="U165" s="463">
        <v>30</v>
      </c>
      <c r="V165" s="463">
        <v>10</v>
      </c>
      <c r="W165" s="463">
        <v>41</v>
      </c>
      <c r="X165" s="463">
        <v>30</v>
      </c>
      <c r="Y165" s="463">
        <v>0</v>
      </c>
      <c r="Z165" s="463">
        <v>98.33</v>
      </c>
      <c r="AA165" s="472" t="s">
        <v>899</v>
      </c>
      <c r="AB165" s="463" t="s">
        <v>539</v>
      </c>
      <c r="AC165" s="463" t="s">
        <v>539</v>
      </c>
      <c r="AD165" s="472" t="s">
        <v>548</v>
      </c>
      <c r="AE165" s="463">
        <v>80</v>
      </c>
      <c r="AF165" s="463">
        <v>95.33</v>
      </c>
      <c r="AG165" s="463" t="s">
        <v>375</v>
      </c>
      <c r="AH165" s="476"/>
      <c r="AI165" s="472" t="s">
        <v>900</v>
      </c>
      <c r="AJ165" s="464"/>
    </row>
    <row r="166" spans="2:36" ht="24" hidden="1" customHeight="1">
      <c r="B166" s="463">
        <v>130</v>
      </c>
      <c r="C166" s="464" t="s">
        <v>534</v>
      </c>
      <c r="D166" s="464" t="s">
        <v>544</v>
      </c>
      <c r="E166" s="464" t="s">
        <v>535</v>
      </c>
      <c r="F166" s="464"/>
      <c r="G166" s="464" t="s">
        <v>58</v>
      </c>
      <c r="H166" s="464" t="s">
        <v>901</v>
      </c>
      <c r="I166" s="465" t="s">
        <v>537</v>
      </c>
      <c r="J166" s="466">
        <v>30000</v>
      </c>
      <c r="K166" s="465" t="s">
        <v>537</v>
      </c>
      <c r="L166" s="465" t="s">
        <v>537</v>
      </c>
      <c r="M166" s="466">
        <v>30000</v>
      </c>
      <c r="N166" s="465" t="s">
        <v>537</v>
      </c>
      <c r="O166" s="463" t="s">
        <v>537</v>
      </c>
      <c r="P166" s="463" t="s">
        <v>537</v>
      </c>
      <c r="Q166" s="465">
        <v>0</v>
      </c>
      <c r="R166" s="470">
        <v>241459</v>
      </c>
      <c r="S166" s="463" t="s">
        <v>682</v>
      </c>
      <c r="T166" s="463">
        <v>30</v>
      </c>
      <c r="U166" s="463">
        <v>8</v>
      </c>
      <c r="V166" s="463">
        <v>0</v>
      </c>
      <c r="W166" s="463">
        <v>30</v>
      </c>
      <c r="X166" s="463">
        <v>8</v>
      </c>
      <c r="Y166" s="463">
        <v>0</v>
      </c>
      <c r="Z166" s="463">
        <v>99.25</v>
      </c>
      <c r="AA166" s="472" t="s">
        <v>547</v>
      </c>
      <c r="AB166" s="463" t="s">
        <v>539</v>
      </c>
      <c r="AC166" s="463" t="s">
        <v>539</v>
      </c>
      <c r="AD166" s="472" t="s">
        <v>548</v>
      </c>
      <c r="AE166" s="463">
        <v>80</v>
      </c>
      <c r="AF166" s="463">
        <v>99.25</v>
      </c>
      <c r="AG166" s="463" t="s">
        <v>375</v>
      </c>
      <c r="AH166" s="476"/>
      <c r="AI166" s="472">
        <v>892084227</v>
      </c>
      <c r="AJ166" s="464"/>
    </row>
    <row r="167" spans="2:36" ht="24" hidden="1" customHeight="1">
      <c r="B167" s="463">
        <v>131</v>
      </c>
      <c r="C167" s="464" t="s">
        <v>534</v>
      </c>
      <c r="D167" s="464" t="s">
        <v>544</v>
      </c>
      <c r="E167" s="464" t="s">
        <v>535</v>
      </c>
      <c r="F167" s="464"/>
      <c r="G167" s="464" t="s">
        <v>58</v>
      </c>
      <c r="H167" s="464" t="s">
        <v>669</v>
      </c>
      <c r="I167" s="465" t="s">
        <v>537</v>
      </c>
      <c r="J167" s="466">
        <v>100000</v>
      </c>
      <c r="K167" s="465" t="s">
        <v>537</v>
      </c>
      <c r="L167" s="465" t="s">
        <v>537</v>
      </c>
      <c r="M167" s="466">
        <v>100000</v>
      </c>
      <c r="N167" s="465" t="s">
        <v>537</v>
      </c>
      <c r="O167" s="463" t="s">
        <v>537</v>
      </c>
      <c r="P167" s="463" t="s">
        <v>537</v>
      </c>
      <c r="Q167" s="465">
        <v>0</v>
      </c>
      <c r="R167" s="470">
        <v>241609</v>
      </c>
      <c r="S167" s="471">
        <v>22498</v>
      </c>
      <c r="T167" s="463">
        <v>100</v>
      </c>
      <c r="U167" s="463">
        <v>0</v>
      </c>
      <c r="V167" s="463">
        <v>0</v>
      </c>
      <c r="W167" s="463">
        <v>114</v>
      </c>
      <c r="X167" s="463">
        <v>0</v>
      </c>
      <c r="Y167" s="463">
        <v>0</v>
      </c>
      <c r="Z167" s="463">
        <v>82.03</v>
      </c>
      <c r="AA167" s="472" t="s">
        <v>902</v>
      </c>
      <c r="AB167" s="463">
        <v>1</v>
      </c>
      <c r="AC167" s="463">
        <v>2</v>
      </c>
      <c r="AD167" s="472" t="s">
        <v>651</v>
      </c>
      <c r="AE167" s="463">
        <v>1</v>
      </c>
      <c r="AF167" s="463">
        <v>1</v>
      </c>
      <c r="AG167" s="463" t="s">
        <v>375</v>
      </c>
      <c r="AH167" s="476"/>
      <c r="AI167" s="472" t="s">
        <v>903</v>
      </c>
      <c r="AJ167" s="464"/>
    </row>
    <row r="168" spans="2:36" ht="24" hidden="1" customHeight="1">
      <c r="B168" s="463">
        <v>132</v>
      </c>
      <c r="C168" s="464" t="s">
        <v>534</v>
      </c>
      <c r="D168" s="464" t="s">
        <v>544</v>
      </c>
      <c r="E168" s="464" t="s">
        <v>535</v>
      </c>
      <c r="F168" s="464"/>
      <c r="G168" s="464" t="s">
        <v>58</v>
      </c>
      <c r="H168" s="464" t="s">
        <v>668</v>
      </c>
      <c r="I168" s="465" t="s">
        <v>537</v>
      </c>
      <c r="J168" s="466">
        <v>30000</v>
      </c>
      <c r="K168" s="465" t="s">
        <v>537</v>
      </c>
      <c r="L168" s="465" t="s">
        <v>537</v>
      </c>
      <c r="M168" s="466">
        <v>30000</v>
      </c>
      <c r="N168" s="465" t="s">
        <v>537</v>
      </c>
      <c r="O168" s="463" t="s">
        <v>537</v>
      </c>
      <c r="P168" s="463" t="s">
        <v>537</v>
      </c>
      <c r="Q168" s="465">
        <v>0</v>
      </c>
      <c r="R168" s="470">
        <v>241487</v>
      </c>
      <c r="S168" s="471">
        <v>22365</v>
      </c>
      <c r="T168" s="463">
        <v>200</v>
      </c>
      <c r="U168" s="463">
        <v>30</v>
      </c>
      <c r="V168" s="463">
        <v>0</v>
      </c>
      <c r="W168" s="463">
        <v>204</v>
      </c>
      <c r="X168" s="463">
        <v>30</v>
      </c>
      <c r="Y168" s="463">
        <v>0</v>
      </c>
      <c r="Z168" s="463">
        <v>96.54</v>
      </c>
      <c r="AA168" s="472" t="s">
        <v>547</v>
      </c>
      <c r="AB168" s="463" t="s">
        <v>539</v>
      </c>
      <c r="AC168" s="463" t="s">
        <v>539</v>
      </c>
      <c r="AD168" s="472" t="s">
        <v>548</v>
      </c>
      <c r="AE168" s="463">
        <v>80</v>
      </c>
      <c r="AF168" s="463">
        <v>96.54</v>
      </c>
      <c r="AG168" s="463" t="s">
        <v>375</v>
      </c>
      <c r="AH168" s="476"/>
      <c r="AI168" s="472" t="s">
        <v>904</v>
      </c>
      <c r="AJ168" s="464"/>
    </row>
    <row r="169" spans="2:36" ht="24" hidden="1" customHeight="1">
      <c r="B169" s="463">
        <v>133</v>
      </c>
      <c r="C169" s="464" t="s">
        <v>534</v>
      </c>
      <c r="D169" s="464" t="s">
        <v>544</v>
      </c>
      <c r="E169" s="464" t="s">
        <v>535</v>
      </c>
      <c r="F169" s="464"/>
      <c r="G169" s="464" t="s">
        <v>58</v>
      </c>
      <c r="H169" s="464" t="s">
        <v>905</v>
      </c>
      <c r="I169" s="465" t="s">
        <v>537</v>
      </c>
      <c r="J169" s="466">
        <v>50000</v>
      </c>
      <c r="K169" s="465" t="s">
        <v>537</v>
      </c>
      <c r="L169" s="465" t="s">
        <v>537</v>
      </c>
      <c r="M169" s="466">
        <v>50000</v>
      </c>
      <c r="N169" s="465" t="s">
        <v>537</v>
      </c>
      <c r="O169" s="463" t="s">
        <v>537</v>
      </c>
      <c r="P169" s="463" t="s">
        <v>537</v>
      </c>
      <c r="Q169" s="465">
        <v>0</v>
      </c>
      <c r="R169" s="470">
        <v>241428</v>
      </c>
      <c r="S169" s="463" t="s">
        <v>906</v>
      </c>
      <c r="T169" s="463">
        <v>60</v>
      </c>
      <c r="U169" s="463">
        <v>15</v>
      </c>
      <c r="V169" s="463">
        <v>0</v>
      </c>
      <c r="W169" s="463">
        <v>60</v>
      </c>
      <c r="X169" s="463">
        <v>16</v>
      </c>
      <c r="Y169" s="463">
        <v>0</v>
      </c>
      <c r="Z169" s="463">
        <v>90.21</v>
      </c>
      <c r="AA169" s="472" t="s">
        <v>728</v>
      </c>
      <c r="AB169" s="463">
        <v>1</v>
      </c>
      <c r="AC169" s="463">
        <v>2</v>
      </c>
      <c r="AD169" s="472" t="s">
        <v>651</v>
      </c>
      <c r="AE169" s="463">
        <v>1</v>
      </c>
      <c r="AF169" s="463">
        <v>2</v>
      </c>
      <c r="AG169" s="463" t="s">
        <v>375</v>
      </c>
      <c r="AH169" s="476"/>
      <c r="AI169" s="472" t="s">
        <v>907</v>
      </c>
      <c r="AJ169" s="464"/>
    </row>
    <row r="170" spans="2:36" ht="24" hidden="1" customHeight="1">
      <c r="B170" s="463">
        <v>134</v>
      </c>
      <c r="C170" s="464" t="s">
        <v>534</v>
      </c>
      <c r="D170" s="464" t="s">
        <v>544</v>
      </c>
      <c r="E170" s="464" t="s">
        <v>535</v>
      </c>
      <c r="F170" s="464"/>
      <c r="G170" s="464" t="s">
        <v>58</v>
      </c>
      <c r="H170" s="464" t="s">
        <v>667</v>
      </c>
      <c r="I170" s="465" t="s">
        <v>537</v>
      </c>
      <c r="J170" s="466">
        <v>40000</v>
      </c>
      <c r="K170" s="465" t="s">
        <v>537</v>
      </c>
      <c r="L170" s="465" t="s">
        <v>537</v>
      </c>
      <c r="M170" s="466">
        <v>40000</v>
      </c>
      <c r="N170" s="465" t="s">
        <v>537</v>
      </c>
      <c r="O170" s="463" t="s">
        <v>537</v>
      </c>
      <c r="P170" s="463" t="s">
        <v>537</v>
      </c>
      <c r="Q170" s="465">
        <v>0</v>
      </c>
      <c r="R170" s="470">
        <v>241579</v>
      </c>
      <c r="S170" s="471">
        <v>22449</v>
      </c>
      <c r="T170" s="463">
        <v>200</v>
      </c>
      <c r="U170" s="463">
        <v>50</v>
      </c>
      <c r="V170" s="463">
        <v>200</v>
      </c>
      <c r="W170" s="463">
        <v>237</v>
      </c>
      <c r="X170" s="463">
        <v>49</v>
      </c>
      <c r="Y170" s="463">
        <v>0</v>
      </c>
      <c r="Z170" s="463">
        <v>89.09</v>
      </c>
      <c r="AA170" s="472" t="s">
        <v>547</v>
      </c>
      <c r="AB170" s="463" t="s">
        <v>539</v>
      </c>
      <c r="AC170" s="463" t="s">
        <v>539</v>
      </c>
      <c r="AD170" s="472" t="s">
        <v>548</v>
      </c>
      <c r="AE170" s="463">
        <v>80</v>
      </c>
      <c r="AF170" s="463">
        <v>89.09</v>
      </c>
      <c r="AG170" s="463" t="s">
        <v>375</v>
      </c>
      <c r="AH170" s="476"/>
      <c r="AI170" s="472" t="s">
        <v>904</v>
      </c>
      <c r="AJ170" s="464"/>
    </row>
    <row r="171" spans="2:36" ht="24" hidden="1" customHeight="1">
      <c r="B171" s="463">
        <v>135</v>
      </c>
      <c r="C171" s="464" t="s">
        <v>534</v>
      </c>
      <c r="D171" s="464" t="s">
        <v>544</v>
      </c>
      <c r="E171" s="464" t="s">
        <v>535</v>
      </c>
      <c r="F171" s="464"/>
      <c r="G171" s="464" t="s">
        <v>58</v>
      </c>
      <c r="H171" s="464" t="s">
        <v>908</v>
      </c>
      <c r="I171" s="465" t="s">
        <v>537</v>
      </c>
      <c r="J171" s="466">
        <v>40000</v>
      </c>
      <c r="K171" s="465" t="s">
        <v>537</v>
      </c>
      <c r="L171" s="465" t="s">
        <v>537</v>
      </c>
      <c r="M171" s="466">
        <v>40000</v>
      </c>
      <c r="N171" s="465" t="s">
        <v>537</v>
      </c>
      <c r="O171" s="463" t="s">
        <v>537</v>
      </c>
      <c r="P171" s="463" t="s">
        <v>537</v>
      </c>
      <c r="Q171" s="465">
        <v>0</v>
      </c>
      <c r="R171" s="470">
        <v>241609</v>
      </c>
      <c r="S171" s="471">
        <v>22475</v>
      </c>
      <c r="T171" s="463">
        <v>150</v>
      </c>
      <c r="U171" s="463">
        <v>10</v>
      </c>
      <c r="V171" s="463">
        <v>0</v>
      </c>
      <c r="W171" s="463">
        <v>150</v>
      </c>
      <c r="X171" s="463">
        <v>10</v>
      </c>
      <c r="Y171" s="463">
        <v>0</v>
      </c>
      <c r="Z171" s="463">
        <v>88.39</v>
      </c>
      <c r="AA171" s="472" t="s">
        <v>728</v>
      </c>
      <c r="AB171" s="463">
        <v>1</v>
      </c>
      <c r="AC171" s="463">
        <v>5</v>
      </c>
      <c r="AD171" s="472" t="s">
        <v>651</v>
      </c>
      <c r="AE171" s="463">
        <v>1</v>
      </c>
      <c r="AF171" s="463">
        <v>1</v>
      </c>
      <c r="AG171" s="463" t="s">
        <v>375</v>
      </c>
      <c r="AH171" s="476"/>
      <c r="AI171" s="472" t="s">
        <v>909</v>
      </c>
      <c r="AJ171" s="464"/>
    </row>
    <row r="172" spans="2:36" ht="24" hidden="1" customHeight="1">
      <c r="B172" s="463">
        <v>136</v>
      </c>
      <c r="C172" s="464" t="s">
        <v>534</v>
      </c>
      <c r="D172" s="464"/>
      <c r="E172" s="464" t="s">
        <v>535</v>
      </c>
      <c r="F172" s="464"/>
      <c r="G172" s="464" t="s">
        <v>58</v>
      </c>
      <c r="H172" s="464" t="s">
        <v>910</v>
      </c>
      <c r="I172" s="465" t="s">
        <v>537</v>
      </c>
      <c r="J172" s="465" t="s">
        <v>537</v>
      </c>
      <c r="K172" s="466">
        <v>120000</v>
      </c>
      <c r="L172" s="465" t="s">
        <v>537</v>
      </c>
      <c r="M172" s="465" t="s">
        <v>537</v>
      </c>
      <c r="N172" s="466">
        <v>115805.02</v>
      </c>
      <c r="O172" s="463" t="s">
        <v>537</v>
      </c>
      <c r="P172" s="463" t="s">
        <v>537</v>
      </c>
      <c r="Q172" s="468">
        <v>4195</v>
      </c>
      <c r="R172" s="470">
        <v>241428</v>
      </c>
      <c r="S172" s="463" t="s">
        <v>623</v>
      </c>
      <c r="T172" s="463">
        <v>11</v>
      </c>
      <c r="U172" s="463">
        <v>9</v>
      </c>
      <c r="V172" s="463">
        <v>0</v>
      </c>
      <c r="W172" s="463">
        <v>11</v>
      </c>
      <c r="X172" s="463">
        <v>9</v>
      </c>
      <c r="Y172" s="463">
        <v>0</v>
      </c>
      <c r="Z172" s="463">
        <v>82.5</v>
      </c>
      <c r="AA172" s="472" t="s">
        <v>624</v>
      </c>
      <c r="AB172" s="463" t="s">
        <v>539</v>
      </c>
      <c r="AC172" s="463" t="s">
        <v>539</v>
      </c>
      <c r="AD172" s="472" t="s">
        <v>675</v>
      </c>
      <c r="AE172" s="463">
        <v>80</v>
      </c>
      <c r="AF172" s="463">
        <v>82.5</v>
      </c>
      <c r="AG172" s="463" t="s">
        <v>375</v>
      </c>
      <c r="AH172" s="476"/>
      <c r="AI172" s="472" t="s">
        <v>911</v>
      </c>
      <c r="AJ172" s="472" t="s">
        <v>543</v>
      </c>
    </row>
    <row r="173" spans="2:36" ht="24" hidden="1" customHeight="1">
      <c r="B173" s="463">
        <v>137</v>
      </c>
      <c r="C173" s="464" t="s">
        <v>534</v>
      </c>
      <c r="D173" s="464"/>
      <c r="E173" s="464" t="s">
        <v>535</v>
      </c>
      <c r="F173" s="464"/>
      <c r="G173" s="464" t="s">
        <v>58</v>
      </c>
      <c r="H173" s="464" t="s">
        <v>912</v>
      </c>
      <c r="I173" s="465" t="s">
        <v>537</v>
      </c>
      <c r="J173" s="465" t="s">
        <v>537</v>
      </c>
      <c r="K173" s="466">
        <v>28000</v>
      </c>
      <c r="L173" s="465" t="s">
        <v>537</v>
      </c>
      <c r="M173" s="465" t="s">
        <v>537</v>
      </c>
      <c r="N173" s="466">
        <v>28000</v>
      </c>
      <c r="O173" s="463" t="s">
        <v>537</v>
      </c>
      <c r="P173" s="463" t="s">
        <v>537</v>
      </c>
      <c r="Q173" s="465">
        <v>0</v>
      </c>
      <c r="R173" s="470">
        <v>241397</v>
      </c>
      <c r="S173" s="471">
        <v>22274</v>
      </c>
      <c r="T173" s="463">
        <v>200</v>
      </c>
      <c r="U173" s="463">
        <v>0</v>
      </c>
      <c r="V173" s="463">
        <v>200</v>
      </c>
      <c r="W173" s="463">
        <v>387</v>
      </c>
      <c r="X173" s="463">
        <v>33</v>
      </c>
      <c r="Y173" s="463">
        <v>0</v>
      </c>
      <c r="Z173" s="463">
        <v>92.27</v>
      </c>
      <c r="AA173" s="472" t="s">
        <v>547</v>
      </c>
      <c r="AB173" s="463" t="s">
        <v>539</v>
      </c>
      <c r="AC173" s="463" t="s">
        <v>539</v>
      </c>
      <c r="AD173" s="472" t="s">
        <v>548</v>
      </c>
      <c r="AE173" s="463">
        <v>80</v>
      </c>
      <c r="AF173" s="463">
        <v>92.27</v>
      </c>
      <c r="AG173" s="463" t="s">
        <v>375</v>
      </c>
      <c r="AH173" s="476"/>
      <c r="AI173" s="472" t="s">
        <v>904</v>
      </c>
      <c r="AJ173" s="472" t="s">
        <v>543</v>
      </c>
    </row>
    <row r="174" spans="2:36" ht="24" hidden="1" customHeight="1">
      <c r="B174" s="463">
        <v>138</v>
      </c>
      <c r="C174" s="464" t="s">
        <v>534</v>
      </c>
      <c r="D174" s="464"/>
      <c r="E174" s="464" t="s">
        <v>535</v>
      </c>
      <c r="F174" s="464"/>
      <c r="G174" s="464" t="s">
        <v>58</v>
      </c>
      <c r="H174" s="464" t="s">
        <v>913</v>
      </c>
      <c r="I174" s="465" t="s">
        <v>537</v>
      </c>
      <c r="J174" s="465" t="s">
        <v>537</v>
      </c>
      <c r="K174" s="466">
        <v>46150</v>
      </c>
      <c r="L174" s="465" t="s">
        <v>537</v>
      </c>
      <c r="M174" s="465" t="s">
        <v>537</v>
      </c>
      <c r="N174" s="466">
        <v>36150</v>
      </c>
      <c r="O174" s="463" t="s">
        <v>537</v>
      </c>
      <c r="P174" s="463" t="s">
        <v>537</v>
      </c>
      <c r="Q174" s="468">
        <v>10000</v>
      </c>
      <c r="R174" s="470">
        <v>241640</v>
      </c>
      <c r="S174" s="471">
        <v>22499</v>
      </c>
      <c r="T174" s="463">
        <v>5</v>
      </c>
      <c r="U174" s="463">
        <v>20</v>
      </c>
      <c r="V174" s="463">
        <v>5</v>
      </c>
      <c r="W174" s="463">
        <v>8</v>
      </c>
      <c r="X174" s="463">
        <v>22</v>
      </c>
      <c r="Y174" s="463">
        <v>5</v>
      </c>
      <c r="Z174" s="463">
        <v>90.23</v>
      </c>
      <c r="AA174" s="472" t="s">
        <v>630</v>
      </c>
      <c r="AB174" s="463" t="s">
        <v>539</v>
      </c>
      <c r="AC174" s="463" t="s">
        <v>539</v>
      </c>
      <c r="AD174" s="472" t="s">
        <v>914</v>
      </c>
      <c r="AE174" s="463">
        <v>80</v>
      </c>
      <c r="AF174" s="463">
        <v>90.23</v>
      </c>
      <c r="AG174" s="463" t="s">
        <v>375</v>
      </c>
      <c r="AH174" s="476"/>
      <c r="AI174" s="472" t="s">
        <v>915</v>
      </c>
      <c r="AJ174" s="472" t="s">
        <v>543</v>
      </c>
    </row>
    <row r="175" spans="2:36" ht="24" hidden="1" customHeight="1">
      <c r="B175" s="463">
        <v>139</v>
      </c>
      <c r="C175" s="464" t="s">
        <v>377</v>
      </c>
      <c r="D175" s="464"/>
      <c r="E175" s="464" t="s">
        <v>602</v>
      </c>
      <c r="F175" s="464"/>
      <c r="G175" s="464" t="s">
        <v>58</v>
      </c>
      <c r="H175" s="464" t="s">
        <v>916</v>
      </c>
      <c r="I175" s="465" t="s">
        <v>537</v>
      </c>
      <c r="J175" s="465" t="s">
        <v>537</v>
      </c>
      <c r="K175" s="466">
        <v>312200</v>
      </c>
      <c r="L175" s="465" t="s">
        <v>537</v>
      </c>
      <c r="M175" s="465" t="s">
        <v>537</v>
      </c>
      <c r="N175" s="466">
        <v>312200</v>
      </c>
      <c r="O175" s="463" t="s">
        <v>537</v>
      </c>
      <c r="P175" s="463" t="s">
        <v>537</v>
      </c>
      <c r="Q175" s="465">
        <v>0</v>
      </c>
      <c r="R175" s="470">
        <v>241671</v>
      </c>
      <c r="S175" s="463" t="s">
        <v>917</v>
      </c>
      <c r="T175" s="463">
        <v>70</v>
      </c>
      <c r="U175" s="463">
        <v>10</v>
      </c>
      <c r="V175" s="463">
        <v>0</v>
      </c>
      <c r="W175" s="463">
        <v>73</v>
      </c>
      <c r="X175" s="463">
        <v>10</v>
      </c>
      <c r="Y175" s="463">
        <v>0</v>
      </c>
      <c r="Z175" s="463">
        <v>90.78</v>
      </c>
      <c r="AA175" s="472" t="s">
        <v>547</v>
      </c>
      <c r="AB175" s="463" t="s">
        <v>539</v>
      </c>
      <c r="AC175" s="463" t="s">
        <v>539</v>
      </c>
      <c r="AD175" s="472" t="s">
        <v>548</v>
      </c>
      <c r="AE175" s="463">
        <v>80</v>
      </c>
      <c r="AF175" s="463">
        <v>90.78</v>
      </c>
      <c r="AG175" s="463" t="s">
        <v>375</v>
      </c>
      <c r="AH175" s="476"/>
      <c r="AI175" s="472" t="s">
        <v>915</v>
      </c>
      <c r="AJ175" s="472" t="s">
        <v>543</v>
      </c>
    </row>
    <row r="176" spans="2:36" ht="24" hidden="1" customHeight="1">
      <c r="B176" s="463">
        <v>140</v>
      </c>
      <c r="C176" s="464" t="s">
        <v>377</v>
      </c>
      <c r="D176" s="464" t="s">
        <v>544</v>
      </c>
      <c r="E176" s="464" t="s">
        <v>602</v>
      </c>
      <c r="F176" s="464"/>
      <c r="G176" s="464" t="s">
        <v>58</v>
      </c>
      <c r="H176" s="464" t="s">
        <v>918</v>
      </c>
      <c r="I176" s="466">
        <v>250000</v>
      </c>
      <c r="J176" s="465" t="s">
        <v>537</v>
      </c>
      <c r="K176" s="465" t="s">
        <v>537</v>
      </c>
      <c r="L176" s="466">
        <v>248900</v>
      </c>
      <c r="M176" s="465" t="s">
        <v>537</v>
      </c>
      <c r="N176" s="465" t="s">
        <v>537</v>
      </c>
      <c r="O176" s="463" t="s">
        <v>537</v>
      </c>
      <c r="P176" s="463" t="s">
        <v>537</v>
      </c>
      <c r="Q176" s="468">
        <v>1100</v>
      </c>
      <c r="R176" s="470">
        <v>241428</v>
      </c>
      <c r="S176" s="463" t="s">
        <v>919</v>
      </c>
      <c r="T176" s="463">
        <v>230</v>
      </c>
      <c r="U176" s="463">
        <v>150</v>
      </c>
      <c r="V176" s="463">
        <v>20</v>
      </c>
      <c r="W176" s="463">
        <v>202</v>
      </c>
      <c r="X176" s="463">
        <v>178</v>
      </c>
      <c r="Y176" s="463">
        <v>20</v>
      </c>
      <c r="Z176" s="463">
        <v>84.81</v>
      </c>
      <c r="AA176" s="472" t="s">
        <v>619</v>
      </c>
      <c r="AB176" s="463" t="s">
        <v>539</v>
      </c>
      <c r="AC176" s="463" t="s">
        <v>539</v>
      </c>
      <c r="AD176" s="472" t="s">
        <v>565</v>
      </c>
      <c r="AE176" s="463">
        <v>80</v>
      </c>
      <c r="AF176" s="463">
        <v>84.81</v>
      </c>
      <c r="AG176" s="463" t="s">
        <v>375</v>
      </c>
      <c r="AH176" s="476"/>
      <c r="AI176" s="472" t="s">
        <v>920</v>
      </c>
      <c r="AJ176" s="464"/>
    </row>
    <row r="177" spans="1:36" ht="24" hidden="1" customHeight="1">
      <c r="B177" s="463">
        <v>141</v>
      </c>
      <c r="C177" s="464" t="s">
        <v>377</v>
      </c>
      <c r="D177" s="464" t="s">
        <v>544</v>
      </c>
      <c r="E177" s="464" t="s">
        <v>602</v>
      </c>
      <c r="F177" s="464"/>
      <c r="G177" s="464" t="s">
        <v>58</v>
      </c>
      <c r="H177" s="464" t="s">
        <v>617</v>
      </c>
      <c r="I177" s="465" t="s">
        <v>537</v>
      </c>
      <c r="J177" s="466">
        <v>75000</v>
      </c>
      <c r="K177" s="465" t="s">
        <v>537</v>
      </c>
      <c r="L177" s="465" t="s">
        <v>537</v>
      </c>
      <c r="M177" s="466">
        <v>75000</v>
      </c>
      <c r="N177" s="465" t="s">
        <v>537</v>
      </c>
      <c r="O177" s="463" t="s">
        <v>537</v>
      </c>
      <c r="P177" s="463" t="s">
        <v>537</v>
      </c>
      <c r="Q177" s="465">
        <v>0</v>
      </c>
      <c r="R177" s="463" t="s">
        <v>643</v>
      </c>
      <c r="S177" s="463" t="s">
        <v>921</v>
      </c>
      <c r="T177" s="463">
        <v>200</v>
      </c>
      <c r="U177" s="463">
        <v>50</v>
      </c>
      <c r="V177" s="463">
        <v>0</v>
      </c>
      <c r="W177" s="463">
        <v>273</v>
      </c>
      <c r="X177" s="463">
        <v>10</v>
      </c>
      <c r="Y177" s="463">
        <v>0</v>
      </c>
      <c r="Z177" s="463">
        <v>98.55</v>
      </c>
      <c r="AA177" s="472" t="s">
        <v>612</v>
      </c>
      <c r="AB177" s="463" t="s">
        <v>539</v>
      </c>
      <c r="AC177" s="463" t="s">
        <v>539</v>
      </c>
      <c r="AD177" s="472" t="s">
        <v>565</v>
      </c>
      <c r="AE177" s="463">
        <v>80</v>
      </c>
      <c r="AF177" s="463">
        <v>98.55</v>
      </c>
      <c r="AG177" s="463" t="s">
        <v>375</v>
      </c>
      <c r="AH177" s="476"/>
      <c r="AI177" s="472" t="s">
        <v>904</v>
      </c>
      <c r="AJ177" s="464"/>
    </row>
    <row r="178" spans="1:36" ht="24" hidden="1" customHeight="1">
      <c r="B178" s="463">
        <v>142</v>
      </c>
      <c r="C178" s="464" t="s">
        <v>534</v>
      </c>
      <c r="D178" s="464"/>
      <c r="E178" s="464" t="s">
        <v>535</v>
      </c>
      <c r="F178" s="464"/>
      <c r="G178" s="464" t="s">
        <v>58</v>
      </c>
      <c r="H178" s="464" t="s">
        <v>922</v>
      </c>
      <c r="I178" s="465" t="s">
        <v>537</v>
      </c>
      <c r="J178" s="465" t="s">
        <v>537</v>
      </c>
      <c r="K178" s="466">
        <v>128400</v>
      </c>
      <c r="L178" s="465" t="s">
        <v>537</v>
      </c>
      <c r="M178" s="465" t="s">
        <v>537</v>
      </c>
      <c r="N178" s="466">
        <v>128400</v>
      </c>
      <c r="O178" s="463" t="s">
        <v>537</v>
      </c>
      <c r="P178" s="463" t="s">
        <v>537</v>
      </c>
      <c r="Q178" s="465">
        <v>0</v>
      </c>
      <c r="R178" s="470">
        <v>241428</v>
      </c>
      <c r="S178" s="463" t="s">
        <v>923</v>
      </c>
      <c r="T178" s="463">
        <v>107</v>
      </c>
      <c r="U178" s="463">
        <v>8</v>
      </c>
      <c r="V178" s="463">
        <v>0</v>
      </c>
      <c r="W178" s="463">
        <v>106</v>
      </c>
      <c r="X178" s="463">
        <v>13</v>
      </c>
      <c r="Y178" s="463">
        <v>0</v>
      </c>
      <c r="Z178" s="463">
        <v>89.59</v>
      </c>
      <c r="AA178" s="472" t="s">
        <v>547</v>
      </c>
      <c r="AB178" s="463" t="s">
        <v>539</v>
      </c>
      <c r="AC178" s="463" t="s">
        <v>539</v>
      </c>
      <c r="AD178" s="472" t="s">
        <v>548</v>
      </c>
      <c r="AE178" s="463">
        <v>80</v>
      </c>
      <c r="AF178" s="463">
        <v>89.59</v>
      </c>
      <c r="AG178" s="463" t="s">
        <v>375</v>
      </c>
      <c r="AH178" s="476"/>
      <c r="AI178" s="472" t="s">
        <v>894</v>
      </c>
      <c r="AJ178" s="472" t="s">
        <v>543</v>
      </c>
    </row>
    <row r="179" spans="1:36" ht="24" hidden="1" customHeight="1">
      <c r="B179" s="463">
        <v>143</v>
      </c>
      <c r="C179" s="464" t="s">
        <v>534</v>
      </c>
      <c r="D179" s="464"/>
      <c r="E179" s="464" t="s">
        <v>535</v>
      </c>
      <c r="F179" s="464"/>
      <c r="G179" s="464" t="s">
        <v>58</v>
      </c>
      <c r="H179" s="464" t="s">
        <v>924</v>
      </c>
      <c r="I179" s="465" t="s">
        <v>537</v>
      </c>
      <c r="J179" s="465" t="s">
        <v>537</v>
      </c>
      <c r="K179" s="466">
        <v>39200</v>
      </c>
      <c r="L179" s="465" t="s">
        <v>537</v>
      </c>
      <c r="M179" s="465" t="s">
        <v>537</v>
      </c>
      <c r="N179" s="466">
        <v>39200</v>
      </c>
      <c r="O179" s="463" t="s">
        <v>537</v>
      </c>
      <c r="P179" s="463" t="s">
        <v>537</v>
      </c>
      <c r="Q179" s="465">
        <v>0</v>
      </c>
      <c r="R179" s="470">
        <v>241459</v>
      </c>
      <c r="S179" s="471">
        <v>22340</v>
      </c>
      <c r="T179" s="463">
        <v>200</v>
      </c>
      <c r="U179" s="463">
        <v>10</v>
      </c>
      <c r="V179" s="463">
        <v>0</v>
      </c>
      <c r="W179" s="463">
        <v>391</v>
      </c>
      <c r="X179" s="463">
        <v>6</v>
      </c>
      <c r="Y179" s="463">
        <v>0</v>
      </c>
      <c r="Z179" s="463">
        <v>94.29</v>
      </c>
      <c r="AA179" s="472" t="s">
        <v>547</v>
      </c>
      <c r="AB179" s="463" t="s">
        <v>539</v>
      </c>
      <c r="AC179" s="463" t="s">
        <v>539</v>
      </c>
      <c r="AD179" s="472" t="s">
        <v>925</v>
      </c>
      <c r="AE179" s="463">
        <v>80</v>
      </c>
      <c r="AF179" s="463">
        <v>94.29</v>
      </c>
      <c r="AG179" s="463" t="s">
        <v>375</v>
      </c>
      <c r="AH179" s="476"/>
      <c r="AI179" s="472" t="s">
        <v>903</v>
      </c>
      <c r="AJ179" s="472" t="s">
        <v>543</v>
      </c>
    </row>
    <row r="180" spans="1:36" ht="24" hidden="1" customHeight="1">
      <c r="B180" s="463">
        <v>144</v>
      </c>
      <c r="C180" s="464" t="s">
        <v>534</v>
      </c>
      <c r="D180" s="464"/>
      <c r="E180" s="464" t="s">
        <v>535</v>
      </c>
      <c r="F180" s="464"/>
      <c r="G180" s="464" t="s">
        <v>58</v>
      </c>
      <c r="H180" s="464" t="s">
        <v>926</v>
      </c>
      <c r="I180" s="465" t="s">
        <v>537</v>
      </c>
      <c r="J180" s="465" t="s">
        <v>537</v>
      </c>
      <c r="K180" s="466">
        <v>30000</v>
      </c>
      <c r="L180" s="465" t="s">
        <v>537</v>
      </c>
      <c r="M180" s="465" t="s">
        <v>537</v>
      </c>
      <c r="N180" s="466">
        <v>30000</v>
      </c>
      <c r="O180" s="463" t="s">
        <v>537</v>
      </c>
      <c r="P180" s="463" t="s">
        <v>537</v>
      </c>
      <c r="Q180" s="465">
        <v>0</v>
      </c>
      <c r="R180" s="470">
        <v>241518</v>
      </c>
      <c r="S180" s="471">
        <v>22400</v>
      </c>
      <c r="T180" s="463">
        <v>0</v>
      </c>
      <c r="U180" s="463">
        <v>28</v>
      </c>
      <c r="V180" s="463">
        <v>0</v>
      </c>
      <c r="W180" s="463">
        <v>140</v>
      </c>
      <c r="X180" s="463">
        <v>29</v>
      </c>
      <c r="Y180" s="463">
        <v>126</v>
      </c>
      <c r="Z180" s="463">
        <v>90.1</v>
      </c>
      <c r="AA180" s="472" t="s">
        <v>547</v>
      </c>
      <c r="AB180" s="463" t="s">
        <v>539</v>
      </c>
      <c r="AC180" s="463" t="s">
        <v>539</v>
      </c>
      <c r="AD180" s="472" t="s">
        <v>548</v>
      </c>
      <c r="AE180" s="463">
        <v>80</v>
      </c>
      <c r="AF180" s="463">
        <v>90.1</v>
      </c>
      <c r="AG180" s="463" t="s">
        <v>375</v>
      </c>
      <c r="AH180" s="476"/>
      <c r="AI180" s="472" t="s">
        <v>927</v>
      </c>
      <c r="AJ180" s="472" t="s">
        <v>543</v>
      </c>
    </row>
    <row r="181" spans="1:36" ht="24" hidden="1" customHeight="1">
      <c r="B181" s="463">
        <v>145</v>
      </c>
      <c r="C181" s="464" t="s">
        <v>534</v>
      </c>
      <c r="D181" s="464"/>
      <c r="E181" s="464" t="s">
        <v>535</v>
      </c>
      <c r="F181" s="464"/>
      <c r="G181" s="464" t="s">
        <v>58</v>
      </c>
      <c r="H181" s="464" t="s">
        <v>928</v>
      </c>
      <c r="I181" s="465" t="s">
        <v>537</v>
      </c>
      <c r="J181" s="465" t="s">
        <v>537</v>
      </c>
      <c r="K181" s="466">
        <v>14000</v>
      </c>
      <c r="L181" s="465" t="s">
        <v>537</v>
      </c>
      <c r="M181" s="465" t="s">
        <v>537</v>
      </c>
      <c r="N181" s="466">
        <v>14000</v>
      </c>
      <c r="O181" s="463" t="s">
        <v>537</v>
      </c>
      <c r="P181" s="463" t="s">
        <v>537</v>
      </c>
      <c r="Q181" s="465">
        <v>0</v>
      </c>
      <c r="R181" s="463" t="s">
        <v>643</v>
      </c>
      <c r="S181" s="463" t="s">
        <v>929</v>
      </c>
      <c r="T181" s="463">
        <v>5</v>
      </c>
      <c r="U181" s="463">
        <v>35</v>
      </c>
      <c r="V181" s="463">
        <v>0</v>
      </c>
      <c r="W181" s="463">
        <v>3</v>
      </c>
      <c r="X181" s="463">
        <v>39</v>
      </c>
      <c r="Y181" s="463">
        <v>0</v>
      </c>
      <c r="Z181" s="463">
        <v>89.93</v>
      </c>
      <c r="AA181" s="472" t="s">
        <v>930</v>
      </c>
      <c r="AB181" s="463" t="s">
        <v>539</v>
      </c>
      <c r="AC181" s="463" t="s">
        <v>539</v>
      </c>
      <c r="AD181" s="472" t="s">
        <v>548</v>
      </c>
      <c r="AE181" s="463">
        <v>80</v>
      </c>
      <c r="AF181" s="463">
        <v>89.93</v>
      </c>
      <c r="AG181" s="463" t="s">
        <v>375</v>
      </c>
      <c r="AH181" s="476"/>
      <c r="AI181" s="472" t="s">
        <v>931</v>
      </c>
      <c r="AJ181" s="472" t="s">
        <v>543</v>
      </c>
    </row>
    <row r="182" spans="1:36" ht="24" hidden="1" customHeight="1">
      <c r="B182" s="463">
        <v>146</v>
      </c>
      <c r="C182" s="464" t="s">
        <v>534</v>
      </c>
      <c r="D182" s="464"/>
      <c r="E182" s="464" t="s">
        <v>535</v>
      </c>
      <c r="F182" s="464"/>
      <c r="G182" s="464" t="s">
        <v>58</v>
      </c>
      <c r="H182" s="464" t="s">
        <v>932</v>
      </c>
      <c r="I182" s="465" t="s">
        <v>537</v>
      </c>
      <c r="J182" s="465" t="s">
        <v>537</v>
      </c>
      <c r="K182" s="466">
        <v>9000</v>
      </c>
      <c r="L182" s="465" t="s">
        <v>537</v>
      </c>
      <c r="M182" s="465" t="s">
        <v>537</v>
      </c>
      <c r="N182" s="466">
        <v>9000</v>
      </c>
      <c r="O182" s="463" t="s">
        <v>537</v>
      </c>
      <c r="P182" s="463" t="s">
        <v>537</v>
      </c>
      <c r="Q182" s="465">
        <v>0</v>
      </c>
      <c r="R182" s="463" t="s">
        <v>643</v>
      </c>
      <c r="S182" s="463" t="s">
        <v>933</v>
      </c>
      <c r="T182" s="463">
        <v>0</v>
      </c>
      <c r="U182" s="463">
        <v>26</v>
      </c>
      <c r="V182" s="463">
        <v>0</v>
      </c>
      <c r="W182" s="463">
        <v>0</v>
      </c>
      <c r="X182" s="463">
        <v>28</v>
      </c>
      <c r="Y182" s="463">
        <v>0</v>
      </c>
      <c r="Z182" s="463">
        <v>95.07</v>
      </c>
      <c r="AA182" s="472" t="s">
        <v>547</v>
      </c>
      <c r="AB182" s="463" t="s">
        <v>539</v>
      </c>
      <c r="AC182" s="463" t="s">
        <v>539</v>
      </c>
      <c r="AD182" s="472" t="s">
        <v>548</v>
      </c>
      <c r="AE182" s="463">
        <v>80</v>
      </c>
      <c r="AF182" s="463">
        <v>95.07</v>
      </c>
      <c r="AG182" s="463" t="s">
        <v>375</v>
      </c>
      <c r="AH182" s="476"/>
      <c r="AI182" s="472" t="s">
        <v>931</v>
      </c>
      <c r="AJ182" s="472" t="s">
        <v>543</v>
      </c>
    </row>
    <row r="183" spans="1:36" ht="24" hidden="1" customHeight="1">
      <c r="B183" s="463">
        <v>147</v>
      </c>
      <c r="C183" s="464" t="s">
        <v>534</v>
      </c>
      <c r="D183" s="464"/>
      <c r="E183" s="464" t="s">
        <v>535</v>
      </c>
      <c r="F183" s="464"/>
      <c r="G183" s="464" t="s">
        <v>58</v>
      </c>
      <c r="H183" s="464" t="s">
        <v>934</v>
      </c>
      <c r="I183" s="465" t="s">
        <v>537</v>
      </c>
      <c r="J183" s="465" t="s">
        <v>537</v>
      </c>
      <c r="K183" s="466">
        <v>188000</v>
      </c>
      <c r="L183" s="465" t="s">
        <v>537</v>
      </c>
      <c r="M183" s="465" t="s">
        <v>537</v>
      </c>
      <c r="N183" s="466">
        <v>174100</v>
      </c>
      <c r="O183" s="463" t="s">
        <v>537</v>
      </c>
      <c r="P183" s="463" t="s">
        <v>537</v>
      </c>
      <c r="Q183" s="468">
        <v>13900</v>
      </c>
      <c r="R183" s="470">
        <v>241579</v>
      </c>
      <c r="S183" s="463" t="s">
        <v>935</v>
      </c>
      <c r="T183" s="463">
        <v>6</v>
      </c>
      <c r="U183" s="463">
        <v>58</v>
      </c>
      <c r="V183" s="463">
        <v>0</v>
      </c>
      <c r="W183" s="463">
        <v>8</v>
      </c>
      <c r="X183" s="463">
        <v>52</v>
      </c>
      <c r="Y183" s="463">
        <v>0</v>
      </c>
      <c r="Z183" s="463">
        <v>94.69</v>
      </c>
      <c r="AA183" s="472" t="s">
        <v>547</v>
      </c>
      <c r="AB183" s="463">
        <v>80</v>
      </c>
      <c r="AC183" s="463">
        <v>94.69</v>
      </c>
      <c r="AD183" s="472" t="s">
        <v>548</v>
      </c>
      <c r="AE183" s="463">
        <v>80</v>
      </c>
      <c r="AF183" s="463">
        <v>94.69</v>
      </c>
      <c r="AG183" s="463" t="s">
        <v>375</v>
      </c>
      <c r="AH183" s="476"/>
      <c r="AI183" s="472" t="s">
        <v>936</v>
      </c>
      <c r="AJ183" s="472" t="s">
        <v>543</v>
      </c>
    </row>
    <row r="184" spans="1:36" ht="24" hidden="1" customHeight="1">
      <c r="B184" s="463">
        <v>148</v>
      </c>
      <c r="C184" s="464" t="s">
        <v>534</v>
      </c>
      <c r="D184" s="464" t="s">
        <v>544</v>
      </c>
      <c r="E184" s="464" t="s">
        <v>535</v>
      </c>
      <c r="F184" s="464"/>
      <c r="G184" s="464" t="s">
        <v>58</v>
      </c>
      <c r="H184" s="464" t="s">
        <v>937</v>
      </c>
      <c r="I184" s="466">
        <v>200000</v>
      </c>
      <c r="J184" s="465" t="s">
        <v>537</v>
      </c>
      <c r="K184" s="465" t="s">
        <v>537</v>
      </c>
      <c r="L184" s="466">
        <v>188700</v>
      </c>
      <c r="M184" s="465" t="s">
        <v>537</v>
      </c>
      <c r="N184" s="465" t="s">
        <v>537</v>
      </c>
      <c r="O184" s="463" t="s">
        <v>537</v>
      </c>
      <c r="P184" s="463" t="s">
        <v>537</v>
      </c>
      <c r="Q184" s="468">
        <v>11300</v>
      </c>
      <c r="R184" s="463" t="s">
        <v>877</v>
      </c>
      <c r="S184" s="463" t="s">
        <v>938</v>
      </c>
      <c r="T184" s="463">
        <v>216</v>
      </c>
      <c r="U184" s="463">
        <v>25</v>
      </c>
      <c r="V184" s="463">
        <v>0</v>
      </c>
      <c r="W184" s="463">
        <v>184</v>
      </c>
      <c r="X184" s="463">
        <v>21</v>
      </c>
      <c r="Y184" s="463">
        <v>0</v>
      </c>
      <c r="Z184" s="463">
        <v>91.31</v>
      </c>
      <c r="AA184" s="472" t="s">
        <v>737</v>
      </c>
      <c r="AB184" s="463" t="s">
        <v>539</v>
      </c>
      <c r="AC184" s="463" t="s">
        <v>539</v>
      </c>
      <c r="AD184" s="472" t="s">
        <v>635</v>
      </c>
      <c r="AE184" s="463" t="s">
        <v>539</v>
      </c>
      <c r="AF184" s="463" t="s">
        <v>539</v>
      </c>
      <c r="AG184" s="463" t="s">
        <v>375</v>
      </c>
      <c r="AH184" s="476"/>
      <c r="AI184" s="472" t="s">
        <v>939</v>
      </c>
      <c r="AJ184" s="464"/>
    </row>
    <row r="185" spans="1:36" ht="24" hidden="1" customHeight="1">
      <c r="B185" s="463">
        <v>149</v>
      </c>
      <c r="C185" s="464" t="s">
        <v>534</v>
      </c>
      <c r="D185" s="464" t="s">
        <v>544</v>
      </c>
      <c r="E185" s="464" t="s">
        <v>535</v>
      </c>
      <c r="F185" s="464"/>
      <c r="G185" s="464" t="s">
        <v>58</v>
      </c>
      <c r="H185" s="464" t="s">
        <v>940</v>
      </c>
      <c r="I185" s="466">
        <v>60000</v>
      </c>
      <c r="J185" s="465" t="s">
        <v>537</v>
      </c>
      <c r="K185" s="465" t="s">
        <v>537</v>
      </c>
      <c r="L185" s="466">
        <v>60000</v>
      </c>
      <c r="M185" s="465" t="s">
        <v>537</v>
      </c>
      <c r="N185" s="465" t="s">
        <v>537</v>
      </c>
      <c r="O185" s="463" t="s">
        <v>537</v>
      </c>
      <c r="P185" s="463" t="s">
        <v>537</v>
      </c>
      <c r="Q185" s="465">
        <v>0</v>
      </c>
      <c r="R185" s="470">
        <v>241609</v>
      </c>
      <c r="S185" s="464"/>
      <c r="T185" s="463">
        <v>0</v>
      </c>
      <c r="U185" s="463">
        <v>5</v>
      </c>
      <c r="V185" s="463">
        <v>0</v>
      </c>
      <c r="W185" s="463">
        <v>0</v>
      </c>
      <c r="X185" s="463">
        <v>5</v>
      </c>
      <c r="Y185" s="463">
        <v>0</v>
      </c>
      <c r="Z185" s="463">
        <v>93</v>
      </c>
      <c r="AA185" s="472" t="s">
        <v>941</v>
      </c>
      <c r="AB185" s="463" t="s">
        <v>539</v>
      </c>
      <c r="AC185" s="463" t="s">
        <v>539</v>
      </c>
      <c r="AD185" s="472" t="s">
        <v>942</v>
      </c>
      <c r="AE185" s="463" t="s">
        <v>539</v>
      </c>
      <c r="AF185" s="463" t="s">
        <v>539</v>
      </c>
      <c r="AG185" s="463" t="s">
        <v>375</v>
      </c>
      <c r="AH185" s="476"/>
      <c r="AI185" s="472" t="s">
        <v>943</v>
      </c>
      <c r="AJ185" s="464"/>
    </row>
    <row r="186" spans="1:36" ht="24" hidden="1" customHeight="1">
      <c r="B186" s="463">
        <v>150</v>
      </c>
      <c r="C186" s="464" t="s">
        <v>534</v>
      </c>
      <c r="D186" s="464" t="s">
        <v>544</v>
      </c>
      <c r="E186" s="464" t="s">
        <v>535</v>
      </c>
      <c r="F186" s="464"/>
      <c r="G186" s="464" t="s">
        <v>58</v>
      </c>
      <c r="H186" s="464" t="s">
        <v>944</v>
      </c>
      <c r="I186" s="466">
        <v>30000</v>
      </c>
      <c r="J186" s="465" t="s">
        <v>537</v>
      </c>
      <c r="K186" s="465" t="s">
        <v>537</v>
      </c>
      <c r="L186" s="466">
        <v>30000</v>
      </c>
      <c r="M186" s="465" t="s">
        <v>537</v>
      </c>
      <c r="N186" s="465" t="s">
        <v>537</v>
      </c>
      <c r="O186" s="463" t="s">
        <v>537</v>
      </c>
      <c r="P186" s="463" t="s">
        <v>537</v>
      </c>
      <c r="Q186" s="465">
        <v>0</v>
      </c>
      <c r="R186" s="470">
        <v>241609</v>
      </c>
      <c r="S186" s="463" t="s">
        <v>945</v>
      </c>
      <c r="T186" s="463">
        <v>0</v>
      </c>
      <c r="U186" s="463">
        <v>30</v>
      </c>
      <c r="V186" s="463">
        <v>0</v>
      </c>
      <c r="W186" s="463">
        <v>14</v>
      </c>
      <c r="X186" s="463">
        <v>41</v>
      </c>
      <c r="Y186" s="463">
        <v>0</v>
      </c>
      <c r="Z186" s="463">
        <v>96.11</v>
      </c>
      <c r="AA186" s="472" t="s">
        <v>547</v>
      </c>
      <c r="AB186" s="463" t="s">
        <v>539</v>
      </c>
      <c r="AC186" s="463" t="s">
        <v>539</v>
      </c>
      <c r="AD186" s="472" t="s">
        <v>548</v>
      </c>
      <c r="AE186" s="463">
        <v>80</v>
      </c>
      <c r="AF186" s="463">
        <v>96.11</v>
      </c>
      <c r="AG186" s="463" t="s">
        <v>375</v>
      </c>
      <c r="AH186" s="476"/>
      <c r="AI186" s="472" t="s">
        <v>894</v>
      </c>
      <c r="AJ186" s="464"/>
    </row>
    <row r="187" spans="1:36" ht="24" hidden="1" customHeight="1">
      <c r="B187" s="463">
        <v>151</v>
      </c>
      <c r="C187" s="464" t="s">
        <v>534</v>
      </c>
      <c r="D187" s="464" t="s">
        <v>544</v>
      </c>
      <c r="E187" s="464" t="s">
        <v>535</v>
      </c>
      <c r="F187" s="464"/>
      <c r="G187" s="464" t="s">
        <v>58</v>
      </c>
      <c r="H187" s="464" t="s">
        <v>946</v>
      </c>
      <c r="I187" s="466">
        <v>60000</v>
      </c>
      <c r="J187" s="465" t="s">
        <v>537</v>
      </c>
      <c r="K187" s="465" t="s">
        <v>537</v>
      </c>
      <c r="L187" s="466">
        <v>55655</v>
      </c>
      <c r="M187" s="465" t="s">
        <v>537</v>
      </c>
      <c r="N187" s="465" t="s">
        <v>537</v>
      </c>
      <c r="O187" s="463" t="s">
        <v>537</v>
      </c>
      <c r="P187" s="463" t="s">
        <v>537</v>
      </c>
      <c r="Q187" s="468">
        <v>4345</v>
      </c>
      <c r="R187" s="463" t="s">
        <v>947</v>
      </c>
      <c r="S187" s="463" t="s">
        <v>948</v>
      </c>
      <c r="T187" s="463">
        <v>17</v>
      </c>
      <c r="U187" s="463">
        <v>7</v>
      </c>
      <c r="V187" s="463">
        <v>0</v>
      </c>
      <c r="W187" s="463">
        <v>7</v>
      </c>
      <c r="X187" s="463">
        <v>1</v>
      </c>
      <c r="Y187" s="463">
        <v>0</v>
      </c>
      <c r="Z187" s="463">
        <v>96.67</v>
      </c>
      <c r="AA187" s="472" t="s">
        <v>949</v>
      </c>
      <c r="AB187" s="463">
        <v>1</v>
      </c>
      <c r="AC187" s="463">
        <v>1</v>
      </c>
      <c r="AD187" s="472" t="s">
        <v>950</v>
      </c>
      <c r="AE187" s="463">
        <v>1</v>
      </c>
      <c r="AF187" s="463">
        <v>1</v>
      </c>
      <c r="AG187" s="463" t="s">
        <v>375</v>
      </c>
      <c r="AH187" s="476"/>
      <c r="AI187" s="472" t="s">
        <v>951</v>
      </c>
      <c r="AJ187" s="464"/>
    </row>
    <row r="188" spans="1:36" ht="24" hidden="1" customHeight="1">
      <c r="B188" s="463">
        <v>152</v>
      </c>
      <c r="C188" s="464" t="s">
        <v>534</v>
      </c>
      <c r="D188" s="464" t="s">
        <v>544</v>
      </c>
      <c r="E188" s="464" t="s">
        <v>535</v>
      </c>
      <c r="F188" s="464"/>
      <c r="G188" s="464" t="s">
        <v>58</v>
      </c>
      <c r="H188" s="464" t="s">
        <v>952</v>
      </c>
      <c r="I188" s="466">
        <v>40000</v>
      </c>
      <c r="J188" s="465" t="s">
        <v>537</v>
      </c>
      <c r="K188" s="465" t="s">
        <v>537</v>
      </c>
      <c r="L188" s="466">
        <v>40000</v>
      </c>
      <c r="M188" s="465" t="s">
        <v>537</v>
      </c>
      <c r="N188" s="465" t="s">
        <v>537</v>
      </c>
      <c r="O188" s="463" t="s">
        <v>537</v>
      </c>
      <c r="P188" s="463" t="s">
        <v>537</v>
      </c>
      <c r="Q188" s="465">
        <v>0</v>
      </c>
      <c r="R188" s="470">
        <v>241428</v>
      </c>
      <c r="S188" s="463" t="s">
        <v>953</v>
      </c>
      <c r="T188" s="463">
        <v>120</v>
      </c>
      <c r="U188" s="463">
        <v>30</v>
      </c>
      <c r="V188" s="463">
        <v>0</v>
      </c>
      <c r="W188" s="463">
        <v>126</v>
      </c>
      <c r="X188" s="463">
        <v>30</v>
      </c>
      <c r="Y188" s="463">
        <v>0</v>
      </c>
      <c r="Z188" s="463">
        <v>87.62</v>
      </c>
      <c r="AA188" s="472" t="s">
        <v>954</v>
      </c>
      <c r="AB188" s="463" t="s">
        <v>539</v>
      </c>
      <c r="AC188" s="463" t="s">
        <v>539</v>
      </c>
      <c r="AD188" s="472" t="s">
        <v>565</v>
      </c>
      <c r="AE188" s="463">
        <v>80</v>
      </c>
      <c r="AF188" s="463">
        <v>87.62</v>
      </c>
      <c r="AG188" s="463" t="s">
        <v>375</v>
      </c>
      <c r="AH188" s="476"/>
      <c r="AI188" s="472" t="s">
        <v>911</v>
      </c>
      <c r="AJ188" s="464"/>
    </row>
    <row r="189" spans="1:36" ht="24" hidden="1" customHeight="1">
      <c r="B189" s="463">
        <v>153</v>
      </c>
      <c r="C189" s="464" t="s">
        <v>534</v>
      </c>
      <c r="D189" s="464" t="s">
        <v>544</v>
      </c>
      <c r="E189" s="464" t="s">
        <v>535</v>
      </c>
      <c r="F189" s="464"/>
      <c r="G189" s="464" t="s">
        <v>58</v>
      </c>
      <c r="H189" s="464" t="s">
        <v>955</v>
      </c>
      <c r="I189" s="466">
        <v>200000</v>
      </c>
      <c r="J189" s="465" t="s">
        <v>537</v>
      </c>
      <c r="K189" s="465" t="s">
        <v>537</v>
      </c>
      <c r="L189" s="466">
        <v>193070</v>
      </c>
      <c r="M189" s="465" t="s">
        <v>537</v>
      </c>
      <c r="N189" s="465" t="s">
        <v>537</v>
      </c>
      <c r="O189" s="463" t="s">
        <v>537</v>
      </c>
      <c r="P189" s="463" t="s">
        <v>537</v>
      </c>
      <c r="Q189" s="468">
        <v>6930</v>
      </c>
      <c r="R189" s="470">
        <v>241459</v>
      </c>
      <c r="S189" s="463" t="s">
        <v>956</v>
      </c>
      <c r="T189" s="463">
        <v>17</v>
      </c>
      <c r="U189" s="463">
        <v>13</v>
      </c>
      <c r="V189" s="463">
        <v>0</v>
      </c>
      <c r="W189" s="463">
        <v>14</v>
      </c>
      <c r="X189" s="463">
        <v>15</v>
      </c>
      <c r="Y189" s="463">
        <v>0</v>
      </c>
      <c r="Z189" s="463">
        <v>88.36</v>
      </c>
      <c r="AA189" s="472" t="s">
        <v>728</v>
      </c>
      <c r="AB189" s="463">
        <v>1</v>
      </c>
      <c r="AC189" s="463">
        <v>4</v>
      </c>
      <c r="AD189" s="472" t="s">
        <v>651</v>
      </c>
      <c r="AE189" s="463">
        <v>1</v>
      </c>
      <c r="AF189" s="463">
        <v>2</v>
      </c>
      <c r="AG189" s="463" t="s">
        <v>375</v>
      </c>
      <c r="AH189" s="476"/>
      <c r="AI189" s="472">
        <v>80954416601</v>
      </c>
      <c r="AJ189" s="464"/>
    </row>
    <row r="190" spans="1:36" ht="24" hidden="1" customHeight="1">
      <c r="B190" s="463">
        <v>154</v>
      </c>
      <c r="C190" s="464" t="s">
        <v>534</v>
      </c>
      <c r="D190" s="464" t="s">
        <v>544</v>
      </c>
      <c r="E190" s="464" t="s">
        <v>535</v>
      </c>
      <c r="F190" s="464"/>
      <c r="G190" s="464" t="s">
        <v>58</v>
      </c>
      <c r="H190" s="464" t="s">
        <v>636</v>
      </c>
      <c r="I190" s="466">
        <v>200000</v>
      </c>
      <c r="J190" s="465" t="s">
        <v>537</v>
      </c>
      <c r="K190" s="465" t="s">
        <v>537</v>
      </c>
      <c r="L190" s="466">
        <v>194860</v>
      </c>
      <c r="M190" s="465" t="s">
        <v>537</v>
      </c>
      <c r="N190" s="465" t="s">
        <v>537</v>
      </c>
      <c r="O190" s="463" t="s">
        <v>537</v>
      </c>
      <c r="P190" s="463" t="s">
        <v>537</v>
      </c>
      <c r="Q190" s="468">
        <v>5140</v>
      </c>
      <c r="R190" s="470">
        <v>241609</v>
      </c>
      <c r="S190" s="463" t="s">
        <v>637</v>
      </c>
      <c r="T190" s="463">
        <v>100</v>
      </c>
      <c r="U190" s="463">
        <v>15</v>
      </c>
      <c r="V190" s="463">
        <v>0</v>
      </c>
      <c r="W190" s="463">
        <v>100</v>
      </c>
      <c r="X190" s="463">
        <v>20</v>
      </c>
      <c r="Y190" s="463">
        <v>0</v>
      </c>
      <c r="Z190" s="463">
        <v>94.17</v>
      </c>
      <c r="AA190" s="472" t="s">
        <v>902</v>
      </c>
      <c r="AB190" s="463">
        <v>1</v>
      </c>
      <c r="AC190" s="463">
        <v>5</v>
      </c>
      <c r="AD190" s="472" t="s">
        <v>651</v>
      </c>
      <c r="AE190" s="463">
        <v>1</v>
      </c>
      <c r="AF190" s="463">
        <v>1</v>
      </c>
      <c r="AG190" s="463" t="s">
        <v>375</v>
      </c>
      <c r="AH190" s="476"/>
      <c r="AI190" s="472" t="s">
        <v>957</v>
      </c>
      <c r="AJ190" s="464"/>
    </row>
    <row r="191" spans="1:36" ht="24" customHeight="1">
      <c r="A191" s="452">
        <v>29</v>
      </c>
      <c r="B191" s="463">
        <v>155</v>
      </c>
      <c r="C191" s="464" t="s">
        <v>337</v>
      </c>
      <c r="D191" s="464"/>
      <c r="E191" s="464" t="s">
        <v>545</v>
      </c>
      <c r="F191" s="464"/>
      <c r="G191" s="464" t="s">
        <v>58</v>
      </c>
      <c r="H191" s="464" t="s">
        <v>958</v>
      </c>
      <c r="I191" s="465">
        <v>0</v>
      </c>
      <c r="J191" s="465" t="s">
        <v>537</v>
      </c>
      <c r="K191" s="465" t="s">
        <v>537</v>
      </c>
      <c r="L191" s="465">
        <v>0</v>
      </c>
      <c r="M191" s="465" t="s">
        <v>537</v>
      </c>
      <c r="N191" s="465" t="s">
        <v>537</v>
      </c>
      <c r="O191" s="463" t="s">
        <v>537</v>
      </c>
      <c r="P191" s="463" t="s">
        <v>537</v>
      </c>
      <c r="Q191" s="465">
        <v>0</v>
      </c>
      <c r="R191" s="463" t="s">
        <v>643</v>
      </c>
      <c r="S191" s="463" t="s">
        <v>959</v>
      </c>
      <c r="T191" s="463">
        <v>0</v>
      </c>
      <c r="U191" s="463">
        <v>1</v>
      </c>
      <c r="V191" s="463">
        <v>10</v>
      </c>
      <c r="W191" s="463">
        <v>0</v>
      </c>
      <c r="X191" s="463">
        <v>0</v>
      </c>
      <c r="Y191" s="463">
        <v>10</v>
      </c>
      <c r="Z191" s="463">
        <v>95.06</v>
      </c>
      <c r="AA191" s="472" t="s">
        <v>547</v>
      </c>
      <c r="AB191" s="463" t="s">
        <v>539</v>
      </c>
      <c r="AC191" s="463" t="s">
        <v>539</v>
      </c>
      <c r="AD191" s="472" t="s">
        <v>548</v>
      </c>
      <c r="AE191" s="463">
        <v>80</v>
      </c>
      <c r="AF191" s="463">
        <v>95.06</v>
      </c>
      <c r="AG191" s="463" t="s">
        <v>375</v>
      </c>
      <c r="AH191" s="476"/>
      <c r="AI191" s="472" t="s">
        <v>960</v>
      </c>
      <c r="AJ191" s="464"/>
    </row>
    <row r="192" spans="1:36" ht="24" customHeight="1">
      <c r="A192" s="452">
        <v>30</v>
      </c>
      <c r="B192" s="463">
        <v>156</v>
      </c>
      <c r="C192" s="464" t="s">
        <v>337</v>
      </c>
      <c r="D192" s="464" t="s">
        <v>544</v>
      </c>
      <c r="E192" s="464" t="s">
        <v>545</v>
      </c>
      <c r="F192" s="464"/>
      <c r="G192" s="464" t="s">
        <v>58</v>
      </c>
      <c r="H192" s="464" t="s">
        <v>961</v>
      </c>
      <c r="I192" s="466">
        <v>35000</v>
      </c>
      <c r="J192" s="465" t="s">
        <v>537</v>
      </c>
      <c r="K192" s="465" t="s">
        <v>537</v>
      </c>
      <c r="L192" s="466">
        <v>35000</v>
      </c>
      <c r="M192" s="465" t="s">
        <v>537</v>
      </c>
      <c r="N192" s="465" t="s">
        <v>537</v>
      </c>
      <c r="O192" s="463" t="s">
        <v>537</v>
      </c>
      <c r="P192" s="463" t="s">
        <v>537</v>
      </c>
      <c r="Q192" s="465">
        <v>0</v>
      </c>
      <c r="R192" s="463" t="s">
        <v>643</v>
      </c>
      <c r="S192" s="463" t="s">
        <v>962</v>
      </c>
      <c r="T192" s="463">
        <v>0</v>
      </c>
      <c r="U192" s="463">
        <v>1</v>
      </c>
      <c r="V192" s="463">
        <v>10</v>
      </c>
      <c r="W192" s="463">
        <v>0</v>
      </c>
      <c r="X192" s="463">
        <v>0</v>
      </c>
      <c r="Y192" s="463">
        <v>26</v>
      </c>
      <c r="Z192" s="463">
        <v>94.52</v>
      </c>
      <c r="AA192" s="472" t="s">
        <v>547</v>
      </c>
      <c r="AB192" s="463" t="s">
        <v>539</v>
      </c>
      <c r="AC192" s="463" t="s">
        <v>539</v>
      </c>
      <c r="AD192" s="472" t="s">
        <v>548</v>
      </c>
      <c r="AE192" s="463">
        <v>80</v>
      </c>
      <c r="AF192" s="463">
        <v>94.52</v>
      </c>
      <c r="AG192" s="463" t="s">
        <v>375</v>
      </c>
      <c r="AH192" s="476"/>
      <c r="AI192" s="472" t="s">
        <v>963</v>
      </c>
      <c r="AJ192" s="464"/>
    </row>
    <row r="193" spans="1:36" ht="24" customHeight="1">
      <c r="A193" s="452">
        <v>31</v>
      </c>
      <c r="B193" s="463">
        <v>157</v>
      </c>
      <c r="C193" s="464" t="s">
        <v>337</v>
      </c>
      <c r="D193" s="464" t="s">
        <v>544</v>
      </c>
      <c r="E193" s="464" t="s">
        <v>545</v>
      </c>
      <c r="F193" s="464"/>
      <c r="G193" s="464" t="s">
        <v>58</v>
      </c>
      <c r="H193" s="464" t="s">
        <v>964</v>
      </c>
      <c r="I193" s="466">
        <v>25000</v>
      </c>
      <c r="J193" s="465" t="s">
        <v>537</v>
      </c>
      <c r="K193" s="465" t="s">
        <v>537</v>
      </c>
      <c r="L193" s="466">
        <v>25000</v>
      </c>
      <c r="M193" s="465" t="s">
        <v>537</v>
      </c>
      <c r="N193" s="465" t="s">
        <v>537</v>
      </c>
      <c r="O193" s="463" t="s">
        <v>537</v>
      </c>
      <c r="P193" s="463" t="s">
        <v>537</v>
      </c>
      <c r="Q193" s="465">
        <v>0</v>
      </c>
      <c r="R193" s="463" t="s">
        <v>643</v>
      </c>
      <c r="S193" s="463" t="s">
        <v>933</v>
      </c>
      <c r="T193" s="463">
        <v>0</v>
      </c>
      <c r="U193" s="463">
        <v>2</v>
      </c>
      <c r="V193" s="463">
        <v>10</v>
      </c>
      <c r="W193" s="463">
        <v>0</v>
      </c>
      <c r="X193" s="463">
        <v>0</v>
      </c>
      <c r="Y193" s="463">
        <v>12</v>
      </c>
      <c r="Z193" s="463">
        <v>95.88</v>
      </c>
      <c r="AA193" s="472" t="s">
        <v>547</v>
      </c>
      <c r="AB193" s="463" t="s">
        <v>539</v>
      </c>
      <c r="AC193" s="463" t="s">
        <v>539</v>
      </c>
      <c r="AD193" s="472" t="s">
        <v>548</v>
      </c>
      <c r="AE193" s="463">
        <v>80</v>
      </c>
      <c r="AF193" s="463">
        <v>95.88</v>
      </c>
      <c r="AG193" s="463" t="s">
        <v>375</v>
      </c>
      <c r="AH193" s="476"/>
      <c r="AI193" s="472" t="s">
        <v>909</v>
      </c>
      <c r="AJ193" s="464"/>
    </row>
    <row r="194" spans="1:36" ht="24" customHeight="1">
      <c r="A194" s="452">
        <v>32</v>
      </c>
      <c r="B194" s="463">
        <v>158</v>
      </c>
      <c r="C194" s="464" t="s">
        <v>337</v>
      </c>
      <c r="D194" s="464" t="s">
        <v>544</v>
      </c>
      <c r="E194" s="464" t="s">
        <v>545</v>
      </c>
      <c r="F194" s="464"/>
      <c r="G194" s="464" t="s">
        <v>58</v>
      </c>
      <c r="H194" s="464" t="s">
        <v>965</v>
      </c>
      <c r="I194" s="466">
        <v>30000</v>
      </c>
      <c r="J194" s="465" t="s">
        <v>537</v>
      </c>
      <c r="K194" s="465" t="s">
        <v>537</v>
      </c>
      <c r="L194" s="466">
        <v>29000</v>
      </c>
      <c r="M194" s="465" t="s">
        <v>537</v>
      </c>
      <c r="N194" s="465" t="s">
        <v>537</v>
      </c>
      <c r="O194" s="463" t="s">
        <v>537</v>
      </c>
      <c r="P194" s="463" t="s">
        <v>537</v>
      </c>
      <c r="Q194" s="468">
        <v>1000</v>
      </c>
      <c r="R194" s="463" t="s">
        <v>643</v>
      </c>
      <c r="S194" s="463" t="s">
        <v>966</v>
      </c>
      <c r="T194" s="463">
        <v>0</v>
      </c>
      <c r="U194" s="463">
        <v>1</v>
      </c>
      <c r="V194" s="463">
        <v>10</v>
      </c>
      <c r="W194" s="463">
        <v>0</v>
      </c>
      <c r="X194" s="463">
        <v>0</v>
      </c>
      <c r="Y194" s="463">
        <v>15</v>
      </c>
      <c r="Z194" s="463">
        <v>96.24</v>
      </c>
      <c r="AA194" s="472" t="s">
        <v>547</v>
      </c>
      <c r="AB194" s="463" t="s">
        <v>539</v>
      </c>
      <c r="AC194" s="463" t="s">
        <v>539</v>
      </c>
      <c r="AD194" s="472" t="s">
        <v>548</v>
      </c>
      <c r="AE194" s="463">
        <v>80</v>
      </c>
      <c r="AF194" s="463">
        <v>96.24</v>
      </c>
      <c r="AG194" s="463" t="s">
        <v>375</v>
      </c>
      <c r="AH194" s="476"/>
      <c r="AI194" s="472" t="s">
        <v>967</v>
      </c>
      <c r="AJ194" s="464"/>
    </row>
    <row r="195" spans="1:36" ht="24" customHeight="1">
      <c r="A195" s="452">
        <v>33</v>
      </c>
      <c r="B195" s="463">
        <v>159</v>
      </c>
      <c r="C195" s="464" t="s">
        <v>337</v>
      </c>
      <c r="D195" s="464" t="s">
        <v>544</v>
      </c>
      <c r="E195" s="464" t="s">
        <v>545</v>
      </c>
      <c r="F195" s="464"/>
      <c r="G195" s="464" t="s">
        <v>58</v>
      </c>
      <c r="H195" s="464" t="s">
        <v>968</v>
      </c>
      <c r="I195" s="466">
        <v>25000</v>
      </c>
      <c r="J195" s="465" t="s">
        <v>537</v>
      </c>
      <c r="K195" s="465" t="s">
        <v>537</v>
      </c>
      <c r="L195" s="466">
        <v>22500</v>
      </c>
      <c r="M195" s="465" t="s">
        <v>537</v>
      </c>
      <c r="N195" s="465" t="s">
        <v>537</v>
      </c>
      <c r="O195" s="463" t="s">
        <v>537</v>
      </c>
      <c r="P195" s="463" t="s">
        <v>537</v>
      </c>
      <c r="Q195" s="468">
        <v>2500</v>
      </c>
      <c r="R195" s="463" t="s">
        <v>643</v>
      </c>
      <c r="S195" s="463" t="s">
        <v>969</v>
      </c>
      <c r="T195" s="463">
        <v>0</v>
      </c>
      <c r="U195" s="463">
        <v>1</v>
      </c>
      <c r="V195" s="463">
        <v>10</v>
      </c>
      <c r="W195" s="463">
        <v>0</v>
      </c>
      <c r="X195" s="463">
        <v>0</v>
      </c>
      <c r="Y195" s="463">
        <v>14</v>
      </c>
      <c r="Z195" s="463">
        <v>91.93</v>
      </c>
      <c r="AA195" s="472" t="s">
        <v>547</v>
      </c>
      <c r="AB195" s="463" t="s">
        <v>539</v>
      </c>
      <c r="AC195" s="463" t="s">
        <v>539</v>
      </c>
      <c r="AD195" s="472" t="s">
        <v>548</v>
      </c>
      <c r="AE195" s="463">
        <v>80</v>
      </c>
      <c r="AF195" s="463">
        <v>91.93</v>
      </c>
      <c r="AG195" s="463" t="s">
        <v>375</v>
      </c>
      <c r="AH195" s="476"/>
      <c r="AI195" s="472" t="s">
        <v>957</v>
      </c>
      <c r="AJ195" s="464"/>
    </row>
    <row r="196" spans="1:36" ht="24" customHeight="1">
      <c r="A196" s="452">
        <v>34</v>
      </c>
      <c r="B196" s="463">
        <v>160</v>
      </c>
      <c r="C196" s="464" t="s">
        <v>337</v>
      </c>
      <c r="D196" s="464" t="s">
        <v>544</v>
      </c>
      <c r="E196" s="464" t="s">
        <v>545</v>
      </c>
      <c r="F196" s="464"/>
      <c r="G196" s="464" t="s">
        <v>58</v>
      </c>
      <c r="H196" s="464" t="s">
        <v>970</v>
      </c>
      <c r="I196" s="466">
        <v>35000</v>
      </c>
      <c r="J196" s="465" t="s">
        <v>537</v>
      </c>
      <c r="K196" s="465" t="s">
        <v>537</v>
      </c>
      <c r="L196" s="466">
        <v>27690</v>
      </c>
      <c r="M196" s="465" t="s">
        <v>537</v>
      </c>
      <c r="N196" s="465" t="s">
        <v>537</v>
      </c>
      <c r="O196" s="463" t="s">
        <v>537</v>
      </c>
      <c r="P196" s="463" t="s">
        <v>537</v>
      </c>
      <c r="Q196" s="468">
        <v>7310</v>
      </c>
      <c r="R196" s="463" t="s">
        <v>643</v>
      </c>
      <c r="S196" s="463" t="s">
        <v>929</v>
      </c>
      <c r="T196" s="463">
        <v>0</v>
      </c>
      <c r="U196" s="463">
        <v>1</v>
      </c>
      <c r="V196" s="463">
        <v>10</v>
      </c>
      <c r="W196" s="463">
        <v>0</v>
      </c>
      <c r="X196" s="463">
        <v>0</v>
      </c>
      <c r="Y196" s="463">
        <v>12</v>
      </c>
      <c r="Z196" s="463">
        <v>93.14</v>
      </c>
      <c r="AA196" s="472" t="s">
        <v>547</v>
      </c>
      <c r="AB196" s="463" t="s">
        <v>539</v>
      </c>
      <c r="AC196" s="463" t="s">
        <v>539</v>
      </c>
      <c r="AD196" s="472" t="s">
        <v>548</v>
      </c>
      <c r="AE196" s="463">
        <v>80</v>
      </c>
      <c r="AF196" s="463">
        <v>93.14</v>
      </c>
      <c r="AG196" s="463" t="s">
        <v>375</v>
      </c>
      <c r="AH196" s="476"/>
      <c r="AI196" s="472" t="s">
        <v>960</v>
      </c>
      <c r="AJ196" s="464"/>
    </row>
    <row r="197" spans="1:36" ht="24" customHeight="1">
      <c r="A197" s="452">
        <v>35</v>
      </c>
      <c r="B197" s="463">
        <v>161</v>
      </c>
      <c r="C197" s="464" t="s">
        <v>337</v>
      </c>
      <c r="D197" s="464"/>
      <c r="E197" s="464" t="s">
        <v>545</v>
      </c>
      <c r="F197" s="464"/>
      <c r="G197" s="464" t="s">
        <v>58</v>
      </c>
      <c r="H197" s="464" t="s">
        <v>971</v>
      </c>
      <c r="I197" s="465" t="s">
        <v>537</v>
      </c>
      <c r="J197" s="465" t="s">
        <v>537</v>
      </c>
      <c r="K197" s="466">
        <v>25000</v>
      </c>
      <c r="L197" s="465" t="s">
        <v>537</v>
      </c>
      <c r="M197" s="465" t="s">
        <v>537</v>
      </c>
      <c r="N197" s="466">
        <v>25000</v>
      </c>
      <c r="O197" s="463" t="s">
        <v>537</v>
      </c>
      <c r="P197" s="463" t="s">
        <v>537</v>
      </c>
      <c r="Q197" s="465">
        <v>0</v>
      </c>
      <c r="R197" s="470">
        <v>241518</v>
      </c>
      <c r="S197" s="463" t="s">
        <v>972</v>
      </c>
      <c r="T197" s="463">
        <v>2</v>
      </c>
      <c r="U197" s="463">
        <v>3</v>
      </c>
      <c r="V197" s="463">
        <v>5</v>
      </c>
      <c r="W197" s="463">
        <v>0</v>
      </c>
      <c r="X197" s="463">
        <v>11</v>
      </c>
      <c r="Y197" s="463">
        <v>0</v>
      </c>
      <c r="Z197" s="463">
        <v>96.15</v>
      </c>
      <c r="AA197" s="472" t="s">
        <v>973</v>
      </c>
      <c r="AB197" s="463" t="s">
        <v>539</v>
      </c>
      <c r="AC197" s="463" t="s">
        <v>539</v>
      </c>
      <c r="AD197" s="472" t="s">
        <v>974</v>
      </c>
      <c r="AE197" s="463">
        <v>1</v>
      </c>
      <c r="AF197" s="463">
        <v>1</v>
      </c>
      <c r="AG197" s="463" t="s">
        <v>375</v>
      </c>
      <c r="AH197" s="476"/>
      <c r="AI197" s="472" t="s">
        <v>915</v>
      </c>
      <c r="AJ197" s="472" t="s">
        <v>543</v>
      </c>
    </row>
    <row r="198" spans="1:36" ht="24" hidden="1" customHeight="1">
      <c r="B198" s="463">
        <v>162</v>
      </c>
      <c r="C198" s="464" t="s">
        <v>534</v>
      </c>
      <c r="D198" s="464"/>
      <c r="E198" s="464" t="s">
        <v>577</v>
      </c>
      <c r="F198" s="464"/>
      <c r="G198" s="464" t="s">
        <v>58</v>
      </c>
      <c r="H198" s="464" t="s">
        <v>975</v>
      </c>
      <c r="I198" s="465" t="s">
        <v>537</v>
      </c>
      <c r="J198" s="465" t="s">
        <v>537</v>
      </c>
      <c r="K198" s="466">
        <v>40000</v>
      </c>
      <c r="L198" s="465" t="s">
        <v>537</v>
      </c>
      <c r="M198" s="465" t="s">
        <v>537</v>
      </c>
      <c r="N198" s="466">
        <v>40000</v>
      </c>
      <c r="O198" s="463" t="s">
        <v>537</v>
      </c>
      <c r="P198" s="463" t="s">
        <v>537</v>
      </c>
      <c r="Q198" s="465">
        <v>0</v>
      </c>
      <c r="R198" s="463" t="s">
        <v>976</v>
      </c>
      <c r="S198" s="463" t="s">
        <v>977</v>
      </c>
      <c r="T198" s="463">
        <v>0</v>
      </c>
      <c r="U198" s="463">
        <v>0</v>
      </c>
      <c r="V198" s="463">
        <v>0</v>
      </c>
      <c r="W198" s="463">
        <v>0</v>
      </c>
      <c r="X198" s="463">
        <v>0</v>
      </c>
      <c r="Y198" s="463">
        <v>0</v>
      </c>
      <c r="Z198" s="463">
        <v>95.88</v>
      </c>
      <c r="AA198" s="472" t="s">
        <v>978</v>
      </c>
      <c r="AB198" s="463" t="s">
        <v>539</v>
      </c>
      <c r="AC198" s="463" t="s">
        <v>539</v>
      </c>
      <c r="AD198" s="472" t="s">
        <v>979</v>
      </c>
      <c r="AE198" s="463" t="s">
        <v>539</v>
      </c>
      <c r="AF198" s="463" t="s">
        <v>539</v>
      </c>
      <c r="AG198" s="463" t="s">
        <v>375</v>
      </c>
      <c r="AH198" s="476"/>
      <c r="AI198" s="472" t="s">
        <v>915</v>
      </c>
      <c r="AJ198" s="472" t="s">
        <v>543</v>
      </c>
    </row>
    <row r="199" spans="1:36" ht="24" hidden="1" customHeight="1">
      <c r="B199" s="463">
        <v>163</v>
      </c>
      <c r="C199" s="464" t="s">
        <v>534</v>
      </c>
      <c r="D199" s="464"/>
      <c r="E199" s="464" t="s">
        <v>535</v>
      </c>
      <c r="F199" s="464"/>
      <c r="G199" s="464" t="s">
        <v>188</v>
      </c>
      <c r="H199" s="464" t="s">
        <v>980</v>
      </c>
      <c r="I199" s="466">
        <v>100000</v>
      </c>
      <c r="J199" s="465" t="s">
        <v>537</v>
      </c>
      <c r="K199" s="465" t="s">
        <v>537</v>
      </c>
      <c r="L199" s="466">
        <v>100000</v>
      </c>
      <c r="M199" s="465" t="s">
        <v>537</v>
      </c>
      <c r="N199" s="465" t="s">
        <v>537</v>
      </c>
      <c r="O199" s="463" t="s">
        <v>537</v>
      </c>
      <c r="P199" s="463" t="s">
        <v>537</v>
      </c>
      <c r="Q199" s="465">
        <v>0</v>
      </c>
      <c r="R199" s="470">
        <v>241518</v>
      </c>
      <c r="S199" s="463" t="s">
        <v>981</v>
      </c>
      <c r="T199" s="463">
        <v>0</v>
      </c>
      <c r="U199" s="463">
        <v>50</v>
      </c>
      <c r="V199" s="463">
        <v>0</v>
      </c>
      <c r="W199" s="463">
        <v>0</v>
      </c>
      <c r="X199" s="463">
        <v>52</v>
      </c>
      <c r="Y199" s="463">
        <v>0</v>
      </c>
      <c r="Z199" s="463">
        <v>82</v>
      </c>
      <c r="AA199" s="472" t="s">
        <v>982</v>
      </c>
      <c r="AB199" s="463" t="s">
        <v>539</v>
      </c>
      <c r="AC199" s="463" t="s">
        <v>539</v>
      </c>
      <c r="AD199" s="472" t="s">
        <v>548</v>
      </c>
      <c r="AE199" s="463">
        <v>80</v>
      </c>
      <c r="AF199" s="463">
        <v>82</v>
      </c>
      <c r="AG199" s="463" t="s">
        <v>375</v>
      </c>
      <c r="AH199" s="476"/>
      <c r="AI199" s="472" t="s">
        <v>537</v>
      </c>
      <c r="AJ199" s="464"/>
    </row>
    <row r="200" spans="1:36" ht="24" hidden="1" customHeight="1">
      <c r="B200" s="463">
        <v>164</v>
      </c>
      <c r="C200" s="464" t="s">
        <v>534</v>
      </c>
      <c r="D200" s="464"/>
      <c r="E200" s="464" t="s">
        <v>535</v>
      </c>
      <c r="F200" s="464"/>
      <c r="G200" s="464" t="s">
        <v>188</v>
      </c>
      <c r="H200" s="464" t="s">
        <v>983</v>
      </c>
      <c r="I200" s="466">
        <v>100000</v>
      </c>
      <c r="J200" s="465" t="s">
        <v>537</v>
      </c>
      <c r="K200" s="465" t="s">
        <v>537</v>
      </c>
      <c r="L200" s="466">
        <v>100000</v>
      </c>
      <c r="M200" s="465" t="s">
        <v>537</v>
      </c>
      <c r="N200" s="465" t="s">
        <v>537</v>
      </c>
      <c r="O200" s="463" t="s">
        <v>537</v>
      </c>
      <c r="P200" s="463" t="s">
        <v>537</v>
      </c>
      <c r="Q200" s="465">
        <v>0</v>
      </c>
      <c r="R200" s="463" t="s">
        <v>984</v>
      </c>
      <c r="S200" s="463" t="s">
        <v>985</v>
      </c>
      <c r="T200" s="463">
        <v>0</v>
      </c>
      <c r="U200" s="463">
        <v>70</v>
      </c>
      <c r="V200" s="463">
        <v>0</v>
      </c>
      <c r="W200" s="463">
        <v>0</v>
      </c>
      <c r="X200" s="463">
        <v>80</v>
      </c>
      <c r="Y200" s="463">
        <v>0</v>
      </c>
      <c r="Z200" s="463">
        <v>80</v>
      </c>
      <c r="AA200" s="472" t="s">
        <v>982</v>
      </c>
      <c r="AB200" s="463" t="s">
        <v>539</v>
      </c>
      <c r="AC200" s="463">
        <v>85.7</v>
      </c>
      <c r="AD200" s="472" t="s">
        <v>986</v>
      </c>
      <c r="AE200" s="463">
        <v>80</v>
      </c>
      <c r="AF200" s="463">
        <v>82.8</v>
      </c>
      <c r="AG200" s="463" t="s">
        <v>375</v>
      </c>
      <c r="AH200" s="476"/>
      <c r="AI200" s="472">
        <v>2090</v>
      </c>
      <c r="AJ200" s="464"/>
    </row>
    <row r="201" spans="1:36" ht="24" hidden="1" customHeight="1">
      <c r="B201" s="701">
        <v>165</v>
      </c>
      <c r="C201" s="699" t="s">
        <v>534</v>
      </c>
      <c r="D201" s="699"/>
      <c r="E201" s="699" t="s">
        <v>535</v>
      </c>
      <c r="F201" s="699"/>
      <c r="G201" s="699" t="s">
        <v>188</v>
      </c>
      <c r="H201" s="699" t="s">
        <v>987</v>
      </c>
      <c r="I201" s="709" t="s">
        <v>537</v>
      </c>
      <c r="J201" s="712">
        <v>150000</v>
      </c>
      <c r="K201" s="709" t="s">
        <v>537</v>
      </c>
      <c r="L201" s="709" t="s">
        <v>537</v>
      </c>
      <c r="M201" s="712">
        <v>105376.25</v>
      </c>
      <c r="N201" s="709" t="s">
        <v>537</v>
      </c>
      <c r="O201" s="701" t="s">
        <v>537</v>
      </c>
      <c r="P201" s="701" t="s">
        <v>537</v>
      </c>
      <c r="Q201" s="705">
        <v>44624</v>
      </c>
      <c r="R201" s="701" t="s">
        <v>643</v>
      </c>
      <c r="S201" s="701" t="s">
        <v>988</v>
      </c>
      <c r="T201" s="701">
        <v>0</v>
      </c>
      <c r="U201" s="701">
        <v>50</v>
      </c>
      <c r="V201" s="701">
        <v>0</v>
      </c>
      <c r="W201" s="699"/>
      <c r="X201" s="701">
        <v>51</v>
      </c>
      <c r="Y201" s="699"/>
      <c r="Z201" s="701">
        <v>80</v>
      </c>
      <c r="AA201" s="458" t="s">
        <v>547</v>
      </c>
      <c r="AB201" s="459" t="s">
        <v>539</v>
      </c>
      <c r="AC201" s="459">
        <v>80.125</v>
      </c>
      <c r="AD201" s="458" t="s">
        <v>548</v>
      </c>
      <c r="AE201" s="459">
        <v>80</v>
      </c>
      <c r="AF201" s="459">
        <v>80.25</v>
      </c>
      <c r="AG201" s="701" t="s">
        <v>375</v>
      </c>
      <c r="AH201" s="728"/>
      <c r="AI201" s="697">
        <v>2061</v>
      </c>
      <c r="AJ201" s="699"/>
    </row>
    <row r="202" spans="1:36" ht="24" hidden="1" customHeight="1">
      <c r="B202" s="702"/>
      <c r="C202" s="700"/>
      <c r="D202" s="700"/>
      <c r="E202" s="700"/>
      <c r="F202" s="700"/>
      <c r="G202" s="700"/>
      <c r="H202" s="700"/>
      <c r="I202" s="710"/>
      <c r="J202" s="713"/>
      <c r="K202" s="710"/>
      <c r="L202" s="710"/>
      <c r="M202" s="713"/>
      <c r="N202" s="710"/>
      <c r="O202" s="702"/>
      <c r="P202" s="702"/>
      <c r="Q202" s="706"/>
      <c r="R202" s="702"/>
      <c r="S202" s="702"/>
      <c r="T202" s="702"/>
      <c r="U202" s="702"/>
      <c r="V202" s="702"/>
      <c r="W202" s="700"/>
      <c r="X202" s="702"/>
      <c r="Y202" s="700"/>
      <c r="Z202" s="702"/>
      <c r="AA202" s="473" t="s">
        <v>989</v>
      </c>
      <c r="AB202" s="474" t="s">
        <v>539</v>
      </c>
      <c r="AC202" s="474">
        <v>80</v>
      </c>
      <c r="AD202" s="473" t="s">
        <v>990</v>
      </c>
      <c r="AE202" s="474">
        <v>80</v>
      </c>
      <c r="AF202" s="474">
        <v>82</v>
      </c>
      <c r="AG202" s="702"/>
      <c r="AH202" s="729"/>
      <c r="AI202" s="698"/>
      <c r="AJ202" s="700"/>
    </row>
    <row r="203" spans="1:36" ht="24" hidden="1" customHeight="1">
      <c r="B203" s="463">
        <v>166</v>
      </c>
      <c r="C203" s="464" t="s">
        <v>377</v>
      </c>
      <c r="D203" s="464"/>
      <c r="E203" s="464" t="s">
        <v>602</v>
      </c>
      <c r="F203" s="464"/>
      <c r="G203" s="464" t="s">
        <v>186</v>
      </c>
      <c r="H203" s="464" t="s">
        <v>991</v>
      </c>
      <c r="I203" s="466">
        <v>6200</v>
      </c>
      <c r="J203" s="465" t="s">
        <v>537</v>
      </c>
      <c r="K203" s="465" t="s">
        <v>537</v>
      </c>
      <c r="L203" s="466">
        <v>3090</v>
      </c>
      <c r="M203" s="465" t="s">
        <v>537</v>
      </c>
      <c r="N203" s="465" t="s">
        <v>537</v>
      </c>
      <c r="O203" s="463" t="s">
        <v>537</v>
      </c>
      <c r="P203" s="463" t="s">
        <v>537</v>
      </c>
      <c r="Q203" s="468">
        <v>3110</v>
      </c>
      <c r="R203" s="463" t="s">
        <v>984</v>
      </c>
      <c r="S203" s="463" t="s">
        <v>992</v>
      </c>
      <c r="T203" s="463">
        <v>400</v>
      </c>
      <c r="U203" s="463">
        <v>100</v>
      </c>
      <c r="V203" s="463">
        <v>100</v>
      </c>
      <c r="W203" s="463">
        <v>400</v>
      </c>
      <c r="X203" s="463">
        <v>100</v>
      </c>
      <c r="Y203" s="463">
        <v>100</v>
      </c>
      <c r="Z203" s="463">
        <v>80</v>
      </c>
      <c r="AA203" s="472" t="s">
        <v>612</v>
      </c>
      <c r="AB203" s="463" t="s">
        <v>539</v>
      </c>
      <c r="AC203" s="463" t="s">
        <v>539</v>
      </c>
      <c r="AD203" s="472" t="s">
        <v>993</v>
      </c>
      <c r="AE203" s="463">
        <v>80</v>
      </c>
      <c r="AF203" s="463">
        <v>80</v>
      </c>
      <c r="AG203" s="463" t="s">
        <v>375</v>
      </c>
      <c r="AH203" s="476"/>
      <c r="AI203" s="472">
        <v>862860530</v>
      </c>
      <c r="AJ203" s="464"/>
    </row>
    <row r="204" spans="1:36" ht="24" hidden="1" customHeight="1">
      <c r="B204" s="463">
        <v>167</v>
      </c>
      <c r="C204" s="464" t="s">
        <v>377</v>
      </c>
      <c r="D204" s="464"/>
      <c r="E204" s="464" t="s">
        <v>602</v>
      </c>
      <c r="F204" s="464"/>
      <c r="G204" s="464" t="s">
        <v>186</v>
      </c>
      <c r="H204" s="464" t="s">
        <v>994</v>
      </c>
      <c r="I204" s="466">
        <v>38800</v>
      </c>
      <c r="J204" s="465" t="s">
        <v>537</v>
      </c>
      <c r="K204" s="465" t="s">
        <v>537</v>
      </c>
      <c r="L204" s="466">
        <v>30489</v>
      </c>
      <c r="M204" s="465" t="s">
        <v>537</v>
      </c>
      <c r="N204" s="465" t="s">
        <v>537</v>
      </c>
      <c r="O204" s="463" t="s">
        <v>537</v>
      </c>
      <c r="P204" s="463" t="s">
        <v>537</v>
      </c>
      <c r="Q204" s="468">
        <v>8311</v>
      </c>
      <c r="R204" s="463" t="s">
        <v>984</v>
      </c>
      <c r="S204" s="463" t="s">
        <v>992</v>
      </c>
      <c r="T204" s="463">
        <v>600</v>
      </c>
      <c r="U204" s="463">
        <v>300</v>
      </c>
      <c r="V204" s="463">
        <v>100</v>
      </c>
      <c r="W204" s="463">
        <v>700</v>
      </c>
      <c r="X204" s="463">
        <v>250</v>
      </c>
      <c r="Y204" s="463">
        <v>50</v>
      </c>
      <c r="Z204" s="463">
        <v>80</v>
      </c>
      <c r="AA204" s="472" t="s">
        <v>612</v>
      </c>
      <c r="AB204" s="463" t="s">
        <v>539</v>
      </c>
      <c r="AC204" s="463" t="s">
        <v>539</v>
      </c>
      <c r="AD204" s="472" t="s">
        <v>993</v>
      </c>
      <c r="AE204" s="463">
        <v>80</v>
      </c>
      <c r="AF204" s="463">
        <v>80</v>
      </c>
      <c r="AG204" s="463" t="s">
        <v>375</v>
      </c>
      <c r="AH204" s="476"/>
      <c r="AI204" s="472">
        <v>862860530</v>
      </c>
      <c r="AJ204" s="464"/>
    </row>
    <row r="205" spans="1:36" ht="24" hidden="1" customHeight="1">
      <c r="B205" s="463">
        <v>168</v>
      </c>
      <c r="C205" s="464" t="s">
        <v>377</v>
      </c>
      <c r="D205" s="464"/>
      <c r="E205" s="464" t="s">
        <v>602</v>
      </c>
      <c r="F205" s="464"/>
      <c r="G205" s="464" t="s">
        <v>186</v>
      </c>
      <c r="H205" s="464" t="s">
        <v>995</v>
      </c>
      <c r="I205" s="465" t="s">
        <v>537</v>
      </c>
      <c r="J205" s="465" t="s">
        <v>537</v>
      </c>
      <c r="K205" s="466">
        <v>100000</v>
      </c>
      <c r="L205" s="465" t="s">
        <v>537</v>
      </c>
      <c r="M205" s="465" t="s">
        <v>537</v>
      </c>
      <c r="N205" s="466">
        <v>98133</v>
      </c>
      <c r="O205" s="463" t="s">
        <v>537</v>
      </c>
      <c r="P205" s="463" t="s">
        <v>537</v>
      </c>
      <c r="Q205" s="468">
        <v>1867</v>
      </c>
      <c r="R205" s="470">
        <v>241579</v>
      </c>
      <c r="S205" s="463" t="s">
        <v>996</v>
      </c>
      <c r="T205" s="463">
        <v>60</v>
      </c>
      <c r="U205" s="463">
        <v>110</v>
      </c>
      <c r="V205" s="463">
        <v>30</v>
      </c>
      <c r="W205" s="463">
        <v>118</v>
      </c>
      <c r="X205" s="463">
        <v>110</v>
      </c>
      <c r="Y205" s="463">
        <v>30</v>
      </c>
      <c r="Z205" s="463">
        <v>90</v>
      </c>
      <c r="AA205" s="472" t="s">
        <v>997</v>
      </c>
      <c r="AB205" s="463" t="s">
        <v>539</v>
      </c>
      <c r="AC205" s="463" t="s">
        <v>539</v>
      </c>
      <c r="AD205" s="472" t="s">
        <v>565</v>
      </c>
      <c r="AE205" s="463">
        <v>80</v>
      </c>
      <c r="AF205" s="463">
        <v>90</v>
      </c>
      <c r="AG205" s="463" t="s">
        <v>375</v>
      </c>
      <c r="AH205" s="476"/>
      <c r="AI205" s="472">
        <v>817387898</v>
      </c>
      <c r="AJ205" s="472" t="s">
        <v>543</v>
      </c>
    </row>
    <row r="206" spans="1:36" ht="24" hidden="1" customHeight="1">
      <c r="B206" s="463">
        <v>169</v>
      </c>
      <c r="C206" s="464" t="s">
        <v>534</v>
      </c>
      <c r="D206" s="464"/>
      <c r="E206" s="464" t="s">
        <v>535</v>
      </c>
      <c r="F206" s="464"/>
      <c r="G206" s="464" t="s">
        <v>186</v>
      </c>
      <c r="H206" s="464" t="s">
        <v>998</v>
      </c>
      <c r="I206" s="465" t="s">
        <v>537</v>
      </c>
      <c r="J206" s="465" t="s">
        <v>537</v>
      </c>
      <c r="K206" s="466">
        <v>172400</v>
      </c>
      <c r="L206" s="465" t="s">
        <v>537</v>
      </c>
      <c r="M206" s="465" t="s">
        <v>537</v>
      </c>
      <c r="N206" s="466">
        <v>159433</v>
      </c>
      <c r="O206" s="463" t="s">
        <v>537</v>
      </c>
      <c r="P206" s="463" t="s">
        <v>537</v>
      </c>
      <c r="Q206" s="468">
        <v>12967</v>
      </c>
      <c r="R206" s="463" t="s">
        <v>643</v>
      </c>
      <c r="S206" s="463" t="s">
        <v>999</v>
      </c>
      <c r="T206" s="463">
        <v>0</v>
      </c>
      <c r="U206" s="463">
        <v>63</v>
      </c>
      <c r="V206" s="463">
        <v>1</v>
      </c>
      <c r="W206" s="464"/>
      <c r="X206" s="463">
        <v>64</v>
      </c>
      <c r="Y206" s="464"/>
      <c r="Z206" s="463">
        <v>83.43</v>
      </c>
      <c r="AA206" s="472" t="s">
        <v>633</v>
      </c>
      <c r="AB206" s="463" t="s">
        <v>539</v>
      </c>
      <c r="AC206" s="463">
        <v>80</v>
      </c>
      <c r="AD206" s="472" t="s">
        <v>635</v>
      </c>
      <c r="AE206" s="463" t="s">
        <v>539</v>
      </c>
      <c r="AF206" s="463">
        <v>80</v>
      </c>
      <c r="AG206" s="463" t="s">
        <v>376</v>
      </c>
      <c r="AH206" s="476"/>
      <c r="AI206" s="472">
        <v>2090</v>
      </c>
      <c r="AJ206" s="472" t="s">
        <v>543</v>
      </c>
    </row>
    <row r="207" spans="1:36" ht="24" hidden="1" customHeight="1">
      <c r="B207" s="463">
        <v>170</v>
      </c>
      <c r="C207" s="464" t="s">
        <v>534</v>
      </c>
      <c r="D207" s="464"/>
      <c r="E207" s="464" t="s">
        <v>535</v>
      </c>
      <c r="F207" s="464"/>
      <c r="G207" s="464" t="s">
        <v>186</v>
      </c>
      <c r="H207" s="464" t="s">
        <v>1000</v>
      </c>
      <c r="I207" s="466">
        <v>30000</v>
      </c>
      <c r="J207" s="465" t="s">
        <v>537</v>
      </c>
      <c r="K207" s="465" t="s">
        <v>537</v>
      </c>
      <c r="L207" s="466">
        <v>30000</v>
      </c>
      <c r="M207" s="465" t="s">
        <v>537</v>
      </c>
      <c r="N207" s="465" t="s">
        <v>537</v>
      </c>
      <c r="O207" s="463" t="s">
        <v>537</v>
      </c>
      <c r="P207" s="463" t="s">
        <v>537</v>
      </c>
      <c r="Q207" s="465">
        <v>0</v>
      </c>
      <c r="R207" s="463" t="s">
        <v>775</v>
      </c>
      <c r="S207" s="463" t="s">
        <v>1001</v>
      </c>
      <c r="T207" s="463">
        <v>0</v>
      </c>
      <c r="U207" s="463">
        <v>1</v>
      </c>
      <c r="V207" s="463">
        <v>0</v>
      </c>
      <c r="W207" s="464"/>
      <c r="X207" s="463">
        <v>2</v>
      </c>
      <c r="Y207" s="464"/>
      <c r="Z207" s="463">
        <v>90</v>
      </c>
      <c r="AA207" s="472" t="s">
        <v>1002</v>
      </c>
      <c r="AB207" s="463">
        <v>1</v>
      </c>
      <c r="AC207" s="463">
        <v>2</v>
      </c>
      <c r="AD207" s="472" t="s">
        <v>1003</v>
      </c>
      <c r="AE207" s="463" t="s">
        <v>539</v>
      </c>
      <c r="AF207" s="463" t="s">
        <v>539</v>
      </c>
      <c r="AG207" s="463" t="s">
        <v>375</v>
      </c>
      <c r="AH207" s="476"/>
      <c r="AI207" s="472">
        <v>815697303</v>
      </c>
      <c r="AJ207" s="464"/>
    </row>
    <row r="208" spans="1:36" ht="24" hidden="1" customHeight="1">
      <c r="B208" s="463">
        <v>171</v>
      </c>
      <c r="C208" s="464" t="s">
        <v>534</v>
      </c>
      <c r="D208" s="464"/>
      <c r="E208" s="464" t="s">
        <v>535</v>
      </c>
      <c r="F208" s="464"/>
      <c r="G208" s="464" t="s">
        <v>186</v>
      </c>
      <c r="H208" s="464" t="s">
        <v>1004</v>
      </c>
      <c r="I208" s="465" t="s">
        <v>537</v>
      </c>
      <c r="J208" s="465" t="s">
        <v>537</v>
      </c>
      <c r="K208" s="466">
        <v>1945000</v>
      </c>
      <c r="L208" s="465" t="s">
        <v>537</v>
      </c>
      <c r="M208" s="465" t="s">
        <v>537</v>
      </c>
      <c r="N208" s="466">
        <v>1298772</v>
      </c>
      <c r="O208" s="463" t="s">
        <v>537</v>
      </c>
      <c r="P208" s="463" t="s">
        <v>537</v>
      </c>
      <c r="Q208" s="468">
        <v>646228</v>
      </c>
      <c r="R208" s="470">
        <v>241640</v>
      </c>
      <c r="S208" s="463" t="s">
        <v>1005</v>
      </c>
      <c r="T208" s="463">
        <v>69</v>
      </c>
      <c r="U208" s="463">
        <v>20</v>
      </c>
      <c r="V208" s="463">
        <v>0</v>
      </c>
      <c r="W208" s="463">
        <v>66</v>
      </c>
      <c r="X208" s="463">
        <v>19</v>
      </c>
      <c r="Y208" s="463">
        <v>0</v>
      </c>
      <c r="Z208" s="463">
        <v>82.4</v>
      </c>
      <c r="AA208" s="472" t="s">
        <v>1006</v>
      </c>
      <c r="AB208" s="463" t="s">
        <v>539</v>
      </c>
      <c r="AC208" s="463" t="s">
        <v>539</v>
      </c>
      <c r="AD208" s="472" t="s">
        <v>565</v>
      </c>
      <c r="AE208" s="463">
        <v>80</v>
      </c>
      <c r="AF208" s="463">
        <v>82.4</v>
      </c>
      <c r="AG208" s="463" t="s">
        <v>375</v>
      </c>
      <c r="AH208" s="476"/>
      <c r="AI208" s="472">
        <v>836551701</v>
      </c>
      <c r="AJ208" s="472" t="s">
        <v>792</v>
      </c>
    </row>
    <row r="209" spans="2:36" ht="24" hidden="1" customHeight="1">
      <c r="B209" s="463">
        <v>172</v>
      </c>
      <c r="C209" s="464" t="s">
        <v>534</v>
      </c>
      <c r="D209" s="464"/>
      <c r="E209" s="464" t="s">
        <v>535</v>
      </c>
      <c r="F209" s="464"/>
      <c r="G209" s="464" t="s">
        <v>186</v>
      </c>
      <c r="H209" s="464" t="s">
        <v>1007</v>
      </c>
      <c r="I209" s="466">
        <v>300000</v>
      </c>
      <c r="J209" s="465" t="s">
        <v>537</v>
      </c>
      <c r="K209" s="465" t="s">
        <v>537</v>
      </c>
      <c r="L209" s="466">
        <v>300000</v>
      </c>
      <c r="M209" s="465" t="s">
        <v>537</v>
      </c>
      <c r="N209" s="465" t="s">
        <v>537</v>
      </c>
      <c r="O209" s="463" t="s">
        <v>537</v>
      </c>
      <c r="P209" s="463" t="s">
        <v>537</v>
      </c>
      <c r="Q209" s="465">
        <v>0</v>
      </c>
      <c r="R209" s="470">
        <v>241397</v>
      </c>
      <c r="S209" s="471">
        <v>22277</v>
      </c>
      <c r="T209" s="463">
        <v>0</v>
      </c>
      <c r="U209" s="463">
        <v>1720</v>
      </c>
      <c r="V209" s="463">
        <v>0</v>
      </c>
      <c r="W209" s="463">
        <v>0</v>
      </c>
      <c r="X209" s="463">
        <v>650</v>
      </c>
      <c r="Y209" s="463">
        <v>0</v>
      </c>
      <c r="Z209" s="463">
        <v>80</v>
      </c>
      <c r="AA209" s="472" t="s">
        <v>547</v>
      </c>
      <c r="AB209" s="463" t="s">
        <v>539</v>
      </c>
      <c r="AC209" s="463" t="s">
        <v>539</v>
      </c>
      <c r="AD209" s="472" t="s">
        <v>548</v>
      </c>
      <c r="AE209" s="463">
        <v>80</v>
      </c>
      <c r="AF209" s="463">
        <v>80</v>
      </c>
      <c r="AG209" s="463" t="s">
        <v>375</v>
      </c>
      <c r="AH209" s="476"/>
      <c r="AI209" s="472">
        <v>656659244</v>
      </c>
      <c r="AJ209" s="464"/>
    </row>
    <row r="210" spans="2:36" ht="24" hidden="1" customHeight="1">
      <c r="B210" s="701">
        <v>173</v>
      </c>
      <c r="C210" s="699" t="s">
        <v>534</v>
      </c>
      <c r="D210" s="699"/>
      <c r="E210" s="699" t="s">
        <v>535</v>
      </c>
      <c r="F210" s="699"/>
      <c r="G210" s="699" t="s">
        <v>186</v>
      </c>
      <c r="H210" s="699" t="s">
        <v>1008</v>
      </c>
      <c r="I210" s="712">
        <v>5000000</v>
      </c>
      <c r="J210" s="709" t="s">
        <v>537</v>
      </c>
      <c r="K210" s="709" t="s">
        <v>537</v>
      </c>
      <c r="L210" s="709">
        <v>0</v>
      </c>
      <c r="M210" s="709" t="s">
        <v>537</v>
      </c>
      <c r="N210" s="709" t="s">
        <v>537</v>
      </c>
      <c r="O210" s="701" t="s">
        <v>537</v>
      </c>
      <c r="P210" s="701" t="s">
        <v>537</v>
      </c>
      <c r="Q210" s="705">
        <v>5000000</v>
      </c>
      <c r="R210" s="701" t="s">
        <v>552</v>
      </c>
      <c r="S210" s="701" t="s">
        <v>1009</v>
      </c>
      <c r="T210" s="701">
        <v>300</v>
      </c>
      <c r="U210" s="701">
        <v>300</v>
      </c>
      <c r="V210" s="701">
        <v>500</v>
      </c>
      <c r="W210" s="701">
        <v>0</v>
      </c>
      <c r="X210" s="701">
        <v>0</v>
      </c>
      <c r="Y210" s="701">
        <v>0</v>
      </c>
      <c r="Z210" s="701">
        <v>0</v>
      </c>
      <c r="AA210" s="458" t="s">
        <v>1010</v>
      </c>
      <c r="AB210" s="459">
        <v>1</v>
      </c>
      <c r="AC210" s="459">
        <v>1</v>
      </c>
      <c r="AD210" s="458" t="s">
        <v>925</v>
      </c>
      <c r="AE210" s="459">
        <v>1</v>
      </c>
      <c r="AF210" s="459">
        <v>1</v>
      </c>
      <c r="AG210" s="701" t="s">
        <v>375</v>
      </c>
      <c r="AH210" s="728"/>
      <c r="AI210" s="697" t="s">
        <v>537</v>
      </c>
      <c r="AJ210" s="699"/>
    </row>
    <row r="211" spans="2:36" ht="24" hidden="1" customHeight="1">
      <c r="B211" s="715"/>
      <c r="C211" s="714"/>
      <c r="D211" s="714"/>
      <c r="E211" s="714"/>
      <c r="F211" s="714"/>
      <c r="G211" s="714"/>
      <c r="H211" s="714"/>
      <c r="I211" s="720"/>
      <c r="J211" s="717"/>
      <c r="K211" s="717"/>
      <c r="L211" s="717"/>
      <c r="M211" s="717"/>
      <c r="N211" s="717"/>
      <c r="O211" s="715"/>
      <c r="P211" s="715"/>
      <c r="Q211" s="718"/>
      <c r="R211" s="715"/>
      <c r="S211" s="715"/>
      <c r="T211" s="715"/>
      <c r="U211" s="715"/>
      <c r="V211" s="715"/>
      <c r="W211" s="715"/>
      <c r="X211" s="715"/>
      <c r="Y211" s="715"/>
      <c r="Z211" s="715"/>
      <c r="AA211" s="460" t="s">
        <v>1011</v>
      </c>
      <c r="AB211" s="461">
        <v>1</v>
      </c>
      <c r="AC211" s="461">
        <v>1</v>
      </c>
      <c r="AD211" s="460" t="s">
        <v>1012</v>
      </c>
      <c r="AE211" s="461">
        <v>1</v>
      </c>
      <c r="AF211" s="461">
        <v>1</v>
      </c>
      <c r="AG211" s="715"/>
      <c r="AH211" s="730"/>
      <c r="AI211" s="711"/>
      <c r="AJ211" s="714"/>
    </row>
    <row r="212" spans="2:36" ht="24" hidden="1" customHeight="1">
      <c r="B212" s="702"/>
      <c r="C212" s="700"/>
      <c r="D212" s="700"/>
      <c r="E212" s="700"/>
      <c r="F212" s="700"/>
      <c r="G212" s="700"/>
      <c r="H212" s="700"/>
      <c r="I212" s="713"/>
      <c r="J212" s="710"/>
      <c r="K212" s="710"/>
      <c r="L212" s="710"/>
      <c r="M212" s="710"/>
      <c r="N212" s="710"/>
      <c r="O212" s="702"/>
      <c r="P212" s="702"/>
      <c r="Q212" s="706"/>
      <c r="R212" s="702"/>
      <c r="S212" s="702"/>
      <c r="T212" s="702"/>
      <c r="U212" s="702"/>
      <c r="V212" s="702"/>
      <c r="W212" s="702"/>
      <c r="X212" s="702"/>
      <c r="Y212" s="702"/>
      <c r="Z212" s="702"/>
      <c r="AA212" s="462"/>
      <c r="AB212" s="462"/>
      <c r="AC212" s="462"/>
      <c r="AD212" s="473" t="s">
        <v>1013</v>
      </c>
      <c r="AE212" s="474">
        <v>80</v>
      </c>
      <c r="AF212" s="474">
        <v>80</v>
      </c>
      <c r="AG212" s="702"/>
      <c r="AH212" s="729"/>
      <c r="AI212" s="698"/>
      <c r="AJ212" s="700"/>
    </row>
    <row r="213" spans="2:36" ht="24" hidden="1" customHeight="1">
      <c r="B213" s="701">
        <v>174</v>
      </c>
      <c r="C213" s="699" t="s">
        <v>534</v>
      </c>
      <c r="D213" s="699"/>
      <c r="E213" s="699" t="s">
        <v>535</v>
      </c>
      <c r="F213" s="699"/>
      <c r="G213" s="699" t="s">
        <v>186</v>
      </c>
      <c r="H213" s="699" t="s">
        <v>1014</v>
      </c>
      <c r="I213" s="712">
        <v>600000</v>
      </c>
      <c r="J213" s="709" t="s">
        <v>537</v>
      </c>
      <c r="K213" s="709" t="s">
        <v>537</v>
      </c>
      <c r="L213" s="709">
        <v>0</v>
      </c>
      <c r="M213" s="709" t="s">
        <v>537</v>
      </c>
      <c r="N213" s="709" t="s">
        <v>537</v>
      </c>
      <c r="O213" s="701" t="s">
        <v>537</v>
      </c>
      <c r="P213" s="701" t="s">
        <v>537</v>
      </c>
      <c r="Q213" s="705">
        <v>600000</v>
      </c>
      <c r="R213" s="701" t="s">
        <v>552</v>
      </c>
      <c r="S213" s="699"/>
      <c r="T213" s="701">
        <v>200</v>
      </c>
      <c r="U213" s="701">
        <v>70</v>
      </c>
      <c r="V213" s="701">
        <v>200</v>
      </c>
      <c r="W213" s="699"/>
      <c r="X213" s="699"/>
      <c r="Y213" s="699"/>
      <c r="Z213" s="699"/>
      <c r="AA213" s="458" t="s">
        <v>1015</v>
      </c>
      <c r="AB213" s="459" t="s">
        <v>539</v>
      </c>
      <c r="AC213" s="699"/>
      <c r="AD213" s="458" t="s">
        <v>1016</v>
      </c>
      <c r="AE213" s="459">
        <v>1</v>
      </c>
      <c r="AF213" s="699"/>
      <c r="AG213" s="701" t="s">
        <v>376</v>
      </c>
      <c r="AH213" s="728"/>
      <c r="AI213" s="697" t="s">
        <v>537</v>
      </c>
      <c r="AJ213" s="699"/>
    </row>
    <row r="214" spans="2:36" ht="24" hidden="1" customHeight="1">
      <c r="B214" s="715"/>
      <c r="C214" s="714"/>
      <c r="D214" s="714"/>
      <c r="E214" s="714"/>
      <c r="F214" s="714"/>
      <c r="G214" s="714"/>
      <c r="H214" s="714"/>
      <c r="I214" s="720"/>
      <c r="J214" s="717"/>
      <c r="K214" s="717"/>
      <c r="L214" s="717"/>
      <c r="M214" s="717"/>
      <c r="N214" s="717"/>
      <c r="O214" s="715"/>
      <c r="P214" s="715"/>
      <c r="Q214" s="718"/>
      <c r="R214" s="715"/>
      <c r="S214" s="714"/>
      <c r="T214" s="715"/>
      <c r="U214" s="715"/>
      <c r="V214" s="715"/>
      <c r="W214" s="714"/>
      <c r="X214" s="714"/>
      <c r="Y214" s="714"/>
      <c r="Z214" s="714"/>
      <c r="AA214" s="460" t="s">
        <v>1017</v>
      </c>
      <c r="AB214" s="461">
        <v>1</v>
      </c>
      <c r="AC214" s="714"/>
      <c r="AD214" s="460" t="s">
        <v>1018</v>
      </c>
      <c r="AE214" s="461">
        <v>1</v>
      </c>
      <c r="AF214" s="714"/>
      <c r="AG214" s="715"/>
      <c r="AH214" s="730"/>
      <c r="AI214" s="711"/>
      <c r="AJ214" s="714"/>
    </row>
    <row r="215" spans="2:36" ht="24" hidden="1" customHeight="1">
      <c r="B215" s="715"/>
      <c r="C215" s="714"/>
      <c r="D215" s="714"/>
      <c r="E215" s="714"/>
      <c r="F215" s="714"/>
      <c r="G215" s="714"/>
      <c r="H215" s="714"/>
      <c r="I215" s="720"/>
      <c r="J215" s="717"/>
      <c r="K215" s="717"/>
      <c r="L215" s="717"/>
      <c r="M215" s="717"/>
      <c r="N215" s="717"/>
      <c r="O215" s="715"/>
      <c r="P215" s="715"/>
      <c r="Q215" s="718"/>
      <c r="R215" s="715"/>
      <c r="S215" s="714"/>
      <c r="T215" s="715"/>
      <c r="U215" s="715"/>
      <c r="V215" s="715"/>
      <c r="W215" s="714"/>
      <c r="X215" s="714"/>
      <c r="Y215" s="714"/>
      <c r="Z215" s="714"/>
      <c r="AA215" s="460" t="s">
        <v>1019</v>
      </c>
      <c r="AB215" s="461" t="s">
        <v>634</v>
      </c>
      <c r="AC215" s="714"/>
      <c r="AD215" s="460" t="s">
        <v>1020</v>
      </c>
      <c r="AE215" s="461">
        <v>1</v>
      </c>
      <c r="AF215" s="714"/>
      <c r="AG215" s="715"/>
      <c r="AH215" s="730"/>
      <c r="AI215" s="711"/>
      <c r="AJ215" s="714"/>
    </row>
    <row r="216" spans="2:36" ht="24" hidden="1" customHeight="1">
      <c r="B216" s="702"/>
      <c r="C216" s="700"/>
      <c r="D216" s="700"/>
      <c r="E216" s="700"/>
      <c r="F216" s="700"/>
      <c r="G216" s="700"/>
      <c r="H216" s="700"/>
      <c r="I216" s="713"/>
      <c r="J216" s="710"/>
      <c r="K216" s="710"/>
      <c r="L216" s="710"/>
      <c r="M216" s="710"/>
      <c r="N216" s="710"/>
      <c r="O216" s="702"/>
      <c r="P216" s="702"/>
      <c r="Q216" s="706"/>
      <c r="R216" s="702"/>
      <c r="S216" s="700"/>
      <c r="T216" s="702"/>
      <c r="U216" s="702"/>
      <c r="V216" s="702"/>
      <c r="W216" s="700"/>
      <c r="X216" s="700"/>
      <c r="Y216" s="700"/>
      <c r="Z216" s="700"/>
      <c r="AA216" s="462"/>
      <c r="AB216" s="462"/>
      <c r="AC216" s="700"/>
      <c r="AD216" s="462"/>
      <c r="AE216" s="462"/>
      <c r="AF216" s="700"/>
      <c r="AG216" s="702"/>
      <c r="AH216" s="729"/>
      <c r="AI216" s="698"/>
      <c r="AJ216" s="700"/>
    </row>
    <row r="217" spans="2:36" ht="24" hidden="1" customHeight="1">
      <c r="B217" s="701">
        <v>175</v>
      </c>
      <c r="C217" s="699" t="s">
        <v>534</v>
      </c>
      <c r="D217" s="699"/>
      <c r="E217" s="699" t="s">
        <v>535</v>
      </c>
      <c r="F217" s="699"/>
      <c r="G217" s="699" t="s">
        <v>186</v>
      </c>
      <c r="H217" s="699" t="s">
        <v>1021</v>
      </c>
      <c r="I217" s="712">
        <v>300000</v>
      </c>
      <c r="J217" s="709" t="s">
        <v>537</v>
      </c>
      <c r="K217" s="709" t="s">
        <v>537</v>
      </c>
      <c r="L217" s="709">
        <v>0</v>
      </c>
      <c r="M217" s="709" t="s">
        <v>537</v>
      </c>
      <c r="N217" s="709" t="s">
        <v>537</v>
      </c>
      <c r="O217" s="701" t="s">
        <v>537</v>
      </c>
      <c r="P217" s="701" t="s">
        <v>537</v>
      </c>
      <c r="Q217" s="705">
        <v>300000</v>
      </c>
      <c r="R217" s="701" t="s">
        <v>1022</v>
      </c>
      <c r="S217" s="699"/>
      <c r="T217" s="701">
        <v>0</v>
      </c>
      <c r="U217" s="701">
        <v>3</v>
      </c>
      <c r="V217" s="701">
        <v>0</v>
      </c>
      <c r="W217" s="701">
        <v>0</v>
      </c>
      <c r="X217" s="701">
        <v>0</v>
      </c>
      <c r="Y217" s="701">
        <v>0</v>
      </c>
      <c r="Z217" s="699"/>
      <c r="AA217" s="458" t="s">
        <v>1023</v>
      </c>
      <c r="AB217" s="459">
        <v>1</v>
      </c>
      <c r="AC217" s="699"/>
      <c r="AD217" s="458" t="s">
        <v>651</v>
      </c>
      <c r="AE217" s="459">
        <v>1</v>
      </c>
      <c r="AF217" s="699"/>
      <c r="AG217" s="701" t="s">
        <v>376</v>
      </c>
      <c r="AH217" s="728"/>
      <c r="AI217" s="699"/>
      <c r="AJ217" s="699"/>
    </row>
    <row r="218" spans="2:36" ht="24" hidden="1" customHeight="1">
      <c r="B218" s="715"/>
      <c r="C218" s="714"/>
      <c r="D218" s="714"/>
      <c r="E218" s="714"/>
      <c r="F218" s="714"/>
      <c r="G218" s="714"/>
      <c r="H218" s="714"/>
      <c r="I218" s="720"/>
      <c r="J218" s="717"/>
      <c r="K218" s="717"/>
      <c r="L218" s="717"/>
      <c r="M218" s="717"/>
      <c r="N218" s="717"/>
      <c r="O218" s="715"/>
      <c r="P218" s="715"/>
      <c r="Q218" s="718"/>
      <c r="R218" s="715"/>
      <c r="S218" s="714"/>
      <c r="T218" s="715"/>
      <c r="U218" s="715"/>
      <c r="V218" s="715"/>
      <c r="W218" s="715"/>
      <c r="X218" s="715"/>
      <c r="Y218" s="715"/>
      <c r="Z218" s="714"/>
      <c r="AA218" s="460" t="s">
        <v>1024</v>
      </c>
      <c r="AB218" s="461">
        <v>3</v>
      </c>
      <c r="AC218" s="714"/>
      <c r="AD218" s="460" t="s">
        <v>1025</v>
      </c>
      <c r="AE218" s="461" t="s">
        <v>539</v>
      </c>
      <c r="AF218" s="714"/>
      <c r="AG218" s="715"/>
      <c r="AH218" s="730"/>
      <c r="AI218" s="714"/>
      <c r="AJ218" s="714"/>
    </row>
    <row r="219" spans="2:36" ht="24" hidden="1" customHeight="1">
      <c r="B219" s="702"/>
      <c r="C219" s="700"/>
      <c r="D219" s="700"/>
      <c r="E219" s="700"/>
      <c r="F219" s="700"/>
      <c r="G219" s="700"/>
      <c r="H219" s="700"/>
      <c r="I219" s="713"/>
      <c r="J219" s="710"/>
      <c r="K219" s="710"/>
      <c r="L219" s="710"/>
      <c r="M219" s="710"/>
      <c r="N219" s="710"/>
      <c r="O219" s="702"/>
      <c r="P219" s="702"/>
      <c r="Q219" s="706"/>
      <c r="R219" s="702"/>
      <c r="S219" s="700"/>
      <c r="T219" s="702"/>
      <c r="U219" s="702"/>
      <c r="V219" s="702"/>
      <c r="W219" s="702"/>
      <c r="X219" s="702"/>
      <c r="Y219" s="702"/>
      <c r="Z219" s="700"/>
      <c r="AA219" s="462"/>
      <c r="AB219" s="462"/>
      <c r="AC219" s="700"/>
      <c r="AD219" s="462"/>
      <c r="AE219" s="462"/>
      <c r="AF219" s="700"/>
      <c r="AG219" s="702"/>
      <c r="AH219" s="729"/>
      <c r="AI219" s="700"/>
      <c r="AJ219" s="700"/>
    </row>
    <row r="220" spans="2:36" ht="24" hidden="1" customHeight="1">
      <c r="B220" s="701">
        <v>176</v>
      </c>
      <c r="C220" s="699" t="s">
        <v>534</v>
      </c>
      <c r="D220" s="699"/>
      <c r="E220" s="699" t="s">
        <v>535</v>
      </c>
      <c r="F220" s="699"/>
      <c r="G220" s="699" t="s">
        <v>186</v>
      </c>
      <c r="H220" s="699" t="s">
        <v>1026</v>
      </c>
      <c r="I220" s="712">
        <v>20000</v>
      </c>
      <c r="J220" s="709" t="s">
        <v>537</v>
      </c>
      <c r="K220" s="709" t="s">
        <v>537</v>
      </c>
      <c r="L220" s="712">
        <v>10500</v>
      </c>
      <c r="M220" s="709" t="s">
        <v>537</v>
      </c>
      <c r="N220" s="709" t="s">
        <v>537</v>
      </c>
      <c r="O220" s="701" t="s">
        <v>537</v>
      </c>
      <c r="P220" s="701" t="s">
        <v>537</v>
      </c>
      <c r="Q220" s="705">
        <v>9500</v>
      </c>
      <c r="R220" s="707">
        <v>241459</v>
      </c>
      <c r="S220" s="721">
        <v>22338</v>
      </c>
      <c r="T220" s="701">
        <v>0</v>
      </c>
      <c r="U220" s="701">
        <v>20</v>
      </c>
      <c r="V220" s="701">
        <v>0</v>
      </c>
      <c r="W220" s="701">
        <v>24</v>
      </c>
      <c r="X220" s="701">
        <v>9</v>
      </c>
      <c r="Y220" s="701">
        <v>2</v>
      </c>
      <c r="Z220" s="701">
        <v>90</v>
      </c>
      <c r="AA220" s="697" t="s">
        <v>547</v>
      </c>
      <c r="AB220" s="701" t="s">
        <v>539</v>
      </c>
      <c r="AC220" s="701" t="s">
        <v>539</v>
      </c>
      <c r="AD220" s="458" t="s">
        <v>548</v>
      </c>
      <c r="AE220" s="459">
        <v>80</v>
      </c>
      <c r="AF220" s="459">
        <v>90</v>
      </c>
      <c r="AG220" s="701" t="s">
        <v>375</v>
      </c>
      <c r="AH220" s="728"/>
      <c r="AI220" s="697" t="s">
        <v>1027</v>
      </c>
      <c r="AJ220" s="699"/>
    </row>
    <row r="221" spans="2:36" ht="24" hidden="1" customHeight="1">
      <c r="B221" s="702"/>
      <c r="C221" s="700"/>
      <c r="D221" s="700"/>
      <c r="E221" s="700"/>
      <c r="F221" s="700"/>
      <c r="G221" s="700"/>
      <c r="H221" s="700"/>
      <c r="I221" s="713"/>
      <c r="J221" s="710"/>
      <c r="K221" s="710"/>
      <c r="L221" s="713"/>
      <c r="M221" s="710"/>
      <c r="N221" s="710"/>
      <c r="O221" s="702"/>
      <c r="P221" s="702"/>
      <c r="Q221" s="706"/>
      <c r="R221" s="708"/>
      <c r="S221" s="722"/>
      <c r="T221" s="702"/>
      <c r="U221" s="702"/>
      <c r="V221" s="702"/>
      <c r="W221" s="702"/>
      <c r="X221" s="702"/>
      <c r="Y221" s="702"/>
      <c r="Z221" s="702"/>
      <c r="AA221" s="698"/>
      <c r="AB221" s="702"/>
      <c r="AC221" s="702"/>
      <c r="AD221" s="473" t="s">
        <v>1028</v>
      </c>
      <c r="AE221" s="474">
        <v>85</v>
      </c>
      <c r="AF221" s="474">
        <v>90</v>
      </c>
      <c r="AG221" s="702"/>
      <c r="AH221" s="729"/>
      <c r="AI221" s="698"/>
      <c r="AJ221" s="700"/>
    </row>
    <row r="222" spans="2:36" ht="24" hidden="1" customHeight="1">
      <c r="B222" s="701">
        <v>177</v>
      </c>
      <c r="C222" s="699" t="s">
        <v>534</v>
      </c>
      <c r="D222" s="699"/>
      <c r="E222" s="699" t="s">
        <v>535</v>
      </c>
      <c r="F222" s="699"/>
      <c r="G222" s="699" t="s">
        <v>186</v>
      </c>
      <c r="H222" s="699" t="s">
        <v>1029</v>
      </c>
      <c r="I222" s="712">
        <v>30000</v>
      </c>
      <c r="J222" s="709" t="s">
        <v>537</v>
      </c>
      <c r="K222" s="709" t="s">
        <v>537</v>
      </c>
      <c r="L222" s="712">
        <v>29870</v>
      </c>
      <c r="M222" s="709" t="s">
        <v>537</v>
      </c>
      <c r="N222" s="709" t="s">
        <v>537</v>
      </c>
      <c r="O222" s="701" t="s">
        <v>537</v>
      </c>
      <c r="P222" s="701" t="s">
        <v>537</v>
      </c>
      <c r="Q222" s="709">
        <v>130</v>
      </c>
      <c r="R222" s="701" t="s">
        <v>643</v>
      </c>
      <c r="S222" s="701" t="s">
        <v>1030</v>
      </c>
      <c r="T222" s="701">
        <v>0</v>
      </c>
      <c r="U222" s="701">
        <v>15</v>
      </c>
      <c r="V222" s="701">
        <v>0</v>
      </c>
      <c r="W222" s="701">
        <v>0</v>
      </c>
      <c r="X222" s="701">
        <v>35</v>
      </c>
      <c r="Y222" s="701">
        <v>2</v>
      </c>
      <c r="Z222" s="701">
        <v>80</v>
      </c>
      <c r="AA222" s="458" t="s">
        <v>547</v>
      </c>
      <c r="AB222" s="459" t="s">
        <v>539</v>
      </c>
      <c r="AC222" s="459" t="s">
        <v>539</v>
      </c>
      <c r="AD222" s="458" t="s">
        <v>1031</v>
      </c>
      <c r="AE222" s="459">
        <v>1</v>
      </c>
      <c r="AF222" s="459">
        <v>1</v>
      </c>
      <c r="AG222" s="701" t="s">
        <v>375</v>
      </c>
      <c r="AH222" s="728"/>
      <c r="AI222" s="697">
        <v>815697303</v>
      </c>
      <c r="AJ222" s="699"/>
    </row>
    <row r="223" spans="2:36" ht="24" hidden="1" customHeight="1">
      <c r="B223" s="702"/>
      <c r="C223" s="700"/>
      <c r="D223" s="700"/>
      <c r="E223" s="700"/>
      <c r="F223" s="700"/>
      <c r="G223" s="700"/>
      <c r="H223" s="700"/>
      <c r="I223" s="713"/>
      <c r="J223" s="710"/>
      <c r="K223" s="710"/>
      <c r="L223" s="713"/>
      <c r="M223" s="710"/>
      <c r="N223" s="710"/>
      <c r="O223" s="702"/>
      <c r="P223" s="702"/>
      <c r="Q223" s="710"/>
      <c r="R223" s="702"/>
      <c r="S223" s="702"/>
      <c r="T223" s="702"/>
      <c r="U223" s="702"/>
      <c r="V223" s="702"/>
      <c r="W223" s="702"/>
      <c r="X223" s="702"/>
      <c r="Y223" s="702"/>
      <c r="Z223" s="702"/>
      <c r="AA223" s="473" t="s">
        <v>1032</v>
      </c>
      <c r="AB223" s="474">
        <v>2</v>
      </c>
      <c r="AC223" s="474">
        <v>2</v>
      </c>
      <c r="AD223" s="473" t="s">
        <v>1033</v>
      </c>
      <c r="AE223" s="474" t="s">
        <v>539</v>
      </c>
      <c r="AF223" s="474" t="s">
        <v>539</v>
      </c>
      <c r="AG223" s="702"/>
      <c r="AH223" s="729"/>
      <c r="AI223" s="698"/>
      <c r="AJ223" s="700"/>
    </row>
    <row r="224" spans="2:36" ht="24" hidden="1" customHeight="1">
      <c r="B224" s="701">
        <v>178</v>
      </c>
      <c r="C224" s="699" t="s">
        <v>534</v>
      </c>
      <c r="D224" s="699"/>
      <c r="E224" s="699" t="s">
        <v>535</v>
      </c>
      <c r="F224" s="699"/>
      <c r="G224" s="699" t="s">
        <v>186</v>
      </c>
      <c r="H224" s="699" t="s">
        <v>1034</v>
      </c>
      <c r="I224" s="712">
        <v>20000</v>
      </c>
      <c r="J224" s="709" t="s">
        <v>537</v>
      </c>
      <c r="K224" s="709" t="s">
        <v>537</v>
      </c>
      <c r="L224" s="712">
        <v>8400</v>
      </c>
      <c r="M224" s="709" t="s">
        <v>537</v>
      </c>
      <c r="N224" s="709" t="s">
        <v>537</v>
      </c>
      <c r="O224" s="701" t="s">
        <v>537</v>
      </c>
      <c r="P224" s="701" t="s">
        <v>537</v>
      </c>
      <c r="Q224" s="705">
        <v>11600</v>
      </c>
      <c r="R224" s="701" t="s">
        <v>643</v>
      </c>
      <c r="S224" s="701" t="s">
        <v>969</v>
      </c>
      <c r="T224" s="701">
        <v>0</v>
      </c>
      <c r="U224" s="701">
        <v>15</v>
      </c>
      <c r="V224" s="701">
        <v>0</v>
      </c>
      <c r="W224" s="701">
        <v>0</v>
      </c>
      <c r="X224" s="701">
        <v>22</v>
      </c>
      <c r="Y224" s="701">
        <v>2</v>
      </c>
      <c r="Z224" s="701">
        <v>80</v>
      </c>
      <c r="AA224" s="458" t="s">
        <v>1002</v>
      </c>
      <c r="AB224" s="459">
        <v>1</v>
      </c>
      <c r="AC224" s="459">
        <v>2</v>
      </c>
      <c r="AD224" s="697" t="s">
        <v>548</v>
      </c>
      <c r="AE224" s="701">
        <v>80</v>
      </c>
      <c r="AF224" s="701">
        <v>80</v>
      </c>
      <c r="AG224" s="701" t="s">
        <v>375</v>
      </c>
      <c r="AH224" s="728"/>
      <c r="AI224" s="697">
        <v>815697303</v>
      </c>
      <c r="AJ224" s="699"/>
    </row>
    <row r="225" spans="1:36" ht="24" hidden="1" customHeight="1">
      <c r="B225" s="702"/>
      <c r="C225" s="700"/>
      <c r="D225" s="700"/>
      <c r="E225" s="700"/>
      <c r="F225" s="700"/>
      <c r="G225" s="700"/>
      <c r="H225" s="700"/>
      <c r="I225" s="713"/>
      <c r="J225" s="710"/>
      <c r="K225" s="710"/>
      <c r="L225" s="713"/>
      <c r="M225" s="710"/>
      <c r="N225" s="710"/>
      <c r="O225" s="702"/>
      <c r="P225" s="702"/>
      <c r="Q225" s="706"/>
      <c r="R225" s="702"/>
      <c r="S225" s="702"/>
      <c r="T225" s="702"/>
      <c r="U225" s="702"/>
      <c r="V225" s="702"/>
      <c r="W225" s="702"/>
      <c r="X225" s="702"/>
      <c r="Y225" s="702"/>
      <c r="Z225" s="702"/>
      <c r="AA225" s="473" t="s">
        <v>1035</v>
      </c>
      <c r="AB225" s="474">
        <v>1</v>
      </c>
      <c r="AC225" s="474">
        <v>2</v>
      </c>
      <c r="AD225" s="698"/>
      <c r="AE225" s="702"/>
      <c r="AF225" s="702"/>
      <c r="AG225" s="702"/>
      <c r="AH225" s="729"/>
      <c r="AI225" s="698"/>
      <c r="AJ225" s="700"/>
    </row>
    <row r="226" spans="1:36" ht="24" hidden="1" customHeight="1">
      <c r="B226" s="701">
        <v>179</v>
      </c>
      <c r="C226" s="699" t="s">
        <v>534</v>
      </c>
      <c r="D226" s="699"/>
      <c r="E226" s="699" t="s">
        <v>535</v>
      </c>
      <c r="F226" s="699"/>
      <c r="G226" s="699" t="s">
        <v>186</v>
      </c>
      <c r="H226" s="699" t="s">
        <v>1036</v>
      </c>
      <c r="I226" s="712">
        <v>30000</v>
      </c>
      <c r="J226" s="709" t="s">
        <v>537</v>
      </c>
      <c r="K226" s="709" t="s">
        <v>537</v>
      </c>
      <c r="L226" s="712">
        <v>21310</v>
      </c>
      <c r="M226" s="709" t="s">
        <v>537</v>
      </c>
      <c r="N226" s="709" t="s">
        <v>537</v>
      </c>
      <c r="O226" s="701" t="s">
        <v>537</v>
      </c>
      <c r="P226" s="701" t="s">
        <v>537</v>
      </c>
      <c r="Q226" s="705">
        <v>8690</v>
      </c>
      <c r="R226" s="707">
        <v>241579</v>
      </c>
      <c r="S226" s="701" t="s">
        <v>988</v>
      </c>
      <c r="T226" s="701">
        <v>0</v>
      </c>
      <c r="U226" s="701">
        <v>20</v>
      </c>
      <c r="V226" s="701">
        <v>0</v>
      </c>
      <c r="W226" s="701">
        <v>0</v>
      </c>
      <c r="X226" s="701">
        <v>23</v>
      </c>
      <c r="Y226" s="701">
        <v>0</v>
      </c>
      <c r="Z226" s="701">
        <v>80</v>
      </c>
      <c r="AA226" s="458" t="s">
        <v>547</v>
      </c>
      <c r="AB226" s="459" t="s">
        <v>539</v>
      </c>
      <c r="AC226" s="459" t="s">
        <v>539</v>
      </c>
      <c r="AD226" s="458" t="s">
        <v>548</v>
      </c>
      <c r="AE226" s="459">
        <v>80</v>
      </c>
      <c r="AF226" s="459">
        <v>90</v>
      </c>
      <c r="AG226" s="701" t="s">
        <v>375</v>
      </c>
      <c r="AH226" s="728"/>
      <c r="AI226" s="697">
        <v>815697303</v>
      </c>
      <c r="AJ226" s="699"/>
    </row>
    <row r="227" spans="1:36" ht="24" hidden="1" customHeight="1">
      <c r="B227" s="702"/>
      <c r="C227" s="700"/>
      <c r="D227" s="700"/>
      <c r="E227" s="700"/>
      <c r="F227" s="700"/>
      <c r="G227" s="700"/>
      <c r="H227" s="700"/>
      <c r="I227" s="713"/>
      <c r="J227" s="710"/>
      <c r="K227" s="710"/>
      <c r="L227" s="713"/>
      <c r="M227" s="710"/>
      <c r="N227" s="710"/>
      <c r="O227" s="702"/>
      <c r="P227" s="702"/>
      <c r="Q227" s="706"/>
      <c r="R227" s="708"/>
      <c r="S227" s="702"/>
      <c r="T227" s="702"/>
      <c r="U227" s="702"/>
      <c r="V227" s="702"/>
      <c r="W227" s="702"/>
      <c r="X227" s="702"/>
      <c r="Y227" s="702"/>
      <c r="Z227" s="702"/>
      <c r="AA227" s="473" t="s">
        <v>1037</v>
      </c>
      <c r="AB227" s="474">
        <v>80</v>
      </c>
      <c r="AC227" s="474">
        <v>90</v>
      </c>
      <c r="AD227" s="473" t="s">
        <v>1028</v>
      </c>
      <c r="AE227" s="474">
        <v>85</v>
      </c>
      <c r="AF227" s="474">
        <v>90</v>
      </c>
      <c r="AG227" s="702"/>
      <c r="AH227" s="729"/>
      <c r="AI227" s="698"/>
      <c r="AJ227" s="700"/>
    </row>
    <row r="228" spans="1:36" ht="24" hidden="1" customHeight="1">
      <c r="B228" s="463">
        <v>180</v>
      </c>
      <c r="C228" s="464" t="s">
        <v>534</v>
      </c>
      <c r="D228" s="464"/>
      <c r="E228" s="464" t="s">
        <v>535</v>
      </c>
      <c r="F228" s="464"/>
      <c r="G228" s="464" t="s">
        <v>186</v>
      </c>
      <c r="H228" s="464" t="s">
        <v>1038</v>
      </c>
      <c r="I228" s="465" t="s">
        <v>537</v>
      </c>
      <c r="J228" s="465" t="s">
        <v>537</v>
      </c>
      <c r="K228" s="466">
        <v>67500</v>
      </c>
      <c r="L228" s="465" t="s">
        <v>537</v>
      </c>
      <c r="M228" s="465" t="s">
        <v>537</v>
      </c>
      <c r="N228" s="466">
        <v>67500</v>
      </c>
      <c r="O228" s="463" t="s">
        <v>537</v>
      </c>
      <c r="P228" s="463" t="s">
        <v>537</v>
      </c>
      <c r="Q228" s="465">
        <v>0</v>
      </c>
      <c r="R228" s="470">
        <v>241671</v>
      </c>
      <c r="S228" s="471">
        <v>22545</v>
      </c>
      <c r="T228" s="463">
        <v>0</v>
      </c>
      <c r="U228" s="463">
        <v>15</v>
      </c>
      <c r="V228" s="463">
        <v>0</v>
      </c>
      <c r="W228" s="464"/>
      <c r="X228" s="463">
        <v>15</v>
      </c>
      <c r="Y228" s="464"/>
      <c r="Z228" s="463">
        <v>90</v>
      </c>
      <c r="AA228" s="472" t="s">
        <v>1039</v>
      </c>
      <c r="AB228" s="463" t="s">
        <v>539</v>
      </c>
      <c r="AC228" s="463" t="s">
        <v>1040</v>
      </c>
      <c r="AD228" s="472" t="s">
        <v>1041</v>
      </c>
      <c r="AE228" s="463">
        <v>15</v>
      </c>
      <c r="AF228" s="463">
        <v>15</v>
      </c>
      <c r="AG228" s="463" t="s">
        <v>375</v>
      </c>
      <c r="AH228" s="476"/>
      <c r="AI228" s="472">
        <v>74317126</v>
      </c>
      <c r="AJ228" s="472" t="s">
        <v>792</v>
      </c>
    </row>
    <row r="229" spans="1:36" ht="24" customHeight="1">
      <c r="A229" s="452">
        <v>36</v>
      </c>
      <c r="B229" s="701">
        <v>181</v>
      </c>
      <c r="C229" s="699" t="s">
        <v>337</v>
      </c>
      <c r="D229" s="699"/>
      <c r="E229" s="699" t="s">
        <v>545</v>
      </c>
      <c r="F229" s="699"/>
      <c r="G229" s="699" t="s">
        <v>186</v>
      </c>
      <c r="H229" s="699" t="s">
        <v>1042</v>
      </c>
      <c r="I229" s="712">
        <v>200000</v>
      </c>
      <c r="J229" s="709" t="s">
        <v>537</v>
      </c>
      <c r="K229" s="709" t="s">
        <v>537</v>
      </c>
      <c r="L229" s="709">
        <v>0</v>
      </c>
      <c r="M229" s="709" t="s">
        <v>537</v>
      </c>
      <c r="N229" s="709" t="s">
        <v>537</v>
      </c>
      <c r="O229" s="701" t="s">
        <v>537</v>
      </c>
      <c r="P229" s="701" t="s">
        <v>537</v>
      </c>
      <c r="Q229" s="705">
        <v>200000</v>
      </c>
      <c r="R229" s="701" t="s">
        <v>552</v>
      </c>
      <c r="S229" s="699"/>
      <c r="T229" s="701">
        <v>0</v>
      </c>
      <c r="U229" s="701">
        <v>10</v>
      </c>
      <c r="V229" s="701">
        <v>100</v>
      </c>
      <c r="W229" s="699"/>
      <c r="X229" s="699"/>
      <c r="Y229" s="699"/>
      <c r="Z229" s="699"/>
      <c r="AA229" s="458" t="s">
        <v>554</v>
      </c>
      <c r="AB229" s="459" t="s">
        <v>539</v>
      </c>
      <c r="AC229" s="699"/>
      <c r="AD229" s="458" t="s">
        <v>986</v>
      </c>
      <c r="AE229" s="459">
        <v>80</v>
      </c>
      <c r="AF229" s="699"/>
      <c r="AG229" s="701" t="s">
        <v>376</v>
      </c>
      <c r="AH229" s="728"/>
      <c r="AI229" s="697">
        <v>869949008</v>
      </c>
      <c r="AJ229" s="699"/>
    </row>
    <row r="230" spans="1:36" ht="24" hidden="1" customHeight="1">
      <c r="B230" s="715"/>
      <c r="C230" s="714"/>
      <c r="D230" s="714"/>
      <c r="E230" s="714"/>
      <c r="F230" s="714"/>
      <c r="G230" s="714"/>
      <c r="H230" s="714"/>
      <c r="I230" s="720"/>
      <c r="J230" s="717"/>
      <c r="K230" s="717"/>
      <c r="L230" s="717"/>
      <c r="M230" s="717"/>
      <c r="N230" s="717"/>
      <c r="O230" s="715"/>
      <c r="P230" s="715"/>
      <c r="Q230" s="718"/>
      <c r="R230" s="715"/>
      <c r="S230" s="714"/>
      <c r="T230" s="715"/>
      <c r="U230" s="715"/>
      <c r="V230" s="715"/>
      <c r="W230" s="714"/>
      <c r="X230" s="714"/>
      <c r="Y230" s="714"/>
      <c r="Z230" s="714"/>
      <c r="AA230" s="460" t="s">
        <v>1043</v>
      </c>
      <c r="AB230" s="461" t="s">
        <v>539</v>
      </c>
      <c r="AC230" s="714"/>
      <c r="AD230" s="460" t="s">
        <v>1044</v>
      </c>
      <c r="AE230" s="461">
        <v>10</v>
      </c>
      <c r="AF230" s="714"/>
      <c r="AG230" s="715"/>
      <c r="AH230" s="730"/>
      <c r="AI230" s="711"/>
      <c r="AJ230" s="714"/>
    </row>
    <row r="231" spans="1:36" ht="24" hidden="1" customHeight="1">
      <c r="B231" s="702"/>
      <c r="C231" s="700"/>
      <c r="D231" s="700"/>
      <c r="E231" s="700"/>
      <c r="F231" s="700"/>
      <c r="G231" s="700"/>
      <c r="H231" s="700"/>
      <c r="I231" s="713"/>
      <c r="J231" s="710"/>
      <c r="K231" s="710"/>
      <c r="L231" s="710"/>
      <c r="M231" s="710"/>
      <c r="N231" s="710"/>
      <c r="O231" s="702"/>
      <c r="P231" s="702"/>
      <c r="Q231" s="706"/>
      <c r="R231" s="702"/>
      <c r="S231" s="700"/>
      <c r="T231" s="702"/>
      <c r="U231" s="702"/>
      <c r="V231" s="702"/>
      <c r="W231" s="700"/>
      <c r="X231" s="700"/>
      <c r="Y231" s="700"/>
      <c r="Z231" s="700"/>
      <c r="AA231" s="462"/>
      <c r="AB231" s="462"/>
      <c r="AC231" s="700"/>
      <c r="AD231" s="462"/>
      <c r="AE231" s="462"/>
      <c r="AF231" s="700"/>
      <c r="AG231" s="702"/>
      <c r="AH231" s="729"/>
      <c r="AI231" s="698"/>
      <c r="AJ231" s="700"/>
    </row>
    <row r="232" spans="1:36" ht="24" customHeight="1">
      <c r="A232" s="452">
        <v>37</v>
      </c>
      <c r="B232" s="701">
        <v>182</v>
      </c>
      <c r="C232" s="699" t="s">
        <v>337</v>
      </c>
      <c r="D232" s="699"/>
      <c r="E232" s="699" t="s">
        <v>545</v>
      </c>
      <c r="F232" s="699"/>
      <c r="G232" s="699" t="s">
        <v>186</v>
      </c>
      <c r="H232" s="699" t="s">
        <v>1045</v>
      </c>
      <c r="I232" s="712">
        <v>175000</v>
      </c>
      <c r="J232" s="709" t="s">
        <v>537</v>
      </c>
      <c r="K232" s="709" t="s">
        <v>537</v>
      </c>
      <c r="L232" s="709">
        <v>0</v>
      </c>
      <c r="M232" s="709" t="s">
        <v>537</v>
      </c>
      <c r="N232" s="709" t="s">
        <v>537</v>
      </c>
      <c r="O232" s="701" t="s">
        <v>537</v>
      </c>
      <c r="P232" s="701" t="s">
        <v>537</v>
      </c>
      <c r="Q232" s="705">
        <v>175000</v>
      </c>
      <c r="R232" s="701" t="s">
        <v>552</v>
      </c>
      <c r="S232" s="699"/>
      <c r="T232" s="701">
        <v>0</v>
      </c>
      <c r="U232" s="701">
        <v>20</v>
      </c>
      <c r="V232" s="701">
        <v>100</v>
      </c>
      <c r="W232" s="699"/>
      <c r="X232" s="699"/>
      <c r="Y232" s="699"/>
      <c r="Z232" s="699"/>
      <c r="AA232" s="458" t="s">
        <v>554</v>
      </c>
      <c r="AB232" s="459" t="s">
        <v>539</v>
      </c>
      <c r="AC232" s="699"/>
      <c r="AD232" s="458" t="s">
        <v>986</v>
      </c>
      <c r="AE232" s="459">
        <v>80</v>
      </c>
      <c r="AF232" s="699"/>
      <c r="AG232" s="701" t="s">
        <v>376</v>
      </c>
      <c r="AH232" s="728"/>
      <c r="AI232" s="697">
        <v>869949008</v>
      </c>
      <c r="AJ232" s="699"/>
    </row>
    <row r="233" spans="1:36" ht="24" hidden="1" customHeight="1">
      <c r="B233" s="715"/>
      <c r="C233" s="714"/>
      <c r="D233" s="714"/>
      <c r="E233" s="714"/>
      <c r="F233" s="714"/>
      <c r="G233" s="714"/>
      <c r="H233" s="714"/>
      <c r="I233" s="720"/>
      <c r="J233" s="717"/>
      <c r="K233" s="717"/>
      <c r="L233" s="717"/>
      <c r="M233" s="717"/>
      <c r="N233" s="717"/>
      <c r="O233" s="715"/>
      <c r="P233" s="715"/>
      <c r="Q233" s="718"/>
      <c r="R233" s="715"/>
      <c r="S233" s="714"/>
      <c r="T233" s="715"/>
      <c r="U233" s="715"/>
      <c r="V233" s="715"/>
      <c r="W233" s="714"/>
      <c r="X233" s="714"/>
      <c r="Y233" s="714"/>
      <c r="Z233" s="714"/>
      <c r="AA233" s="460" t="s">
        <v>1046</v>
      </c>
      <c r="AB233" s="461" t="s">
        <v>539</v>
      </c>
      <c r="AC233" s="714"/>
      <c r="AD233" s="460" t="s">
        <v>1047</v>
      </c>
      <c r="AE233" s="461">
        <v>6</v>
      </c>
      <c r="AF233" s="714"/>
      <c r="AG233" s="715"/>
      <c r="AH233" s="730"/>
      <c r="AI233" s="711"/>
      <c r="AJ233" s="714"/>
    </row>
    <row r="234" spans="1:36" ht="24" hidden="1" customHeight="1">
      <c r="B234" s="715"/>
      <c r="C234" s="714"/>
      <c r="D234" s="714"/>
      <c r="E234" s="714"/>
      <c r="F234" s="714"/>
      <c r="G234" s="714"/>
      <c r="H234" s="714"/>
      <c r="I234" s="720"/>
      <c r="J234" s="717"/>
      <c r="K234" s="717"/>
      <c r="L234" s="717"/>
      <c r="M234" s="717"/>
      <c r="N234" s="717"/>
      <c r="O234" s="715"/>
      <c r="P234" s="715"/>
      <c r="Q234" s="718"/>
      <c r="R234" s="715"/>
      <c r="S234" s="714"/>
      <c r="T234" s="715"/>
      <c r="U234" s="715"/>
      <c r="V234" s="715"/>
      <c r="W234" s="714"/>
      <c r="X234" s="714"/>
      <c r="Y234" s="714"/>
      <c r="Z234" s="714"/>
      <c r="AA234" s="477"/>
      <c r="AB234" s="477"/>
      <c r="AC234" s="714"/>
      <c r="AD234" s="460" t="s">
        <v>1048</v>
      </c>
      <c r="AE234" s="461" t="s">
        <v>539</v>
      </c>
      <c r="AF234" s="714"/>
      <c r="AG234" s="715"/>
      <c r="AH234" s="730"/>
      <c r="AI234" s="711"/>
      <c r="AJ234" s="714"/>
    </row>
    <row r="235" spans="1:36" ht="24" hidden="1" customHeight="1">
      <c r="B235" s="702"/>
      <c r="C235" s="700"/>
      <c r="D235" s="700"/>
      <c r="E235" s="700"/>
      <c r="F235" s="700"/>
      <c r="G235" s="700"/>
      <c r="H235" s="700"/>
      <c r="I235" s="713"/>
      <c r="J235" s="710"/>
      <c r="K235" s="710"/>
      <c r="L235" s="710"/>
      <c r="M235" s="710"/>
      <c r="N235" s="710"/>
      <c r="O235" s="702"/>
      <c r="P235" s="702"/>
      <c r="Q235" s="706"/>
      <c r="R235" s="702"/>
      <c r="S235" s="700"/>
      <c r="T235" s="702"/>
      <c r="U235" s="702"/>
      <c r="V235" s="702"/>
      <c r="W235" s="700"/>
      <c r="X235" s="700"/>
      <c r="Y235" s="700"/>
      <c r="Z235" s="700"/>
      <c r="AA235" s="462"/>
      <c r="AB235" s="462"/>
      <c r="AC235" s="700"/>
      <c r="AD235" s="462"/>
      <c r="AE235" s="462"/>
      <c r="AF235" s="700"/>
      <c r="AG235" s="702"/>
      <c r="AH235" s="729"/>
      <c r="AI235" s="698"/>
      <c r="AJ235" s="700"/>
    </row>
    <row r="236" spans="1:36" ht="24" customHeight="1">
      <c r="A236" s="452">
        <v>38</v>
      </c>
      <c r="B236" s="701">
        <v>183</v>
      </c>
      <c r="C236" s="699" t="s">
        <v>337</v>
      </c>
      <c r="D236" s="699"/>
      <c r="E236" s="699" t="s">
        <v>545</v>
      </c>
      <c r="F236" s="699"/>
      <c r="G236" s="699" t="s">
        <v>186</v>
      </c>
      <c r="H236" s="699" t="s">
        <v>1049</v>
      </c>
      <c r="I236" s="712">
        <v>100000</v>
      </c>
      <c r="J236" s="709" t="s">
        <v>537</v>
      </c>
      <c r="K236" s="709" t="s">
        <v>537</v>
      </c>
      <c r="L236" s="709">
        <v>0</v>
      </c>
      <c r="M236" s="709" t="s">
        <v>537</v>
      </c>
      <c r="N236" s="709" t="s">
        <v>537</v>
      </c>
      <c r="O236" s="701" t="s">
        <v>537</v>
      </c>
      <c r="P236" s="701" t="s">
        <v>537</v>
      </c>
      <c r="Q236" s="705">
        <v>100000</v>
      </c>
      <c r="R236" s="701" t="s">
        <v>552</v>
      </c>
      <c r="S236" s="699"/>
      <c r="T236" s="701">
        <v>0</v>
      </c>
      <c r="U236" s="701">
        <v>10</v>
      </c>
      <c r="V236" s="701">
        <v>100</v>
      </c>
      <c r="W236" s="699"/>
      <c r="X236" s="699"/>
      <c r="Y236" s="699"/>
      <c r="Z236" s="699"/>
      <c r="AA236" s="458" t="s">
        <v>554</v>
      </c>
      <c r="AB236" s="459" t="s">
        <v>539</v>
      </c>
      <c r="AC236" s="699"/>
      <c r="AD236" s="458" t="s">
        <v>986</v>
      </c>
      <c r="AE236" s="459">
        <v>80</v>
      </c>
      <c r="AF236" s="699"/>
      <c r="AG236" s="701" t="s">
        <v>376</v>
      </c>
      <c r="AH236" s="728"/>
      <c r="AI236" s="697">
        <v>869949008</v>
      </c>
      <c r="AJ236" s="699"/>
    </row>
    <row r="237" spans="1:36" ht="24" hidden="1" customHeight="1">
      <c r="B237" s="715"/>
      <c r="C237" s="714"/>
      <c r="D237" s="714"/>
      <c r="E237" s="714"/>
      <c r="F237" s="714"/>
      <c r="G237" s="714"/>
      <c r="H237" s="714"/>
      <c r="I237" s="720"/>
      <c r="J237" s="717"/>
      <c r="K237" s="717"/>
      <c r="L237" s="717"/>
      <c r="M237" s="717"/>
      <c r="N237" s="717"/>
      <c r="O237" s="715"/>
      <c r="P237" s="715"/>
      <c r="Q237" s="718"/>
      <c r="R237" s="715"/>
      <c r="S237" s="714"/>
      <c r="T237" s="715"/>
      <c r="U237" s="715"/>
      <c r="V237" s="715"/>
      <c r="W237" s="714"/>
      <c r="X237" s="714"/>
      <c r="Y237" s="714"/>
      <c r="Z237" s="714"/>
      <c r="AA237" s="460" t="s">
        <v>1046</v>
      </c>
      <c r="AB237" s="461" t="s">
        <v>539</v>
      </c>
      <c r="AC237" s="714"/>
      <c r="AD237" s="460" t="s">
        <v>1050</v>
      </c>
      <c r="AE237" s="461">
        <v>3</v>
      </c>
      <c r="AF237" s="714"/>
      <c r="AG237" s="715"/>
      <c r="AH237" s="730"/>
      <c r="AI237" s="711"/>
      <c r="AJ237" s="714"/>
    </row>
    <row r="238" spans="1:36" ht="24" hidden="1" customHeight="1">
      <c r="B238" s="715"/>
      <c r="C238" s="714"/>
      <c r="D238" s="714"/>
      <c r="E238" s="714"/>
      <c r="F238" s="714"/>
      <c r="G238" s="714"/>
      <c r="H238" s="714"/>
      <c r="I238" s="720"/>
      <c r="J238" s="717"/>
      <c r="K238" s="717"/>
      <c r="L238" s="717"/>
      <c r="M238" s="717"/>
      <c r="N238" s="717"/>
      <c r="O238" s="715"/>
      <c r="P238" s="715"/>
      <c r="Q238" s="718"/>
      <c r="R238" s="715"/>
      <c r="S238" s="714"/>
      <c r="T238" s="715"/>
      <c r="U238" s="715"/>
      <c r="V238" s="715"/>
      <c r="W238" s="714"/>
      <c r="X238" s="714"/>
      <c r="Y238" s="714"/>
      <c r="Z238" s="714"/>
      <c r="AA238" s="477"/>
      <c r="AB238" s="477"/>
      <c r="AC238" s="714"/>
      <c r="AD238" s="460" t="s">
        <v>1048</v>
      </c>
      <c r="AE238" s="461" t="s">
        <v>539</v>
      </c>
      <c r="AF238" s="714"/>
      <c r="AG238" s="715"/>
      <c r="AH238" s="730"/>
      <c r="AI238" s="711"/>
      <c r="AJ238" s="714"/>
    </row>
    <row r="239" spans="1:36" ht="24" hidden="1" customHeight="1">
      <c r="B239" s="715"/>
      <c r="C239" s="714"/>
      <c r="D239" s="714"/>
      <c r="E239" s="714"/>
      <c r="F239" s="714"/>
      <c r="G239" s="714"/>
      <c r="H239" s="714"/>
      <c r="I239" s="720"/>
      <c r="J239" s="717"/>
      <c r="K239" s="717"/>
      <c r="L239" s="717"/>
      <c r="M239" s="717"/>
      <c r="N239" s="717"/>
      <c r="O239" s="715"/>
      <c r="P239" s="715"/>
      <c r="Q239" s="718"/>
      <c r="R239" s="715"/>
      <c r="S239" s="714"/>
      <c r="T239" s="715"/>
      <c r="U239" s="715"/>
      <c r="V239" s="715"/>
      <c r="W239" s="714"/>
      <c r="X239" s="714"/>
      <c r="Y239" s="714"/>
      <c r="Z239" s="714"/>
      <c r="AA239" s="477"/>
      <c r="AB239" s="477"/>
      <c r="AC239" s="714"/>
      <c r="AD239" s="460" t="s">
        <v>1051</v>
      </c>
      <c r="AE239" s="461" t="s">
        <v>539</v>
      </c>
      <c r="AF239" s="714"/>
      <c r="AG239" s="715"/>
      <c r="AH239" s="730"/>
      <c r="AI239" s="711"/>
      <c r="AJ239" s="714"/>
    </row>
    <row r="240" spans="1:36" ht="24" hidden="1" customHeight="1">
      <c r="B240" s="702"/>
      <c r="C240" s="700"/>
      <c r="D240" s="700"/>
      <c r="E240" s="700"/>
      <c r="F240" s="700"/>
      <c r="G240" s="700"/>
      <c r="H240" s="700"/>
      <c r="I240" s="713"/>
      <c r="J240" s="710"/>
      <c r="K240" s="710"/>
      <c r="L240" s="710"/>
      <c r="M240" s="710"/>
      <c r="N240" s="710"/>
      <c r="O240" s="702"/>
      <c r="P240" s="702"/>
      <c r="Q240" s="706"/>
      <c r="R240" s="702"/>
      <c r="S240" s="700"/>
      <c r="T240" s="702"/>
      <c r="U240" s="702"/>
      <c r="V240" s="702"/>
      <c r="W240" s="700"/>
      <c r="X240" s="700"/>
      <c r="Y240" s="700"/>
      <c r="Z240" s="700"/>
      <c r="AA240" s="462"/>
      <c r="AB240" s="462"/>
      <c r="AC240" s="700"/>
      <c r="AD240" s="462"/>
      <c r="AE240" s="462"/>
      <c r="AF240" s="700"/>
      <c r="AG240" s="702"/>
      <c r="AH240" s="729"/>
      <c r="AI240" s="698"/>
      <c r="AJ240" s="700"/>
    </row>
    <row r="241" spans="1:36" ht="24" customHeight="1">
      <c r="A241" s="452">
        <v>39</v>
      </c>
      <c r="B241" s="701">
        <v>184</v>
      </c>
      <c r="C241" s="699" t="s">
        <v>337</v>
      </c>
      <c r="D241" s="699"/>
      <c r="E241" s="699" t="s">
        <v>545</v>
      </c>
      <c r="F241" s="699"/>
      <c r="G241" s="699" t="s">
        <v>186</v>
      </c>
      <c r="H241" s="699" t="s">
        <v>1052</v>
      </c>
      <c r="I241" s="712">
        <v>175000</v>
      </c>
      <c r="J241" s="709" t="s">
        <v>537</v>
      </c>
      <c r="K241" s="709" t="s">
        <v>537</v>
      </c>
      <c r="L241" s="709">
        <v>0</v>
      </c>
      <c r="M241" s="709" t="s">
        <v>537</v>
      </c>
      <c r="N241" s="709" t="s">
        <v>537</v>
      </c>
      <c r="O241" s="701" t="s">
        <v>537</v>
      </c>
      <c r="P241" s="701" t="s">
        <v>537</v>
      </c>
      <c r="Q241" s="705">
        <v>175000</v>
      </c>
      <c r="R241" s="701" t="s">
        <v>552</v>
      </c>
      <c r="S241" s="699"/>
      <c r="T241" s="701">
        <v>0</v>
      </c>
      <c r="U241" s="701">
        <v>20</v>
      </c>
      <c r="V241" s="701">
        <v>100</v>
      </c>
      <c r="W241" s="699"/>
      <c r="X241" s="699"/>
      <c r="Y241" s="699"/>
      <c r="Z241" s="699"/>
      <c r="AA241" s="458" t="s">
        <v>554</v>
      </c>
      <c r="AB241" s="459" t="s">
        <v>539</v>
      </c>
      <c r="AC241" s="699"/>
      <c r="AD241" s="458" t="s">
        <v>986</v>
      </c>
      <c r="AE241" s="459">
        <v>80</v>
      </c>
      <c r="AF241" s="699"/>
      <c r="AG241" s="701" t="s">
        <v>376</v>
      </c>
      <c r="AH241" s="728"/>
      <c r="AI241" s="697">
        <v>869949008</v>
      </c>
      <c r="AJ241" s="699"/>
    </row>
    <row r="242" spans="1:36" ht="24" hidden="1" customHeight="1">
      <c r="B242" s="715"/>
      <c r="C242" s="714"/>
      <c r="D242" s="714"/>
      <c r="E242" s="714"/>
      <c r="F242" s="714"/>
      <c r="G242" s="714"/>
      <c r="H242" s="714"/>
      <c r="I242" s="720"/>
      <c r="J242" s="717"/>
      <c r="K242" s="717"/>
      <c r="L242" s="717"/>
      <c r="M242" s="717"/>
      <c r="N242" s="717"/>
      <c r="O242" s="715"/>
      <c r="P242" s="715"/>
      <c r="Q242" s="718"/>
      <c r="R242" s="715"/>
      <c r="S242" s="714"/>
      <c r="T242" s="715"/>
      <c r="U242" s="715"/>
      <c r="V242" s="715"/>
      <c r="W242" s="714"/>
      <c r="X242" s="714"/>
      <c r="Y242" s="714"/>
      <c r="Z242" s="714"/>
      <c r="AA242" s="460" t="s">
        <v>1046</v>
      </c>
      <c r="AB242" s="461" t="s">
        <v>539</v>
      </c>
      <c r="AC242" s="714"/>
      <c r="AD242" s="460" t="s">
        <v>1047</v>
      </c>
      <c r="AE242" s="461">
        <v>6</v>
      </c>
      <c r="AF242" s="714"/>
      <c r="AG242" s="715"/>
      <c r="AH242" s="730"/>
      <c r="AI242" s="711"/>
      <c r="AJ242" s="714"/>
    </row>
    <row r="243" spans="1:36" ht="24" hidden="1" customHeight="1">
      <c r="B243" s="715"/>
      <c r="C243" s="714"/>
      <c r="D243" s="714"/>
      <c r="E243" s="714"/>
      <c r="F243" s="714"/>
      <c r="G243" s="714"/>
      <c r="H243" s="714"/>
      <c r="I243" s="720"/>
      <c r="J243" s="717"/>
      <c r="K243" s="717"/>
      <c r="L243" s="717"/>
      <c r="M243" s="717"/>
      <c r="N243" s="717"/>
      <c r="O243" s="715"/>
      <c r="P243" s="715"/>
      <c r="Q243" s="718"/>
      <c r="R243" s="715"/>
      <c r="S243" s="714"/>
      <c r="T243" s="715"/>
      <c r="U243" s="715"/>
      <c r="V243" s="715"/>
      <c r="W243" s="714"/>
      <c r="X243" s="714"/>
      <c r="Y243" s="714"/>
      <c r="Z243" s="714"/>
      <c r="AA243" s="477"/>
      <c r="AB243" s="477"/>
      <c r="AC243" s="714"/>
      <c r="AD243" s="460" t="s">
        <v>1048</v>
      </c>
      <c r="AE243" s="461" t="s">
        <v>539</v>
      </c>
      <c r="AF243" s="714"/>
      <c r="AG243" s="715"/>
      <c r="AH243" s="730"/>
      <c r="AI243" s="711"/>
      <c r="AJ243" s="714"/>
    </row>
    <row r="244" spans="1:36" ht="24" hidden="1" customHeight="1">
      <c r="B244" s="702"/>
      <c r="C244" s="700"/>
      <c r="D244" s="700"/>
      <c r="E244" s="700"/>
      <c r="F244" s="700"/>
      <c r="G244" s="700"/>
      <c r="H244" s="700"/>
      <c r="I244" s="713"/>
      <c r="J244" s="710"/>
      <c r="K244" s="710"/>
      <c r="L244" s="710"/>
      <c r="M244" s="710"/>
      <c r="N244" s="710"/>
      <c r="O244" s="702"/>
      <c r="P244" s="702"/>
      <c r="Q244" s="706"/>
      <c r="R244" s="702"/>
      <c r="S244" s="700"/>
      <c r="T244" s="702"/>
      <c r="U244" s="702"/>
      <c r="V244" s="702"/>
      <c r="W244" s="700"/>
      <c r="X244" s="700"/>
      <c r="Y244" s="700"/>
      <c r="Z244" s="700"/>
      <c r="AA244" s="462"/>
      <c r="AB244" s="462"/>
      <c r="AC244" s="700"/>
      <c r="AD244" s="462"/>
      <c r="AE244" s="462"/>
      <c r="AF244" s="700"/>
      <c r="AG244" s="702"/>
      <c r="AH244" s="729"/>
      <c r="AI244" s="698"/>
      <c r="AJ244" s="700"/>
    </row>
    <row r="245" spans="1:36" ht="24" customHeight="1">
      <c r="A245" s="452">
        <v>40</v>
      </c>
      <c r="B245" s="701">
        <v>185</v>
      </c>
      <c r="C245" s="699" t="s">
        <v>337</v>
      </c>
      <c r="D245" s="699"/>
      <c r="E245" s="699" t="s">
        <v>545</v>
      </c>
      <c r="F245" s="699"/>
      <c r="G245" s="699" t="s">
        <v>186</v>
      </c>
      <c r="H245" s="699" t="s">
        <v>1053</v>
      </c>
      <c r="I245" s="712">
        <v>200000</v>
      </c>
      <c r="J245" s="709" t="s">
        <v>537</v>
      </c>
      <c r="K245" s="709" t="s">
        <v>537</v>
      </c>
      <c r="L245" s="709">
        <v>0</v>
      </c>
      <c r="M245" s="709" t="s">
        <v>537</v>
      </c>
      <c r="N245" s="709" t="s">
        <v>537</v>
      </c>
      <c r="O245" s="701" t="s">
        <v>537</v>
      </c>
      <c r="P245" s="701" t="s">
        <v>537</v>
      </c>
      <c r="Q245" s="705">
        <v>200000</v>
      </c>
      <c r="R245" s="701" t="s">
        <v>552</v>
      </c>
      <c r="S245" s="699"/>
      <c r="T245" s="701">
        <v>0</v>
      </c>
      <c r="U245" s="701">
        <v>12</v>
      </c>
      <c r="V245" s="701">
        <v>120</v>
      </c>
      <c r="W245" s="699"/>
      <c r="X245" s="699"/>
      <c r="Y245" s="699"/>
      <c r="Z245" s="699"/>
      <c r="AA245" s="697" t="s">
        <v>554</v>
      </c>
      <c r="AB245" s="701" t="s">
        <v>539</v>
      </c>
      <c r="AC245" s="699"/>
      <c r="AD245" s="458" t="s">
        <v>986</v>
      </c>
      <c r="AE245" s="459">
        <v>80</v>
      </c>
      <c r="AF245" s="699"/>
      <c r="AG245" s="701" t="s">
        <v>376</v>
      </c>
      <c r="AH245" s="728"/>
      <c r="AI245" s="697">
        <v>869949008</v>
      </c>
      <c r="AJ245" s="699"/>
    </row>
    <row r="246" spans="1:36" ht="24" hidden="1" customHeight="1">
      <c r="B246" s="715"/>
      <c r="C246" s="714"/>
      <c r="D246" s="714"/>
      <c r="E246" s="714"/>
      <c r="F246" s="714"/>
      <c r="G246" s="714"/>
      <c r="H246" s="714"/>
      <c r="I246" s="720"/>
      <c r="J246" s="717"/>
      <c r="K246" s="717"/>
      <c r="L246" s="717"/>
      <c r="M246" s="717"/>
      <c r="N246" s="717"/>
      <c r="O246" s="715"/>
      <c r="P246" s="715"/>
      <c r="Q246" s="718"/>
      <c r="R246" s="715"/>
      <c r="S246" s="714"/>
      <c r="T246" s="715"/>
      <c r="U246" s="715"/>
      <c r="V246" s="715"/>
      <c r="W246" s="714"/>
      <c r="X246" s="714"/>
      <c r="Y246" s="714"/>
      <c r="Z246" s="714"/>
      <c r="AA246" s="711"/>
      <c r="AB246" s="715"/>
      <c r="AC246" s="714"/>
      <c r="AD246" s="460" t="s">
        <v>1044</v>
      </c>
      <c r="AE246" s="461">
        <v>10</v>
      </c>
      <c r="AF246" s="714"/>
      <c r="AG246" s="715"/>
      <c r="AH246" s="730"/>
      <c r="AI246" s="711"/>
      <c r="AJ246" s="714"/>
    </row>
    <row r="247" spans="1:36" ht="24" hidden="1" customHeight="1">
      <c r="B247" s="715"/>
      <c r="C247" s="714"/>
      <c r="D247" s="714"/>
      <c r="E247" s="714"/>
      <c r="F247" s="714"/>
      <c r="G247" s="714"/>
      <c r="H247" s="714"/>
      <c r="I247" s="720"/>
      <c r="J247" s="717"/>
      <c r="K247" s="717"/>
      <c r="L247" s="717"/>
      <c r="M247" s="717"/>
      <c r="N247" s="717"/>
      <c r="O247" s="715"/>
      <c r="P247" s="715"/>
      <c r="Q247" s="718"/>
      <c r="R247" s="715"/>
      <c r="S247" s="714"/>
      <c r="T247" s="715"/>
      <c r="U247" s="715"/>
      <c r="V247" s="715"/>
      <c r="W247" s="714"/>
      <c r="X247" s="714"/>
      <c r="Y247" s="714"/>
      <c r="Z247" s="714"/>
      <c r="AA247" s="711"/>
      <c r="AB247" s="715"/>
      <c r="AC247" s="714"/>
      <c r="AD247" s="460" t="s">
        <v>1054</v>
      </c>
      <c r="AE247" s="461" t="s">
        <v>539</v>
      </c>
      <c r="AF247" s="714"/>
      <c r="AG247" s="715"/>
      <c r="AH247" s="730"/>
      <c r="AI247" s="711"/>
      <c r="AJ247" s="714"/>
    </row>
    <row r="248" spans="1:36" ht="24" hidden="1" customHeight="1">
      <c r="B248" s="702"/>
      <c r="C248" s="700"/>
      <c r="D248" s="700"/>
      <c r="E248" s="700"/>
      <c r="F248" s="700"/>
      <c r="G248" s="700"/>
      <c r="H248" s="700"/>
      <c r="I248" s="713"/>
      <c r="J248" s="710"/>
      <c r="K248" s="710"/>
      <c r="L248" s="710"/>
      <c r="M248" s="710"/>
      <c r="N248" s="710"/>
      <c r="O248" s="702"/>
      <c r="P248" s="702"/>
      <c r="Q248" s="706"/>
      <c r="R248" s="702"/>
      <c r="S248" s="700"/>
      <c r="T248" s="702"/>
      <c r="U248" s="702"/>
      <c r="V248" s="702"/>
      <c r="W248" s="700"/>
      <c r="X248" s="700"/>
      <c r="Y248" s="700"/>
      <c r="Z248" s="700"/>
      <c r="AA248" s="698"/>
      <c r="AB248" s="702"/>
      <c r="AC248" s="700"/>
      <c r="AD248" s="462"/>
      <c r="AE248" s="462"/>
      <c r="AF248" s="700"/>
      <c r="AG248" s="702"/>
      <c r="AH248" s="729"/>
      <c r="AI248" s="698"/>
      <c r="AJ248" s="700"/>
    </row>
    <row r="249" spans="1:36" ht="24" customHeight="1">
      <c r="A249" s="452">
        <v>41</v>
      </c>
      <c r="B249" s="463">
        <v>186</v>
      </c>
      <c r="C249" s="464" t="s">
        <v>337</v>
      </c>
      <c r="D249" s="464"/>
      <c r="E249" s="464" t="s">
        <v>545</v>
      </c>
      <c r="F249" s="464"/>
      <c r="G249" s="464" t="s">
        <v>186</v>
      </c>
      <c r="H249" s="464" t="s">
        <v>1055</v>
      </c>
      <c r="I249" s="466">
        <v>80000</v>
      </c>
      <c r="J249" s="465" t="s">
        <v>537</v>
      </c>
      <c r="K249" s="465" t="s">
        <v>537</v>
      </c>
      <c r="L249" s="466">
        <v>79202.8</v>
      </c>
      <c r="M249" s="465" t="s">
        <v>537</v>
      </c>
      <c r="N249" s="465" t="s">
        <v>537</v>
      </c>
      <c r="O249" s="463" t="s">
        <v>537</v>
      </c>
      <c r="P249" s="463" t="s">
        <v>537</v>
      </c>
      <c r="Q249" s="465">
        <v>797</v>
      </c>
      <c r="R249" s="463" t="s">
        <v>785</v>
      </c>
      <c r="S249" s="463" t="s">
        <v>1056</v>
      </c>
      <c r="T249" s="463">
        <v>0</v>
      </c>
      <c r="U249" s="463">
        <v>30</v>
      </c>
      <c r="V249" s="463">
        <v>0</v>
      </c>
      <c r="W249" s="463">
        <v>0</v>
      </c>
      <c r="X249" s="463">
        <v>0</v>
      </c>
      <c r="Y249" s="463">
        <v>0</v>
      </c>
      <c r="Z249" s="463">
        <v>96</v>
      </c>
      <c r="AA249" s="472" t="s">
        <v>1057</v>
      </c>
      <c r="AB249" s="463" t="s">
        <v>539</v>
      </c>
      <c r="AC249" s="463" t="s">
        <v>539</v>
      </c>
      <c r="AD249" s="472" t="s">
        <v>1058</v>
      </c>
      <c r="AE249" s="463">
        <v>30</v>
      </c>
      <c r="AF249" s="463">
        <v>30</v>
      </c>
      <c r="AG249" s="463" t="s">
        <v>375</v>
      </c>
      <c r="AH249" s="476"/>
      <c r="AI249" s="472" t="s">
        <v>566</v>
      </c>
      <c r="AJ249" s="464"/>
    </row>
    <row r="250" spans="1:36" ht="24" customHeight="1">
      <c r="A250" s="452">
        <v>42</v>
      </c>
      <c r="B250" s="701">
        <v>187</v>
      </c>
      <c r="C250" s="699" t="s">
        <v>337</v>
      </c>
      <c r="D250" s="699"/>
      <c r="E250" s="699" t="s">
        <v>545</v>
      </c>
      <c r="F250" s="699"/>
      <c r="G250" s="699" t="s">
        <v>186</v>
      </c>
      <c r="H250" s="699" t="s">
        <v>1059</v>
      </c>
      <c r="I250" s="712">
        <v>50000</v>
      </c>
      <c r="J250" s="709" t="s">
        <v>537</v>
      </c>
      <c r="K250" s="709" t="s">
        <v>537</v>
      </c>
      <c r="L250" s="712">
        <v>46342</v>
      </c>
      <c r="M250" s="709" t="s">
        <v>537</v>
      </c>
      <c r="N250" s="709" t="s">
        <v>537</v>
      </c>
      <c r="O250" s="701" t="s">
        <v>537</v>
      </c>
      <c r="P250" s="701" t="s">
        <v>537</v>
      </c>
      <c r="Q250" s="705">
        <v>3658</v>
      </c>
      <c r="R250" s="701" t="s">
        <v>552</v>
      </c>
      <c r="S250" s="701" t="s">
        <v>1060</v>
      </c>
      <c r="T250" s="701">
        <v>0</v>
      </c>
      <c r="U250" s="701">
        <v>10</v>
      </c>
      <c r="V250" s="701">
        <v>100</v>
      </c>
      <c r="W250" s="701">
        <v>25</v>
      </c>
      <c r="X250" s="701">
        <v>30</v>
      </c>
      <c r="Y250" s="701">
        <v>120</v>
      </c>
      <c r="Z250" s="701">
        <v>89</v>
      </c>
      <c r="AA250" s="458" t="s">
        <v>554</v>
      </c>
      <c r="AB250" s="459" t="s">
        <v>539</v>
      </c>
      <c r="AC250" s="459" t="s">
        <v>539</v>
      </c>
      <c r="AD250" s="458" t="s">
        <v>986</v>
      </c>
      <c r="AE250" s="459">
        <v>80</v>
      </c>
      <c r="AF250" s="459">
        <v>89</v>
      </c>
      <c r="AG250" s="701" t="s">
        <v>375</v>
      </c>
      <c r="AH250" s="728"/>
      <c r="AI250" s="697">
        <v>869949008</v>
      </c>
      <c r="AJ250" s="699"/>
    </row>
    <row r="251" spans="1:36" ht="24" hidden="1" customHeight="1">
      <c r="B251" s="702"/>
      <c r="C251" s="700"/>
      <c r="D251" s="700"/>
      <c r="E251" s="700"/>
      <c r="F251" s="700"/>
      <c r="G251" s="700"/>
      <c r="H251" s="700"/>
      <c r="I251" s="713"/>
      <c r="J251" s="710"/>
      <c r="K251" s="710"/>
      <c r="L251" s="713"/>
      <c r="M251" s="710"/>
      <c r="N251" s="710"/>
      <c r="O251" s="702"/>
      <c r="P251" s="702"/>
      <c r="Q251" s="706"/>
      <c r="R251" s="702"/>
      <c r="S251" s="702"/>
      <c r="T251" s="702"/>
      <c r="U251" s="702"/>
      <c r="V251" s="702"/>
      <c r="W251" s="702"/>
      <c r="X251" s="702"/>
      <c r="Y251" s="702"/>
      <c r="Z251" s="702"/>
      <c r="AA251" s="473" t="s">
        <v>1061</v>
      </c>
      <c r="AB251" s="474" t="s">
        <v>539</v>
      </c>
      <c r="AC251" s="474" t="s">
        <v>539</v>
      </c>
      <c r="AD251" s="473" t="s">
        <v>1062</v>
      </c>
      <c r="AE251" s="474" t="s">
        <v>539</v>
      </c>
      <c r="AF251" s="474" t="s">
        <v>539</v>
      </c>
      <c r="AG251" s="702"/>
      <c r="AH251" s="729"/>
      <c r="AI251" s="698"/>
      <c r="AJ251" s="700"/>
    </row>
    <row r="252" spans="1:36" ht="24" customHeight="1">
      <c r="A252" s="452">
        <v>43</v>
      </c>
      <c r="B252" s="463">
        <v>188</v>
      </c>
      <c r="C252" s="464" t="s">
        <v>337</v>
      </c>
      <c r="D252" s="464"/>
      <c r="E252" s="464" t="s">
        <v>545</v>
      </c>
      <c r="F252" s="464"/>
      <c r="G252" s="464" t="s">
        <v>186</v>
      </c>
      <c r="H252" s="464" t="s">
        <v>1063</v>
      </c>
      <c r="I252" s="466">
        <v>207600</v>
      </c>
      <c r="J252" s="465" t="s">
        <v>537</v>
      </c>
      <c r="K252" s="465" t="s">
        <v>537</v>
      </c>
      <c r="L252" s="466">
        <v>166080</v>
      </c>
      <c r="M252" s="465" t="s">
        <v>537</v>
      </c>
      <c r="N252" s="465" t="s">
        <v>537</v>
      </c>
      <c r="O252" s="463" t="s">
        <v>537</v>
      </c>
      <c r="P252" s="463" t="s">
        <v>537</v>
      </c>
      <c r="Q252" s="468">
        <v>41520</v>
      </c>
      <c r="R252" s="463" t="s">
        <v>552</v>
      </c>
      <c r="S252" s="463" t="s">
        <v>1064</v>
      </c>
      <c r="T252" s="463">
        <v>0</v>
      </c>
      <c r="U252" s="463">
        <v>2</v>
      </c>
      <c r="V252" s="463">
        <v>0</v>
      </c>
      <c r="W252" s="464"/>
      <c r="X252" s="463">
        <v>2</v>
      </c>
      <c r="Y252" s="464"/>
      <c r="Z252" s="463">
        <v>80</v>
      </c>
      <c r="AA252" s="472" t="s">
        <v>1065</v>
      </c>
      <c r="AB252" s="463" t="s">
        <v>539</v>
      </c>
      <c r="AC252" s="463" t="s">
        <v>539</v>
      </c>
      <c r="AD252" s="472" t="s">
        <v>1066</v>
      </c>
      <c r="AE252" s="463">
        <v>80</v>
      </c>
      <c r="AF252" s="463">
        <v>80</v>
      </c>
      <c r="AG252" s="463" t="s">
        <v>375</v>
      </c>
      <c r="AH252" s="476"/>
      <c r="AI252" s="472">
        <v>869949008</v>
      </c>
      <c r="AJ252" s="464"/>
    </row>
    <row r="253" spans="1:36" ht="24" customHeight="1">
      <c r="A253" s="452">
        <v>44</v>
      </c>
      <c r="B253" s="701">
        <v>189</v>
      </c>
      <c r="C253" s="699" t="s">
        <v>337</v>
      </c>
      <c r="D253" s="699"/>
      <c r="E253" s="699" t="s">
        <v>545</v>
      </c>
      <c r="F253" s="699"/>
      <c r="G253" s="699" t="s">
        <v>186</v>
      </c>
      <c r="H253" s="699" t="s">
        <v>1067</v>
      </c>
      <c r="I253" s="712">
        <v>10000</v>
      </c>
      <c r="J253" s="709" t="s">
        <v>537</v>
      </c>
      <c r="K253" s="709" t="s">
        <v>537</v>
      </c>
      <c r="L253" s="712">
        <v>7429.91</v>
      </c>
      <c r="M253" s="709" t="s">
        <v>537</v>
      </c>
      <c r="N253" s="709" t="s">
        <v>537</v>
      </c>
      <c r="O253" s="701" t="s">
        <v>537</v>
      </c>
      <c r="P253" s="701" t="s">
        <v>537</v>
      </c>
      <c r="Q253" s="705">
        <v>2570</v>
      </c>
      <c r="R253" s="707">
        <v>241428</v>
      </c>
      <c r="S253" s="721">
        <v>22297</v>
      </c>
      <c r="T253" s="701">
        <v>0</v>
      </c>
      <c r="U253" s="701">
        <v>4</v>
      </c>
      <c r="V253" s="701">
        <v>0</v>
      </c>
      <c r="W253" s="699"/>
      <c r="X253" s="701">
        <v>4</v>
      </c>
      <c r="Y253" s="701">
        <v>1</v>
      </c>
      <c r="Z253" s="701">
        <v>85</v>
      </c>
      <c r="AA253" s="458" t="s">
        <v>554</v>
      </c>
      <c r="AB253" s="459" t="s">
        <v>539</v>
      </c>
      <c r="AC253" s="459" t="s">
        <v>539</v>
      </c>
      <c r="AD253" s="458" t="s">
        <v>986</v>
      </c>
      <c r="AE253" s="459">
        <v>80</v>
      </c>
      <c r="AF253" s="459" t="s">
        <v>539</v>
      </c>
      <c r="AG253" s="701" t="s">
        <v>375</v>
      </c>
      <c r="AH253" s="728"/>
      <c r="AI253" s="697">
        <v>869949008</v>
      </c>
      <c r="AJ253" s="697" t="s">
        <v>537</v>
      </c>
    </row>
    <row r="254" spans="1:36" ht="24" hidden="1" customHeight="1">
      <c r="B254" s="702"/>
      <c r="C254" s="700"/>
      <c r="D254" s="700"/>
      <c r="E254" s="700"/>
      <c r="F254" s="700"/>
      <c r="G254" s="700"/>
      <c r="H254" s="700"/>
      <c r="I254" s="713"/>
      <c r="J254" s="710"/>
      <c r="K254" s="710"/>
      <c r="L254" s="713"/>
      <c r="M254" s="710"/>
      <c r="N254" s="710"/>
      <c r="O254" s="702"/>
      <c r="P254" s="702"/>
      <c r="Q254" s="706"/>
      <c r="R254" s="708"/>
      <c r="S254" s="722"/>
      <c r="T254" s="702"/>
      <c r="U254" s="702"/>
      <c r="V254" s="702"/>
      <c r="W254" s="700"/>
      <c r="X254" s="702"/>
      <c r="Y254" s="702"/>
      <c r="Z254" s="702"/>
      <c r="AA254" s="473" t="s">
        <v>1068</v>
      </c>
      <c r="AB254" s="474" t="s">
        <v>539</v>
      </c>
      <c r="AC254" s="474" t="s">
        <v>539</v>
      </c>
      <c r="AD254" s="473" t="s">
        <v>1069</v>
      </c>
      <c r="AE254" s="474" t="s">
        <v>539</v>
      </c>
      <c r="AF254" s="474" t="s">
        <v>539</v>
      </c>
      <c r="AG254" s="702"/>
      <c r="AH254" s="729"/>
      <c r="AI254" s="698"/>
      <c r="AJ254" s="698"/>
    </row>
    <row r="255" spans="1:36" ht="24" customHeight="1">
      <c r="A255" s="452">
        <v>45</v>
      </c>
      <c r="B255" s="463">
        <v>190</v>
      </c>
      <c r="C255" s="464" t="s">
        <v>337</v>
      </c>
      <c r="D255" s="464"/>
      <c r="E255" s="464" t="s">
        <v>1070</v>
      </c>
      <c r="F255" s="464"/>
      <c r="G255" s="464" t="s">
        <v>186</v>
      </c>
      <c r="H255" s="464" t="s">
        <v>1071</v>
      </c>
      <c r="I255" s="465" t="s">
        <v>537</v>
      </c>
      <c r="J255" s="465" t="s">
        <v>537</v>
      </c>
      <c r="K255" s="466">
        <v>143000</v>
      </c>
      <c r="L255" s="465" t="s">
        <v>537</v>
      </c>
      <c r="M255" s="465" t="s">
        <v>537</v>
      </c>
      <c r="N255" s="466">
        <v>129170</v>
      </c>
      <c r="O255" s="463" t="s">
        <v>537</v>
      </c>
      <c r="P255" s="463" t="s">
        <v>537</v>
      </c>
      <c r="Q255" s="468">
        <v>13830</v>
      </c>
      <c r="R255" s="463" t="s">
        <v>1072</v>
      </c>
      <c r="S255" s="463" t="s">
        <v>1073</v>
      </c>
      <c r="T255" s="463">
        <v>0</v>
      </c>
      <c r="U255" s="463">
        <v>18</v>
      </c>
      <c r="V255" s="463">
        <v>0</v>
      </c>
      <c r="W255" s="464"/>
      <c r="X255" s="463">
        <v>21</v>
      </c>
      <c r="Y255" s="464"/>
      <c r="Z255" s="463">
        <v>90</v>
      </c>
      <c r="AA255" s="472" t="s">
        <v>1074</v>
      </c>
      <c r="AB255" s="463" t="s">
        <v>539</v>
      </c>
      <c r="AC255" s="463" t="s">
        <v>539</v>
      </c>
      <c r="AD255" s="472" t="s">
        <v>1075</v>
      </c>
      <c r="AE255" s="463">
        <v>80</v>
      </c>
      <c r="AF255" s="463">
        <v>90</v>
      </c>
      <c r="AG255" s="463" t="s">
        <v>375</v>
      </c>
      <c r="AH255" s="476"/>
      <c r="AI255" s="472">
        <v>2040</v>
      </c>
      <c r="AJ255" s="472" t="s">
        <v>543</v>
      </c>
    </row>
    <row r="256" spans="1:36" ht="24" customHeight="1">
      <c r="A256" s="452">
        <v>46</v>
      </c>
      <c r="B256" s="463">
        <v>191</v>
      </c>
      <c r="C256" s="464" t="s">
        <v>337</v>
      </c>
      <c r="D256" s="464"/>
      <c r="E256" s="464" t="s">
        <v>1070</v>
      </c>
      <c r="F256" s="464"/>
      <c r="G256" s="464" t="s">
        <v>186</v>
      </c>
      <c r="H256" s="464" t="s">
        <v>1076</v>
      </c>
      <c r="I256" s="465" t="s">
        <v>537</v>
      </c>
      <c r="J256" s="465" t="s">
        <v>537</v>
      </c>
      <c r="K256" s="466">
        <v>37500</v>
      </c>
      <c r="L256" s="465" t="s">
        <v>537</v>
      </c>
      <c r="M256" s="465" t="s">
        <v>537</v>
      </c>
      <c r="N256" s="466">
        <v>11720</v>
      </c>
      <c r="O256" s="463" t="s">
        <v>537</v>
      </c>
      <c r="P256" s="463" t="s">
        <v>537</v>
      </c>
      <c r="Q256" s="468">
        <v>25780</v>
      </c>
      <c r="R256" s="470">
        <v>241487</v>
      </c>
      <c r="S256" s="471">
        <v>22371</v>
      </c>
      <c r="T256" s="463">
        <v>2</v>
      </c>
      <c r="U256" s="463">
        <v>3</v>
      </c>
      <c r="V256" s="463">
        <v>10</v>
      </c>
      <c r="W256" s="463">
        <v>5</v>
      </c>
      <c r="X256" s="463">
        <v>6</v>
      </c>
      <c r="Y256" s="463">
        <v>16</v>
      </c>
      <c r="Z256" s="463">
        <v>94.87</v>
      </c>
      <c r="AA256" s="472" t="s">
        <v>1077</v>
      </c>
      <c r="AB256" s="463">
        <v>80</v>
      </c>
      <c r="AC256" s="463">
        <v>94.87</v>
      </c>
      <c r="AD256" s="472" t="s">
        <v>571</v>
      </c>
      <c r="AE256" s="463">
        <v>80</v>
      </c>
      <c r="AF256" s="463">
        <v>94.87</v>
      </c>
      <c r="AG256" s="463" t="s">
        <v>375</v>
      </c>
      <c r="AH256" s="476"/>
      <c r="AI256" s="472">
        <v>817387898</v>
      </c>
      <c r="AJ256" s="472" t="s">
        <v>543</v>
      </c>
    </row>
    <row r="257" spans="1:36" ht="24" customHeight="1">
      <c r="A257" s="452">
        <v>47</v>
      </c>
      <c r="B257" s="463">
        <v>192</v>
      </c>
      <c r="C257" s="464" t="s">
        <v>337</v>
      </c>
      <c r="D257" s="464"/>
      <c r="E257" s="464" t="s">
        <v>1070</v>
      </c>
      <c r="F257" s="464"/>
      <c r="G257" s="464" t="s">
        <v>186</v>
      </c>
      <c r="H257" s="464" t="s">
        <v>1078</v>
      </c>
      <c r="I257" s="465" t="s">
        <v>537</v>
      </c>
      <c r="J257" s="465" t="s">
        <v>537</v>
      </c>
      <c r="K257" s="466">
        <v>27500</v>
      </c>
      <c r="L257" s="465" t="s">
        <v>537</v>
      </c>
      <c r="M257" s="465" t="s">
        <v>537</v>
      </c>
      <c r="N257" s="466">
        <v>7440</v>
      </c>
      <c r="O257" s="463" t="s">
        <v>537</v>
      </c>
      <c r="P257" s="463" t="s">
        <v>537</v>
      </c>
      <c r="Q257" s="468">
        <v>20060</v>
      </c>
      <c r="R257" s="470">
        <v>241487</v>
      </c>
      <c r="S257" s="463" t="s">
        <v>1079</v>
      </c>
      <c r="T257" s="463">
        <v>2</v>
      </c>
      <c r="U257" s="463">
        <v>3</v>
      </c>
      <c r="V257" s="463">
        <v>10</v>
      </c>
      <c r="W257" s="464"/>
      <c r="X257" s="463">
        <v>8</v>
      </c>
      <c r="Y257" s="463">
        <v>17</v>
      </c>
      <c r="Z257" s="463">
        <v>92.8</v>
      </c>
      <c r="AA257" s="472" t="s">
        <v>1077</v>
      </c>
      <c r="AB257" s="463">
        <v>80</v>
      </c>
      <c r="AC257" s="463" t="s">
        <v>539</v>
      </c>
      <c r="AD257" s="472" t="s">
        <v>571</v>
      </c>
      <c r="AE257" s="463">
        <v>80</v>
      </c>
      <c r="AF257" s="463">
        <v>92.8</v>
      </c>
      <c r="AG257" s="463" t="s">
        <v>375</v>
      </c>
      <c r="AH257" s="476"/>
      <c r="AI257" s="472">
        <v>2040</v>
      </c>
      <c r="AJ257" s="472" t="s">
        <v>543</v>
      </c>
    </row>
    <row r="258" spans="1:36" ht="24" customHeight="1">
      <c r="A258" s="452">
        <v>48</v>
      </c>
      <c r="B258" s="463">
        <v>193</v>
      </c>
      <c r="C258" s="464" t="s">
        <v>337</v>
      </c>
      <c r="D258" s="464"/>
      <c r="E258" s="464" t="s">
        <v>1070</v>
      </c>
      <c r="F258" s="464"/>
      <c r="G258" s="464" t="s">
        <v>186</v>
      </c>
      <c r="H258" s="464" t="s">
        <v>1080</v>
      </c>
      <c r="I258" s="465" t="s">
        <v>537</v>
      </c>
      <c r="J258" s="465" t="s">
        <v>537</v>
      </c>
      <c r="K258" s="466">
        <v>27500</v>
      </c>
      <c r="L258" s="465" t="s">
        <v>537</v>
      </c>
      <c r="M258" s="465" t="s">
        <v>537</v>
      </c>
      <c r="N258" s="466">
        <v>4420</v>
      </c>
      <c r="O258" s="463" t="s">
        <v>537</v>
      </c>
      <c r="P258" s="463" t="s">
        <v>537</v>
      </c>
      <c r="Q258" s="468">
        <v>23080</v>
      </c>
      <c r="R258" s="470">
        <v>241518</v>
      </c>
      <c r="S258" s="463" t="s">
        <v>854</v>
      </c>
      <c r="T258" s="463">
        <v>2</v>
      </c>
      <c r="U258" s="463">
        <v>3</v>
      </c>
      <c r="V258" s="463">
        <v>10</v>
      </c>
      <c r="W258" s="464"/>
      <c r="X258" s="463">
        <v>3</v>
      </c>
      <c r="Y258" s="463">
        <v>14</v>
      </c>
      <c r="Z258" s="463">
        <v>98.86</v>
      </c>
      <c r="AA258" s="472" t="s">
        <v>1077</v>
      </c>
      <c r="AB258" s="463">
        <v>80</v>
      </c>
      <c r="AC258" s="463" t="s">
        <v>539</v>
      </c>
      <c r="AD258" s="472" t="s">
        <v>571</v>
      </c>
      <c r="AE258" s="463">
        <v>80</v>
      </c>
      <c r="AF258" s="463">
        <v>98.86</v>
      </c>
      <c r="AG258" s="463" t="s">
        <v>375</v>
      </c>
      <c r="AH258" s="476"/>
      <c r="AI258" s="472">
        <v>817387898</v>
      </c>
      <c r="AJ258" s="472" t="s">
        <v>543</v>
      </c>
    </row>
    <row r="259" spans="1:36" ht="24" customHeight="1">
      <c r="A259" s="452">
        <v>49</v>
      </c>
      <c r="B259" s="463">
        <v>194</v>
      </c>
      <c r="C259" s="464" t="s">
        <v>337</v>
      </c>
      <c r="D259" s="464"/>
      <c r="E259" s="464" t="s">
        <v>1070</v>
      </c>
      <c r="F259" s="464"/>
      <c r="G259" s="464" t="s">
        <v>186</v>
      </c>
      <c r="H259" s="464" t="s">
        <v>1081</v>
      </c>
      <c r="I259" s="465" t="s">
        <v>537</v>
      </c>
      <c r="J259" s="465" t="s">
        <v>537</v>
      </c>
      <c r="K259" s="466">
        <v>27500</v>
      </c>
      <c r="L259" s="465" t="s">
        <v>537</v>
      </c>
      <c r="M259" s="465" t="s">
        <v>537</v>
      </c>
      <c r="N259" s="466">
        <v>5460</v>
      </c>
      <c r="O259" s="463" t="s">
        <v>537</v>
      </c>
      <c r="P259" s="463" t="s">
        <v>537</v>
      </c>
      <c r="Q259" s="468">
        <v>22040</v>
      </c>
      <c r="R259" s="470">
        <v>241579</v>
      </c>
      <c r="S259" s="471">
        <v>22435</v>
      </c>
      <c r="T259" s="463">
        <v>2</v>
      </c>
      <c r="U259" s="463">
        <v>3</v>
      </c>
      <c r="V259" s="463">
        <v>10</v>
      </c>
      <c r="W259" s="464"/>
      <c r="X259" s="463">
        <v>6</v>
      </c>
      <c r="Y259" s="463">
        <v>15</v>
      </c>
      <c r="Z259" s="463">
        <v>89.82</v>
      </c>
      <c r="AA259" s="472" t="s">
        <v>1077</v>
      </c>
      <c r="AB259" s="463">
        <v>80</v>
      </c>
      <c r="AC259" s="463" t="s">
        <v>539</v>
      </c>
      <c r="AD259" s="472" t="s">
        <v>571</v>
      </c>
      <c r="AE259" s="463">
        <v>80</v>
      </c>
      <c r="AF259" s="463">
        <v>89.82</v>
      </c>
      <c r="AG259" s="463" t="s">
        <v>375</v>
      </c>
      <c r="AH259" s="476"/>
      <c r="AI259" s="472">
        <v>2040</v>
      </c>
      <c r="AJ259" s="472" t="s">
        <v>543</v>
      </c>
    </row>
    <row r="260" spans="1:36" ht="24" customHeight="1">
      <c r="A260" s="452">
        <v>50</v>
      </c>
      <c r="B260" s="463">
        <v>195</v>
      </c>
      <c r="C260" s="464" t="s">
        <v>337</v>
      </c>
      <c r="D260" s="464"/>
      <c r="E260" s="464" t="s">
        <v>1070</v>
      </c>
      <c r="F260" s="464"/>
      <c r="G260" s="464" t="s">
        <v>186</v>
      </c>
      <c r="H260" s="464" t="s">
        <v>1082</v>
      </c>
      <c r="I260" s="465" t="s">
        <v>537</v>
      </c>
      <c r="J260" s="465" t="s">
        <v>537</v>
      </c>
      <c r="K260" s="466">
        <v>27500</v>
      </c>
      <c r="L260" s="465" t="s">
        <v>537</v>
      </c>
      <c r="M260" s="465" t="s">
        <v>537</v>
      </c>
      <c r="N260" s="466">
        <v>18550</v>
      </c>
      <c r="O260" s="463" t="s">
        <v>537</v>
      </c>
      <c r="P260" s="463" t="s">
        <v>537</v>
      </c>
      <c r="Q260" s="468">
        <v>8950</v>
      </c>
      <c r="R260" s="470">
        <v>241579</v>
      </c>
      <c r="S260" s="471">
        <v>22442</v>
      </c>
      <c r="T260" s="463">
        <v>2</v>
      </c>
      <c r="U260" s="463">
        <v>3</v>
      </c>
      <c r="V260" s="463">
        <v>10</v>
      </c>
      <c r="W260" s="464"/>
      <c r="X260" s="463">
        <v>6</v>
      </c>
      <c r="Y260" s="463">
        <v>11</v>
      </c>
      <c r="Z260" s="463">
        <v>87.35</v>
      </c>
      <c r="AA260" s="472" t="s">
        <v>1077</v>
      </c>
      <c r="AB260" s="463">
        <v>80</v>
      </c>
      <c r="AC260" s="463" t="s">
        <v>539</v>
      </c>
      <c r="AD260" s="472" t="s">
        <v>571</v>
      </c>
      <c r="AE260" s="463">
        <v>80</v>
      </c>
      <c r="AF260" s="463">
        <v>87.35</v>
      </c>
      <c r="AG260" s="463" t="s">
        <v>375</v>
      </c>
      <c r="AH260" s="476"/>
      <c r="AI260" s="472">
        <v>2040</v>
      </c>
      <c r="AJ260" s="472" t="s">
        <v>543</v>
      </c>
    </row>
    <row r="261" spans="1:36" ht="24" customHeight="1">
      <c r="A261" s="452">
        <v>51</v>
      </c>
      <c r="B261" s="463">
        <v>196</v>
      </c>
      <c r="C261" s="464" t="s">
        <v>337</v>
      </c>
      <c r="D261" s="464"/>
      <c r="E261" s="464" t="s">
        <v>1070</v>
      </c>
      <c r="F261" s="464"/>
      <c r="G261" s="464" t="s">
        <v>186</v>
      </c>
      <c r="H261" s="464" t="s">
        <v>1083</v>
      </c>
      <c r="I261" s="465" t="s">
        <v>537</v>
      </c>
      <c r="J261" s="465" t="s">
        <v>537</v>
      </c>
      <c r="K261" s="466">
        <v>27500</v>
      </c>
      <c r="L261" s="465" t="s">
        <v>537</v>
      </c>
      <c r="M261" s="465" t="s">
        <v>537</v>
      </c>
      <c r="N261" s="466">
        <v>9830</v>
      </c>
      <c r="O261" s="463" t="s">
        <v>537</v>
      </c>
      <c r="P261" s="463" t="s">
        <v>537</v>
      </c>
      <c r="Q261" s="468">
        <v>17670</v>
      </c>
      <c r="R261" s="470">
        <v>241579</v>
      </c>
      <c r="S261" s="471">
        <v>22449</v>
      </c>
      <c r="T261" s="463">
        <v>2</v>
      </c>
      <c r="U261" s="463">
        <v>3</v>
      </c>
      <c r="V261" s="463">
        <v>10</v>
      </c>
      <c r="W261" s="463">
        <v>0</v>
      </c>
      <c r="X261" s="463">
        <v>4</v>
      </c>
      <c r="Y261" s="463">
        <v>18</v>
      </c>
      <c r="Z261" s="463">
        <v>89.76</v>
      </c>
      <c r="AA261" s="472" t="s">
        <v>1077</v>
      </c>
      <c r="AB261" s="463">
        <v>80</v>
      </c>
      <c r="AC261" s="463" t="s">
        <v>539</v>
      </c>
      <c r="AD261" s="472" t="s">
        <v>571</v>
      </c>
      <c r="AE261" s="463">
        <v>80</v>
      </c>
      <c r="AF261" s="463">
        <v>89.76</v>
      </c>
      <c r="AG261" s="463" t="s">
        <v>375</v>
      </c>
      <c r="AH261" s="476"/>
      <c r="AI261" s="472">
        <v>2040</v>
      </c>
      <c r="AJ261" s="472" t="s">
        <v>543</v>
      </c>
    </row>
    <row r="262" spans="1:36" ht="24" customHeight="1">
      <c r="A262" s="452">
        <v>52</v>
      </c>
      <c r="B262" s="463">
        <v>197</v>
      </c>
      <c r="C262" s="464" t="s">
        <v>337</v>
      </c>
      <c r="D262" s="464"/>
      <c r="E262" s="464" t="s">
        <v>1070</v>
      </c>
      <c r="F262" s="464"/>
      <c r="G262" s="464" t="s">
        <v>186</v>
      </c>
      <c r="H262" s="464" t="s">
        <v>1084</v>
      </c>
      <c r="I262" s="465" t="s">
        <v>537</v>
      </c>
      <c r="J262" s="465" t="s">
        <v>537</v>
      </c>
      <c r="K262" s="466">
        <v>27500</v>
      </c>
      <c r="L262" s="465" t="s">
        <v>537</v>
      </c>
      <c r="M262" s="465" t="s">
        <v>537</v>
      </c>
      <c r="N262" s="466">
        <v>20750</v>
      </c>
      <c r="O262" s="463" t="s">
        <v>537</v>
      </c>
      <c r="P262" s="463" t="s">
        <v>537</v>
      </c>
      <c r="Q262" s="468">
        <v>6750</v>
      </c>
      <c r="R262" s="470">
        <v>241579</v>
      </c>
      <c r="S262" s="471">
        <v>22462</v>
      </c>
      <c r="T262" s="463">
        <v>2</v>
      </c>
      <c r="U262" s="463">
        <v>3</v>
      </c>
      <c r="V262" s="463">
        <v>10</v>
      </c>
      <c r="W262" s="464"/>
      <c r="X262" s="463">
        <v>3</v>
      </c>
      <c r="Y262" s="463">
        <v>19</v>
      </c>
      <c r="Z262" s="464"/>
      <c r="AA262" s="472" t="s">
        <v>1077</v>
      </c>
      <c r="AB262" s="463">
        <v>80</v>
      </c>
      <c r="AC262" s="463">
        <v>97.17</v>
      </c>
      <c r="AD262" s="472" t="s">
        <v>571</v>
      </c>
      <c r="AE262" s="463">
        <v>80</v>
      </c>
      <c r="AF262" s="463">
        <v>97.17</v>
      </c>
      <c r="AG262" s="463" t="s">
        <v>375</v>
      </c>
      <c r="AH262" s="476"/>
      <c r="AI262" s="472">
        <v>2040</v>
      </c>
      <c r="AJ262" s="472" t="s">
        <v>543</v>
      </c>
    </row>
    <row r="263" spans="1:36" ht="24" customHeight="1">
      <c r="A263" s="452">
        <v>53</v>
      </c>
      <c r="B263" s="463">
        <v>198</v>
      </c>
      <c r="C263" s="464" t="s">
        <v>337</v>
      </c>
      <c r="D263" s="464"/>
      <c r="E263" s="464" t="s">
        <v>1070</v>
      </c>
      <c r="F263" s="464"/>
      <c r="G263" s="464" t="s">
        <v>186</v>
      </c>
      <c r="H263" s="464" t="s">
        <v>1085</v>
      </c>
      <c r="I263" s="465" t="s">
        <v>537</v>
      </c>
      <c r="J263" s="465" t="s">
        <v>537</v>
      </c>
      <c r="K263" s="466">
        <v>27500</v>
      </c>
      <c r="L263" s="465" t="s">
        <v>537</v>
      </c>
      <c r="M263" s="465" t="s">
        <v>537</v>
      </c>
      <c r="N263" s="466">
        <v>9620</v>
      </c>
      <c r="O263" s="463" t="s">
        <v>537</v>
      </c>
      <c r="P263" s="463" t="s">
        <v>537</v>
      </c>
      <c r="Q263" s="468">
        <v>17880</v>
      </c>
      <c r="R263" s="470">
        <v>241640</v>
      </c>
      <c r="S263" s="471">
        <v>22497</v>
      </c>
      <c r="T263" s="463">
        <v>2</v>
      </c>
      <c r="U263" s="463">
        <v>3</v>
      </c>
      <c r="V263" s="463">
        <v>10</v>
      </c>
      <c r="W263" s="464"/>
      <c r="X263" s="463">
        <v>3</v>
      </c>
      <c r="Y263" s="463">
        <v>8</v>
      </c>
      <c r="Z263" s="464"/>
      <c r="AA263" s="472" t="s">
        <v>1077</v>
      </c>
      <c r="AB263" s="463">
        <v>80</v>
      </c>
      <c r="AC263" s="463">
        <v>97.32</v>
      </c>
      <c r="AD263" s="472" t="s">
        <v>571</v>
      </c>
      <c r="AE263" s="463">
        <v>80</v>
      </c>
      <c r="AF263" s="463">
        <v>97.32</v>
      </c>
      <c r="AG263" s="463" t="s">
        <v>375</v>
      </c>
      <c r="AH263" s="476"/>
      <c r="AI263" s="472">
        <v>2040</v>
      </c>
      <c r="AJ263" s="472" t="s">
        <v>543</v>
      </c>
    </row>
    <row r="264" spans="1:36" ht="24" customHeight="1">
      <c r="A264" s="452">
        <v>54</v>
      </c>
      <c r="B264" s="463">
        <v>199</v>
      </c>
      <c r="C264" s="464" t="s">
        <v>337</v>
      </c>
      <c r="D264" s="464"/>
      <c r="E264" s="464" t="s">
        <v>1070</v>
      </c>
      <c r="F264" s="464"/>
      <c r="G264" s="464" t="s">
        <v>186</v>
      </c>
      <c r="H264" s="464" t="s">
        <v>1086</v>
      </c>
      <c r="I264" s="465" t="s">
        <v>537</v>
      </c>
      <c r="J264" s="465" t="s">
        <v>537</v>
      </c>
      <c r="K264" s="466">
        <v>27500</v>
      </c>
      <c r="L264" s="465" t="s">
        <v>537</v>
      </c>
      <c r="M264" s="465" t="s">
        <v>537</v>
      </c>
      <c r="N264" s="466">
        <v>25850</v>
      </c>
      <c r="O264" s="463" t="s">
        <v>537</v>
      </c>
      <c r="P264" s="463" t="s">
        <v>537</v>
      </c>
      <c r="Q264" s="468">
        <v>1650</v>
      </c>
      <c r="R264" s="470">
        <v>241640</v>
      </c>
      <c r="S264" s="471">
        <v>22511</v>
      </c>
      <c r="T264" s="463">
        <v>2</v>
      </c>
      <c r="U264" s="463">
        <v>3</v>
      </c>
      <c r="V264" s="463">
        <v>10</v>
      </c>
      <c r="W264" s="463">
        <v>0</v>
      </c>
      <c r="X264" s="463">
        <v>4</v>
      </c>
      <c r="Y264" s="463">
        <v>25</v>
      </c>
      <c r="Z264" s="463">
        <v>0</v>
      </c>
      <c r="AA264" s="472" t="s">
        <v>1077</v>
      </c>
      <c r="AB264" s="463">
        <v>80</v>
      </c>
      <c r="AC264" s="463">
        <v>93.42</v>
      </c>
      <c r="AD264" s="472" t="s">
        <v>571</v>
      </c>
      <c r="AE264" s="463">
        <v>80</v>
      </c>
      <c r="AF264" s="463">
        <v>93.42</v>
      </c>
      <c r="AG264" s="463" t="s">
        <v>375</v>
      </c>
      <c r="AH264" s="476"/>
      <c r="AI264" s="472">
        <v>2040</v>
      </c>
      <c r="AJ264" s="472" t="s">
        <v>543</v>
      </c>
    </row>
    <row r="265" spans="1:36" ht="24" customHeight="1">
      <c r="A265" s="452">
        <v>55</v>
      </c>
      <c r="B265" s="463">
        <v>200</v>
      </c>
      <c r="C265" s="464" t="s">
        <v>337</v>
      </c>
      <c r="D265" s="464"/>
      <c r="E265" s="464" t="s">
        <v>1070</v>
      </c>
      <c r="F265" s="464"/>
      <c r="G265" s="464" t="s">
        <v>186</v>
      </c>
      <c r="H265" s="464" t="s">
        <v>1087</v>
      </c>
      <c r="I265" s="465" t="s">
        <v>537</v>
      </c>
      <c r="J265" s="465" t="s">
        <v>537</v>
      </c>
      <c r="K265" s="466">
        <v>27500</v>
      </c>
      <c r="L265" s="465" t="s">
        <v>537</v>
      </c>
      <c r="M265" s="465" t="s">
        <v>537</v>
      </c>
      <c r="N265" s="466">
        <v>21968.5</v>
      </c>
      <c r="O265" s="463" t="s">
        <v>537</v>
      </c>
      <c r="P265" s="463" t="s">
        <v>537</v>
      </c>
      <c r="Q265" s="468">
        <v>5532</v>
      </c>
      <c r="R265" s="470">
        <v>241640</v>
      </c>
      <c r="S265" s="471">
        <v>22518</v>
      </c>
      <c r="T265" s="463">
        <v>2</v>
      </c>
      <c r="U265" s="463">
        <v>3</v>
      </c>
      <c r="V265" s="463">
        <v>10</v>
      </c>
      <c r="W265" s="463">
        <v>0</v>
      </c>
      <c r="X265" s="463">
        <v>6</v>
      </c>
      <c r="Y265" s="463">
        <v>16</v>
      </c>
      <c r="Z265" s="464"/>
      <c r="AA265" s="472" t="s">
        <v>1077</v>
      </c>
      <c r="AB265" s="463">
        <v>80</v>
      </c>
      <c r="AC265" s="463">
        <v>89.71</v>
      </c>
      <c r="AD265" s="472" t="s">
        <v>571</v>
      </c>
      <c r="AE265" s="463">
        <v>80</v>
      </c>
      <c r="AF265" s="463">
        <v>89.71</v>
      </c>
      <c r="AG265" s="463" t="s">
        <v>375</v>
      </c>
      <c r="AH265" s="476"/>
      <c r="AI265" s="472">
        <v>2040</v>
      </c>
      <c r="AJ265" s="472" t="s">
        <v>543</v>
      </c>
    </row>
    <row r="266" spans="1:36" ht="24" customHeight="1">
      <c r="A266" s="452">
        <v>56</v>
      </c>
      <c r="B266" s="463">
        <v>201</v>
      </c>
      <c r="C266" s="464" t="s">
        <v>337</v>
      </c>
      <c r="D266" s="464"/>
      <c r="E266" s="464" t="s">
        <v>1070</v>
      </c>
      <c r="F266" s="464"/>
      <c r="G266" s="464" t="s">
        <v>186</v>
      </c>
      <c r="H266" s="464" t="s">
        <v>1088</v>
      </c>
      <c r="I266" s="465" t="s">
        <v>537</v>
      </c>
      <c r="J266" s="465" t="s">
        <v>537</v>
      </c>
      <c r="K266" s="466">
        <v>27500</v>
      </c>
      <c r="L266" s="465" t="s">
        <v>537</v>
      </c>
      <c r="M266" s="465" t="s">
        <v>537</v>
      </c>
      <c r="N266" s="466">
        <v>21370</v>
      </c>
      <c r="O266" s="463" t="s">
        <v>537</v>
      </c>
      <c r="P266" s="463" t="s">
        <v>537</v>
      </c>
      <c r="Q266" s="468">
        <v>6130</v>
      </c>
      <c r="R266" s="470">
        <v>241640</v>
      </c>
      <c r="S266" s="471">
        <v>22519</v>
      </c>
      <c r="T266" s="463">
        <v>2</v>
      </c>
      <c r="U266" s="463">
        <v>3</v>
      </c>
      <c r="V266" s="463">
        <v>10</v>
      </c>
      <c r="W266" s="463">
        <v>0</v>
      </c>
      <c r="X266" s="463">
        <v>6</v>
      </c>
      <c r="Y266" s="463">
        <v>12</v>
      </c>
      <c r="Z266" s="463">
        <v>98.85</v>
      </c>
      <c r="AA266" s="472" t="s">
        <v>1077</v>
      </c>
      <c r="AB266" s="463">
        <v>80</v>
      </c>
      <c r="AC266" s="463">
        <v>98.85</v>
      </c>
      <c r="AD266" s="472" t="s">
        <v>571</v>
      </c>
      <c r="AE266" s="463">
        <v>80</v>
      </c>
      <c r="AF266" s="463">
        <v>98.85</v>
      </c>
      <c r="AG266" s="463" t="s">
        <v>375</v>
      </c>
      <c r="AH266" s="476"/>
      <c r="AI266" s="472">
        <v>2040</v>
      </c>
      <c r="AJ266" s="472" t="s">
        <v>543</v>
      </c>
    </row>
    <row r="267" spans="1:36" ht="24" customHeight="1">
      <c r="A267" s="452">
        <v>57</v>
      </c>
      <c r="B267" s="463">
        <v>202</v>
      </c>
      <c r="C267" s="464" t="s">
        <v>337</v>
      </c>
      <c r="D267" s="464"/>
      <c r="E267" s="464" t="s">
        <v>1070</v>
      </c>
      <c r="F267" s="464"/>
      <c r="G267" s="464" t="s">
        <v>186</v>
      </c>
      <c r="H267" s="464" t="s">
        <v>1089</v>
      </c>
      <c r="I267" s="465" t="s">
        <v>537</v>
      </c>
      <c r="J267" s="465" t="s">
        <v>537</v>
      </c>
      <c r="K267" s="466">
        <v>27500</v>
      </c>
      <c r="L267" s="465" t="s">
        <v>537</v>
      </c>
      <c r="M267" s="465" t="s">
        <v>537</v>
      </c>
      <c r="N267" s="466">
        <v>22630</v>
      </c>
      <c r="O267" s="463" t="s">
        <v>537</v>
      </c>
      <c r="P267" s="463" t="s">
        <v>537</v>
      </c>
      <c r="Q267" s="468">
        <v>4870</v>
      </c>
      <c r="R267" s="470">
        <v>241671</v>
      </c>
      <c r="S267" s="471">
        <v>22525</v>
      </c>
      <c r="T267" s="463">
        <v>2</v>
      </c>
      <c r="U267" s="463">
        <v>3</v>
      </c>
      <c r="V267" s="463">
        <v>10</v>
      </c>
      <c r="W267" s="463">
        <v>3</v>
      </c>
      <c r="X267" s="463">
        <v>5</v>
      </c>
      <c r="Y267" s="463">
        <v>15</v>
      </c>
      <c r="Z267" s="463">
        <v>96.44</v>
      </c>
      <c r="AA267" s="472" t="s">
        <v>1077</v>
      </c>
      <c r="AB267" s="463">
        <v>80</v>
      </c>
      <c r="AC267" s="463">
        <v>96.44</v>
      </c>
      <c r="AD267" s="472" t="s">
        <v>571</v>
      </c>
      <c r="AE267" s="463">
        <v>80</v>
      </c>
      <c r="AF267" s="463">
        <v>96.44</v>
      </c>
      <c r="AG267" s="463" t="s">
        <v>375</v>
      </c>
      <c r="AH267" s="476"/>
      <c r="AI267" s="472">
        <v>2040</v>
      </c>
      <c r="AJ267" s="472" t="s">
        <v>543</v>
      </c>
    </row>
    <row r="268" spans="1:36" ht="24" customHeight="1">
      <c r="A268" s="452">
        <v>58</v>
      </c>
      <c r="B268" s="463">
        <v>203</v>
      </c>
      <c r="C268" s="464" t="s">
        <v>337</v>
      </c>
      <c r="D268" s="464"/>
      <c r="E268" s="464" t="s">
        <v>1070</v>
      </c>
      <c r="F268" s="464"/>
      <c r="G268" s="464" t="s">
        <v>186</v>
      </c>
      <c r="H268" s="464" t="s">
        <v>1090</v>
      </c>
      <c r="I268" s="465" t="s">
        <v>537</v>
      </c>
      <c r="J268" s="465" t="s">
        <v>537</v>
      </c>
      <c r="K268" s="466">
        <v>27500</v>
      </c>
      <c r="L268" s="465" t="s">
        <v>537</v>
      </c>
      <c r="M268" s="465" t="s">
        <v>537</v>
      </c>
      <c r="N268" s="466">
        <v>17180</v>
      </c>
      <c r="O268" s="463" t="s">
        <v>537</v>
      </c>
      <c r="P268" s="463" t="s">
        <v>537</v>
      </c>
      <c r="Q268" s="468">
        <v>10320</v>
      </c>
      <c r="R268" s="470">
        <v>241671</v>
      </c>
      <c r="S268" s="471">
        <v>22532</v>
      </c>
      <c r="T268" s="463">
        <v>2</v>
      </c>
      <c r="U268" s="463">
        <v>3</v>
      </c>
      <c r="V268" s="463">
        <v>10</v>
      </c>
      <c r="W268" s="463">
        <v>3</v>
      </c>
      <c r="X268" s="463">
        <v>6</v>
      </c>
      <c r="Y268" s="463">
        <v>17</v>
      </c>
      <c r="Z268" s="463">
        <v>97.23</v>
      </c>
      <c r="AA268" s="472" t="s">
        <v>1077</v>
      </c>
      <c r="AB268" s="463">
        <v>80</v>
      </c>
      <c r="AC268" s="463">
        <v>97.23</v>
      </c>
      <c r="AD268" s="472" t="s">
        <v>571</v>
      </c>
      <c r="AE268" s="463">
        <v>80</v>
      </c>
      <c r="AF268" s="463">
        <v>97.23</v>
      </c>
      <c r="AG268" s="463" t="s">
        <v>375</v>
      </c>
      <c r="AH268" s="476"/>
      <c r="AI268" s="472">
        <v>2040</v>
      </c>
      <c r="AJ268" s="472" t="s">
        <v>543</v>
      </c>
    </row>
    <row r="269" spans="1:36" ht="24" customHeight="1">
      <c r="A269" s="452">
        <v>59</v>
      </c>
      <c r="B269" s="463">
        <v>204</v>
      </c>
      <c r="C269" s="464" t="s">
        <v>337</v>
      </c>
      <c r="D269" s="464"/>
      <c r="E269" s="464" t="s">
        <v>1070</v>
      </c>
      <c r="F269" s="464"/>
      <c r="G269" s="464" t="s">
        <v>186</v>
      </c>
      <c r="H269" s="464" t="s">
        <v>1091</v>
      </c>
      <c r="I269" s="465" t="s">
        <v>537</v>
      </c>
      <c r="J269" s="465" t="s">
        <v>537</v>
      </c>
      <c r="K269" s="466">
        <v>27500</v>
      </c>
      <c r="L269" s="465" t="s">
        <v>537</v>
      </c>
      <c r="M269" s="465" t="s">
        <v>537</v>
      </c>
      <c r="N269" s="466">
        <v>26290</v>
      </c>
      <c r="O269" s="463" t="s">
        <v>537</v>
      </c>
      <c r="P269" s="463" t="s">
        <v>537</v>
      </c>
      <c r="Q269" s="468">
        <v>1210</v>
      </c>
      <c r="R269" s="470">
        <v>241671</v>
      </c>
      <c r="S269" s="471">
        <v>22526</v>
      </c>
      <c r="T269" s="463">
        <v>2</v>
      </c>
      <c r="U269" s="463">
        <v>3</v>
      </c>
      <c r="V269" s="463">
        <v>10</v>
      </c>
      <c r="W269" s="463">
        <v>3</v>
      </c>
      <c r="X269" s="463">
        <v>3</v>
      </c>
      <c r="Y269" s="463">
        <v>9</v>
      </c>
      <c r="Z269" s="463">
        <v>88.22</v>
      </c>
      <c r="AA269" s="472" t="s">
        <v>1077</v>
      </c>
      <c r="AB269" s="463">
        <v>80</v>
      </c>
      <c r="AC269" s="463">
        <v>88.22</v>
      </c>
      <c r="AD269" s="472" t="s">
        <v>571</v>
      </c>
      <c r="AE269" s="463">
        <v>80</v>
      </c>
      <c r="AF269" s="463">
        <v>88.22</v>
      </c>
      <c r="AG269" s="463" t="s">
        <v>375</v>
      </c>
      <c r="AH269" s="476"/>
      <c r="AI269" s="472">
        <v>2040</v>
      </c>
      <c r="AJ269" s="472" t="s">
        <v>543</v>
      </c>
    </row>
    <row r="270" spans="1:36" ht="24" customHeight="1">
      <c r="A270" s="452">
        <v>60</v>
      </c>
      <c r="B270" s="463">
        <v>205</v>
      </c>
      <c r="C270" s="464" t="s">
        <v>337</v>
      </c>
      <c r="D270" s="464"/>
      <c r="E270" s="464" t="s">
        <v>1070</v>
      </c>
      <c r="F270" s="464"/>
      <c r="G270" s="464" t="s">
        <v>186</v>
      </c>
      <c r="H270" s="464" t="s">
        <v>1092</v>
      </c>
      <c r="I270" s="465" t="s">
        <v>537</v>
      </c>
      <c r="J270" s="465" t="s">
        <v>537</v>
      </c>
      <c r="K270" s="466">
        <v>394000</v>
      </c>
      <c r="L270" s="465" t="s">
        <v>537</v>
      </c>
      <c r="M270" s="465" t="s">
        <v>537</v>
      </c>
      <c r="N270" s="466">
        <v>186544</v>
      </c>
      <c r="O270" s="463" t="s">
        <v>537</v>
      </c>
      <c r="P270" s="463" t="s">
        <v>537</v>
      </c>
      <c r="Q270" s="468">
        <v>207456</v>
      </c>
      <c r="R270" s="463" t="s">
        <v>643</v>
      </c>
      <c r="S270" s="463" t="s">
        <v>1093</v>
      </c>
      <c r="T270" s="463">
        <v>0</v>
      </c>
      <c r="U270" s="463">
        <v>20</v>
      </c>
      <c r="V270" s="463">
        <v>0</v>
      </c>
      <c r="W270" s="464"/>
      <c r="X270" s="463">
        <v>11</v>
      </c>
      <c r="Y270" s="464"/>
      <c r="Z270" s="463">
        <v>98.82</v>
      </c>
      <c r="AA270" s="472" t="s">
        <v>1077</v>
      </c>
      <c r="AB270" s="463">
        <v>80</v>
      </c>
      <c r="AC270" s="463" t="s">
        <v>539</v>
      </c>
      <c r="AD270" s="472" t="s">
        <v>571</v>
      </c>
      <c r="AE270" s="463">
        <v>80</v>
      </c>
      <c r="AF270" s="463">
        <v>98.82</v>
      </c>
      <c r="AG270" s="463" t="s">
        <v>375</v>
      </c>
      <c r="AH270" s="476"/>
      <c r="AI270" s="472">
        <v>2040</v>
      </c>
      <c r="AJ270" s="472" t="s">
        <v>543</v>
      </c>
    </row>
    <row r="271" spans="1:36" ht="24" customHeight="1">
      <c r="A271" s="452">
        <v>61</v>
      </c>
      <c r="B271" s="463">
        <v>206</v>
      </c>
      <c r="C271" s="464" t="s">
        <v>337</v>
      </c>
      <c r="D271" s="464"/>
      <c r="E271" s="464" t="s">
        <v>1070</v>
      </c>
      <c r="F271" s="464"/>
      <c r="G271" s="464" t="s">
        <v>186</v>
      </c>
      <c r="H271" s="464" t="s">
        <v>1094</v>
      </c>
      <c r="I271" s="465" t="s">
        <v>537</v>
      </c>
      <c r="J271" s="465" t="s">
        <v>537</v>
      </c>
      <c r="K271" s="466">
        <v>131250</v>
      </c>
      <c r="L271" s="465" t="s">
        <v>537</v>
      </c>
      <c r="M271" s="465" t="s">
        <v>537</v>
      </c>
      <c r="N271" s="466">
        <v>65100</v>
      </c>
      <c r="O271" s="463" t="s">
        <v>537</v>
      </c>
      <c r="P271" s="463" t="s">
        <v>537</v>
      </c>
      <c r="Q271" s="468">
        <v>66150</v>
      </c>
      <c r="R271" s="470">
        <v>241487</v>
      </c>
      <c r="S271" s="471">
        <v>22366</v>
      </c>
      <c r="T271" s="463">
        <v>5</v>
      </c>
      <c r="U271" s="463">
        <v>30</v>
      </c>
      <c r="V271" s="463">
        <v>35</v>
      </c>
      <c r="W271" s="463">
        <v>4</v>
      </c>
      <c r="X271" s="463">
        <v>26</v>
      </c>
      <c r="Y271" s="463">
        <v>5</v>
      </c>
      <c r="Z271" s="464"/>
      <c r="AA271" s="472" t="s">
        <v>1077</v>
      </c>
      <c r="AB271" s="463">
        <v>80</v>
      </c>
      <c r="AC271" s="463" t="s">
        <v>539</v>
      </c>
      <c r="AD271" s="472" t="s">
        <v>571</v>
      </c>
      <c r="AE271" s="463">
        <v>80</v>
      </c>
      <c r="AF271" s="463">
        <v>89.79</v>
      </c>
      <c r="AG271" s="463" t="s">
        <v>375</v>
      </c>
      <c r="AH271" s="476"/>
      <c r="AI271" s="472" t="s">
        <v>1095</v>
      </c>
      <c r="AJ271" s="472" t="s">
        <v>543</v>
      </c>
    </row>
    <row r="272" spans="1:36" ht="24" customHeight="1">
      <c r="A272" s="452">
        <v>62</v>
      </c>
      <c r="B272" s="701">
        <v>207</v>
      </c>
      <c r="C272" s="699" t="s">
        <v>337</v>
      </c>
      <c r="D272" s="699"/>
      <c r="E272" s="699" t="s">
        <v>1070</v>
      </c>
      <c r="F272" s="699"/>
      <c r="G272" s="699" t="s">
        <v>186</v>
      </c>
      <c r="H272" s="699" t="s">
        <v>1096</v>
      </c>
      <c r="I272" s="709" t="s">
        <v>537</v>
      </c>
      <c r="J272" s="709" t="s">
        <v>537</v>
      </c>
      <c r="K272" s="712">
        <v>530440</v>
      </c>
      <c r="L272" s="709" t="s">
        <v>537</v>
      </c>
      <c r="M272" s="709" t="s">
        <v>537</v>
      </c>
      <c r="N272" s="712">
        <v>204560</v>
      </c>
      <c r="O272" s="701" t="s">
        <v>537</v>
      </c>
      <c r="P272" s="701" t="s">
        <v>537</v>
      </c>
      <c r="Q272" s="705">
        <v>325880</v>
      </c>
      <c r="R272" s="707">
        <v>241518</v>
      </c>
      <c r="S272" s="701" t="s">
        <v>1097</v>
      </c>
      <c r="T272" s="701">
        <v>5</v>
      </c>
      <c r="U272" s="701">
        <v>30</v>
      </c>
      <c r="V272" s="701">
        <v>35</v>
      </c>
      <c r="W272" s="701">
        <v>5</v>
      </c>
      <c r="X272" s="701">
        <v>20</v>
      </c>
      <c r="Y272" s="701">
        <v>19</v>
      </c>
      <c r="Z272" s="701">
        <v>92.8</v>
      </c>
      <c r="AA272" s="458" t="s">
        <v>571</v>
      </c>
      <c r="AB272" s="459">
        <v>80</v>
      </c>
      <c r="AC272" s="459" t="s">
        <v>539</v>
      </c>
      <c r="AD272" s="699"/>
      <c r="AE272" s="699"/>
      <c r="AF272" s="699"/>
      <c r="AG272" s="701" t="s">
        <v>376</v>
      </c>
      <c r="AH272" s="728"/>
      <c r="AI272" s="697">
        <v>2040</v>
      </c>
      <c r="AJ272" s="697" t="s">
        <v>543</v>
      </c>
    </row>
    <row r="273" spans="1:36" ht="24" hidden="1" customHeight="1">
      <c r="B273" s="702"/>
      <c r="C273" s="700"/>
      <c r="D273" s="700"/>
      <c r="E273" s="700"/>
      <c r="F273" s="700"/>
      <c r="G273" s="700"/>
      <c r="H273" s="700"/>
      <c r="I273" s="710"/>
      <c r="J273" s="710"/>
      <c r="K273" s="713"/>
      <c r="L273" s="710"/>
      <c r="M273" s="710"/>
      <c r="N273" s="713"/>
      <c r="O273" s="702"/>
      <c r="P273" s="702"/>
      <c r="Q273" s="706"/>
      <c r="R273" s="708"/>
      <c r="S273" s="702"/>
      <c r="T273" s="702"/>
      <c r="U273" s="702"/>
      <c r="V273" s="702"/>
      <c r="W273" s="702"/>
      <c r="X273" s="702"/>
      <c r="Y273" s="702"/>
      <c r="Z273" s="702"/>
      <c r="AA273" s="473" t="s">
        <v>1098</v>
      </c>
      <c r="AB273" s="474">
        <v>80</v>
      </c>
      <c r="AC273" s="474">
        <v>92.8</v>
      </c>
      <c r="AD273" s="700"/>
      <c r="AE273" s="700"/>
      <c r="AF273" s="700"/>
      <c r="AG273" s="702"/>
      <c r="AH273" s="729"/>
      <c r="AI273" s="698"/>
      <c r="AJ273" s="698"/>
    </row>
    <row r="274" spans="1:36" ht="24" customHeight="1">
      <c r="A274" s="452">
        <v>63</v>
      </c>
      <c r="B274" s="463">
        <v>208</v>
      </c>
      <c r="C274" s="464" t="s">
        <v>337</v>
      </c>
      <c r="D274" s="464"/>
      <c r="E274" s="464" t="s">
        <v>1070</v>
      </c>
      <c r="F274" s="464"/>
      <c r="G274" s="464" t="s">
        <v>186</v>
      </c>
      <c r="H274" s="464" t="s">
        <v>1099</v>
      </c>
      <c r="I274" s="465" t="s">
        <v>537</v>
      </c>
      <c r="J274" s="465" t="s">
        <v>537</v>
      </c>
      <c r="K274" s="466">
        <v>243310</v>
      </c>
      <c r="L274" s="465" t="s">
        <v>537</v>
      </c>
      <c r="M274" s="465" t="s">
        <v>537</v>
      </c>
      <c r="N274" s="466">
        <v>63520</v>
      </c>
      <c r="O274" s="463" t="s">
        <v>537</v>
      </c>
      <c r="P274" s="463" t="s">
        <v>537</v>
      </c>
      <c r="Q274" s="468">
        <v>179790</v>
      </c>
      <c r="R274" s="470">
        <v>241609</v>
      </c>
      <c r="S274" s="463" t="s">
        <v>1100</v>
      </c>
      <c r="T274" s="463">
        <v>5</v>
      </c>
      <c r="U274" s="463">
        <v>30</v>
      </c>
      <c r="V274" s="463">
        <v>35</v>
      </c>
      <c r="W274" s="464"/>
      <c r="X274" s="463">
        <v>24</v>
      </c>
      <c r="Y274" s="463">
        <v>12</v>
      </c>
      <c r="Z274" s="463">
        <v>98.12</v>
      </c>
      <c r="AA274" s="472" t="s">
        <v>1077</v>
      </c>
      <c r="AB274" s="463">
        <v>80</v>
      </c>
      <c r="AC274" s="463">
        <v>98.12</v>
      </c>
      <c r="AD274" s="472" t="s">
        <v>571</v>
      </c>
      <c r="AE274" s="463">
        <v>80</v>
      </c>
      <c r="AF274" s="463">
        <v>98.12</v>
      </c>
      <c r="AG274" s="463" t="s">
        <v>375</v>
      </c>
      <c r="AH274" s="476"/>
      <c r="AI274" s="472">
        <v>2040</v>
      </c>
      <c r="AJ274" s="472" t="s">
        <v>543</v>
      </c>
    </row>
    <row r="275" spans="1:36" ht="24" customHeight="1">
      <c r="A275" s="452">
        <v>64</v>
      </c>
      <c r="B275" s="463">
        <v>209</v>
      </c>
      <c r="C275" s="464" t="s">
        <v>337</v>
      </c>
      <c r="D275" s="464"/>
      <c r="E275" s="464" t="s">
        <v>1070</v>
      </c>
      <c r="F275" s="464"/>
      <c r="G275" s="464" t="s">
        <v>186</v>
      </c>
      <c r="H275" s="464" t="s">
        <v>1101</v>
      </c>
      <c r="I275" s="465" t="s">
        <v>537</v>
      </c>
      <c r="J275" s="465" t="s">
        <v>537</v>
      </c>
      <c r="K275" s="466">
        <v>241000</v>
      </c>
      <c r="L275" s="465" t="s">
        <v>537</v>
      </c>
      <c r="M275" s="465" t="s">
        <v>537</v>
      </c>
      <c r="N275" s="466">
        <v>241000</v>
      </c>
      <c r="O275" s="463" t="s">
        <v>537</v>
      </c>
      <c r="P275" s="463" t="s">
        <v>537</v>
      </c>
      <c r="Q275" s="465">
        <v>0</v>
      </c>
      <c r="R275" s="470">
        <v>241671</v>
      </c>
      <c r="S275" s="463" t="s">
        <v>1102</v>
      </c>
      <c r="T275" s="463">
        <v>0</v>
      </c>
      <c r="U275" s="463">
        <v>22</v>
      </c>
      <c r="V275" s="463">
        <v>0</v>
      </c>
      <c r="W275" s="463">
        <v>30</v>
      </c>
      <c r="X275" s="463">
        <v>25</v>
      </c>
      <c r="Y275" s="463">
        <v>0</v>
      </c>
      <c r="Z275" s="463">
        <v>88.87</v>
      </c>
      <c r="AA275" s="472" t="s">
        <v>1103</v>
      </c>
      <c r="AB275" s="463" t="s">
        <v>539</v>
      </c>
      <c r="AC275" s="463" t="s">
        <v>539</v>
      </c>
      <c r="AD275" s="472" t="s">
        <v>1104</v>
      </c>
      <c r="AE275" s="463" t="s">
        <v>539</v>
      </c>
      <c r="AF275" s="463">
        <v>88.87</v>
      </c>
      <c r="AG275" s="463" t="s">
        <v>376</v>
      </c>
      <c r="AH275" s="476"/>
      <c r="AI275" s="472" t="s">
        <v>537</v>
      </c>
      <c r="AJ275" s="472" t="s">
        <v>1105</v>
      </c>
    </row>
    <row r="276" spans="1:36" ht="24" customHeight="1">
      <c r="A276" s="452">
        <v>65</v>
      </c>
      <c r="B276" s="463">
        <v>210</v>
      </c>
      <c r="C276" s="464" t="s">
        <v>337</v>
      </c>
      <c r="D276" s="464"/>
      <c r="E276" s="464" t="s">
        <v>1070</v>
      </c>
      <c r="F276" s="464"/>
      <c r="G276" s="464" t="s">
        <v>186</v>
      </c>
      <c r="H276" s="464" t="s">
        <v>1106</v>
      </c>
      <c r="I276" s="465" t="s">
        <v>537</v>
      </c>
      <c r="J276" s="465" t="s">
        <v>537</v>
      </c>
      <c r="K276" s="466">
        <v>136720</v>
      </c>
      <c r="L276" s="465" t="s">
        <v>537</v>
      </c>
      <c r="M276" s="465" t="s">
        <v>537</v>
      </c>
      <c r="N276" s="466">
        <v>115090</v>
      </c>
      <c r="O276" s="463" t="s">
        <v>537</v>
      </c>
      <c r="P276" s="463" t="s">
        <v>537</v>
      </c>
      <c r="Q276" s="468">
        <v>21630</v>
      </c>
      <c r="R276" s="470">
        <v>241671</v>
      </c>
      <c r="S276" s="463" t="s">
        <v>1107</v>
      </c>
      <c r="T276" s="463">
        <v>30</v>
      </c>
      <c r="U276" s="463">
        <v>60</v>
      </c>
      <c r="V276" s="463">
        <v>6</v>
      </c>
      <c r="W276" s="463">
        <v>30</v>
      </c>
      <c r="X276" s="463">
        <v>29</v>
      </c>
      <c r="Y276" s="463">
        <v>29</v>
      </c>
      <c r="Z276" s="463">
        <v>88.76</v>
      </c>
      <c r="AA276" s="472" t="s">
        <v>547</v>
      </c>
      <c r="AB276" s="463" t="s">
        <v>539</v>
      </c>
      <c r="AC276" s="463" t="s">
        <v>539</v>
      </c>
      <c r="AD276" s="472" t="s">
        <v>1108</v>
      </c>
      <c r="AE276" s="463">
        <v>80</v>
      </c>
      <c r="AF276" s="463">
        <v>88.76</v>
      </c>
      <c r="AG276" s="463" t="s">
        <v>375</v>
      </c>
      <c r="AH276" s="476"/>
      <c r="AI276" s="472" t="s">
        <v>537</v>
      </c>
      <c r="AJ276" s="472" t="s">
        <v>543</v>
      </c>
    </row>
    <row r="277" spans="1:36" ht="24" customHeight="1">
      <c r="A277" s="452">
        <v>66</v>
      </c>
      <c r="B277" s="463">
        <v>211</v>
      </c>
      <c r="C277" s="464" t="s">
        <v>337</v>
      </c>
      <c r="D277" s="464"/>
      <c r="E277" s="464" t="s">
        <v>1070</v>
      </c>
      <c r="F277" s="464"/>
      <c r="G277" s="464" t="s">
        <v>186</v>
      </c>
      <c r="H277" s="464" t="s">
        <v>1109</v>
      </c>
      <c r="I277" s="465" t="s">
        <v>537</v>
      </c>
      <c r="J277" s="465" t="s">
        <v>537</v>
      </c>
      <c r="K277" s="466">
        <v>32300</v>
      </c>
      <c r="L277" s="465" t="s">
        <v>537</v>
      </c>
      <c r="M277" s="465" t="s">
        <v>537</v>
      </c>
      <c r="N277" s="466">
        <v>29343</v>
      </c>
      <c r="O277" s="463" t="s">
        <v>537</v>
      </c>
      <c r="P277" s="463" t="s">
        <v>537</v>
      </c>
      <c r="Q277" s="468">
        <v>2957</v>
      </c>
      <c r="R277" s="470">
        <v>241640</v>
      </c>
      <c r="S277" s="463" t="s">
        <v>1110</v>
      </c>
      <c r="T277" s="463">
        <v>0</v>
      </c>
      <c r="U277" s="463">
        <v>54</v>
      </c>
      <c r="V277" s="463">
        <v>1</v>
      </c>
      <c r="W277" s="463">
        <v>0</v>
      </c>
      <c r="X277" s="463">
        <v>46</v>
      </c>
      <c r="Y277" s="463">
        <v>1</v>
      </c>
      <c r="Z277" s="463">
        <v>97.83</v>
      </c>
      <c r="AA277" s="472" t="s">
        <v>547</v>
      </c>
      <c r="AB277" s="463" t="s">
        <v>539</v>
      </c>
      <c r="AC277" s="463" t="s">
        <v>539</v>
      </c>
      <c r="AD277" s="472" t="s">
        <v>548</v>
      </c>
      <c r="AE277" s="463">
        <v>80</v>
      </c>
      <c r="AF277" s="463">
        <v>97.83</v>
      </c>
      <c r="AG277" s="463" t="s">
        <v>375</v>
      </c>
      <c r="AH277" s="476"/>
      <c r="AI277" s="472" t="s">
        <v>537</v>
      </c>
      <c r="AJ277" s="472" t="s">
        <v>543</v>
      </c>
    </row>
    <row r="278" spans="1:36" ht="24" customHeight="1">
      <c r="A278" s="452">
        <v>67</v>
      </c>
      <c r="B278" s="463">
        <v>212</v>
      </c>
      <c r="C278" s="464" t="s">
        <v>337</v>
      </c>
      <c r="D278" s="464"/>
      <c r="E278" s="464" t="s">
        <v>1070</v>
      </c>
      <c r="F278" s="464"/>
      <c r="G278" s="464" t="s">
        <v>186</v>
      </c>
      <c r="H278" s="464" t="s">
        <v>1111</v>
      </c>
      <c r="I278" s="465" t="s">
        <v>537</v>
      </c>
      <c r="J278" s="465" t="s">
        <v>537</v>
      </c>
      <c r="K278" s="466">
        <v>44400</v>
      </c>
      <c r="L278" s="465" t="s">
        <v>537</v>
      </c>
      <c r="M278" s="465" t="s">
        <v>537</v>
      </c>
      <c r="N278" s="466">
        <v>25760</v>
      </c>
      <c r="O278" s="463" t="s">
        <v>537</v>
      </c>
      <c r="P278" s="463" t="s">
        <v>537</v>
      </c>
      <c r="Q278" s="468">
        <v>18640</v>
      </c>
      <c r="R278" s="470">
        <v>241671</v>
      </c>
      <c r="S278" s="471">
        <v>22531</v>
      </c>
      <c r="T278" s="463">
        <v>30</v>
      </c>
      <c r="U278" s="463">
        <v>26</v>
      </c>
      <c r="V278" s="463">
        <v>4</v>
      </c>
      <c r="W278" s="463">
        <v>30</v>
      </c>
      <c r="X278" s="463">
        <v>22</v>
      </c>
      <c r="Y278" s="463">
        <v>3</v>
      </c>
      <c r="Z278" s="463">
        <v>95.92</v>
      </c>
      <c r="AA278" s="472" t="s">
        <v>1112</v>
      </c>
      <c r="AB278" s="463" t="s">
        <v>539</v>
      </c>
      <c r="AC278" s="463" t="s">
        <v>539</v>
      </c>
      <c r="AD278" s="472" t="s">
        <v>548</v>
      </c>
      <c r="AE278" s="463">
        <v>80</v>
      </c>
      <c r="AF278" s="463">
        <v>95.92</v>
      </c>
      <c r="AG278" s="463" t="s">
        <v>375</v>
      </c>
      <c r="AH278" s="476"/>
      <c r="AI278" s="472" t="s">
        <v>537</v>
      </c>
      <c r="AJ278" s="472" t="s">
        <v>543</v>
      </c>
    </row>
    <row r="279" spans="1:36" ht="24" customHeight="1">
      <c r="A279" s="452">
        <v>68</v>
      </c>
      <c r="B279" s="463">
        <v>213</v>
      </c>
      <c r="C279" s="464" t="s">
        <v>337</v>
      </c>
      <c r="D279" s="464"/>
      <c r="E279" s="464" t="s">
        <v>1070</v>
      </c>
      <c r="F279" s="464"/>
      <c r="G279" s="464" t="s">
        <v>186</v>
      </c>
      <c r="H279" s="464" t="s">
        <v>1113</v>
      </c>
      <c r="I279" s="465" t="s">
        <v>537</v>
      </c>
      <c r="J279" s="465" t="s">
        <v>537</v>
      </c>
      <c r="K279" s="466">
        <v>27200</v>
      </c>
      <c r="L279" s="465" t="s">
        <v>537</v>
      </c>
      <c r="M279" s="465" t="s">
        <v>537</v>
      </c>
      <c r="N279" s="466">
        <v>21620</v>
      </c>
      <c r="O279" s="463" t="s">
        <v>537</v>
      </c>
      <c r="P279" s="463" t="s">
        <v>537</v>
      </c>
      <c r="Q279" s="468">
        <v>5580</v>
      </c>
      <c r="R279" s="470">
        <v>241518</v>
      </c>
      <c r="S279" s="463" t="s">
        <v>1114</v>
      </c>
      <c r="T279" s="463">
        <v>0</v>
      </c>
      <c r="U279" s="463">
        <v>9</v>
      </c>
      <c r="V279" s="463">
        <v>0</v>
      </c>
      <c r="W279" s="464"/>
      <c r="X279" s="463">
        <v>9</v>
      </c>
      <c r="Y279" s="464"/>
      <c r="Z279" s="464"/>
      <c r="AA279" s="472" t="s">
        <v>1115</v>
      </c>
      <c r="AB279" s="463" t="s">
        <v>539</v>
      </c>
      <c r="AC279" s="463" t="s">
        <v>539</v>
      </c>
      <c r="AD279" s="472" t="s">
        <v>1116</v>
      </c>
      <c r="AE279" s="463">
        <v>80</v>
      </c>
      <c r="AF279" s="463">
        <v>100</v>
      </c>
      <c r="AG279" s="463" t="s">
        <v>375</v>
      </c>
      <c r="AH279" s="476"/>
      <c r="AI279" s="472" t="s">
        <v>1027</v>
      </c>
      <c r="AJ279" s="472" t="s">
        <v>543</v>
      </c>
    </row>
    <row r="280" spans="1:36" ht="24" hidden="1" customHeight="1">
      <c r="B280" s="701">
        <v>214</v>
      </c>
      <c r="C280" s="699" t="s">
        <v>534</v>
      </c>
      <c r="D280" s="699"/>
      <c r="E280" s="699" t="s">
        <v>535</v>
      </c>
      <c r="F280" s="699"/>
      <c r="G280" s="699" t="s">
        <v>280</v>
      </c>
      <c r="H280" s="699" t="s">
        <v>1117</v>
      </c>
      <c r="I280" s="712">
        <v>1000000</v>
      </c>
      <c r="J280" s="709" t="s">
        <v>537</v>
      </c>
      <c r="K280" s="709" t="s">
        <v>537</v>
      </c>
      <c r="L280" s="712">
        <v>993874</v>
      </c>
      <c r="M280" s="709" t="s">
        <v>537</v>
      </c>
      <c r="N280" s="709" t="s">
        <v>537</v>
      </c>
      <c r="O280" s="701" t="s">
        <v>537</v>
      </c>
      <c r="P280" s="701" t="s">
        <v>537</v>
      </c>
      <c r="Q280" s="705">
        <v>6126</v>
      </c>
      <c r="R280" s="701" t="s">
        <v>552</v>
      </c>
      <c r="S280" s="701" t="s">
        <v>1118</v>
      </c>
      <c r="T280" s="701">
        <v>0</v>
      </c>
      <c r="U280" s="701">
        <v>0</v>
      </c>
      <c r="V280" s="701">
        <v>20000</v>
      </c>
      <c r="W280" s="701">
        <v>0</v>
      </c>
      <c r="X280" s="701">
        <v>0</v>
      </c>
      <c r="Y280" s="701">
        <v>35000</v>
      </c>
      <c r="Z280" s="701">
        <v>89.3</v>
      </c>
      <c r="AA280" s="697" t="s">
        <v>1119</v>
      </c>
      <c r="AB280" s="701" t="s">
        <v>539</v>
      </c>
      <c r="AC280" s="701" t="s">
        <v>539</v>
      </c>
      <c r="AD280" s="458" t="s">
        <v>1016</v>
      </c>
      <c r="AE280" s="459">
        <v>80</v>
      </c>
      <c r="AF280" s="459">
        <v>89.3</v>
      </c>
      <c r="AG280" s="701" t="s">
        <v>375</v>
      </c>
      <c r="AH280" s="728"/>
      <c r="AI280" s="697">
        <v>950149284</v>
      </c>
      <c r="AJ280" s="699"/>
    </row>
    <row r="281" spans="1:36" ht="24" hidden="1" customHeight="1">
      <c r="B281" s="702"/>
      <c r="C281" s="700"/>
      <c r="D281" s="700"/>
      <c r="E281" s="700"/>
      <c r="F281" s="700"/>
      <c r="G281" s="700"/>
      <c r="H281" s="700"/>
      <c r="I281" s="713"/>
      <c r="J281" s="710"/>
      <c r="K281" s="710"/>
      <c r="L281" s="713"/>
      <c r="M281" s="710"/>
      <c r="N281" s="710"/>
      <c r="O281" s="702"/>
      <c r="P281" s="702"/>
      <c r="Q281" s="706"/>
      <c r="R281" s="702"/>
      <c r="S281" s="702"/>
      <c r="T281" s="702"/>
      <c r="U281" s="702"/>
      <c r="V281" s="702"/>
      <c r="W281" s="702"/>
      <c r="X281" s="702"/>
      <c r="Y281" s="702"/>
      <c r="Z281" s="702"/>
      <c r="AA281" s="698"/>
      <c r="AB281" s="702"/>
      <c r="AC281" s="702"/>
      <c r="AD281" s="473" t="s">
        <v>1120</v>
      </c>
      <c r="AE281" s="474">
        <v>1</v>
      </c>
      <c r="AF281" s="474">
        <v>2</v>
      </c>
      <c r="AG281" s="702"/>
      <c r="AH281" s="729"/>
      <c r="AI281" s="698"/>
      <c r="AJ281" s="700"/>
    </row>
    <row r="282" spans="1:36" ht="24" hidden="1" customHeight="1">
      <c r="B282" s="701">
        <v>215</v>
      </c>
      <c r="C282" s="699" t="s">
        <v>534</v>
      </c>
      <c r="D282" s="699"/>
      <c r="E282" s="699" t="s">
        <v>535</v>
      </c>
      <c r="F282" s="699"/>
      <c r="G282" s="699" t="s">
        <v>280</v>
      </c>
      <c r="H282" s="699" t="s">
        <v>1121</v>
      </c>
      <c r="I282" s="712">
        <v>25000</v>
      </c>
      <c r="J282" s="709" t="s">
        <v>537</v>
      </c>
      <c r="K282" s="709" t="s">
        <v>537</v>
      </c>
      <c r="L282" s="712">
        <v>25000</v>
      </c>
      <c r="M282" s="709" t="s">
        <v>537</v>
      </c>
      <c r="N282" s="709" t="s">
        <v>537</v>
      </c>
      <c r="O282" s="701" t="s">
        <v>537</v>
      </c>
      <c r="P282" s="701" t="s">
        <v>537</v>
      </c>
      <c r="Q282" s="709">
        <v>0</v>
      </c>
      <c r="R282" s="701" t="s">
        <v>643</v>
      </c>
      <c r="S282" s="701" t="s">
        <v>1122</v>
      </c>
      <c r="T282" s="701">
        <v>0</v>
      </c>
      <c r="U282" s="701">
        <v>19</v>
      </c>
      <c r="V282" s="701">
        <v>0</v>
      </c>
      <c r="W282" s="701">
        <v>0</v>
      </c>
      <c r="X282" s="701">
        <v>36</v>
      </c>
      <c r="Y282" s="701">
        <v>0</v>
      </c>
      <c r="Z282" s="701">
        <v>86.27</v>
      </c>
      <c r="AA282" s="458" t="s">
        <v>630</v>
      </c>
      <c r="AB282" s="459" t="s">
        <v>539</v>
      </c>
      <c r="AC282" s="459" t="s">
        <v>539</v>
      </c>
      <c r="AD282" s="458" t="s">
        <v>1075</v>
      </c>
      <c r="AE282" s="459">
        <v>80</v>
      </c>
      <c r="AF282" s="459">
        <v>86</v>
      </c>
      <c r="AG282" s="701" t="s">
        <v>375</v>
      </c>
      <c r="AH282" s="728"/>
      <c r="AI282" s="697">
        <v>936868245</v>
      </c>
      <c r="AJ282" s="699"/>
    </row>
    <row r="283" spans="1:36" ht="24" hidden="1" customHeight="1">
      <c r="B283" s="702"/>
      <c r="C283" s="700"/>
      <c r="D283" s="700"/>
      <c r="E283" s="700"/>
      <c r="F283" s="700"/>
      <c r="G283" s="700"/>
      <c r="H283" s="700"/>
      <c r="I283" s="713"/>
      <c r="J283" s="710"/>
      <c r="K283" s="710"/>
      <c r="L283" s="713"/>
      <c r="M283" s="710"/>
      <c r="N283" s="710"/>
      <c r="O283" s="702"/>
      <c r="P283" s="702"/>
      <c r="Q283" s="710"/>
      <c r="R283" s="702"/>
      <c r="S283" s="702"/>
      <c r="T283" s="702"/>
      <c r="U283" s="702"/>
      <c r="V283" s="702"/>
      <c r="W283" s="702"/>
      <c r="X283" s="702"/>
      <c r="Y283" s="702"/>
      <c r="Z283" s="702"/>
      <c r="AA283" s="473" t="s">
        <v>1123</v>
      </c>
      <c r="AB283" s="474">
        <v>80</v>
      </c>
      <c r="AC283" s="474">
        <v>86</v>
      </c>
      <c r="AD283" s="473" t="s">
        <v>1124</v>
      </c>
      <c r="AE283" s="474">
        <v>80</v>
      </c>
      <c r="AF283" s="474">
        <v>100</v>
      </c>
      <c r="AG283" s="702"/>
      <c r="AH283" s="729"/>
      <c r="AI283" s="698"/>
      <c r="AJ283" s="700"/>
    </row>
    <row r="284" spans="1:36" ht="24" hidden="1" customHeight="1">
      <c r="B284" s="463">
        <v>216</v>
      </c>
      <c r="C284" s="464" t="s">
        <v>377</v>
      </c>
      <c r="D284" s="464"/>
      <c r="E284" s="464" t="s">
        <v>602</v>
      </c>
      <c r="F284" s="464"/>
      <c r="G284" s="464" t="s">
        <v>280</v>
      </c>
      <c r="H284" s="464" t="s">
        <v>1125</v>
      </c>
      <c r="I284" s="466">
        <v>70000</v>
      </c>
      <c r="J284" s="465" t="s">
        <v>537</v>
      </c>
      <c r="K284" s="465" t="s">
        <v>537</v>
      </c>
      <c r="L284" s="466">
        <v>69812</v>
      </c>
      <c r="M284" s="465" t="s">
        <v>537</v>
      </c>
      <c r="N284" s="465" t="s">
        <v>537</v>
      </c>
      <c r="O284" s="463" t="s">
        <v>537</v>
      </c>
      <c r="P284" s="463" t="s">
        <v>537</v>
      </c>
      <c r="Q284" s="465">
        <v>188</v>
      </c>
      <c r="R284" s="463" t="s">
        <v>1126</v>
      </c>
      <c r="S284" s="463" t="s">
        <v>1127</v>
      </c>
      <c r="T284" s="463">
        <v>0</v>
      </c>
      <c r="U284" s="463">
        <v>30</v>
      </c>
      <c r="V284" s="463">
        <v>470</v>
      </c>
      <c r="W284" s="463">
        <v>0</v>
      </c>
      <c r="X284" s="463">
        <v>30</v>
      </c>
      <c r="Y284" s="463">
        <v>470</v>
      </c>
      <c r="Z284" s="463">
        <v>87.33</v>
      </c>
      <c r="AA284" s="472" t="s">
        <v>612</v>
      </c>
      <c r="AB284" s="463" t="s">
        <v>539</v>
      </c>
      <c r="AC284" s="463">
        <v>88</v>
      </c>
      <c r="AD284" s="472" t="s">
        <v>565</v>
      </c>
      <c r="AE284" s="463">
        <v>80</v>
      </c>
      <c r="AF284" s="463">
        <v>87.33</v>
      </c>
      <c r="AG284" s="463" t="s">
        <v>375</v>
      </c>
      <c r="AH284" s="476"/>
      <c r="AI284" s="472">
        <v>979859925</v>
      </c>
      <c r="AJ284" s="464"/>
    </row>
    <row r="285" spans="1:36" ht="24" hidden="1" customHeight="1">
      <c r="B285" s="463">
        <v>217</v>
      </c>
      <c r="C285" s="464" t="s">
        <v>534</v>
      </c>
      <c r="D285" s="464"/>
      <c r="E285" s="464" t="s">
        <v>577</v>
      </c>
      <c r="F285" s="464"/>
      <c r="G285" s="464" t="s">
        <v>280</v>
      </c>
      <c r="H285" s="464" t="s">
        <v>1128</v>
      </c>
      <c r="I285" s="465" t="s">
        <v>537</v>
      </c>
      <c r="J285" s="465" t="s">
        <v>537</v>
      </c>
      <c r="K285" s="466">
        <v>100000</v>
      </c>
      <c r="L285" s="465" t="s">
        <v>537</v>
      </c>
      <c r="M285" s="465" t="s">
        <v>537</v>
      </c>
      <c r="N285" s="466">
        <v>97591</v>
      </c>
      <c r="O285" s="463" t="s">
        <v>537</v>
      </c>
      <c r="P285" s="463" t="s">
        <v>537</v>
      </c>
      <c r="Q285" s="468">
        <v>2409</v>
      </c>
      <c r="R285" s="470">
        <v>241518</v>
      </c>
      <c r="S285" s="463" t="s">
        <v>1129</v>
      </c>
      <c r="T285" s="463">
        <v>0</v>
      </c>
      <c r="U285" s="463">
        <v>0</v>
      </c>
      <c r="V285" s="463">
        <v>0</v>
      </c>
      <c r="W285" s="463">
        <v>0</v>
      </c>
      <c r="X285" s="463">
        <v>0</v>
      </c>
      <c r="Y285" s="463">
        <v>10000</v>
      </c>
      <c r="Z285" s="463">
        <v>86</v>
      </c>
      <c r="AA285" s="472" t="s">
        <v>1130</v>
      </c>
      <c r="AB285" s="463" t="s">
        <v>539</v>
      </c>
      <c r="AC285" s="463" t="s">
        <v>539</v>
      </c>
      <c r="AD285" s="472" t="s">
        <v>1131</v>
      </c>
      <c r="AE285" s="463" t="s">
        <v>539</v>
      </c>
      <c r="AF285" s="463" t="s">
        <v>539</v>
      </c>
      <c r="AG285" s="463" t="s">
        <v>375</v>
      </c>
      <c r="AH285" s="476"/>
      <c r="AI285" s="472">
        <v>806979729</v>
      </c>
      <c r="AJ285" s="472" t="s">
        <v>543</v>
      </c>
    </row>
    <row r="286" spans="1:36" ht="24" customHeight="1">
      <c r="A286" s="452">
        <v>69</v>
      </c>
      <c r="B286" s="463">
        <v>218</v>
      </c>
      <c r="C286" s="464" t="s">
        <v>337</v>
      </c>
      <c r="D286" s="464"/>
      <c r="E286" s="464" t="s">
        <v>545</v>
      </c>
      <c r="F286" s="464"/>
      <c r="G286" s="464" t="s">
        <v>280</v>
      </c>
      <c r="H286" s="464" t="s">
        <v>1132</v>
      </c>
      <c r="I286" s="465" t="s">
        <v>537</v>
      </c>
      <c r="J286" s="465" t="s">
        <v>537</v>
      </c>
      <c r="K286" s="466">
        <v>20000</v>
      </c>
      <c r="L286" s="465" t="s">
        <v>537</v>
      </c>
      <c r="M286" s="465" t="s">
        <v>537</v>
      </c>
      <c r="N286" s="466">
        <v>19970</v>
      </c>
      <c r="O286" s="463" t="s">
        <v>537</v>
      </c>
      <c r="P286" s="463" t="s">
        <v>537</v>
      </c>
      <c r="Q286" s="465">
        <v>30</v>
      </c>
      <c r="R286" s="470">
        <v>241518</v>
      </c>
      <c r="S286" s="471">
        <v>22374</v>
      </c>
      <c r="T286" s="463">
        <v>0</v>
      </c>
      <c r="U286" s="463">
        <v>4</v>
      </c>
      <c r="V286" s="463">
        <v>10</v>
      </c>
      <c r="W286" s="463">
        <v>0</v>
      </c>
      <c r="X286" s="463">
        <v>8</v>
      </c>
      <c r="Y286" s="463">
        <v>10</v>
      </c>
      <c r="Z286" s="463">
        <v>86.43</v>
      </c>
      <c r="AA286" s="472" t="s">
        <v>1133</v>
      </c>
      <c r="AB286" s="463">
        <v>1</v>
      </c>
      <c r="AC286" s="463">
        <v>1</v>
      </c>
      <c r="AD286" s="472" t="s">
        <v>1134</v>
      </c>
      <c r="AE286" s="463">
        <v>10</v>
      </c>
      <c r="AF286" s="463">
        <v>10</v>
      </c>
      <c r="AG286" s="463" t="s">
        <v>375</v>
      </c>
      <c r="AH286" s="476"/>
      <c r="AI286" s="472">
        <v>857932005</v>
      </c>
      <c r="AJ286" s="472" t="s">
        <v>543</v>
      </c>
    </row>
    <row r="287" spans="1:36" ht="24" hidden="1" customHeight="1">
      <c r="B287" s="463">
        <v>219</v>
      </c>
      <c r="C287" s="464" t="s">
        <v>534</v>
      </c>
      <c r="D287" s="464"/>
      <c r="E287" s="464" t="s">
        <v>577</v>
      </c>
      <c r="F287" s="464"/>
      <c r="G287" s="464" t="s">
        <v>272</v>
      </c>
      <c r="H287" s="464" t="s">
        <v>1135</v>
      </c>
      <c r="I287" s="465" t="s">
        <v>537</v>
      </c>
      <c r="J287" s="465" t="s">
        <v>537</v>
      </c>
      <c r="K287" s="466">
        <v>6800</v>
      </c>
      <c r="L287" s="465" t="s">
        <v>537</v>
      </c>
      <c r="M287" s="465" t="s">
        <v>537</v>
      </c>
      <c r="N287" s="466">
        <v>6800</v>
      </c>
      <c r="O287" s="463" t="s">
        <v>537</v>
      </c>
      <c r="P287" s="463" t="s">
        <v>537</v>
      </c>
      <c r="Q287" s="465">
        <v>0</v>
      </c>
      <c r="R287" s="463" t="s">
        <v>552</v>
      </c>
      <c r="S287" s="463" t="s">
        <v>1136</v>
      </c>
      <c r="T287" s="463">
        <v>0</v>
      </c>
      <c r="U287" s="463">
        <v>0</v>
      </c>
      <c r="V287" s="463">
        <v>0</v>
      </c>
      <c r="W287" s="464"/>
      <c r="X287" s="464"/>
      <c r="Y287" s="464"/>
      <c r="Z287" s="463">
        <v>92</v>
      </c>
      <c r="AA287" s="472" t="s">
        <v>1137</v>
      </c>
      <c r="AB287" s="463" t="s">
        <v>539</v>
      </c>
      <c r="AC287" s="463" t="s">
        <v>539</v>
      </c>
      <c r="AD287" s="472" t="s">
        <v>1138</v>
      </c>
      <c r="AE287" s="463" t="s">
        <v>539</v>
      </c>
      <c r="AF287" s="463" t="s">
        <v>539</v>
      </c>
      <c r="AG287" s="463" t="s">
        <v>375</v>
      </c>
      <c r="AH287" s="476"/>
      <c r="AI287" s="472">
        <v>848402742</v>
      </c>
      <c r="AJ287" s="472" t="s">
        <v>543</v>
      </c>
    </row>
    <row r="288" spans="1:36" ht="24" customHeight="1">
      <c r="A288" s="452">
        <v>70</v>
      </c>
      <c r="B288" s="463">
        <v>220</v>
      </c>
      <c r="C288" s="464" t="s">
        <v>337</v>
      </c>
      <c r="D288" s="464" t="s">
        <v>544</v>
      </c>
      <c r="E288" s="464" t="s">
        <v>545</v>
      </c>
      <c r="F288" s="464"/>
      <c r="G288" s="464" t="s">
        <v>272</v>
      </c>
      <c r="H288" s="464" t="s">
        <v>1139</v>
      </c>
      <c r="I288" s="466">
        <v>30000</v>
      </c>
      <c r="J288" s="465" t="s">
        <v>537</v>
      </c>
      <c r="K288" s="465" t="s">
        <v>537</v>
      </c>
      <c r="L288" s="466">
        <v>30000</v>
      </c>
      <c r="M288" s="465" t="s">
        <v>537</v>
      </c>
      <c r="N288" s="465" t="s">
        <v>537</v>
      </c>
      <c r="O288" s="463" t="s">
        <v>537</v>
      </c>
      <c r="P288" s="463" t="s">
        <v>537</v>
      </c>
      <c r="Q288" s="465">
        <v>0</v>
      </c>
      <c r="R288" s="470">
        <v>241428</v>
      </c>
      <c r="S288" s="471">
        <v>22293</v>
      </c>
      <c r="T288" s="463">
        <v>1</v>
      </c>
      <c r="U288" s="463">
        <v>2</v>
      </c>
      <c r="V288" s="463">
        <v>22</v>
      </c>
      <c r="W288" s="463">
        <v>1</v>
      </c>
      <c r="X288" s="463">
        <v>10</v>
      </c>
      <c r="Y288" s="463">
        <v>35</v>
      </c>
      <c r="Z288" s="463">
        <v>90</v>
      </c>
      <c r="AA288" s="472" t="s">
        <v>547</v>
      </c>
      <c r="AB288" s="463" t="s">
        <v>539</v>
      </c>
      <c r="AC288" s="463" t="s">
        <v>539</v>
      </c>
      <c r="AD288" s="472" t="s">
        <v>1140</v>
      </c>
      <c r="AE288" s="463" t="s">
        <v>1141</v>
      </c>
      <c r="AF288" s="463">
        <v>90</v>
      </c>
      <c r="AG288" s="463" t="s">
        <v>376</v>
      </c>
      <c r="AH288" s="476"/>
      <c r="AI288" s="472">
        <v>848402742</v>
      </c>
      <c r="AJ288" s="464"/>
    </row>
    <row r="289" spans="1:36" ht="24" customHeight="1">
      <c r="A289" s="452">
        <v>71</v>
      </c>
      <c r="B289" s="463">
        <v>221</v>
      </c>
      <c r="C289" s="464" t="s">
        <v>337</v>
      </c>
      <c r="D289" s="464" t="s">
        <v>544</v>
      </c>
      <c r="E289" s="464" t="s">
        <v>545</v>
      </c>
      <c r="F289" s="464"/>
      <c r="G289" s="464" t="s">
        <v>272</v>
      </c>
      <c r="H289" s="464" t="s">
        <v>1142</v>
      </c>
      <c r="I289" s="466">
        <v>20000</v>
      </c>
      <c r="J289" s="465" t="s">
        <v>537</v>
      </c>
      <c r="K289" s="465" t="s">
        <v>537</v>
      </c>
      <c r="L289" s="466">
        <v>20000</v>
      </c>
      <c r="M289" s="465" t="s">
        <v>537</v>
      </c>
      <c r="N289" s="465" t="s">
        <v>537</v>
      </c>
      <c r="O289" s="463" t="s">
        <v>537</v>
      </c>
      <c r="P289" s="463" t="s">
        <v>537</v>
      </c>
      <c r="Q289" s="465">
        <v>0</v>
      </c>
      <c r="R289" s="470">
        <v>241428</v>
      </c>
      <c r="S289" s="471">
        <v>22310</v>
      </c>
      <c r="T289" s="463">
        <v>0</v>
      </c>
      <c r="U289" s="463">
        <v>2</v>
      </c>
      <c r="V289" s="463">
        <v>20</v>
      </c>
      <c r="W289" s="464"/>
      <c r="X289" s="464"/>
      <c r="Y289" s="463">
        <v>30</v>
      </c>
      <c r="Z289" s="463">
        <v>90</v>
      </c>
      <c r="AA289" s="472" t="s">
        <v>547</v>
      </c>
      <c r="AB289" s="463" t="s">
        <v>539</v>
      </c>
      <c r="AC289" s="463" t="s">
        <v>539</v>
      </c>
      <c r="AD289" s="472" t="s">
        <v>1140</v>
      </c>
      <c r="AE289" s="463" t="s">
        <v>1141</v>
      </c>
      <c r="AF289" s="463">
        <v>90</v>
      </c>
      <c r="AG289" s="463" t="s">
        <v>376</v>
      </c>
      <c r="AH289" s="476"/>
      <c r="AI289" s="472">
        <v>865931789</v>
      </c>
      <c r="AJ289" s="464"/>
    </row>
    <row r="290" spans="1:36" ht="24" customHeight="1">
      <c r="A290" s="452">
        <v>72</v>
      </c>
      <c r="B290" s="463">
        <v>222</v>
      </c>
      <c r="C290" s="464" t="s">
        <v>337</v>
      </c>
      <c r="D290" s="464" t="s">
        <v>544</v>
      </c>
      <c r="E290" s="464" t="s">
        <v>545</v>
      </c>
      <c r="F290" s="464"/>
      <c r="G290" s="464" t="s">
        <v>272</v>
      </c>
      <c r="H290" s="464" t="s">
        <v>1143</v>
      </c>
      <c r="I290" s="466">
        <v>30000</v>
      </c>
      <c r="J290" s="465" t="s">
        <v>537</v>
      </c>
      <c r="K290" s="465" t="s">
        <v>537</v>
      </c>
      <c r="L290" s="466">
        <v>30000</v>
      </c>
      <c r="M290" s="465" t="s">
        <v>537</v>
      </c>
      <c r="N290" s="465" t="s">
        <v>537</v>
      </c>
      <c r="O290" s="463" t="s">
        <v>537</v>
      </c>
      <c r="P290" s="463" t="s">
        <v>537</v>
      </c>
      <c r="Q290" s="465">
        <v>0</v>
      </c>
      <c r="R290" s="470">
        <v>241428</v>
      </c>
      <c r="S290" s="463" t="s">
        <v>1144</v>
      </c>
      <c r="T290" s="463">
        <v>0</v>
      </c>
      <c r="U290" s="463">
        <v>5</v>
      </c>
      <c r="V290" s="463">
        <v>50</v>
      </c>
      <c r="W290" s="463">
        <v>0</v>
      </c>
      <c r="X290" s="463">
        <v>7</v>
      </c>
      <c r="Y290" s="463">
        <v>48</v>
      </c>
      <c r="Z290" s="463">
        <v>95</v>
      </c>
      <c r="AA290" s="472" t="s">
        <v>547</v>
      </c>
      <c r="AB290" s="463" t="s">
        <v>539</v>
      </c>
      <c r="AC290" s="463" t="s">
        <v>539</v>
      </c>
      <c r="AD290" s="472" t="s">
        <v>1140</v>
      </c>
      <c r="AE290" s="463" t="s">
        <v>1141</v>
      </c>
      <c r="AF290" s="463">
        <v>95</v>
      </c>
      <c r="AG290" s="463" t="s">
        <v>376</v>
      </c>
      <c r="AH290" s="476"/>
      <c r="AI290" s="472">
        <v>848402742</v>
      </c>
      <c r="AJ290" s="464"/>
    </row>
    <row r="291" spans="1:36" ht="24" customHeight="1">
      <c r="A291" s="452">
        <v>73</v>
      </c>
      <c r="B291" s="463">
        <v>223</v>
      </c>
      <c r="C291" s="464" t="s">
        <v>337</v>
      </c>
      <c r="D291" s="464" t="s">
        <v>544</v>
      </c>
      <c r="E291" s="464" t="s">
        <v>545</v>
      </c>
      <c r="F291" s="464"/>
      <c r="G291" s="464" t="s">
        <v>272</v>
      </c>
      <c r="H291" s="464" t="s">
        <v>1145</v>
      </c>
      <c r="I291" s="466">
        <v>52500</v>
      </c>
      <c r="J291" s="465" t="s">
        <v>537</v>
      </c>
      <c r="K291" s="465" t="s">
        <v>537</v>
      </c>
      <c r="L291" s="466">
        <v>44580</v>
      </c>
      <c r="M291" s="465" t="s">
        <v>537</v>
      </c>
      <c r="N291" s="465" t="s">
        <v>537</v>
      </c>
      <c r="O291" s="463" t="s">
        <v>537</v>
      </c>
      <c r="P291" s="463" t="s">
        <v>537</v>
      </c>
      <c r="Q291" s="468">
        <v>7920</v>
      </c>
      <c r="R291" s="470">
        <v>241459</v>
      </c>
      <c r="S291" s="463" t="s">
        <v>1146</v>
      </c>
      <c r="T291" s="463">
        <v>0</v>
      </c>
      <c r="U291" s="463">
        <v>3</v>
      </c>
      <c r="V291" s="463">
        <v>30</v>
      </c>
      <c r="W291" s="463">
        <v>0</v>
      </c>
      <c r="X291" s="463">
        <v>3</v>
      </c>
      <c r="Y291" s="463">
        <v>30</v>
      </c>
      <c r="Z291" s="464"/>
      <c r="AA291" s="472" t="s">
        <v>547</v>
      </c>
      <c r="AB291" s="463" t="s">
        <v>539</v>
      </c>
      <c r="AC291" s="463" t="s">
        <v>539</v>
      </c>
      <c r="AD291" s="472" t="s">
        <v>1140</v>
      </c>
      <c r="AE291" s="463" t="s">
        <v>1141</v>
      </c>
      <c r="AF291" s="463">
        <v>90</v>
      </c>
      <c r="AG291" s="463" t="s">
        <v>376</v>
      </c>
      <c r="AH291" s="476"/>
      <c r="AI291" s="472">
        <v>848402742</v>
      </c>
      <c r="AJ291" s="464"/>
    </row>
    <row r="292" spans="1:36" ht="24" customHeight="1">
      <c r="A292" s="452">
        <v>74</v>
      </c>
      <c r="B292" s="463">
        <v>224</v>
      </c>
      <c r="C292" s="464" t="s">
        <v>337</v>
      </c>
      <c r="D292" s="464" t="s">
        <v>544</v>
      </c>
      <c r="E292" s="464" t="s">
        <v>545</v>
      </c>
      <c r="F292" s="464"/>
      <c r="G292" s="464" t="s">
        <v>272</v>
      </c>
      <c r="H292" s="464" t="s">
        <v>1147</v>
      </c>
      <c r="I292" s="466">
        <v>30000</v>
      </c>
      <c r="J292" s="465" t="s">
        <v>537</v>
      </c>
      <c r="K292" s="465" t="s">
        <v>537</v>
      </c>
      <c r="L292" s="466">
        <v>30000</v>
      </c>
      <c r="M292" s="465" t="s">
        <v>537</v>
      </c>
      <c r="N292" s="465" t="s">
        <v>537</v>
      </c>
      <c r="O292" s="463" t="s">
        <v>537</v>
      </c>
      <c r="P292" s="463" t="s">
        <v>537</v>
      </c>
      <c r="Q292" s="465">
        <v>0</v>
      </c>
      <c r="R292" s="470">
        <v>241518</v>
      </c>
      <c r="S292" s="463" t="s">
        <v>1148</v>
      </c>
      <c r="T292" s="463">
        <v>0</v>
      </c>
      <c r="U292" s="463">
        <v>3</v>
      </c>
      <c r="V292" s="463">
        <v>30</v>
      </c>
      <c r="W292" s="464"/>
      <c r="X292" s="463">
        <v>3</v>
      </c>
      <c r="Y292" s="463">
        <v>30</v>
      </c>
      <c r="Z292" s="463">
        <v>90</v>
      </c>
      <c r="AA292" s="472" t="s">
        <v>547</v>
      </c>
      <c r="AB292" s="463" t="s">
        <v>539</v>
      </c>
      <c r="AC292" s="463" t="s">
        <v>539</v>
      </c>
      <c r="AD292" s="472" t="s">
        <v>1140</v>
      </c>
      <c r="AE292" s="463" t="s">
        <v>1141</v>
      </c>
      <c r="AF292" s="463">
        <v>90</v>
      </c>
      <c r="AG292" s="463" t="s">
        <v>376</v>
      </c>
      <c r="AH292" s="476"/>
      <c r="AI292" s="472">
        <v>831038264</v>
      </c>
      <c r="AJ292" s="464"/>
    </row>
    <row r="293" spans="1:36" ht="24" customHeight="1">
      <c r="A293" s="452">
        <v>75</v>
      </c>
      <c r="B293" s="463">
        <v>225</v>
      </c>
      <c r="C293" s="464" t="s">
        <v>337</v>
      </c>
      <c r="D293" s="464" t="s">
        <v>544</v>
      </c>
      <c r="E293" s="464" t="s">
        <v>545</v>
      </c>
      <c r="F293" s="464"/>
      <c r="G293" s="464" t="s">
        <v>272</v>
      </c>
      <c r="H293" s="464" t="s">
        <v>1149</v>
      </c>
      <c r="I293" s="466">
        <v>17500</v>
      </c>
      <c r="J293" s="465" t="s">
        <v>537</v>
      </c>
      <c r="K293" s="465" t="s">
        <v>537</v>
      </c>
      <c r="L293" s="466">
        <v>17500</v>
      </c>
      <c r="M293" s="465" t="s">
        <v>537</v>
      </c>
      <c r="N293" s="465" t="s">
        <v>537</v>
      </c>
      <c r="O293" s="463" t="s">
        <v>537</v>
      </c>
      <c r="P293" s="463" t="s">
        <v>537</v>
      </c>
      <c r="Q293" s="465">
        <v>0</v>
      </c>
      <c r="R293" s="470">
        <v>241518</v>
      </c>
      <c r="S293" s="463" t="s">
        <v>1150</v>
      </c>
      <c r="T293" s="463">
        <v>0</v>
      </c>
      <c r="U293" s="463">
        <v>3</v>
      </c>
      <c r="V293" s="463">
        <v>30</v>
      </c>
      <c r="W293" s="464"/>
      <c r="X293" s="464"/>
      <c r="Y293" s="463">
        <v>34</v>
      </c>
      <c r="Z293" s="464"/>
      <c r="AA293" s="472" t="s">
        <v>547</v>
      </c>
      <c r="AB293" s="463" t="s">
        <v>539</v>
      </c>
      <c r="AC293" s="463" t="s">
        <v>539</v>
      </c>
      <c r="AD293" s="472" t="s">
        <v>1140</v>
      </c>
      <c r="AE293" s="463" t="s">
        <v>1141</v>
      </c>
      <c r="AF293" s="463">
        <v>94</v>
      </c>
      <c r="AG293" s="463" t="s">
        <v>376</v>
      </c>
      <c r="AH293" s="476"/>
      <c r="AI293" s="472">
        <v>848402742</v>
      </c>
      <c r="AJ293" s="464"/>
    </row>
    <row r="294" spans="1:36" ht="24" customHeight="1">
      <c r="A294" s="452">
        <v>76</v>
      </c>
      <c r="B294" s="463">
        <v>226</v>
      </c>
      <c r="C294" s="464" t="s">
        <v>337</v>
      </c>
      <c r="D294" s="464" t="s">
        <v>544</v>
      </c>
      <c r="E294" s="464" t="s">
        <v>545</v>
      </c>
      <c r="F294" s="464"/>
      <c r="G294" s="464" t="s">
        <v>272</v>
      </c>
      <c r="H294" s="464" t="s">
        <v>1151</v>
      </c>
      <c r="I294" s="465">
        <v>0</v>
      </c>
      <c r="J294" s="465" t="s">
        <v>537</v>
      </c>
      <c r="K294" s="465" t="s">
        <v>537</v>
      </c>
      <c r="L294" s="465">
        <v>0</v>
      </c>
      <c r="M294" s="465" t="s">
        <v>537</v>
      </c>
      <c r="N294" s="465" t="s">
        <v>537</v>
      </c>
      <c r="O294" s="463" t="s">
        <v>537</v>
      </c>
      <c r="P294" s="463" t="s">
        <v>537</v>
      </c>
      <c r="Q294" s="465">
        <v>0</v>
      </c>
      <c r="R294" s="463" t="s">
        <v>643</v>
      </c>
      <c r="S294" s="463" t="s">
        <v>1152</v>
      </c>
      <c r="T294" s="463">
        <v>0</v>
      </c>
      <c r="U294" s="463">
        <v>2</v>
      </c>
      <c r="V294" s="463">
        <v>20</v>
      </c>
      <c r="W294" s="464"/>
      <c r="X294" s="463">
        <v>2</v>
      </c>
      <c r="Y294" s="463">
        <v>20</v>
      </c>
      <c r="Z294" s="463">
        <v>90</v>
      </c>
      <c r="AA294" s="472" t="s">
        <v>547</v>
      </c>
      <c r="AB294" s="463" t="s">
        <v>539</v>
      </c>
      <c r="AC294" s="463" t="s">
        <v>539</v>
      </c>
      <c r="AD294" s="472" t="s">
        <v>1140</v>
      </c>
      <c r="AE294" s="463" t="s">
        <v>1141</v>
      </c>
      <c r="AF294" s="463">
        <v>90</v>
      </c>
      <c r="AG294" s="463" t="s">
        <v>376</v>
      </c>
      <c r="AH294" s="476"/>
      <c r="AI294" s="472">
        <v>848402742</v>
      </c>
      <c r="AJ294" s="464"/>
    </row>
    <row r="295" spans="1:36" ht="24" customHeight="1">
      <c r="A295" s="452">
        <v>77</v>
      </c>
      <c r="B295" s="463">
        <v>227</v>
      </c>
      <c r="C295" s="464" t="s">
        <v>337</v>
      </c>
      <c r="D295" s="464"/>
      <c r="E295" s="464" t="s">
        <v>545</v>
      </c>
      <c r="F295" s="464"/>
      <c r="G295" s="464" t="s">
        <v>272</v>
      </c>
      <c r="H295" s="464" t="s">
        <v>1153</v>
      </c>
      <c r="I295" s="465" t="s">
        <v>537</v>
      </c>
      <c r="J295" s="465" t="s">
        <v>537</v>
      </c>
      <c r="K295" s="466">
        <v>12000</v>
      </c>
      <c r="L295" s="465" t="s">
        <v>537</v>
      </c>
      <c r="M295" s="465" t="s">
        <v>537</v>
      </c>
      <c r="N295" s="466">
        <v>12000</v>
      </c>
      <c r="O295" s="463" t="s">
        <v>537</v>
      </c>
      <c r="P295" s="463" t="s">
        <v>537</v>
      </c>
      <c r="Q295" s="465">
        <v>0</v>
      </c>
      <c r="R295" s="470">
        <v>241579</v>
      </c>
      <c r="S295" s="463" t="s">
        <v>1154</v>
      </c>
      <c r="T295" s="463">
        <v>0</v>
      </c>
      <c r="U295" s="463">
        <v>2</v>
      </c>
      <c r="V295" s="463">
        <v>40</v>
      </c>
      <c r="W295" s="464"/>
      <c r="X295" s="464"/>
      <c r="Y295" s="463">
        <v>40</v>
      </c>
      <c r="Z295" s="463">
        <v>92</v>
      </c>
      <c r="AA295" s="472" t="s">
        <v>1155</v>
      </c>
      <c r="AB295" s="463" t="s">
        <v>539</v>
      </c>
      <c r="AC295" s="463" t="s">
        <v>1040</v>
      </c>
      <c r="AD295" s="472" t="s">
        <v>1156</v>
      </c>
      <c r="AE295" s="463" t="s">
        <v>539</v>
      </c>
      <c r="AF295" s="463" t="s">
        <v>1040</v>
      </c>
      <c r="AG295" s="463" t="s">
        <v>376</v>
      </c>
      <c r="AH295" s="476"/>
      <c r="AI295" s="472">
        <v>848402742</v>
      </c>
      <c r="AJ295" s="472" t="s">
        <v>543</v>
      </c>
    </row>
    <row r="296" spans="1:36" ht="24" customHeight="1">
      <c r="A296" s="452">
        <v>78</v>
      </c>
      <c r="B296" s="701">
        <v>228</v>
      </c>
      <c r="C296" s="699" t="s">
        <v>337</v>
      </c>
      <c r="D296" s="699"/>
      <c r="E296" s="699" t="s">
        <v>545</v>
      </c>
      <c r="F296" s="699"/>
      <c r="G296" s="699" t="s">
        <v>272</v>
      </c>
      <c r="H296" s="699" t="s">
        <v>1157</v>
      </c>
      <c r="I296" s="709" t="s">
        <v>537</v>
      </c>
      <c r="J296" s="709" t="s">
        <v>537</v>
      </c>
      <c r="K296" s="712">
        <v>30000</v>
      </c>
      <c r="L296" s="709" t="s">
        <v>537</v>
      </c>
      <c r="M296" s="709" t="s">
        <v>537</v>
      </c>
      <c r="N296" s="712">
        <v>30000</v>
      </c>
      <c r="O296" s="701" t="s">
        <v>537</v>
      </c>
      <c r="P296" s="701" t="s">
        <v>537</v>
      </c>
      <c r="Q296" s="709">
        <v>0</v>
      </c>
      <c r="R296" s="701" t="s">
        <v>643</v>
      </c>
      <c r="S296" s="701" t="s">
        <v>1158</v>
      </c>
      <c r="T296" s="701">
        <v>4</v>
      </c>
      <c r="U296" s="701">
        <v>2</v>
      </c>
      <c r="V296" s="701">
        <v>20</v>
      </c>
      <c r="W296" s="699"/>
      <c r="X296" s="699"/>
      <c r="Y296" s="701">
        <v>25</v>
      </c>
      <c r="Z296" s="701">
        <v>90</v>
      </c>
      <c r="AA296" s="458" t="s">
        <v>1159</v>
      </c>
      <c r="AB296" s="459" t="s">
        <v>539</v>
      </c>
      <c r="AC296" s="459" t="s">
        <v>539</v>
      </c>
      <c r="AD296" s="697" t="s">
        <v>1160</v>
      </c>
      <c r="AE296" s="701" t="s">
        <v>539</v>
      </c>
      <c r="AF296" s="701" t="s">
        <v>539</v>
      </c>
      <c r="AG296" s="701" t="s">
        <v>375</v>
      </c>
      <c r="AH296" s="728"/>
      <c r="AI296" s="697">
        <v>848402742</v>
      </c>
      <c r="AJ296" s="697" t="s">
        <v>543</v>
      </c>
    </row>
    <row r="297" spans="1:36" ht="24" hidden="1" customHeight="1">
      <c r="B297" s="702"/>
      <c r="C297" s="700"/>
      <c r="D297" s="700"/>
      <c r="E297" s="700"/>
      <c r="F297" s="700"/>
      <c r="G297" s="700"/>
      <c r="H297" s="700"/>
      <c r="I297" s="710"/>
      <c r="J297" s="710"/>
      <c r="K297" s="713"/>
      <c r="L297" s="710"/>
      <c r="M297" s="710"/>
      <c r="N297" s="713"/>
      <c r="O297" s="702"/>
      <c r="P297" s="702"/>
      <c r="Q297" s="710"/>
      <c r="R297" s="702"/>
      <c r="S297" s="702"/>
      <c r="T297" s="702"/>
      <c r="U297" s="702"/>
      <c r="V297" s="702"/>
      <c r="W297" s="700"/>
      <c r="X297" s="700"/>
      <c r="Y297" s="702"/>
      <c r="Z297" s="702"/>
      <c r="AA297" s="473" t="s">
        <v>1161</v>
      </c>
      <c r="AB297" s="474" t="s">
        <v>539</v>
      </c>
      <c r="AC297" s="474" t="s">
        <v>539</v>
      </c>
      <c r="AD297" s="698"/>
      <c r="AE297" s="702"/>
      <c r="AF297" s="702"/>
      <c r="AG297" s="702"/>
      <c r="AH297" s="729"/>
      <c r="AI297" s="698"/>
      <c r="AJ297" s="698"/>
    </row>
    <row r="298" spans="1:36" ht="24" customHeight="1">
      <c r="A298" s="452">
        <v>79</v>
      </c>
      <c r="B298" s="463">
        <v>229</v>
      </c>
      <c r="C298" s="464" t="s">
        <v>337</v>
      </c>
      <c r="D298" s="464"/>
      <c r="E298" s="464" t="s">
        <v>545</v>
      </c>
      <c r="F298" s="464"/>
      <c r="G298" s="464" t="s">
        <v>272</v>
      </c>
      <c r="H298" s="464" t="s">
        <v>1162</v>
      </c>
      <c r="I298" s="465" t="s">
        <v>537</v>
      </c>
      <c r="J298" s="465" t="s">
        <v>537</v>
      </c>
      <c r="K298" s="466">
        <v>20000</v>
      </c>
      <c r="L298" s="465" t="s">
        <v>537</v>
      </c>
      <c r="M298" s="465" t="s">
        <v>537</v>
      </c>
      <c r="N298" s="466">
        <v>20000</v>
      </c>
      <c r="O298" s="463" t="s">
        <v>537</v>
      </c>
      <c r="P298" s="463" t="s">
        <v>537</v>
      </c>
      <c r="Q298" s="465">
        <v>0</v>
      </c>
      <c r="R298" s="463" t="s">
        <v>643</v>
      </c>
      <c r="S298" s="463" t="s">
        <v>1163</v>
      </c>
      <c r="T298" s="463">
        <v>8</v>
      </c>
      <c r="U298" s="463">
        <v>2</v>
      </c>
      <c r="V298" s="463">
        <v>20</v>
      </c>
      <c r="W298" s="464"/>
      <c r="X298" s="464"/>
      <c r="Y298" s="463">
        <v>30</v>
      </c>
      <c r="Z298" s="463">
        <v>90</v>
      </c>
      <c r="AA298" s="472" t="s">
        <v>1164</v>
      </c>
      <c r="AB298" s="463" t="s">
        <v>539</v>
      </c>
      <c r="AC298" s="463" t="s">
        <v>539</v>
      </c>
      <c r="AD298" s="472" t="s">
        <v>1165</v>
      </c>
      <c r="AE298" s="463">
        <v>20</v>
      </c>
      <c r="AF298" s="463">
        <v>90</v>
      </c>
      <c r="AG298" s="463" t="s">
        <v>375</v>
      </c>
      <c r="AH298" s="476"/>
      <c r="AI298" s="472">
        <v>827344304</v>
      </c>
      <c r="AJ298" s="472" t="s">
        <v>543</v>
      </c>
    </row>
    <row r="299" spans="1:36" ht="24" hidden="1" customHeight="1">
      <c r="B299" s="463">
        <v>230</v>
      </c>
      <c r="C299" s="464" t="s">
        <v>377</v>
      </c>
      <c r="D299" s="464" t="s">
        <v>544</v>
      </c>
      <c r="E299" s="464" t="s">
        <v>602</v>
      </c>
      <c r="F299" s="464"/>
      <c r="G299" s="464" t="s">
        <v>272</v>
      </c>
      <c r="H299" s="464" t="s">
        <v>1166</v>
      </c>
      <c r="I299" s="466">
        <v>50000</v>
      </c>
      <c r="J299" s="465" t="s">
        <v>537</v>
      </c>
      <c r="K299" s="465" t="s">
        <v>537</v>
      </c>
      <c r="L299" s="466">
        <v>50000</v>
      </c>
      <c r="M299" s="465" t="s">
        <v>537</v>
      </c>
      <c r="N299" s="465" t="s">
        <v>537</v>
      </c>
      <c r="O299" s="463" t="s">
        <v>537</v>
      </c>
      <c r="P299" s="463" t="s">
        <v>537</v>
      </c>
      <c r="Q299" s="465">
        <v>0</v>
      </c>
      <c r="R299" s="470">
        <v>241487</v>
      </c>
      <c r="S299" s="471">
        <v>22361</v>
      </c>
      <c r="T299" s="463">
        <v>200</v>
      </c>
      <c r="U299" s="463">
        <v>0</v>
      </c>
      <c r="V299" s="463">
        <v>0</v>
      </c>
      <c r="W299" s="463">
        <v>200</v>
      </c>
      <c r="X299" s="464"/>
      <c r="Y299" s="464"/>
      <c r="Z299" s="463">
        <v>89</v>
      </c>
      <c r="AA299" s="472" t="s">
        <v>1167</v>
      </c>
      <c r="AB299" s="463" t="s">
        <v>539</v>
      </c>
      <c r="AC299" s="463" t="s">
        <v>539</v>
      </c>
      <c r="AD299" s="472" t="s">
        <v>1168</v>
      </c>
      <c r="AE299" s="463" t="s">
        <v>1141</v>
      </c>
      <c r="AF299" s="463">
        <v>89</v>
      </c>
      <c r="AG299" s="463" t="s">
        <v>376</v>
      </c>
      <c r="AH299" s="476"/>
      <c r="AI299" s="472">
        <v>848402742</v>
      </c>
      <c r="AJ299" s="464"/>
    </row>
    <row r="300" spans="1:36" ht="24" hidden="1" customHeight="1">
      <c r="B300" s="463">
        <v>231</v>
      </c>
      <c r="C300" s="464" t="s">
        <v>377</v>
      </c>
      <c r="D300" s="464" t="s">
        <v>544</v>
      </c>
      <c r="E300" s="464" t="s">
        <v>602</v>
      </c>
      <c r="F300" s="464"/>
      <c r="G300" s="464" t="s">
        <v>272</v>
      </c>
      <c r="H300" s="464" t="s">
        <v>617</v>
      </c>
      <c r="I300" s="465" t="s">
        <v>537</v>
      </c>
      <c r="J300" s="466">
        <v>200000</v>
      </c>
      <c r="K300" s="465" t="s">
        <v>537</v>
      </c>
      <c r="L300" s="465" t="s">
        <v>537</v>
      </c>
      <c r="M300" s="466">
        <v>200000</v>
      </c>
      <c r="N300" s="465" t="s">
        <v>537</v>
      </c>
      <c r="O300" s="463" t="s">
        <v>537</v>
      </c>
      <c r="P300" s="463" t="s">
        <v>537</v>
      </c>
      <c r="Q300" s="465">
        <v>0</v>
      </c>
      <c r="R300" s="470">
        <v>241579</v>
      </c>
      <c r="S300" s="463" t="s">
        <v>618</v>
      </c>
      <c r="T300" s="463">
        <v>400</v>
      </c>
      <c r="U300" s="463">
        <v>0</v>
      </c>
      <c r="V300" s="463">
        <v>0</v>
      </c>
      <c r="W300" s="463">
        <v>250</v>
      </c>
      <c r="X300" s="464"/>
      <c r="Y300" s="464"/>
      <c r="Z300" s="463">
        <v>93</v>
      </c>
      <c r="AA300" s="472" t="s">
        <v>1167</v>
      </c>
      <c r="AB300" s="463" t="s">
        <v>539</v>
      </c>
      <c r="AC300" s="463" t="s">
        <v>539</v>
      </c>
      <c r="AD300" s="472" t="s">
        <v>1168</v>
      </c>
      <c r="AE300" s="463" t="s">
        <v>1141</v>
      </c>
      <c r="AF300" s="463">
        <v>93</v>
      </c>
      <c r="AG300" s="463" t="s">
        <v>376</v>
      </c>
      <c r="AH300" s="476"/>
      <c r="AI300" s="472">
        <v>848402742</v>
      </c>
      <c r="AJ300" s="464"/>
    </row>
    <row r="301" spans="1:36" ht="24" hidden="1" customHeight="1">
      <c r="B301" s="463">
        <v>232</v>
      </c>
      <c r="C301" s="464" t="s">
        <v>165</v>
      </c>
      <c r="D301" s="464" t="s">
        <v>544</v>
      </c>
      <c r="E301" s="464" t="s">
        <v>535</v>
      </c>
      <c r="F301" s="464"/>
      <c r="G301" s="464" t="s">
        <v>272</v>
      </c>
      <c r="H301" s="464" t="s">
        <v>1169</v>
      </c>
      <c r="I301" s="465" t="s">
        <v>537</v>
      </c>
      <c r="J301" s="466">
        <v>11380</v>
      </c>
      <c r="K301" s="465" t="s">
        <v>537</v>
      </c>
      <c r="L301" s="465" t="s">
        <v>537</v>
      </c>
      <c r="M301" s="466">
        <v>11380</v>
      </c>
      <c r="N301" s="465" t="s">
        <v>537</v>
      </c>
      <c r="O301" s="463" t="s">
        <v>537</v>
      </c>
      <c r="P301" s="463" t="s">
        <v>537</v>
      </c>
      <c r="Q301" s="465">
        <v>0</v>
      </c>
      <c r="R301" s="470">
        <v>241579</v>
      </c>
      <c r="S301" s="471">
        <v>22451</v>
      </c>
      <c r="T301" s="463">
        <v>27</v>
      </c>
      <c r="U301" s="463">
        <v>5</v>
      </c>
      <c r="V301" s="463">
        <v>0</v>
      </c>
      <c r="W301" s="463">
        <v>37</v>
      </c>
      <c r="X301" s="463">
        <v>7</v>
      </c>
      <c r="Y301" s="464"/>
      <c r="Z301" s="463">
        <v>93</v>
      </c>
      <c r="AA301" s="472" t="s">
        <v>547</v>
      </c>
      <c r="AB301" s="463" t="s">
        <v>539</v>
      </c>
      <c r="AC301" s="463" t="s">
        <v>539</v>
      </c>
      <c r="AD301" s="472" t="s">
        <v>1140</v>
      </c>
      <c r="AE301" s="463" t="s">
        <v>1141</v>
      </c>
      <c r="AF301" s="463">
        <v>93</v>
      </c>
      <c r="AG301" s="463" t="s">
        <v>376</v>
      </c>
      <c r="AH301" s="476"/>
      <c r="AI301" s="472">
        <v>848402742</v>
      </c>
      <c r="AJ301" s="464"/>
    </row>
    <row r="302" spans="1:36" ht="24" hidden="1" customHeight="1">
      <c r="B302" s="463">
        <v>233</v>
      </c>
      <c r="C302" s="464" t="s">
        <v>165</v>
      </c>
      <c r="D302" s="464" t="s">
        <v>544</v>
      </c>
      <c r="E302" s="464" t="s">
        <v>535</v>
      </c>
      <c r="F302" s="464"/>
      <c r="G302" s="464" t="s">
        <v>272</v>
      </c>
      <c r="H302" s="464" t="s">
        <v>1170</v>
      </c>
      <c r="I302" s="465" t="s">
        <v>537</v>
      </c>
      <c r="J302" s="466">
        <v>26000</v>
      </c>
      <c r="K302" s="465" t="s">
        <v>537</v>
      </c>
      <c r="L302" s="465" t="s">
        <v>537</v>
      </c>
      <c r="M302" s="466">
        <v>26000</v>
      </c>
      <c r="N302" s="465" t="s">
        <v>537</v>
      </c>
      <c r="O302" s="463" t="s">
        <v>537</v>
      </c>
      <c r="P302" s="463" t="s">
        <v>537</v>
      </c>
      <c r="Q302" s="465">
        <v>0</v>
      </c>
      <c r="R302" s="470">
        <v>241459</v>
      </c>
      <c r="S302" s="463" t="s">
        <v>1171</v>
      </c>
      <c r="T302" s="463">
        <v>40</v>
      </c>
      <c r="U302" s="463">
        <v>0</v>
      </c>
      <c r="V302" s="463">
        <v>0</v>
      </c>
      <c r="W302" s="463">
        <v>50</v>
      </c>
      <c r="X302" s="464"/>
      <c r="Y302" s="463">
        <v>3</v>
      </c>
      <c r="Z302" s="463">
        <v>89</v>
      </c>
      <c r="AA302" s="472" t="s">
        <v>547</v>
      </c>
      <c r="AB302" s="463" t="s">
        <v>539</v>
      </c>
      <c r="AC302" s="463" t="s">
        <v>539</v>
      </c>
      <c r="AD302" s="472" t="s">
        <v>699</v>
      </c>
      <c r="AE302" s="463" t="s">
        <v>1172</v>
      </c>
      <c r="AF302" s="463">
        <v>1</v>
      </c>
      <c r="AG302" s="463" t="s">
        <v>376</v>
      </c>
      <c r="AH302" s="476"/>
      <c r="AI302" s="472" t="s">
        <v>1173</v>
      </c>
      <c r="AJ302" s="464"/>
    </row>
    <row r="303" spans="1:36" ht="24" hidden="1" customHeight="1">
      <c r="B303" s="463">
        <v>234</v>
      </c>
      <c r="C303" s="464" t="s">
        <v>165</v>
      </c>
      <c r="D303" s="464" t="s">
        <v>544</v>
      </c>
      <c r="E303" s="464" t="s">
        <v>535</v>
      </c>
      <c r="F303" s="464"/>
      <c r="G303" s="464" t="s">
        <v>272</v>
      </c>
      <c r="H303" s="464" t="s">
        <v>1174</v>
      </c>
      <c r="I303" s="465" t="s">
        <v>537</v>
      </c>
      <c r="J303" s="466">
        <v>20000</v>
      </c>
      <c r="K303" s="465" t="s">
        <v>537</v>
      </c>
      <c r="L303" s="465" t="s">
        <v>537</v>
      </c>
      <c r="M303" s="466">
        <v>20000</v>
      </c>
      <c r="N303" s="465" t="s">
        <v>537</v>
      </c>
      <c r="O303" s="463" t="s">
        <v>537</v>
      </c>
      <c r="P303" s="463" t="s">
        <v>537</v>
      </c>
      <c r="Q303" s="465">
        <v>0</v>
      </c>
      <c r="R303" s="470">
        <v>241579</v>
      </c>
      <c r="S303" s="471">
        <v>22444</v>
      </c>
      <c r="T303" s="463">
        <v>0</v>
      </c>
      <c r="U303" s="463">
        <v>30</v>
      </c>
      <c r="V303" s="463">
        <v>0</v>
      </c>
      <c r="W303" s="464"/>
      <c r="X303" s="463">
        <v>35</v>
      </c>
      <c r="Y303" s="464"/>
      <c r="Z303" s="463">
        <v>99.34</v>
      </c>
      <c r="AA303" s="472" t="s">
        <v>547</v>
      </c>
      <c r="AB303" s="463" t="s">
        <v>539</v>
      </c>
      <c r="AC303" s="463" t="s">
        <v>539</v>
      </c>
      <c r="AD303" s="472" t="s">
        <v>1140</v>
      </c>
      <c r="AE303" s="463" t="s">
        <v>1141</v>
      </c>
      <c r="AF303" s="463">
        <v>993.4</v>
      </c>
      <c r="AG303" s="463" t="s">
        <v>376</v>
      </c>
      <c r="AH303" s="476"/>
      <c r="AI303" s="472">
        <v>848402742</v>
      </c>
      <c r="AJ303" s="464"/>
    </row>
    <row r="304" spans="1:36" ht="24" hidden="1" customHeight="1">
      <c r="B304" s="463">
        <v>235</v>
      </c>
      <c r="C304" s="464" t="s">
        <v>165</v>
      </c>
      <c r="D304" s="464" t="s">
        <v>544</v>
      </c>
      <c r="E304" s="464" t="s">
        <v>535</v>
      </c>
      <c r="F304" s="464"/>
      <c r="G304" s="464" t="s">
        <v>272</v>
      </c>
      <c r="H304" s="464" t="s">
        <v>1175</v>
      </c>
      <c r="I304" s="465" t="s">
        <v>537</v>
      </c>
      <c r="J304" s="466">
        <v>30000</v>
      </c>
      <c r="K304" s="465" t="s">
        <v>537</v>
      </c>
      <c r="L304" s="465" t="s">
        <v>537</v>
      </c>
      <c r="M304" s="466">
        <v>30000</v>
      </c>
      <c r="N304" s="465" t="s">
        <v>537</v>
      </c>
      <c r="O304" s="463" t="s">
        <v>537</v>
      </c>
      <c r="P304" s="463" t="s">
        <v>537</v>
      </c>
      <c r="Q304" s="465">
        <v>0</v>
      </c>
      <c r="R304" s="470">
        <v>241579</v>
      </c>
      <c r="S304" s="471">
        <v>22327</v>
      </c>
      <c r="T304" s="463">
        <v>100</v>
      </c>
      <c r="U304" s="463">
        <v>10</v>
      </c>
      <c r="V304" s="463">
        <v>0</v>
      </c>
      <c r="W304" s="463">
        <v>130</v>
      </c>
      <c r="X304" s="464"/>
      <c r="Y304" s="464"/>
      <c r="Z304" s="463">
        <v>92</v>
      </c>
      <c r="AA304" s="472" t="s">
        <v>547</v>
      </c>
      <c r="AB304" s="463" t="s">
        <v>634</v>
      </c>
      <c r="AC304" s="463" t="s">
        <v>539</v>
      </c>
      <c r="AD304" s="472" t="s">
        <v>1140</v>
      </c>
      <c r="AE304" s="463" t="s">
        <v>1141</v>
      </c>
      <c r="AF304" s="463">
        <v>92</v>
      </c>
      <c r="AG304" s="463" t="s">
        <v>376</v>
      </c>
      <c r="AH304" s="476"/>
      <c r="AI304" s="472">
        <v>848402742</v>
      </c>
      <c r="AJ304" s="464"/>
    </row>
    <row r="305" spans="2:36" ht="24" hidden="1" customHeight="1">
      <c r="B305" s="463">
        <v>236</v>
      </c>
      <c r="C305" s="464" t="s">
        <v>165</v>
      </c>
      <c r="D305" s="464" t="s">
        <v>544</v>
      </c>
      <c r="E305" s="464" t="s">
        <v>535</v>
      </c>
      <c r="F305" s="464"/>
      <c r="G305" s="464" t="s">
        <v>272</v>
      </c>
      <c r="H305" s="464" t="s">
        <v>1176</v>
      </c>
      <c r="I305" s="465" t="s">
        <v>537</v>
      </c>
      <c r="J305" s="466">
        <v>50000</v>
      </c>
      <c r="K305" s="465" t="s">
        <v>537</v>
      </c>
      <c r="L305" s="465" t="s">
        <v>537</v>
      </c>
      <c r="M305" s="466">
        <v>50000</v>
      </c>
      <c r="N305" s="465" t="s">
        <v>537</v>
      </c>
      <c r="O305" s="463" t="s">
        <v>537</v>
      </c>
      <c r="P305" s="463" t="s">
        <v>537</v>
      </c>
      <c r="Q305" s="465">
        <v>0</v>
      </c>
      <c r="R305" s="470">
        <v>241459</v>
      </c>
      <c r="S305" s="471">
        <v>22326</v>
      </c>
      <c r="T305" s="463">
        <v>30</v>
      </c>
      <c r="U305" s="463">
        <v>5</v>
      </c>
      <c r="V305" s="463">
        <v>0</v>
      </c>
      <c r="W305" s="463">
        <v>35</v>
      </c>
      <c r="X305" s="464"/>
      <c r="Y305" s="464"/>
      <c r="Z305" s="463">
        <v>92</v>
      </c>
      <c r="AA305" s="472" t="s">
        <v>547</v>
      </c>
      <c r="AB305" s="463" t="s">
        <v>539</v>
      </c>
      <c r="AC305" s="463" t="s">
        <v>539</v>
      </c>
      <c r="AD305" s="472" t="s">
        <v>1140</v>
      </c>
      <c r="AE305" s="463" t="s">
        <v>1141</v>
      </c>
      <c r="AF305" s="463">
        <v>92</v>
      </c>
      <c r="AG305" s="463" t="s">
        <v>376</v>
      </c>
      <c r="AH305" s="476"/>
      <c r="AI305" s="472">
        <v>848402742</v>
      </c>
      <c r="AJ305" s="464"/>
    </row>
    <row r="306" spans="2:36" ht="24" hidden="1" customHeight="1">
      <c r="B306" s="463">
        <v>237</v>
      </c>
      <c r="C306" s="464" t="s">
        <v>165</v>
      </c>
      <c r="D306" s="464" t="s">
        <v>544</v>
      </c>
      <c r="E306" s="464" t="s">
        <v>535</v>
      </c>
      <c r="F306" s="464"/>
      <c r="G306" s="464" t="s">
        <v>272</v>
      </c>
      <c r="H306" s="464" t="s">
        <v>668</v>
      </c>
      <c r="I306" s="465" t="s">
        <v>537</v>
      </c>
      <c r="J306" s="466">
        <v>120000</v>
      </c>
      <c r="K306" s="465" t="s">
        <v>537</v>
      </c>
      <c r="L306" s="465" t="s">
        <v>537</v>
      </c>
      <c r="M306" s="466">
        <v>116400</v>
      </c>
      <c r="N306" s="465" t="s">
        <v>537</v>
      </c>
      <c r="O306" s="463" t="s">
        <v>537</v>
      </c>
      <c r="P306" s="463" t="s">
        <v>537</v>
      </c>
      <c r="Q306" s="468">
        <v>3600</v>
      </c>
      <c r="R306" s="463" t="s">
        <v>643</v>
      </c>
      <c r="S306" s="471">
        <v>22375</v>
      </c>
      <c r="T306" s="463">
        <v>550</v>
      </c>
      <c r="U306" s="463">
        <v>0</v>
      </c>
      <c r="V306" s="463">
        <v>0</v>
      </c>
      <c r="W306" s="463">
        <v>700</v>
      </c>
      <c r="X306" s="464"/>
      <c r="Y306" s="464"/>
      <c r="Z306" s="463">
        <v>90</v>
      </c>
      <c r="AA306" s="472" t="s">
        <v>547</v>
      </c>
      <c r="AB306" s="463" t="s">
        <v>539</v>
      </c>
      <c r="AC306" s="463" t="s">
        <v>539</v>
      </c>
      <c r="AD306" s="472" t="s">
        <v>1140</v>
      </c>
      <c r="AE306" s="463" t="s">
        <v>1141</v>
      </c>
      <c r="AF306" s="463">
        <v>90</v>
      </c>
      <c r="AG306" s="463" t="s">
        <v>376</v>
      </c>
      <c r="AH306" s="476"/>
      <c r="AI306" s="472">
        <v>848402742</v>
      </c>
      <c r="AJ306" s="464"/>
    </row>
    <row r="307" spans="2:36" ht="24" hidden="1" customHeight="1">
      <c r="B307" s="463">
        <v>238</v>
      </c>
      <c r="C307" s="464" t="s">
        <v>165</v>
      </c>
      <c r="D307" s="464" t="s">
        <v>544</v>
      </c>
      <c r="E307" s="464" t="s">
        <v>535</v>
      </c>
      <c r="F307" s="464"/>
      <c r="G307" s="464" t="s">
        <v>272</v>
      </c>
      <c r="H307" s="464" t="s">
        <v>667</v>
      </c>
      <c r="I307" s="465" t="s">
        <v>537</v>
      </c>
      <c r="J307" s="466">
        <v>44000</v>
      </c>
      <c r="K307" s="465" t="s">
        <v>537</v>
      </c>
      <c r="L307" s="465" t="s">
        <v>537</v>
      </c>
      <c r="M307" s="466">
        <v>44000</v>
      </c>
      <c r="N307" s="465" t="s">
        <v>537</v>
      </c>
      <c r="O307" s="463" t="s">
        <v>537</v>
      </c>
      <c r="P307" s="463" t="s">
        <v>537</v>
      </c>
      <c r="Q307" s="465">
        <v>0</v>
      </c>
      <c r="R307" s="470">
        <v>241579</v>
      </c>
      <c r="S307" s="471">
        <v>22452</v>
      </c>
      <c r="T307" s="463">
        <v>400</v>
      </c>
      <c r="U307" s="463">
        <v>0</v>
      </c>
      <c r="V307" s="463">
        <v>0</v>
      </c>
      <c r="W307" s="463">
        <v>334</v>
      </c>
      <c r="X307" s="464"/>
      <c r="Y307" s="464"/>
      <c r="Z307" s="463">
        <v>91</v>
      </c>
      <c r="AA307" s="472" t="s">
        <v>547</v>
      </c>
      <c r="AB307" s="463" t="s">
        <v>539</v>
      </c>
      <c r="AC307" s="463" t="s">
        <v>539</v>
      </c>
      <c r="AD307" s="472" t="s">
        <v>1140</v>
      </c>
      <c r="AE307" s="463" t="s">
        <v>1141</v>
      </c>
      <c r="AF307" s="463">
        <v>91</v>
      </c>
      <c r="AG307" s="463" t="s">
        <v>376</v>
      </c>
      <c r="AH307" s="476"/>
      <c r="AI307" s="472">
        <v>848402742</v>
      </c>
      <c r="AJ307" s="464"/>
    </row>
    <row r="308" spans="2:36" ht="24" hidden="1" customHeight="1">
      <c r="B308" s="463">
        <v>239</v>
      </c>
      <c r="C308" s="464" t="s">
        <v>165</v>
      </c>
      <c r="D308" s="464" t="s">
        <v>544</v>
      </c>
      <c r="E308" s="464" t="s">
        <v>535</v>
      </c>
      <c r="F308" s="464"/>
      <c r="G308" s="464" t="s">
        <v>272</v>
      </c>
      <c r="H308" s="464" t="s">
        <v>669</v>
      </c>
      <c r="I308" s="465" t="s">
        <v>537</v>
      </c>
      <c r="J308" s="466">
        <v>200000</v>
      </c>
      <c r="K308" s="465" t="s">
        <v>537</v>
      </c>
      <c r="L308" s="465" t="s">
        <v>537</v>
      </c>
      <c r="M308" s="466">
        <v>200000</v>
      </c>
      <c r="N308" s="465" t="s">
        <v>537</v>
      </c>
      <c r="O308" s="463" t="s">
        <v>537</v>
      </c>
      <c r="P308" s="463" t="s">
        <v>537</v>
      </c>
      <c r="Q308" s="465">
        <v>0</v>
      </c>
      <c r="R308" s="470">
        <v>241609</v>
      </c>
      <c r="S308" s="471">
        <v>22498</v>
      </c>
      <c r="T308" s="463">
        <v>150</v>
      </c>
      <c r="U308" s="463">
        <v>28</v>
      </c>
      <c r="V308" s="463">
        <v>0</v>
      </c>
      <c r="W308" s="463">
        <v>200</v>
      </c>
      <c r="X308" s="464"/>
      <c r="Y308" s="464"/>
      <c r="Z308" s="463">
        <v>94</v>
      </c>
      <c r="AA308" s="472" t="s">
        <v>547</v>
      </c>
      <c r="AB308" s="463" t="s">
        <v>539</v>
      </c>
      <c r="AC308" s="463" t="s">
        <v>539</v>
      </c>
      <c r="AD308" s="472" t="s">
        <v>699</v>
      </c>
      <c r="AE308" s="463" t="s">
        <v>1172</v>
      </c>
      <c r="AF308" s="463">
        <v>1</v>
      </c>
      <c r="AG308" s="463" t="s">
        <v>376</v>
      </c>
      <c r="AH308" s="476"/>
      <c r="AI308" s="472">
        <v>848402742</v>
      </c>
      <c r="AJ308" s="464"/>
    </row>
    <row r="309" spans="2:36" ht="24" hidden="1" customHeight="1">
      <c r="B309" s="463">
        <v>240</v>
      </c>
      <c r="C309" s="464" t="s">
        <v>165</v>
      </c>
      <c r="D309" s="464" t="s">
        <v>544</v>
      </c>
      <c r="E309" s="464" t="s">
        <v>535</v>
      </c>
      <c r="F309" s="464"/>
      <c r="G309" s="464" t="s">
        <v>272</v>
      </c>
      <c r="H309" s="464" t="s">
        <v>1177</v>
      </c>
      <c r="I309" s="465" t="s">
        <v>537</v>
      </c>
      <c r="J309" s="466">
        <v>60000</v>
      </c>
      <c r="K309" s="465" t="s">
        <v>537</v>
      </c>
      <c r="L309" s="465" t="s">
        <v>537</v>
      </c>
      <c r="M309" s="466">
        <v>59540.23</v>
      </c>
      <c r="N309" s="465" t="s">
        <v>537</v>
      </c>
      <c r="O309" s="463" t="s">
        <v>537</v>
      </c>
      <c r="P309" s="463" t="s">
        <v>537</v>
      </c>
      <c r="Q309" s="465">
        <v>460</v>
      </c>
      <c r="R309" s="470">
        <v>241640</v>
      </c>
      <c r="S309" s="463" t="s">
        <v>1178</v>
      </c>
      <c r="T309" s="463">
        <v>10</v>
      </c>
      <c r="U309" s="463">
        <v>40</v>
      </c>
      <c r="V309" s="463">
        <v>0</v>
      </c>
      <c r="W309" s="464"/>
      <c r="X309" s="463">
        <v>70</v>
      </c>
      <c r="Y309" s="464"/>
      <c r="Z309" s="463">
        <v>94</v>
      </c>
      <c r="AA309" s="472" t="s">
        <v>547</v>
      </c>
      <c r="AB309" s="463" t="s">
        <v>539</v>
      </c>
      <c r="AC309" s="463" t="s">
        <v>1040</v>
      </c>
      <c r="AD309" s="472" t="s">
        <v>1140</v>
      </c>
      <c r="AE309" s="463" t="s">
        <v>1141</v>
      </c>
      <c r="AF309" s="463">
        <v>94</v>
      </c>
      <c r="AG309" s="463" t="s">
        <v>376</v>
      </c>
      <c r="AH309" s="476"/>
      <c r="AI309" s="472">
        <v>848402742</v>
      </c>
      <c r="AJ309" s="464"/>
    </row>
    <row r="310" spans="2:36" ht="24" hidden="1" customHeight="1">
      <c r="B310" s="463">
        <v>241</v>
      </c>
      <c r="C310" s="464" t="s">
        <v>165</v>
      </c>
      <c r="D310" s="464" t="s">
        <v>544</v>
      </c>
      <c r="E310" s="464" t="s">
        <v>535</v>
      </c>
      <c r="F310" s="464"/>
      <c r="G310" s="464" t="s">
        <v>272</v>
      </c>
      <c r="H310" s="464" t="s">
        <v>1179</v>
      </c>
      <c r="I310" s="465" t="s">
        <v>537</v>
      </c>
      <c r="J310" s="466">
        <v>40000</v>
      </c>
      <c r="K310" s="465" t="s">
        <v>537</v>
      </c>
      <c r="L310" s="465" t="s">
        <v>537</v>
      </c>
      <c r="M310" s="466">
        <v>40000</v>
      </c>
      <c r="N310" s="465" t="s">
        <v>537</v>
      </c>
      <c r="O310" s="463" t="s">
        <v>537</v>
      </c>
      <c r="P310" s="463" t="s">
        <v>537</v>
      </c>
      <c r="Q310" s="465">
        <v>0</v>
      </c>
      <c r="R310" s="470">
        <v>241671</v>
      </c>
      <c r="S310" s="471">
        <v>22487</v>
      </c>
      <c r="T310" s="463">
        <v>15</v>
      </c>
      <c r="U310" s="463">
        <v>70</v>
      </c>
      <c r="V310" s="463">
        <v>5</v>
      </c>
      <c r="W310" s="464"/>
      <c r="X310" s="463">
        <v>80</v>
      </c>
      <c r="Y310" s="464"/>
      <c r="Z310" s="463">
        <v>94</v>
      </c>
      <c r="AA310" s="472" t="s">
        <v>547</v>
      </c>
      <c r="AB310" s="463" t="s">
        <v>539</v>
      </c>
      <c r="AC310" s="463" t="s">
        <v>1040</v>
      </c>
      <c r="AD310" s="472" t="s">
        <v>1140</v>
      </c>
      <c r="AE310" s="463" t="s">
        <v>1141</v>
      </c>
      <c r="AF310" s="463">
        <v>94</v>
      </c>
      <c r="AG310" s="463" t="s">
        <v>376</v>
      </c>
      <c r="AH310" s="476"/>
      <c r="AI310" s="472">
        <v>848402742</v>
      </c>
      <c r="AJ310" s="464"/>
    </row>
    <row r="311" spans="2:36" ht="24" hidden="1" customHeight="1">
      <c r="B311" s="463">
        <v>242</v>
      </c>
      <c r="C311" s="464" t="s">
        <v>165</v>
      </c>
      <c r="D311" s="464" t="s">
        <v>544</v>
      </c>
      <c r="E311" s="464" t="s">
        <v>535</v>
      </c>
      <c r="F311" s="464"/>
      <c r="G311" s="464" t="s">
        <v>272</v>
      </c>
      <c r="H311" s="464" t="s">
        <v>1180</v>
      </c>
      <c r="I311" s="465" t="s">
        <v>537</v>
      </c>
      <c r="J311" s="466">
        <v>65000</v>
      </c>
      <c r="K311" s="465" t="s">
        <v>537</v>
      </c>
      <c r="L311" s="465" t="s">
        <v>537</v>
      </c>
      <c r="M311" s="466">
        <v>65000</v>
      </c>
      <c r="N311" s="465" t="s">
        <v>537</v>
      </c>
      <c r="O311" s="463" t="s">
        <v>537</v>
      </c>
      <c r="P311" s="463" t="s">
        <v>537</v>
      </c>
      <c r="Q311" s="465">
        <v>0</v>
      </c>
      <c r="R311" s="470">
        <v>241397</v>
      </c>
      <c r="S311" s="471">
        <v>22263</v>
      </c>
      <c r="T311" s="463">
        <v>0</v>
      </c>
      <c r="U311" s="463">
        <v>0</v>
      </c>
      <c r="V311" s="463">
        <v>1200</v>
      </c>
      <c r="W311" s="463">
        <v>0</v>
      </c>
      <c r="X311" s="463">
        <v>0</v>
      </c>
      <c r="Y311" s="463">
        <v>0</v>
      </c>
      <c r="Z311" s="463">
        <v>92</v>
      </c>
      <c r="AA311" s="472" t="s">
        <v>1181</v>
      </c>
      <c r="AB311" s="463" t="s">
        <v>539</v>
      </c>
      <c r="AC311" s="463" t="s">
        <v>539</v>
      </c>
      <c r="AD311" s="472" t="s">
        <v>1016</v>
      </c>
      <c r="AE311" s="463" t="s">
        <v>620</v>
      </c>
      <c r="AF311" s="463">
        <v>92</v>
      </c>
      <c r="AG311" s="463" t="s">
        <v>376</v>
      </c>
      <c r="AH311" s="476"/>
      <c r="AI311" s="472">
        <v>819107264</v>
      </c>
      <c r="AJ311" s="464"/>
    </row>
    <row r="312" spans="2:36" ht="24" hidden="1" customHeight="1">
      <c r="B312" s="701">
        <v>243</v>
      </c>
      <c r="C312" s="699" t="s">
        <v>165</v>
      </c>
      <c r="D312" s="699" t="s">
        <v>544</v>
      </c>
      <c r="E312" s="699" t="s">
        <v>535</v>
      </c>
      <c r="F312" s="699"/>
      <c r="G312" s="699" t="s">
        <v>272</v>
      </c>
      <c r="H312" s="699" t="s">
        <v>1182</v>
      </c>
      <c r="I312" s="709" t="s">
        <v>537</v>
      </c>
      <c r="J312" s="712">
        <v>30000</v>
      </c>
      <c r="K312" s="709" t="s">
        <v>537</v>
      </c>
      <c r="L312" s="709" t="s">
        <v>537</v>
      </c>
      <c r="M312" s="712">
        <v>30000</v>
      </c>
      <c r="N312" s="709" t="s">
        <v>537</v>
      </c>
      <c r="O312" s="701" t="s">
        <v>537</v>
      </c>
      <c r="P312" s="701" t="s">
        <v>537</v>
      </c>
      <c r="Q312" s="709">
        <v>0</v>
      </c>
      <c r="R312" s="707">
        <v>241579</v>
      </c>
      <c r="S312" s="721">
        <v>22456</v>
      </c>
      <c r="T312" s="701">
        <v>30</v>
      </c>
      <c r="U312" s="701">
        <v>40</v>
      </c>
      <c r="V312" s="701">
        <v>250</v>
      </c>
      <c r="W312" s="699"/>
      <c r="X312" s="699"/>
      <c r="Y312" s="701">
        <v>250</v>
      </c>
      <c r="Z312" s="699"/>
      <c r="AA312" s="697" t="s">
        <v>1183</v>
      </c>
      <c r="AB312" s="701" t="s">
        <v>539</v>
      </c>
      <c r="AC312" s="701" t="s">
        <v>539</v>
      </c>
      <c r="AD312" s="458" t="s">
        <v>1184</v>
      </c>
      <c r="AE312" s="459" t="s">
        <v>539</v>
      </c>
      <c r="AF312" s="459" t="s">
        <v>539</v>
      </c>
      <c r="AG312" s="701" t="s">
        <v>375</v>
      </c>
      <c r="AH312" s="728"/>
      <c r="AI312" s="697">
        <v>848402742</v>
      </c>
      <c r="AJ312" s="699"/>
    </row>
    <row r="313" spans="2:36" ht="24" hidden="1" customHeight="1">
      <c r="B313" s="715"/>
      <c r="C313" s="714"/>
      <c r="D313" s="714"/>
      <c r="E313" s="714"/>
      <c r="F313" s="714"/>
      <c r="G313" s="714"/>
      <c r="H313" s="714"/>
      <c r="I313" s="717"/>
      <c r="J313" s="720"/>
      <c r="K313" s="717"/>
      <c r="L313" s="717"/>
      <c r="M313" s="720"/>
      <c r="N313" s="717"/>
      <c r="O313" s="715"/>
      <c r="P313" s="715"/>
      <c r="Q313" s="717"/>
      <c r="R313" s="719"/>
      <c r="S313" s="731"/>
      <c r="T313" s="715"/>
      <c r="U313" s="715"/>
      <c r="V313" s="715"/>
      <c r="W313" s="714"/>
      <c r="X313" s="714"/>
      <c r="Y313" s="715"/>
      <c r="Z313" s="714"/>
      <c r="AA313" s="711"/>
      <c r="AB313" s="715"/>
      <c r="AC313" s="715"/>
      <c r="AD313" s="460" t="s">
        <v>1185</v>
      </c>
      <c r="AE313" s="461">
        <v>80</v>
      </c>
      <c r="AF313" s="461">
        <v>92</v>
      </c>
      <c r="AG313" s="715"/>
      <c r="AH313" s="730"/>
      <c r="AI313" s="711"/>
      <c r="AJ313" s="714"/>
    </row>
    <row r="314" spans="2:36" ht="24" hidden="1" customHeight="1">
      <c r="B314" s="702"/>
      <c r="C314" s="700"/>
      <c r="D314" s="700"/>
      <c r="E314" s="700"/>
      <c r="F314" s="700"/>
      <c r="G314" s="700"/>
      <c r="H314" s="700"/>
      <c r="I314" s="710"/>
      <c r="J314" s="713"/>
      <c r="K314" s="710"/>
      <c r="L314" s="710"/>
      <c r="M314" s="713"/>
      <c r="N314" s="710"/>
      <c r="O314" s="702"/>
      <c r="P314" s="702"/>
      <c r="Q314" s="710"/>
      <c r="R314" s="708"/>
      <c r="S314" s="722"/>
      <c r="T314" s="702"/>
      <c r="U314" s="702"/>
      <c r="V314" s="702"/>
      <c r="W314" s="700"/>
      <c r="X314" s="700"/>
      <c r="Y314" s="702"/>
      <c r="Z314" s="700"/>
      <c r="AA314" s="698"/>
      <c r="AB314" s="702"/>
      <c r="AC314" s="702"/>
      <c r="AD314" s="473" t="s">
        <v>1186</v>
      </c>
      <c r="AE314" s="474" t="s">
        <v>539</v>
      </c>
      <c r="AF314" s="474" t="s">
        <v>539</v>
      </c>
      <c r="AG314" s="702"/>
      <c r="AH314" s="729"/>
      <c r="AI314" s="698"/>
      <c r="AJ314" s="700"/>
    </row>
    <row r="315" spans="2:36" ht="24" hidden="1" customHeight="1">
      <c r="B315" s="463">
        <v>244</v>
      </c>
      <c r="C315" s="464" t="s">
        <v>165</v>
      </c>
      <c r="D315" s="464" t="s">
        <v>544</v>
      </c>
      <c r="E315" s="464" t="s">
        <v>535</v>
      </c>
      <c r="F315" s="464"/>
      <c r="G315" s="464" t="s">
        <v>272</v>
      </c>
      <c r="H315" s="464" t="s">
        <v>1187</v>
      </c>
      <c r="I315" s="465" t="s">
        <v>537</v>
      </c>
      <c r="J315" s="466">
        <v>100000</v>
      </c>
      <c r="K315" s="465" t="s">
        <v>537</v>
      </c>
      <c r="L315" s="465" t="s">
        <v>537</v>
      </c>
      <c r="M315" s="466">
        <v>99600</v>
      </c>
      <c r="N315" s="465" t="s">
        <v>537</v>
      </c>
      <c r="O315" s="463" t="s">
        <v>537</v>
      </c>
      <c r="P315" s="463" t="s">
        <v>537</v>
      </c>
      <c r="Q315" s="465">
        <v>400</v>
      </c>
      <c r="R315" s="470">
        <v>241459</v>
      </c>
      <c r="S315" s="463" t="s">
        <v>664</v>
      </c>
      <c r="T315" s="463">
        <v>0</v>
      </c>
      <c r="U315" s="463">
        <v>48</v>
      </c>
      <c r="V315" s="463">
        <v>2</v>
      </c>
      <c r="W315" s="464"/>
      <c r="X315" s="463">
        <v>50</v>
      </c>
      <c r="Y315" s="464"/>
      <c r="Z315" s="463">
        <v>85</v>
      </c>
      <c r="AA315" s="472" t="s">
        <v>547</v>
      </c>
      <c r="AB315" s="463" t="s">
        <v>539</v>
      </c>
      <c r="AC315" s="463" t="s">
        <v>539</v>
      </c>
      <c r="AD315" s="472" t="s">
        <v>1140</v>
      </c>
      <c r="AE315" s="463" t="s">
        <v>1141</v>
      </c>
      <c r="AF315" s="463">
        <v>85</v>
      </c>
      <c r="AG315" s="463" t="s">
        <v>376</v>
      </c>
      <c r="AH315" s="476"/>
      <c r="AI315" s="472">
        <v>848402742</v>
      </c>
      <c r="AJ315" s="464"/>
    </row>
    <row r="316" spans="2:36" ht="24" hidden="1" customHeight="1">
      <c r="B316" s="463">
        <v>245</v>
      </c>
      <c r="C316" s="464" t="s">
        <v>165</v>
      </c>
      <c r="D316" s="464" t="s">
        <v>544</v>
      </c>
      <c r="E316" s="464" t="s">
        <v>535</v>
      </c>
      <c r="F316" s="464"/>
      <c r="G316" s="464" t="s">
        <v>272</v>
      </c>
      <c r="H316" s="464" t="s">
        <v>1188</v>
      </c>
      <c r="I316" s="465" t="s">
        <v>537</v>
      </c>
      <c r="J316" s="466">
        <v>38620</v>
      </c>
      <c r="K316" s="465" t="s">
        <v>537</v>
      </c>
      <c r="L316" s="465" t="s">
        <v>537</v>
      </c>
      <c r="M316" s="466">
        <v>38620</v>
      </c>
      <c r="N316" s="465" t="s">
        <v>537</v>
      </c>
      <c r="O316" s="463" t="s">
        <v>537</v>
      </c>
      <c r="P316" s="463" t="s">
        <v>537</v>
      </c>
      <c r="Q316" s="465">
        <v>0</v>
      </c>
      <c r="R316" s="463" t="s">
        <v>984</v>
      </c>
      <c r="S316" s="463" t="s">
        <v>1189</v>
      </c>
      <c r="T316" s="463">
        <v>207</v>
      </c>
      <c r="U316" s="463">
        <v>7</v>
      </c>
      <c r="V316" s="463">
        <v>0</v>
      </c>
      <c r="W316" s="463">
        <v>207</v>
      </c>
      <c r="X316" s="463">
        <v>7</v>
      </c>
      <c r="Y316" s="463">
        <v>0</v>
      </c>
      <c r="Z316" s="463">
        <v>83.23</v>
      </c>
      <c r="AA316" s="472" t="s">
        <v>547</v>
      </c>
      <c r="AB316" s="463" t="s">
        <v>539</v>
      </c>
      <c r="AC316" s="463" t="s">
        <v>539</v>
      </c>
      <c r="AD316" s="472" t="s">
        <v>1140</v>
      </c>
      <c r="AE316" s="463" t="s">
        <v>1141</v>
      </c>
      <c r="AF316" s="463">
        <v>83.23</v>
      </c>
      <c r="AG316" s="463" t="s">
        <v>376</v>
      </c>
      <c r="AH316" s="476"/>
      <c r="AI316" s="472" t="s">
        <v>1190</v>
      </c>
      <c r="AJ316" s="464"/>
    </row>
    <row r="317" spans="2:36" ht="24" hidden="1" customHeight="1">
      <c r="B317" s="463">
        <v>246</v>
      </c>
      <c r="C317" s="464" t="s">
        <v>534</v>
      </c>
      <c r="D317" s="464"/>
      <c r="E317" s="464" t="s">
        <v>535</v>
      </c>
      <c r="F317" s="464"/>
      <c r="G317" s="464" t="s">
        <v>272</v>
      </c>
      <c r="H317" s="464" t="s">
        <v>1191</v>
      </c>
      <c r="I317" s="465" t="s">
        <v>537</v>
      </c>
      <c r="J317" s="465" t="s">
        <v>537</v>
      </c>
      <c r="K317" s="466">
        <v>200000</v>
      </c>
      <c r="L317" s="465" t="s">
        <v>537</v>
      </c>
      <c r="M317" s="465" t="s">
        <v>537</v>
      </c>
      <c r="N317" s="466">
        <v>189275</v>
      </c>
      <c r="O317" s="463" t="s">
        <v>537</v>
      </c>
      <c r="P317" s="463" t="s">
        <v>537</v>
      </c>
      <c r="Q317" s="468">
        <v>10725</v>
      </c>
      <c r="R317" s="470">
        <v>241428</v>
      </c>
      <c r="S317" s="463" t="s">
        <v>623</v>
      </c>
      <c r="T317" s="463">
        <v>300</v>
      </c>
      <c r="U317" s="463">
        <v>0</v>
      </c>
      <c r="V317" s="463">
        <v>200</v>
      </c>
      <c r="W317" s="463">
        <v>500</v>
      </c>
      <c r="X317" s="464"/>
      <c r="Y317" s="464"/>
      <c r="Z317" s="463">
        <v>96.48</v>
      </c>
      <c r="AA317" s="472" t="s">
        <v>797</v>
      </c>
      <c r="AB317" s="463">
        <v>80</v>
      </c>
      <c r="AC317" s="463">
        <v>96.48</v>
      </c>
      <c r="AD317" s="472" t="s">
        <v>571</v>
      </c>
      <c r="AE317" s="463">
        <v>80</v>
      </c>
      <c r="AF317" s="463">
        <v>96.48</v>
      </c>
      <c r="AG317" s="463" t="s">
        <v>375</v>
      </c>
      <c r="AH317" s="476"/>
      <c r="AI317" s="472">
        <v>848402742</v>
      </c>
      <c r="AJ317" s="472" t="s">
        <v>543</v>
      </c>
    </row>
    <row r="318" spans="2:36" ht="24" hidden="1" customHeight="1">
      <c r="B318" s="463">
        <v>247</v>
      </c>
      <c r="C318" s="464" t="s">
        <v>165</v>
      </c>
      <c r="D318" s="464"/>
      <c r="E318" s="464" t="s">
        <v>535</v>
      </c>
      <c r="F318" s="464"/>
      <c r="G318" s="464" t="s">
        <v>272</v>
      </c>
      <c r="H318" s="464" t="s">
        <v>1192</v>
      </c>
      <c r="I318" s="465" t="s">
        <v>537</v>
      </c>
      <c r="J318" s="465" t="s">
        <v>537</v>
      </c>
      <c r="K318" s="466">
        <v>32040</v>
      </c>
      <c r="L318" s="465" t="s">
        <v>537</v>
      </c>
      <c r="M318" s="465" t="s">
        <v>537</v>
      </c>
      <c r="N318" s="466">
        <v>28440</v>
      </c>
      <c r="O318" s="463" t="s">
        <v>537</v>
      </c>
      <c r="P318" s="463" t="s">
        <v>537</v>
      </c>
      <c r="Q318" s="468">
        <v>3600</v>
      </c>
      <c r="R318" s="463" t="s">
        <v>646</v>
      </c>
      <c r="S318" s="463" t="s">
        <v>1193</v>
      </c>
      <c r="T318" s="463">
        <v>388</v>
      </c>
      <c r="U318" s="463">
        <v>12</v>
      </c>
      <c r="V318" s="463">
        <v>0</v>
      </c>
      <c r="W318" s="463">
        <v>388</v>
      </c>
      <c r="X318" s="463">
        <v>12</v>
      </c>
      <c r="Y318" s="463">
        <v>0</v>
      </c>
      <c r="Z318" s="463">
        <v>94</v>
      </c>
      <c r="AA318" s="472" t="s">
        <v>1194</v>
      </c>
      <c r="AB318" s="463">
        <v>80</v>
      </c>
      <c r="AC318" s="463">
        <v>94</v>
      </c>
      <c r="AD318" s="472" t="s">
        <v>1195</v>
      </c>
      <c r="AE318" s="463">
        <v>80</v>
      </c>
      <c r="AF318" s="463">
        <v>94</v>
      </c>
      <c r="AG318" s="463" t="s">
        <v>375</v>
      </c>
      <c r="AH318" s="476"/>
      <c r="AI318" s="472">
        <v>835395141</v>
      </c>
      <c r="AJ318" s="472" t="s">
        <v>543</v>
      </c>
    </row>
    <row r="319" spans="2:36" ht="24" hidden="1" customHeight="1">
      <c r="B319" s="463">
        <v>248</v>
      </c>
      <c r="C319" s="464" t="s">
        <v>165</v>
      </c>
      <c r="D319" s="464"/>
      <c r="E319" s="464" t="s">
        <v>535</v>
      </c>
      <c r="F319" s="464"/>
      <c r="G319" s="464" t="s">
        <v>272</v>
      </c>
      <c r="H319" s="464" t="s">
        <v>1196</v>
      </c>
      <c r="I319" s="465" t="s">
        <v>537</v>
      </c>
      <c r="J319" s="465" t="s">
        <v>537</v>
      </c>
      <c r="K319" s="466">
        <v>9450</v>
      </c>
      <c r="L319" s="465" t="s">
        <v>537</v>
      </c>
      <c r="M319" s="465" t="s">
        <v>537</v>
      </c>
      <c r="N319" s="466">
        <v>9450</v>
      </c>
      <c r="O319" s="463" t="s">
        <v>537</v>
      </c>
      <c r="P319" s="463" t="s">
        <v>537</v>
      </c>
      <c r="Q319" s="465">
        <v>0</v>
      </c>
      <c r="R319" s="463" t="s">
        <v>771</v>
      </c>
      <c r="S319" s="463" t="s">
        <v>1197</v>
      </c>
      <c r="T319" s="463">
        <v>100</v>
      </c>
      <c r="U319" s="463">
        <v>5</v>
      </c>
      <c r="V319" s="463">
        <v>0</v>
      </c>
      <c r="W319" s="463">
        <v>43</v>
      </c>
      <c r="X319" s="463">
        <v>5</v>
      </c>
      <c r="Y319" s="464"/>
      <c r="Z319" s="464"/>
      <c r="AA319" s="472" t="s">
        <v>1198</v>
      </c>
      <c r="AB319" s="463" t="s">
        <v>539</v>
      </c>
      <c r="AC319" s="463" t="s">
        <v>539</v>
      </c>
      <c r="AD319" s="472" t="s">
        <v>1199</v>
      </c>
      <c r="AE319" s="463">
        <v>80</v>
      </c>
      <c r="AF319" s="463">
        <v>86.49</v>
      </c>
      <c r="AG319" s="463" t="s">
        <v>375</v>
      </c>
      <c r="AH319" s="476"/>
      <c r="AI319" s="472">
        <v>848402742</v>
      </c>
      <c r="AJ319" s="472" t="s">
        <v>543</v>
      </c>
    </row>
    <row r="320" spans="2:36" ht="24" hidden="1" customHeight="1">
      <c r="B320" s="463">
        <v>249</v>
      </c>
      <c r="C320" s="464" t="s">
        <v>165</v>
      </c>
      <c r="D320" s="464"/>
      <c r="E320" s="464" t="s">
        <v>535</v>
      </c>
      <c r="F320" s="464"/>
      <c r="G320" s="464" t="s">
        <v>272</v>
      </c>
      <c r="H320" s="464" t="s">
        <v>1200</v>
      </c>
      <c r="I320" s="465" t="s">
        <v>537</v>
      </c>
      <c r="J320" s="465" t="s">
        <v>537</v>
      </c>
      <c r="K320" s="466">
        <v>12900</v>
      </c>
      <c r="L320" s="465" t="s">
        <v>537</v>
      </c>
      <c r="M320" s="465" t="s">
        <v>537</v>
      </c>
      <c r="N320" s="466">
        <v>12900</v>
      </c>
      <c r="O320" s="463" t="s">
        <v>537</v>
      </c>
      <c r="P320" s="463" t="s">
        <v>537</v>
      </c>
      <c r="Q320" s="465">
        <v>0</v>
      </c>
      <c r="R320" s="470">
        <v>241487</v>
      </c>
      <c r="S320" s="463" t="s">
        <v>1201</v>
      </c>
      <c r="T320" s="463">
        <v>167</v>
      </c>
      <c r="U320" s="463">
        <v>10</v>
      </c>
      <c r="V320" s="463">
        <v>10</v>
      </c>
      <c r="W320" s="463">
        <v>187</v>
      </c>
      <c r="X320" s="464"/>
      <c r="Y320" s="464"/>
      <c r="Z320" s="463">
        <v>91.75</v>
      </c>
      <c r="AA320" s="472" t="s">
        <v>1202</v>
      </c>
      <c r="AB320" s="463" t="s">
        <v>539</v>
      </c>
      <c r="AC320" s="463" t="s">
        <v>539</v>
      </c>
      <c r="AD320" s="472" t="s">
        <v>1203</v>
      </c>
      <c r="AE320" s="463">
        <v>80</v>
      </c>
      <c r="AF320" s="463">
        <v>91.75</v>
      </c>
      <c r="AG320" s="463" t="s">
        <v>375</v>
      </c>
      <c r="AH320" s="476"/>
      <c r="AI320" s="472">
        <v>848402742</v>
      </c>
      <c r="AJ320" s="472" t="s">
        <v>543</v>
      </c>
    </row>
    <row r="321" spans="1:36" ht="24" hidden="1" customHeight="1">
      <c r="B321" s="463">
        <v>250</v>
      </c>
      <c r="C321" s="464" t="s">
        <v>165</v>
      </c>
      <c r="D321" s="464" t="s">
        <v>544</v>
      </c>
      <c r="E321" s="464" t="s">
        <v>535</v>
      </c>
      <c r="F321" s="464"/>
      <c r="G321" s="464" t="s">
        <v>272</v>
      </c>
      <c r="H321" s="464" t="s">
        <v>1204</v>
      </c>
      <c r="I321" s="466">
        <v>21500</v>
      </c>
      <c r="J321" s="465" t="s">
        <v>537</v>
      </c>
      <c r="K321" s="465" t="s">
        <v>537</v>
      </c>
      <c r="L321" s="465">
        <v>0</v>
      </c>
      <c r="M321" s="465" t="s">
        <v>537</v>
      </c>
      <c r="N321" s="465" t="s">
        <v>537</v>
      </c>
      <c r="O321" s="463" t="s">
        <v>537</v>
      </c>
      <c r="P321" s="463" t="s">
        <v>537</v>
      </c>
      <c r="Q321" s="468">
        <v>21500</v>
      </c>
      <c r="R321" s="463" t="s">
        <v>552</v>
      </c>
      <c r="S321" s="464"/>
      <c r="T321" s="463">
        <v>4</v>
      </c>
      <c r="U321" s="463">
        <v>1</v>
      </c>
      <c r="V321" s="463">
        <v>0</v>
      </c>
      <c r="W321" s="463">
        <v>0</v>
      </c>
      <c r="X321" s="463">
        <v>0</v>
      </c>
      <c r="Y321" s="463">
        <v>0</v>
      </c>
      <c r="Z321" s="464"/>
      <c r="AA321" s="472" t="s">
        <v>633</v>
      </c>
      <c r="AB321" s="463" t="s">
        <v>539</v>
      </c>
      <c r="AC321" s="463" t="s">
        <v>539</v>
      </c>
      <c r="AD321" s="472" t="s">
        <v>1016</v>
      </c>
      <c r="AE321" s="463" t="s">
        <v>620</v>
      </c>
      <c r="AF321" s="463">
        <v>87</v>
      </c>
      <c r="AG321" s="463" t="s">
        <v>376</v>
      </c>
      <c r="AH321" s="476"/>
      <c r="AI321" s="464"/>
      <c r="AJ321" s="464"/>
    </row>
    <row r="322" spans="1:36" ht="24" hidden="1" customHeight="1">
      <c r="B322" s="463">
        <v>251</v>
      </c>
      <c r="C322" s="464" t="s">
        <v>165</v>
      </c>
      <c r="D322" s="464" t="s">
        <v>544</v>
      </c>
      <c r="E322" s="464" t="s">
        <v>535</v>
      </c>
      <c r="F322" s="464"/>
      <c r="G322" s="464" t="s">
        <v>272</v>
      </c>
      <c r="H322" s="464" t="s">
        <v>1205</v>
      </c>
      <c r="I322" s="466">
        <v>21500</v>
      </c>
      <c r="J322" s="465" t="s">
        <v>537</v>
      </c>
      <c r="K322" s="465" t="s">
        <v>537</v>
      </c>
      <c r="L322" s="466">
        <v>21400</v>
      </c>
      <c r="M322" s="465" t="s">
        <v>537</v>
      </c>
      <c r="N322" s="465" t="s">
        <v>537</v>
      </c>
      <c r="O322" s="463" t="s">
        <v>537</v>
      </c>
      <c r="P322" s="463" t="s">
        <v>537</v>
      </c>
      <c r="Q322" s="465">
        <v>100</v>
      </c>
      <c r="R322" s="463" t="s">
        <v>552</v>
      </c>
      <c r="S322" s="463" t="s">
        <v>743</v>
      </c>
      <c r="T322" s="463">
        <v>3</v>
      </c>
      <c r="U322" s="463">
        <v>2</v>
      </c>
      <c r="V322" s="463">
        <v>0</v>
      </c>
      <c r="W322" s="463">
        <v>3</v>
      </c>
      <c r="X322" s="463">
        <v>2</v>
      </c>
      <c r="Y322" s="464"/>
      <c r="Z322" s="463">
        <v>92</v>
      </c>
      <c r="AA322" s="472" t="s">
        <v>633</v>
      </c>
      <c r="AB322" s="463" t="s">
        <v>539</v>
      </c>
      <c r="AC322" s="463" t="s">
        <v>539</v>
      </c>
      <c r="AD322" s="472" t="s">
        <v>1016</v>
      </c>
      <c r="AE322" s="463" t="s">
        <v>620</v>
      </c>
      <c r="AF322" s="463">
        <v>92</v>
      </c>
      <c r="AG322" s="463" t="s">
        <v>376</v>
      </c>
      <c r="AH322" s="476"/>
      <c r="AI322" s="472">
        <v>848402742</v>
      </c>
      <c r="AJ322" s="464"/>
    </row>
    <row r="323" spans="1:36" ht="24" hidden="1" customHeight="1">
      <c r="B323" s="463">
        <v>252</v>
      </c>
      <c r="C323" s="464" t="s">
        <v>165</v>
      </c>
      <c r="D323" s="464" t="s">
        <v>544</v>
      </c>
      <c r="E323" s="464" t="s">
        <v>535</v>
      </c>
      <c r="F323" s="464"/>
      <c r="G323" s="464" t="s">
        <v>272</v>
      </c>
      <c r="H323" s="464" t="s">
        <v>1206</v>
      </c>
      <c r="I323" s="466">
        <v>21500</v>
      </c>
      <c r="J323" s="465" t="s">
        <v>537</v>
      </c>
      <c r="K323" s="465" t="s">
        <v>537</v>
      </c>
      <c r="L323" s="466">
        <v>18112</v>
      </c>
      <c r="M323" s="465" t="s">
        <v>537</v>
      </c>
      <c r="N323" s="465" t="s">
        <v>537</v>
      </c>
      <c r="O323" s="463" t="s">
        <v>537</v>
      </c>
      <c r="P323" s="463" t="s">
        <v>537</v>
      </c>
      <c r="Q323" s="468">
        <v>3388</v>
      </c>
      <c r="R323" s="463" t="s">
        <v>552</v>
      </c>
      <c r="S323" s="463" t="s">
        <v>1207</v>
      </c>
      <c r="T323" s="463">
        <v>4</v>
      </c>
      <c r="U323" s="463">
        <v>1</v>
      </c>
      <c r="V323" s="463">
        <v>0</v>
      </c>
      <c r="W323" s="463">
        <v>2</v>
      </c>
      <c r="X323" s="463">
        <v>1</v>
      </c>
      <c r="Y323" s="464"/>
      <c r="Z323" s="463">
        <v>93</v>
      </c>
      <c r="AA323" s="472" t="s">
        <v>633</v>
      </c>
      <c r="AB323" s="463" t="s">
        <v>539</v>
      </c>
      <c r="AC323" s="463" t="s">
        <v>539</v>
      </c>
      <c r="AD323" s="472" t="s">
        <v>1016</v>
      </c>
      <c r="AE323" s="463" t="s">
        <v>620</v>
      </c>
      <c r="AF323" s="463">
        <v>93</v>
      </c>
      <c r="AG323" s="463" t="s">
        <v>376</v>
      </c>
      <c r="AH323" s="476"/>
      <c r="AI323" s="472">
        <v>848402742</v>
      </c>
      <c r="AJ323" s="464"/>
    </row>
    <row r="324" spans="1:36" ht="24" hidden="1" customHeight="1">
      <c r="B324" s="463">
        <v>253</v>
      </c>
      <c r="C324" s="464" t="s">
        <v>165</v>
      </c>
      <c r="D324" s="464" t="s">
        <v>544</v>
      </c>
      <c r="E324" s="464" t="s">
        <v>535</v>
      </c>
      <c r="F324" s="464"/>
      <c r="G324" s="464" t="s">
        <v>272</v>
      </c>
      <c r="H324" s="464" t="s">
        <v>1208</v>
      </c>
      <c r="I324" s="466">
        <v>21500</v>
      </c>
      <c r="J324" s="465" t="s">
        <v>537</v>
      </c>
      <c r="K324" s="465" t="s">
        <v>537</v>
      </c>
      <c r="L324" s="466">
        <v>16132</v>
      </c>
      <c r="M324" s="465" t="s">
        <v>537</v>
      </c>
      <c r="N324" s="465" t="s">
        <v>537</v>
      </c>
      <c r="O324" s="463" t="s">
        <v>537</v>
      </c>
      <c r="P324" s="463" t="s">
        <v>537</v>
      </c>
      <c r="Q324" s="468">
        <v>5368</v>
      </c>
      <c r="R324" s="463" t="s">
        <v>552</v>
      </c>
      <c r="S324" s="463" t="s">
        <v>1207</v>
      </c>
      <c r="T324" s="463">
        <v>2</v>
      </c>
      <c r="U324" s="463">
        <v>1</v>
      </c>
      <c r="V324" s="463">
        <v>0</v>
      </c>
      <c r="W324" s="463">
        <v>4</v>
      </c>
      <c r="X324" s="463">
        <v>1</v>
      </c>
      <c r="Y324" s="464"/>
      <c r="Z324" s="463">
        <v>90</v>
      </c>
      <c r="AA324" s="472" t="s">
        <v>633</v>
      </c>
      <c r="AB324" s="463" t="s">
        <v>539</v>
      </c>
      <c r="AC324" s="463" t="s">
        <v>539</v>
      </c>
      <c r="AD324" s="472" t="s">
        <v>1016</v>
      </c>
      <c r="AE324" s="463" t="s">
        <v>620</v>
      </c>
      <c r="AF324" s="463">
        <v>90</v>
      </c>
      <c r="AG324" s="463" t="s">
        <v>376</v>
      </c>
      <c r="AH324" s="476"/>
      <c r="AI324" s="464"/>
      <c r="AJ324" s="464"/>
    </row>
    <row r="325" spans="1:36" ht="24" hidden="1" customHeight="1">
      <c r="B325" s="463">
        <v>254</v>
      </c>
      <c r="C325" s="464" t="s">
        <v>165</v>
      </c>
      <c r="D325" s="464" t="s">
        <v>544</v>
      </c>
      <c r="E325" s="464" t="s">
        <v>535</v>
      </c>
      <c r="F325" s="464"/>
      <c r="G325" s="464" t="s">
        <v>272</v>
      </c>
      <c r="H325" s="464" t="s">
        <v>1209</v>
      </c>
      <c r="I325" s="466">
        <v>21500</v>
      </c>
      <c r="J325" s="465" t="s">
        <v>537</v>
      </c>
      <c r="K325" s="465" t="s">
        <v>537</v>
      </c>
      <c r="L325" s="466">
        <v>20300</v>
      </c>
      <c r="M325" s="465" t="s">
        <v>537</v>
      </c>
      <c r="N325" s="465" t="s">
        <v>537</v>
      </c>
      <c r="O325" s="463" t="s">
        <v>537</v>
      </c>
      <c r="P325" s="463" t="s">
        <v>537</v>
      </c>
      <c r="Q325" s="468">
        <v>1200</v>
      </c>
      <c r="R325" s="463" t="s">
        <v>552</v>
      </c>
      <c r="S325" s="471">
        <v>22300</v>
      </c>
      <c r="T325" s="463">
        <v>4</v>
      </c>
      <c r="U325" s="463">
        <v>1</v>
      </c>
      <c r="V325" s="463">
        <v>0</v>
      </c>
      <c r="W325" s="463">
        <v>4</v>
      </c>
      <c r="X325" s="463">
        <v>1</v>
      </c>
      <c r="Y325" s="464"/>
      <c r="Z325" s="463">
        <v>94</v>
      </c>
      <c r="AA325" s="472" t="s">
        <v>633</v>
      </c>
      <c r="AB325" s="463" t="s">
        <v>539</v>
      </c>
      <c r="AC325" s="463" t="s">
        <v>539</v>
      </c>
      <c r="AD325" s="472" t="s">
        <v>1016</v>
      </c>
      <c r="AE325" s="463" t="s">
        <v>620</v>
      </c>
      <c r="AF325" s="463">
        <v>94</v>
      </c>
      <c r="AG325" s="463" t="s">
        <v>376</v>
      </c>
      <c r="AH325" s="476"/>
      <c r="AI325" s="472">
        <v>848402742</v>
      </c>
      <c r="AJ325" s="464"/>
    </row>
    <row r="326" spans="1:36" ht="24" hidden="1" customHeight="1">
      <c r="B326" s="463">
        <v>255</v>
      </c>
      <c r="C326" s="464" t="s">
        <v>165</v>
      </c>
      <c r="D326" s="464" t="s">
        <v>544</v>
      </c>
      <c r="E326" s="464" t="s">
        <v>535</v>
      </c>
      <c r="F326" s="464"/>
      <c r="G326" s="464" t="s">
        <v>272</v>
      </c>
      <c r="H326" s="464" t="s">
        <v>1210</v>
      </c>
      <c r="I326" s="466">
        <v>21000</v>
      </c>
      <c r="J326" s="465" t="s">
        <v>537</v>
      </c>
      <c r="K326" s="465" t="s">
        <v>537</v>
      </c>
      <c r="L326" s="466">
        <v>16920</v>
      </c>
      <c r="M326" s="465" t="s">
        <v>537</v>
      </c>
      <c r="N326" s="465" t="s">
        <v>537</v>
      </c>
      <c r="O326" s="463" t="s">
        <v>537</v>
      </c>
      <c r="P326" s="463" t="s">
        <v>537</v>
      </c>
      <c r="Q326" s="468">
        <v>4080</v>
      </c>
      <c r="R326" s="463" t="s">
        <v>552</v>
      </c>
      <c r="S326" s="463" t="s">
        <v>1211</v>
      </c>
      <c r="T326" s="463">
        <v>3</v>
      </c>
      <c r="U326" s="463">
        <v>2</v>
      </c>
      <c r="V326" s="463">
        <v>0</v>
      </c>
      <c r="W326" s="463">
        <v>2</v>
      </c>
      <c r="X326" s="463">
        <v>2</v>
      </c>
      <c r="Y326" s="464"/>
      <c r="Z326" s="463">
        <v>92</v>
      </c>
      <c r="AA326" s="472" t="s">
        <v>633</v>
      </c>
      <c r="AB326" s="463" t="s">
        <v>539</v>
      </c>
      <c r="AC326" s="463" t="s">
        <v>539</v>
      </c>
      <c r="AD326" s="472" t="s">
        <v>1016</v>
      </c>
      <c r="AE326" s="463" t="s">
        <v>620</v>
      </c>
      <c r="AF326" s="463">
        <v>92</v>
      </c>
      <c r="AG326" s="463" t="s">
        <v>376</v>
      </c>
      <c r="AH326" s="476"/>
      <c r="AI326" s="472">
        <v>848402742</v>
      </c>
      <c r="AJ326" s="464"/>
    </row>
    <row r="327" spans="1:36" ht="24" hidden="1" customHeight="1">
      <c r="B327" s="463">
        <v>256</v>
      </c>
      <c r="C327" s="464" t="s">
        <v>165</v>
      </c>
      <c r="D327" s="464" t="s">
        <v>544</v>
      </c>
      <c r="E327" s="464" t="s">
        <v>535</v>
      </c>
      <c r="F327" s="464"/>
      <c r="G327" s="464" t="s">
        <v>272</v>
      </c>
      <c r="H327" s="464" t="s">
        <v>1212</v>
      </c>
      <c r="I327" s="466">
        <v>19200</v>
      </c>
      <c r="J327" s="465" t="s">
        <v>537</v>
      </c>
      <c r="K327" s="465" t="s">
        <v>537</v>
      </c>
      <c r="L327" s="466">
        <v>19200</v>
      </c>
      <c r="M327" s="465" t="s">
        <v>537</v>
      </c>
      <c r="N327" s="465" t="s">
        <v>537</v>
      </c>
      <c r="O327" s="463" t="s">
        <v>537</v>
      </c>
      <c r="P327" s="463" t="s">
        <v>537</v>
      </c>
      <c r="Q327" s="465">
        <v>0</v>
      </c>
      <c r="R327" s="470">
        <v>241459</v>
      </c>
      <c r="S327" s="463" t="s">
        <v>1213</v>
      </c>
      <c r="T327" s="463">
        <v>100</v>
      </c>
      <c r="U327" s="463">
        <v>20</v>
      </c>
      <c r="V327" s="463">
        <v>0</v>
      </c>
      <c r="W327" s="463">
        <v>120</v>
      </c>
      <c r="X327" s="464"/>
      <c r="Y327" s="464"/>
      <c r="Z327" s="463">
        <v>93</v>
      </c>
      <c r="AA327" s="472" t="s">
        <v>547</v>
      </c>
      <c r="AB327" s="463" t="s">
        <v>539</v>
      </c>
      <c r="AC327" s="463" t="s">
        <v>539</v>
      </c>
      <c r="AD327" s="472" t="s">
        <v>1140</v>
      </c>
      <c r="AE327" s="463" t="s">
        <v>1141</v>
      </c>
      <c r="AF327" s="463">
        <v>93</v>
      </c>
      <c r="AG327" s="463" t="s">
        <v>376</v>
      </c>
      <c r="AH327" s="476"/>
      <c r="AI327" s="472">
        <v>848402742</v>
      </c>
      <c r="AJ327" s="464"/>
    </row>
    <row r="328" spans="1:36" ht="24" hidden="1" customHeight="1">
      <c r="B328" s="463">
        <v>257</v>
      </c>
      <c r="C328" s="464" t="s">
        <v>165</v>
      </c>
      <c r="D328" s="464" t="s">
        <v>544</v>
      </c>
      <c r="E328" s="464" t="s">
        <v>535</v>
      </c>
      <c r="F328" s="464"/>
      <c r="G328" s="464" t="s">
        <v>272</v>
      </c>
      <c r="H328" s="464" t="s">
        <v>642</v>
      </c>
      <c r="I328" s="466">
        <v>60000</v>
      </c>
      <c r="J328" s="465" t="s">
        <v>537</v>
      </c>
      <c r="K328" s="465" t="s">
        <v>537</v>
      </c>
      <c r="L328" s="466">
        <v>60000</v>
      </c>
      <c r="M328" s="465" t="s">
        <v>537</v>
      </c>
      <c r="N328" s="465" t="s">
        <v>537</v>
      </c>
      <c r="O328" s="463" t="s">
        <v>537</v>
      </c>
      <c r="P328" s="463" t="s">
        <v>537</v>
      </c>
      <c r="Q328" s="465">
        <v>0</v>
      </c>
      <c r="R328" s="463" t="s">
        <v>1214</v>
      </c>
      <c r="S328" s="463" t="s">
        <v>1215</v>
      </c>
      <c r="T328" s="463">
        <v>0</v>
      </c>
      <c r="U328" s="463">
        <v>2</v>
      </c>
      <c r="V328" s="463">
        <v>0</v>
      </c>
      <c r="W328" s="464"/>
      <c r="X328" s="463">
        <v>7</v>
      </c>
      <c r="Y328" s="464"/>
      <c r="Z328" s="463">
        <v>92</v>
      </c>
      <c r="AA328" s="472" t="s">
        <v>633</v>
      </c>
      <c r="AB328" s="463" t="s">
        <v>539</v>
      </c>
      <c r="AC328" s="463" t="s">
        <v>539</v>
      </c>
      <c r="AD328" s="472" t="s">
        <v>635</v>
      </c>
      <c r="AE328" s="463" t="s">
        <v>539</v>
      </c>
      <c r="AF328" s="463" t="s">
        <v>539</v>
      </c>
      <c r="AG328" s="463" t="s">
        <v>375</v>
      </c>
      <c r="AH328" s="476"/>
      <c r="AI328" s="472">
        <v>848402742</v>
      </c>
      <c r="AJ328" s="464"/>
    </row>
    <row r="329" spans="1:36" ht="24" hidden="1" customHeight="1">
      <c r="B329" s="701">
        <v>258</v>
      </c>
      <c r="C329" s="699" t="s">
        <v>165</v>
      </c>
      <c r="D329" s="699" t="s">
        <v>544</v>
      </c>
      <c r="E329" s="699" t="s">
        <v>535</v>
      </c>
      <c r="F329" s="699"/>
      <c r="G329" s="699" t="s">
        <v>272</v>
      </c>
      <c r="H329" s="699" t="s">
        <v>1216</v>
      </c>
      <c r="I329" s="712">
        <v>300000</v>
      </c>
      <c r="J329" s="709" t="s">
        <v>537</v>
      </c>
      <c r="K329" s="709" t="s">
        <v>537</v>
      </c>
      <c r="L329" s="712">
        <v>271540</v>
      </c>
      <c r="M329" s="709" t="s">
        <v>537</v>
      </c>
      <c r="N329" s="709" t="s">
        <v>537</v>
      </c>
      <c r="O329" s="701" t="s">
        <v>537</v>
      </c>
      <c r="P329" s="701" t="s">
        <v>537</v>
      </c>
      <c r="Q329" s="705">
        <v>28460</v>
      </c>
      <c r="R329" s="701" t="s">
        <v>552</v>
      </c>
      <c r="S329" s="701" t="s">
        <v>1217</v>
      </c>
      <c r="T329" s="701">
        <v>34</v>
      </c>
      <c r="U329" s="701">
        <v>16</v>
      </c>
      <c r="V329" s="701">
        <v>0</v>
      </c>
      <c r="W329" s="701">
        <v>46</v>
      </c>
      <c r="X329" s="699"/>
      <c r="Y329" s="699"/>
      <c r="Z329" s="701">
        <v>99.28</v>
      </c>
      <c r="AA329" s="697" t="s">
        <v>1218</v>
      </c>
      <c r="AB329" s="701" t="s">
        <v>539</v>
      </c>
      <c r="AC329" s="701" t="s">
        <v>539</v>
      </c>
      <c r="AD329" s="458" t="s">
        <v>651</v>
      </c>
      <c r="AE329" s="459" t="s">
        <v>641</v>
      </c>
      <c r="AF329" s="459">
        <v>2</v>
      </c>
      <c r="AG329" s="701" t="s">
        <v>375</v>
      </c>
      <c r="AH329" s="728"/>
      <c r="AI329" s="697">
        <v>848402742</v>
      </c>
      <c r="AJ329" s="699"/>
    </row>
    <row r="330" spans="1:36" ht="24" hidden="1" customHeight="1">
      <c r="B330" s="702"/>
      <c r="C330" s="700"/>
      <c r="D330" s="700"/>
      <c r="E330" s="700"/>
      <c r="F330" s="700"/>
      <c r="G330" s="700"/>
      <c r="H330" s="700"/>
      <c r="I330" s="713"/>
      <c r="J330" s="710"/>
      <c r="K330" s="710"/>
      <c r="L330" s="713"/>
      <c r="M330" s="710"/>
      <c r="N330" s="710"/>
      <c r="O330" s="702"/>
      <c r="P330" s="702"/>
      <c r="Q330" s="706"/>
      <c r="R330" s="702"/>
      <c r="S330" s="702"/>
      <c r="T330" s="702"/>
      <c r="U330" s="702"/>
      <c r="V330" s="702"/>
      <c r="W330" s="702"/>
      <c r="X330" s="700"/>
      <c r="Y330" s="700"/>
      <c r="Z330" s="702"/>
      <c r="AA330" s="698"/>
      <c r="AB330" s="702"/>
      <c r="AC330" s="702"/>
      <c r="AD330" s="473" t="s">
        <v>1219</v>
      </c>
      <c r="AE330" s="474" t="s">
        <v>539</v>
      </c>
      <c r="AF330" s="474" t="s">
        <v>539</v>
      </c>
      <c r="AG330" s="702"/>
      <c r="AH330" s="729"/>
      <c r="AI330" s="698"/>
      <c r="AJ330" s="700"/>
    </row>
    <row r="331" spans="1:36" ht="24" hidden="1" customHeight="1">
      <c r="B331" s="463">
        <v>259</v>
      </c>
      <c r="C331" s="464" t="s">
        <v>165</v>
      </c>
      <c r="D331" s="464" t="s">
        <v>544</v>
      </c>
      <c r="E331" s="464" t="s">
        <v>535</v>
      </c>
      <c r="F331" s="464"/>
      <c r="G331" s="464" t="s">
        <v>272</v>
      </c>
      <c r="H331" s="464" t="s">
        <v>1220</v>
      </c>
      <c r="I331" s="466">
        <v>21500</v>
      </c>
      <c r="J331" s="465" t="s">
        <v>537</v>
      </c>
      <c r="K331" s="465" t="s">
        <v>537</v>
      </c>
      <c r="L331" s="466">
        <v>11132</v>
      </c>
      <c r="M331" s="465" t="s">
        <v>537</v>
      </c>
      <c r="N331" s="465" t="s">
        <v>537</v>
      </c>
      <c r="O331" s="463" t="s">
        <v>537</v>
      </c>
      <c r="P331" s="463" t="s">
        <v>537</v>
      </c>
      <c r="Q331" s="468">
        <v>10368</v>
      </c>
      <c r="R331" s="463" t="s">
        <v>552</v>
      </c>
      <c r="S331" s="463" t="s">
        <v>1221</v>
      </c>
      <c r="T331" s="463">
        <v>4</v>
      </c>
      <c r="U331" s="463">
        <v>1</v>
      </c>
      <c r="V331" s="463">
        <v>0</v>
      </c>
      <c r="W331" s="463">
        <v>6</v>
      </c>
      <c r="X331" s="463">
        <v>3</v>
      </c>
      <c r="Y331" s="464"/>
      <c r="Z331" s="463">
        <v>94</v>
      </c>
      <c r="AA331" s="472" t="s">
        <v>633</v>
      </c>
      <c r="AB331" s="463" t="s">
        <v>539</v>
      </c>
      <c r="AC331" s="463" t="s">
        <v>539</v>
      </c>
      <c r="AD331" s="472" t="s">
        <v>1016</v>
      </c>
      <c r="AE331" s="463" t="s">
        <v>620</v>
      </c>
      <c r="AF331" s="463">
        <v>94</v>
      </c>
      <c r="AG331" s="463" t="s">
        <v>376</v>
      </c>
      <c r="AH331" s="476"/>
      <c r="AI331" s="472">
        <v>848402742</v>
      </c>
      <c r="AJ331" s="464"/>
    </row>
    <row r="332" spans="1:36" ht="24" hidden="1" customHeight="1">
      <c r="B332" s="463">
        <v>260</v>
      </c>
      <c r="C332" s="464" t="s">
        <v>165</v>
      </c>
      <c r="D332" s="464" t="s">
        <v>544</v>
      </c>
      <c r="E332" s="464" t="s">
        <v>535</v>
      </c>
      <c r="F332" s="464"/>
      <c r="G332" s="464" t="s">
        <v>272</v>
      </c>
      <c r="H332" s="464" t="s">
        <v>636</v>
      </c>
      <c r="I332" s="466">
        <v>200000</v>
      </c>
      <c r="J332" s="465" t="s">
        <v>537</v>
      </c>
      <c r="K332" s="465" t="s">
        <v>537</v>
      </c>
      <c r="L332" s="466">
        <v>200000</v>
      </c>
      <c r="M332" s="465" t="s">
        <v>537</v>
      </c>
      <c r="N332" s="465" t="s">
        <v>537</v>
      </c>
      <c r="O332" s="463" t="s">
        <v>537</v>
      </c>
      <c r="P332" s="463" t="s">
        <v>537</v>
      </c>
      <c r="Q332" s="465">
        <v>0</v>
      </c>
      <c r="R332" s="470">
        <v>241609</v>
      </c>
      <c r="S332" s="463" t="s">
        <v>637</v>
      </c>
      <c r="T332" s="463">
        <v>121</v>
      </c>
      <c r="U332" s="463">
        <v>19</v>
      </c>
      <c r="V332" s="463">
        <v>140</v>
      </c>
      <c r="W332" s="463">
        <v>85</v>
      </c>
      <c r="X332" s="463">
        <v>0</v>
      </c>
      <c r="Y332" s="463">
        <v>0</v>
      </c>
      <c r="Z332" s="463">
        <v>92</v>
      </c>
      <c r="AA332" s="472" t="s">
        <v>547</v>
      </c>
      <c r="AB332" s="463" t="s">
        <v>539</v>
      </c>
      <c r="AC332" s="463" t="s">
        <v>539</v>
      </c>
      <c r="AD332" s="472" t="s">
        <v>699</v>
      </c>
      <c r="AE332" s="463" t="s">
        <v>1172</v>
      </c>
      <c r="AF332" s="463">
        <v>1</v>
      </c>
      <c r="AG332" s="463" t="s">
        <v>376</v>
      </c>
      <c r="AH332" s="476"/>
      <c r="AI332" s="472">
        <v>848402742</v>
      </c>
      <c r="AJ332" s="464"/>
    </row>
    <row r="333" spans="1:36" ht="24" hidden="1" customHeight="1">
      <c r="B333" s="463">
        <v>261</v>
      </c>
      <c r="C333" s="464" t="s">
        <v>165</v>
      </c>
      <c r="D333" s="464" t="s">
        <v>544</v>
      </c>
      <c r="E333" s="464" t="s">
        <v>535</v>
      </c>
      <c r="F333" s="464"/>
      <c r="G333" s="464" t="s">
        <v>272</v>
      </c>
      <c r="H333" s="464" t="s">
        <v>1222</v>
      </c>
      <c r="I333" s="466">
        <v>10800</v>
      </c>
      <c r="J333" s="465" t="s">
        <v>537</v>
      </c>
      <c r="K333" s="465" t="s">
        <v>537</v>
      </c>
      <c r="L333" s="466">
        <v>10800</v>
      </c>
      <c r="M333" s="465" t="s">
        <v>537</v>
      </c>
      <c r="N333" s="465" t="s">
        <v>537</v>
      </c>
      <c r="O333" s="463" t="s">
        <v>537</v>
      </c>
      <c r="P333" s="463" t="s">
        <v>537</v>
      </c>
      <c r="Q333" s="465">
        <v>0</v>
      </c>
      <c r="R333" s="470">
        <v>241459</v>
      </c>
      <c r="S333" s="471">
        <v>22339</v>
      </c>
      <c r="T333" s="463">
        <v>0</v>
      </c>
      <c r="U333" s="463">
        <v>40</v>
      </c>
      <c r="V333" s="463">
        <v>0</v>
      </c>
      <c r="W333" s="464"/>
      <c r="X333" s="463">
        <v>40</v>
      </c>
      <c r="Y333" s="464"/>
      <c r="Z333" s="463">
        <v>94</v>
      </c>
      <c r="AA333" s="472" t="s">
        <v>547</v>
      </c>
      <c r="AB333" s="463" t="s">
        <v>539</v>
      </c>
      <c r="AC333" s="463" t="s">
        <v>539</v>
      </c>
      <c r="AD333" s="472" t="s">
        <v>1140</v>
      </c>
      <c r="AE333" s="463" t="s">
        <v>1141</v>
      </c>
      <c r="AF333" s="463">
        <v>94</v>
      </c>
      <c r="AG333" s="463" t="s">
        <v>376</v>
      </c>
      <c r="AH333" s="476"/>
      <c r="AI333" s="472">
        <v>848402742</v>
      </c>
      <c r="AJ333" s="464"/>
    </row>
    <row r="334" spans="1:36" ht="24" customHeight="1">
      <c r="A334" s="452">
        <v>80</v>
      </c>
      <c r="B334" s="463">
        <v>262</v>
      </c>
      <c r="C334" s="464" t="s">
        <v>337</v>
      </c>
      <c r="D334" s="464"/>
      <c r="E334" s="464" t="s">
        <v>1070</v>
      </c>
      <c r="F334" s="464"/>
      <c r="G334" s="464" t="s">
        <v>272</v>
      </c>
      <c r="H334" s="464" t="s">
        <v>1223</v>
      </c>
      <c r="I334" s="465" t="s">
        <v>537</v>
      </c>
      <c r="J334" s="465" t="s">
        <v>537</v>
      </c>
      <c r="K334" s="466">
        <v>18000</v>
      </c>
      <c r="L334" s="465" t="s">
        <v>537</v>
      </c>
      <c r="M334" s="465" t="s">
        <v>537</v>
      </c>
      <c r="N334" s="466">
        <v>16990</v>
      </c>
      <c r="O334" s="463" t="s">
        <v>537</v>
      </c>
      <c r="P334" s="463" t="s">
        <v>537</v>
      </c>
      <c r="Q334" s="468">
        <v>1010</v>
      </c>
      <c r="R334" s="470">
        <v>241579</v>
      </c>
      <c r="S334" s="471">
        <v>22433</v>
      </c>
      <c r="T334" s="463">
        <v>0</v>
      </c>
      <c r="U334" s="463">
        <v>30</v>
      </c>
      <c r="V334" s="463">
        <v>0</v>
      </c>
      <c r="W334" s="464"/>
      <c r="X334" s="463">
        <v>30</v>
      </c>
      <c r="Y334" s="464"/>
      <c r="Z334" s="463">
        <v>92.4</v>
      </c>
      <c r="AA334" s="472" t="s">
        <v>1224</v>
      </c>
      <c r="AB334" s="463">
        <v>80</v>
      </c>
      <c r="AC334" s="463">
        <v>92.4</v>
      </c>
      <c r="AD334" s="472" t="s">
        <v>548</v>
      </c>
      <c r="AE334" s="463">
        <v>80</v>
      </c>
      <c r="AF334" s="463">
        <v>92.4</v>
      </c>
      <c r="AG334" s="463" t="s">
        <v>375</v>
      </c>
      <c r="AH334" s="476"/>
      <c r="AI334" s="472">
        <v>848402742</v>
      </c>
      <c r="AJ334" s="472" t="s">
        <v>543</v>
      </c>
    </row>
    <row r="335" spans="1:36" ht="24" customHeight="1">
      <c r="A335" s="452">
        <v>81</v>
      </c>
      <c r="B335" s="463">
        <v>263</v>
      </c>
      <c r="C335" s="464" t="s">
        <v>337</v>
      </c>
      <c r="D335" s="464"/>
      <c r="E335" s="464" t="s">
        <v>1070</v>
      </c>
      <c r="F335" s="464"/>
      <c r="G335" s="464" t="s">
        <v>272</v>
      </c>
      <c r="H335" s="464" t="s">
        <v>1225</v>
      </c>
      <c r="I335" s="465" t="s">
        <v>537</v>
      </c>
      <c r="J335" s="465" t="s">
        <v>537</v>
      </c>
      <c r="K335" s="466">
        <v>107820</v>
      </c>
      <c r="L335" s="465" t="s">
        <v>537</v>
      </c>
      <c r="M335" s="465" t="s">
        <v>537</v>
      </c>
      <c r="N335" s="466">
        <v>97352</v>
      </c>
      <c r="O335" s="463" t="s">
        <v>537</v>
      </c>
      <c r="P335" s="463" t="s">
        <v>537</v>
      </c>
      <c r="Q335" s="468">
        <v>10468</v>
      </c>
      <c r="R335" s="470">
        <v>241609</v>
      </c>
      <c r="S335" s="463" t="s">
        <v>1226</v>
      </c>
      <c r="T335" s="463">
        <v>0</v>
      </c>
      <c r="U335" s="463">
        <v>27</v>
      </c>
      <c r="V335" s="463">
        <v>0</v>
      </c>
      <c r="W335" s="464"/>
      <c r="X335" s="463">
        <v>28</v>
      </c>
      <c r="Y335" s="464"/>
      <c r="Z335" s="463">
        <v>94</v>
      </c>
      <c r="AA335" s="472" t="s">
        <v>1227</v>
      </c>
      <c r="AB335" s="463" t="s">
        <v>539</v>
      </c>
      <c r="AC335" s="463" t="s">
        <v>1040</v>
      </c>
      <c r="AD335" s="472" t="s">
        <v>635</v>
      </c>
      <c r="AE335" s="463" t="s">
        <v>539</v>
      </c>
      <c r="AF335" s="463" t="s">
        <v>1040</v>
      </c>
      <c r="AG335" s="463" t="s">
        <v>376</v>
      </c>
      <c r="AH335" s="476"/>
      <c r="AI335" s="472">
        <v>848402742</v>
      </c>
      <c r="AJ335" s="472" t="s">
        <v>543</v>
      </c>
    </row>
    <row r="336" spans="1:36" ht="24" hidden="1" customHeight="1">
      <c r="B336" s="463">
        <v>264</v>
      </c>
      <c r="C336" s="464" t="s">
        <v>10</v>
      </c>
      <c r="D336" s="464"/>
      <c r="E336" s="464" t="s">
        <v>558</v>
      </c>
      <c r="F336" s="464"/>
      <c r="G336" s="464" t="s">
        <v>272</v>
      </c>
      <c r="H336" s="464" t="s">
        <v>1228</v>
      </c>
      <c r="I336" s="465" t="s">
        <v>537</v>
      </c>
      <c r="J336" s="465" t="s">
        <v>537</v>
      </c>
      <c r="K336" s="466">
        <v>57600</v>
      </c>
      <c r="L336" s="465" t="s">
        <v>537</v>
      </c>
      <c r="M336" s="465" t="s">
        <v>537</v>
      </c>
      <c r="N336" s="466">
        <v>97418.02</v>
      </c>
      <c r="O336" s="463" t="s">
        <v>537</v>
      </c>
      <c r="P336" s="463" t="s">
        <v>537</v>
      </c>
      <c r="Q336" s="468">
        <v>-39818</v>
      </c>
      <c r="R336" s="470">
        <v>241609</v>
      </c>
      <c r="S336" s="471">
        <v>22471</v>
      </c>
      <c r="T336" s="463">
        <v>0</v>
      </c>
      <c r="U336" s="463">
        <v>30</v>
      </c>
      <c r="V336" s="463">
        <v>0</v>
      </c>
      <c r="W336" s="463">
        <v>0</v>
      </c>
      <c r="X336" s="463">
        <v>30</v>
      </c>
      <c r="Y336" s="463">
        <v>0</v>
      </c>
      <c r="Z336" s="463">
        <v>92</v>
      </c>
      <c r="AA336" s="472" t="s">
        <v>560</v>
      </c>
      <c r="AB336" s="463" t="s">
        <v>539</v>
      </c>
      <c r="AC336" s="463" t="s">
        <v>539</v>
      </c>
      <c r="AD336" s="472" t="s">
        <v>561</v>
      </c>
      <c r="AE336" s="463">
        <v>80</v>
      </c>
      <c r="AF336" s="463">
        <v>92</v>
      </c>
      <c r="AG336" s="463" t="s">
        <v>375</v>
      </c>
      <c r="AH336" s="476"/>
      <c r="AI336" s="472">
        <v>848402742</v>
      </c>
      <c r="AJ336" s="472" t="s">
        <v>562</v>
      </c>
    </row>
    <row r="337" spans="1:36" ht="24" hidden="1" customHeight="1">
      <c r="B337" s="463">
        <v>265</v>
      </c>
      <c r="C337" s="464" t="s">
        <v>377</v>
      </c>
      <c r="D337" s="464"/>
      <c r="E337" s="464" t="s">
        <v>602</v>
      </c>
      <c r="F337" s="464"/>
      <c r="G337" s="464" t="s">
        <v>59</v>
      </c>
      <c r="H337" s="464" t="s">
        <v>1229</v>
      </c>
      <c r="I337" s="465" t="s">
        <v>537</v>
      </c>
      <c r="J337" s="466">
        <v>40000</v>
      </c>
      <c r="K337" s="465" t="s">
        <v>537</v>
      </c>
      <c r="L337" s="465" t="s">
        <v>537</v>
      </c>
      <c r="M337" s="466">
        <v>38440</v>
      </c>
      <c r="N337" s="465" t="s">
        <v>537</v>
      </c>
      <c r="O337" s="463" t="s">
        <v>537</v>
      </c>
      <c r="P337" s="463" t="s">
        <v>537</v>
      </c>
      <c r="Q337" s="468">
        <v>1560</v>
      </c>
      <c r="R337" s="470">
        <v>241579</v>
      </c>
      <c r="S337" s="463" t="s">
        <v>1230</v>
      </c>
      <c r="T337" s="463">
        <v>100</v>
      </c>
      <c r="U337" s="463">
        <v>11</v>
      </c>
      <c r="V337" s="463">
        <v>0</v>
      </c>
      <c r="W337" s="463">
        <v>172</v>
      </c>
      <c r="X337" s="463">
        <v>54</v>
      </c>
      <c r="Y337" s="463">
        <v>0</v>
      </c>
      <c r="Z337" s="463">
        <v>87.43</v>
      </c>
      <c r="AA337" s="472" t="s">
        <v>619</v>
      </c>
      <c r="AB337" s="463" t="s">
        <v>539</v>
      </c>
      <c r="AC337" s="463" t="s">
        <v>539</v>
      </c>
      <c r="AD337" s="472" t="s">
        <v>565</v>
      </c>
      <c r="AE337" s="463">
        <v>80</v>
      </c>
      <c r="AF337" s="463">
        <v>87.43</v>
      </c>
      <c r="AG337" s="463" t="s">
        <v>375</v>
      </c>
      <c r="AH337" s="476"/>
      <c r="AI337" s="472" t="s">
        <v>1231</v>
      </c>
      <c r="AJ337" s="464"/>
    </row>
    <row r="338" spans="1:36" ht="24" hidden="1" customHeight="1">
      <c r="B338" s="463">
        <v>266</v>
      </c>
      <c r="C338" s="464" t="s">
        <v>377</v>
      </c>
      <c r="D338" s="464"/>
      <c r="E338" s="464" t="s">
        <v>602</v>
      </c>
      <c r="F338" s="464"/>
      <c r="G338" s="464" t="s">
        <v>59</v>
      </c>
      <c r="H338" s="464" t="s">
        <v>1232</v>
      </c>
      <c r="I338" s="466">
        <v>7040</v>
      </c>
      <c r="J338" s="465" t="s">
        <v>537</v>
      </c>
      <c r="K338" s="465" t="s">
        <v>537</v>
      </c>
      <c r="L338" s="466">
        <v>5215</v>
      </c>
      <c r="M338" s="465" t="s">
        <v>537</v>
      </c>
      <c r="N338" s="465" t="s">
        <v>537</v>
      </c>
      <c r="O338" s="463" t="s">
        <v>537</v>
      </c>
      <c r="P338" s="463" t="s">
        <v>537</v>
      </c>
      <c r="Q338" s="468">
        <v>1825</v>
      </c>
      <c r="R338" s="470">
        <v>241487</v>
      </c>
      <c r="S338" s="471">
        <v>22341</v>
      </c>
      <c r="T338" s="463">
        <v>20</v>
      </c>
      <c r="U338" s="463">
        <v>15</v>
      </c>
      <c r="V338" s="463">
        <v>0</v>
      </c>
      <c r="W338" s="463">
        <v>23</v>
      </c>
      <c r="X338" s="463">
        <v>22</v>
      </c>
      <c r="Y338" s="463">
        <v>0</v>
      </c>
      <c r="Z338" s="463">
        <v>94.5</v>
      </c>
      <c r="AA338" s="472" t="s">
        <v>619</v>
      </c>
      <c r="AB338" s="463" t="s">
        <v>539</v>
      </c>
      <c r="AC338" s="463" t="s">
        <v>539</v>
      </c>
      <c r="AD338" s="472" t="s">
        <v>565</v>
      </c>
      <c r="AE338" s="463">
        <v>80</v>
      </c>
      <c r="AF338" s="463">
        <v>94.5</v>
      </c>
      <c r="AG338" s="463" t="s">
        <v>375</v>
      </c>
      <c r="AH338" s="476"/>
      <c r="AI338" s="472" t="s">
        <v>1233</v>
      </c>
      <c r="AJ338" s="464"/>
    </row>
    <row r="339" spans="1:36" ht="24" hidden="1" customHeight="1">
      <c r="B339" s="463">
        <v>267</v>
      </c>
      <c r="C339" s="464" t="s">
        <v>377</v>
      </c>
      <c r="D339" s="464"/>
      <c r="E339" s="464" t="s">
        <v>602</v>
      </c>
      <c r="F339" s="464"/>
      <c r="G339" s="464" t="s">
        <v>59</v>
      </c>
      <c r="H339" s="464" t="s">
        <v>1234</v>
      </c>
      <c r="I339" s="466">
        <v>11300</v>
      </c>
      <c r="J339" s="465" t="s">
        <v>537</v>
      </c>
      <c r="K339" s="465" t="s">
        <v>537</v>
      </c>
      <c r="L339" s="466">
        <v>11300</v>
      </c>
      <c r="M339" s="465" t="s">
        <v>537</v>
      </c>
      <c r="N339" s="465" t="s">
        <v>537</v>
      </c>
      <c r="O339" s="463" t="s">
        <v>537</v>
      </c>
      <c r="P339" s="463" t="s">
        <v>537</v>
      </c>
      <c r="Q339" s="465">
        <v>0</v>
      </c>
      <c r="R339" s="470">
        <v>241579</v>
      </c>
      <c r="S339" s="471">
        <v>22443</v>
      </c>
      <c r="T339" s="463">
        <v>10</v>
      </c>
      <c r="U339" s="463">
        <v>10</v>
      </c>
      <c r="V339" s="463">
        <v>40</v>
      </c>
      <c r="W339" s="463">
        <v>10</v>
      </c>
      <c r="X339" s="463">
        <v>11</v>
      </c>
      <c r="Y339" s="463">
        <v>60</v>
      </c>
      <c r="Z339" s="463">
        <v>93.8</v>
      </c>
      <c r="AA339" s="472" t="s">
        <v>619</v>
      </c>
      <c r="AB339" s="463" t="s">
        <v>539</v>
      </c>
      <c r="AC339" s="463" t="s">
        <v>539</v>
      </c>
      <c r="AD339" s="472" t="s">
        <v>565</v>
      </c>
      <c r="AE339" s="463">
        <v>80</v>
      </c>
      <c r="AF339" s="463">
        <v>93.8</v>
      </c>
      <c r="AG339" s="463" t="s">
        <v>375</v>
      </c>
      <c r="AH339" s="476"/>
      <c r="AI339" s="472" t="s">
        <v>1233</v>
      </c>
      <c r="AJ339" s="464"/>
    </row>
    <row r="340" spans="1:36" ht="24" hidden="1" customHeight="1">
      <c r="B340" s="463">
        <v>268</v>
      </c>
      <c r="C340" s="464" t="s">
        <v>377</v>
      </c>
      <c r="D340" s="464"/>
      <c r="E340" s="464" t="s">
        <v>602</v>
      </c>
      <c r="F340" s="464"/>
      <c r="G340" s="464" t="s">
        <v>59</v>
      </c>
      <c r="H340" s="464" t="s">
        <v>1235</v>
      </c>
      <c r="I340" s="466">
        <v>31660</v>
      </c>
      <c r="J340" s="465" t="s">
        <v>537</v>
      </c>
      <c r="K340" s="465" t="s">
        <v>537</v>
      </c>
      <c r="L340" s="466">
        <v>24972</v>
      </c>
      <c r="M340" s="465" t="s">
        <v>537</v>
      </c>
      <c r="N340" s="465" t="s">
        <v>537</v>
      </c>
      <c r="O340" s="463" t="s">
        <v>537</v>
      </c>
      <c r="P340" s="463" t="s">
        <v>537</v>
      </c>
      <c r="Q340" s="468">
        <v>6688</v>
      </c>
      <c r="R340" s="470">
        <v>241609</v>
      </c>
      <c r="S340" s="463" t="s">
        <v>1236</v>
      </c>
      <c r="T340" s="463">
        <v>60</v>
      </c>
      <c r="U340" s="463">
        <v>24</v>
      </c>
      <c r="V340" s="463">
        <v>0</v>
      </c>
      <c r="W340" s="463">
        <v>308</v>
      </c>
      <c r="X340" s="463">
        <v>77</v>
      </c>
      <c r="Y340" s="463">
        <v>0</v>
      </c>
      <c r="Z340" s="463">
        <v>88</v>
      </c>
      <c r="AA340" s="472" t="s">
        <v>619</v>
      </c>
      <c r="AB340" s="463" t="s">
        <v>539</v>
      </c>
      <c r="AC340" s="463" t="s">
        <v>539</v>
      </c>
      <c r="AD340" s="472" t="s">
        <v>565</v>
      </c>
      <c r="AE340" s="463">
        <v>80</v>
      </c>
      <c r="AF340" s="463">
        <v>88</v>
      </c>
      <c r="AG340" s="463" t="s">
        <v>375</v>
      </c>
      <c r="AH340" s="476"/>
      <c r="AI340" s="472" t="s">
        <v>1233</v>
      </c>
      <c r="AJ340" s="464"/>
    </row>
    <row r="341" spans="1:36" ht="24" hidden="1" customHeight="1">
      <c r="B341" s="463">
        <v>269</v>
      </c>
      <c r="C341" s="464" t="s">
        <v>377</v>
      </c>
      <c r="D341" s="464"/>
      <c r="E341" s="464" t="s">
        <v>602</v>
      </c>
      <c r="F341" s="464"/>
      <c r="G341" s="464" t="s">
        <v>59</v>
      </c>
      <c r="H341" s="464" t="s">
        <v>1237</v>
      </c>
      <c r="I341" s="466">
        <v>70000</v>
      </c>
      <c r="J341" s="465" t="s">
        <v>537</v>
      </c>
      <c r="K341" s="465" t="s">
        <v>537</v>
      </c>
      <c r="L341" s="466">
        <v>56560</v>
      </c>
      <c r="M341" s="465" t="s">
        <v>537</v>
      </c>
      <c r="N341" s="465" t="s">
        <v>537</v>
      </c>
      <c r="O341" s="463" t="s">
        <v>537</v>
      </c>
      <c r="P341" s="463" t="s">
        <v>537</v>
      </c>
      <c r="Q341" s="468">
        <v>13440</v>
      </c>
      <c r="R341" s="470">
        <v>241518</v>
      </c>
      <c r="S341" s="463" t="s">
        <v>1238</v>
      </c>
      <c r="T341" s="463">
        <v>0</v>
      </c>
      <c r="U341" s="463">
        <v>11</v>
      </c>
      <c r="V341" s="463">
        <v>20</v>
      </c>
      <c r="W341" s="463">
        <v>0</v>
      </c>
      <c r="X341" s="463">
        <v>15</v>
      </c>
      <c r="Y341" s="463">
        <v>23</v>
      </c>
      <c r="Z341" s="463">
        <v>92.6</v>
      </c>
      <c r="AA341" s="472" t="s">
        <v>619</v>
      </c>
      <c r="AB341" s="463" t="s">
        <v>539</v>
      </c>
      <c r="AC341" s="463" t="s">
        <v>539</v>
      </c>
      <c r="AD341" s="472" t="s">
        <v>565</v>
      </c>
      <c r="AE341" s="463">
        <v>80</v>
      </c>
      <c r="AF341" s="463">
        <v>92.6</v>
      </c>
      <c r="AG341" s="463" t="s">
        <v>375</v>
      </c>
      <c r="AH341" s="476"/>
      <c r="AI341" s="472" t="s">
        <v>1239</v>
      </c>
      <c r="AJ341" s="464"/>
    </row>
    <row r="342" spans="1:36" ht="24" hidden="1" customHeight="1">
      <c r="B342" s="463">
        <v>270</v>
      </c>
      <c r="C342" s="464" t="s">
        <v>377</v>
      </c>
      <c r="D342" s="464"/>
      <c r="E342" s="464" t="s">
        <v>602</v>
      </c>
      <c r="F342" s="464"/>
      <c r="G342" s="464" t="s">
        <v>59</v>
      </c>
      <c r="H342" s="464" t="s">
        <v>1240</v>
      </c>
      <c r="I342" s="466">
        <v>50000</v>
      </c>
      <c r="J342" s="465" t="s">
        <v>537</v>
      </c>
      <c r="K342" s="465" t="s">
        <v>537</v>
      </c>
      <c r="L342" s="466">
        <v>33720</v>
      </c>
      <c r="M342" s="465" t="s">
        <v>537</v>
      </c>
      <c r="N342" s="465" t="s">
        <v>537</v>
      </c>
      <c r="O342" s="463" t="s">
        <v>537</v>
      </c>
      <c r="P342" s="463" t="s">
        <v>537</v>
      </c>
      <c r="Q342" s="468">
        <v>16280</v>
      </c>
      <c r="R342" s="463" t="s">
        <v>643</v>
      </c>
      <c r="S342" s="463" t="s">
        <v>1241</v>
      </c>
      <c r="T342" s="463">
        <v>60</v>
      </c>
      <c r="U342" s="463">
        <v>24</v>
      </c>
      <c r="V342" s="463">
        <v>50</v>
      </c>
      <c r="W342" s="463">
        <v>40</v>
      </c>
      <c r="X342" s="463">
        <v>54</v>
      </c>
      <c r="Y342" s="463">
        <v>150</v>
      </c>
      <c r="Z342" s="463">
        <v>90.3</v>
      </c>
      <c r="AA342" s="472" t="s">
        <v>619</v>
      </c>
      <c r="AB342" s="463" t="s">
        <v>539</v>
      </c>
      <c r="AC342" s="463" t="s">
        <v>539</v>
      </c>
      <c r="AD342" s="472" t="s">
        <v>565</v>
      </c>
      <c r="AE342" s="463">
        <v>80</v>
      </c>
      <c r="AF342" s="463">
        <v>90.3</v>
      </c>
      <c r="AG342" s="463" t="s">
        <v>375</v>
      </c>
      <c r="AH342" s="476"/>
      <c r="AI342" s="472" t="s">
        <v>1239</v>
      </c>
      <c r="AJ342" s="464"/>
    </row>
    <row r="343" spans="1:36" ht="24" customHeight="1">
      <c r="A343" s="452">
        <v>82</v>
      </c>
      <c r="B343" s="463">
        <v>271</v>
      </c>
      <c r="C343" s="464" t="s">
        <v>337</v>
      </c>
      <c r="D343" s="464"/>
      <c r="E343" s="464" t="s">
        <v>545</v>
      </c>
      <c r="F343" s="464"/>
      <c r="G343" s="464" t="s">
        <v>59</v>
      </c>
      <c r="H343" s="464" t="s">
        <v>1242</v>
      </c>
      <c r="I343" s="465" t="s">
        <v>537</v>
      </c>
      <c r="J343" s="465" t="s">
        <v>537</v>
      </c>
      <c r="K343" s="466">
        <v>15000</v>
      </c>
      <c r="L343" s="465" t="s">
        <v>537</v>
      </c>
      <c r="M343" s="465" t="s">
        <v>537</v>
      </c>
      <c r="N343" s="466">
        <v>14700</v>
      </c>
      <c r="O343" s="463" t="s">
        <v>537</v>
      </c>
      <c r="P343" s="463" t="s">
        <v>537</v>
      </c>
      <c r="Q343" s="465">
        <v>300</v>
      </c>
      <c r="R343" s="470">
        <v>241487</v>
      </c>
      <c r="S343" s="463" t="s">
        <v>1243</v>
      </c>
      <c r="T343" s="463">
        <v>0</v>
      </c>
      <c r="U343" s="463">
        <v>3</v>
      </c>
      <c r="V343" s="463">
        <v>22</v>
      </c>
      <c r="W343" s="463">
        <v>1</v>
      </c>
      <c r="X343" s="463">
        <v>24</v>
      </c>
      <c r="Y343" s="463">
        <v>22</v>
      </c>
      <c r="Z343" s="463">
        <v>88.27</v>
      </c>
      <c r="AA343" s="472" t="s">
        <v>1244</v>
      </c>
      <c r="AB343" s="463" t="s">
        <v>539</v>
      </c>
      <c r="AC343" s="463" t="s">
        <v>539</v>
      </c>
      <c r="AD343" s="472" t="s">
        <v>1245</v>
      </c>
      <c r="AE343" s="463">
        <v>25</v>
      </c>
      <c r="AF343" s="463">
        <v>47</v>
      </c>
      <c r="AG343" s="463" t="s">
        <v>375</v>
      </c>
      <c r="AH343" s="476"/>
      <c r="AI343" s="472" t="s">
        <v>1246</v>
      </c>
      <c r="AJ343" s="472" t="s">
        <v>543</v>
      </c>
    </row>
    <row r="344" spans="1:36" ht="24" customHeight="1">
      <c r="A344" s="452">
        <v>83</v>
      </c>
      <c r="B344" s="463">
        <v>272</v>
      </c>
      <c r="C344" s="464" t="s">
        <v>337</v>
      </c>
      <c r="D344" s="464"/>
      <c r="E344" s="464" t="s">
        <v>545</v>
      </c>
      <c r="F344" s="464"/>
      <c r="G344" s="464" t="s">
        <v>59</v>
      </c>
      <c r="H344" s="464" t="s">
        <v>1247</v>
      </c>
      <c r="I344" s="465" t="s">
        <v>537</v>
      </c>
      <c r="J344" s="465" t="s">
        <v>537</v>
      </c>
      <c r="K344" s="466">
        <v>18000</v>
      </c>
      <c r="L344" s="465" t="s">
        <v>537</v>
      </c>
      <c r="M344" s="465" t="s">
        <v>537</v>
      </c>
      <c r="N344" s="466">
        <v>15967</v>
      </c>
      <c r="O344" s="463" t="s">
        <v>537</v>
      </c>
      <c r="P344" s="463" t="s">
        <v>537</v>
      </c>
      <c r="Q344" s="468">
        <v>2033</v>
      </c>
      <c r="R344" s="470">
        <v>241518</v>
      </c>
      <c r="S344" s="463" t="s">
        <v>1248</v>
      </c>
      <c r="T344" s="463">
        <v>0</v>
      </c>
      <c r="U344" s="463">
        <v>2</v>
      </c>
      <c r="V344" s="463">
        <v>13</v>
      </c>
      <c r="W344" s="463">
        <v>0</v>
      </c>
      <c r="X344" s="463">
        <v>23</v>
      </c>
      <c r="Y344" s="463">
        <v>8</v>
      </c>
      <c r="Z344" s="463">
        <v>88.89</v>
      </c>
      <c r="AA344" s="472" t="s">
        <v>1249</v>
      </c>
      <c r="AB344" s="463" t="s">
        <v>539</v>
      </c>
      <c r="AC344" s="463" t="s">
        <v>539</v>
      </c>
      <c r="AD344" s="472" t="s">
        <v>1250</v>
      </c>
      <c r="AE344" s="463">
        <v>15</v>
      </c>
      <c r="AF344" s="463">
        <v>31</v>
      </c>
      <c r="AG344" s="463" t="s">
        <v>375</v>
      </c>
      <c r="AH344" s="476"/>
      <c r="AI344" s="472" t="s">
        <v>1251</v>
      </c>
      <c r="AJ344" s="472" t="s">
        <v>543</v>
      </c>
    </row>
    <row r="345" spans="1:36" ht="24" customHeight="1">
      <c r="A345" s="452">
        <v>84</v>
      </c>
      <c r="B345" s="463">
        <v>273</v>
      </c>
      <c r="C345" s="464" t="s">
        <v>337</v>
      </c>
      <c r="D345" s="464"/>
      <c r="E345" s="464" t="s">
        <v>545</v>
      </c>
      <c r="F345" s="464"/>
      <c r="G345" s="464" t="s">
        <v>59</v>
      </c>
      <c r="H345" s="464" t="s">
        <v>1252</v>
      </c>
      <c r="I345" s="465" t="s">
        <v>537</v>
      </c>
      <c r="J345" s="465" t="s">
        <v>537</v>
      </c>
      <c r="K345" s="466">
        <v>45000</v>
      </c>
      <c r="L345" s="465" t="s">
        <v>537</v>
      </c>
      <c r="M345" s="465" t="s">
        <v>537</v>
      </c>
      <c r="N345" s="466">
        <v>42259</v>
      </c>
      <c r="O345" s="463" t="s">
        <v>537</v>
      </c>
      <c r="P345" s="463" t="s">
        <v>537</v>
      </c>
      <c r="Q345" s="468">
        <v>2741</v>
      </c>
      <c r="R345" s="463" t="s">
        <v>643</v>
      </c>
      <c r="S345" s="463" t="s">
        <v>1253</v>
      </c>
      <c r="T345" s="463">
        <v>0</v>
      </c>
      <c r="U345" s="463">
        <v>7</v>
      </c>
      <c r="V345" s="463">
        <v>13</v>
      </c>
      <c r="W345" s="463">
        <v>0</v>
      </c>
      <c r="X345" s="463">
        <v>5</v>
      </c>
      <c r="Y345" s="463">
        <v>16</v>
      </c>
      <c r="Z345" s="463">
        <v>86.5</v>
      </c>
      <c r="AA345" s="472" t="s">
        <v>1254</v>
      </c>
      <c r="AB345" s="463" t="s">
        <v>539</v>
      </c>
      <c r="AC345" s="463" t="s">
        <v>539</v>
      </c>
      <c r="AD345" s="472" t="s">
        <v>548</v>
      </c>
      <c r="AE345" s="463" t="s">
        <v>539</v>
      </c>
      <c r="AF345" s="463" t="s">
        <v>539</v>
      </c>
      <c r="AG345" s="463" t="s">
        <v>375</v>
      </c>
      <c r="AH345" s="476"/>
      <c r="AI345" s="472" t="s">
        <v>1255</v>
      </c>
      <c r="AJ345" s="472" t="s">
        <v>543</v>
      </c>
    </row>
    <row r="346" spans="1:36" ht="24" customHeight="1">
      <c r="A346" s="452">
        <v>85</v>
      </c>
      <c r="B346" s="463">
        <v>274</v>
      </c>
      <c r="C346" s="464" t="s">
        <v>337</v>
      </c>
      <c r="D346" s="464"/>
      <c r="E346" s="464" t="s">
        <v>545</v>
      </c>
      <c r="F346" s="464"/>
      <c r="G346" s="464" t="s">
        <v>59</v>
      </c>
      <c r="H346" s="464" t="s">
        <v>1256</v>
      </c>
      <c r="I346" s="465" t="s">
        <v>537</v>
      </c>
      <c r="J346" s="465" t="s">
        <v>537</v>
      </c>
      <c r="K346" s="466">
        <v>14000</v>
      </c>
      <c r="L346" s="465" t="s">
        <v>537</v>
      </c>
      <c r="M346" s="465" t="s">
        <v>537</v>
      </c>
      <c r="N346" s="466">
        <v>14000</v>
      </c>
      <c r="O346" s="463" t="s">
        <v>537</v>
      </c>
      <c r="P346" s="463" t="s">
        <v>537</v>
      </c>
      <c r="Q346" s="465">
        <v>0</v>
      </c>
      <c r="R346" s="463" t="s">
        <v>643</v>
      </c>
      <c r="S346" s="463" t="s">
        <v>1257</v>
      </c>
      <c r="T346" s="463">
        <v>1</v>
      </c>
      <c r="U346" s="463">
        <v>2</v>
      </c>
      <c r="V346" s="463">
        <v>27</v>
      </c>
      <c r="W346" s="463">
        <v>3</v>
      </c>
      <c r="X346" s="463">
        <v>12</v>
      </c>
      <c r="Y346" s="463">
        <v>33</v>
      </c>
      <c r="Z346" s="463">
        <v>92.07</v>
      </c>
      <c r="AA346" s="472" t="s">
        <v>1258</v>
      </c>
      <c r="AB346" s="463" t="s">
        <v>539</v>
      </c>
      <c r="AC346" s="463" t="s">
        <v>539</v>
      </c>
      <c r="AD346" s="472" t="s">
        <v>1259</v>
      </c>
      <c r="AE346" s="463">
        <v>85</v>
      </c>
      <c r="AF346" s="463">
        <v>92.07</v>
      </c>
      <c r="AG346" s="463" t="s">
        <v>375</v>
      </c>
      <c r="AH346" s="476"/>
      <c r="AI346" s="472" t="s">
        <v>1260</v>
      </c>
      <c r="AJ346" s="472" t="s">
        <v>543</v>
      </c>
    </row>
    <row r="347" spans="1:36" ht="24" customHeight="1">
      <c r="A347" s="452">
        <v>86</v>
      </c>
      <c r="B347" s="701">
        <v>275</v>
      </c>
      <c r="C347" s="699" t="s">
        <v>337</v>
      </c>
      <c r="D347" s="699"/>
      <c r="E347" s="699" t="s">
        <v>545</v>
      </c>
      <c r="F347" s="699"/>
      <c r="G347" s="699" t="s">
        <v>59</v>
      </c>
      <c r="H347" s="699" t="s">
        <v>1261</v>
      </c>
      <c r="I347" s="712">
        <v>25000</v>
      </c>
      <c r="J347" s="709" t="s">
        <v>537</v>
      </c>
      <c r="K347" s="709" t="s">
        <v>537</v>
      </c>
      <c r="L347" s="712">
        <v>24467</v>
      </c>
      <c r="M347" s="709" t="s">
        <v>537</v>
      </c>
      <c r="N347" s="709" t="s">
        <v>537</v>
      </c>
      <c r="O347" s="701" t="s">
        <v>537</v>
      </c>
      <c r="P347" s="701" t="s">
        <v>537</v>
      </c>
      <c r="Q347" s="709">
        <v>533</v>
      </c>
      <c r="R347" s="707">
        <v>241487</v>
      </c>
      <c r="S347" s="701" t="s">
        <v>1262</v>
      </c>
      <c r="T347" s="701">
        <v>8</v>
      </c>
      <c r="U347" s="701">
        <v>5</v>
      </c>
      <c r="V347" s="701">
        <v>20</v>
      </c>
      <c r="W347" s="701">
        <v>3</v>
      </c>
      <c r="X347" s="701">
        <v>9</v>
      </c>
      <c r="Y347" s="701">
        <v>32</v>
      </c>
      <c r="Z347" s="701">
        <v>90</v>
      </c>
      <c r="AA347" s="458" t="s">
        <v>547</v>
      </c>
      <c r="AB347" s="459" t="s">
        <v>539</v>
      </c>
      <c r="AC347" s="459" t="s">
        <v>539</v>
      </c>
      <c r="AD347" s="697" t="s">
        <v>548</v>
      </c>
      <c r="AE347" s="701">
        <v>80</v>
      </c>
      <c r="AF347" s="701">
        <v>90</v>
      </c>
      <c r="AG347" s="701" t="s">
        <v>375</v>
      </c>
      <c r="AH347" s="728"/>
      <c r="AI347" s="697" t="s">
        <v>1263</v>
      </c>
      <c r="AJ347" s="699"/>
    </row>
    <row r="348" spans="1:36" ht="24" hidden="1" customHeight="1">
      <c r="B348" s="702"/>
      <c r="C348" s="700"/>
      <c r="D348" s="700"/>
      <c r="E348" s="700"/>
      <c r="F348" s="700"/>
      <c r="G348" s="700"/>
      <c r="H348" s="700"/>
      <c r="I348" s="713"/>
      <c r="J348" s="710"/>
      <c r="K348" s="710"/>
      <c r="L348" s="713"/>
      <c r="M348" s="710"/>
      <c r="N348" s="710"/>
      <c r="O348" s="702"/>
      <c r="P348" s="702"/>
      <c r="Q348" s="710"/>
      <c r="R348" s="708"/>
      <c r="S348" s="702"/>
      <c r="T348" s="702"/>
      <c r="U348" s="702"/>
      <c r="V348" s="702"/>
      <c r="W348" s="702"/>
      <c r="X348" s="702"/>
      <c r="Y348" s="702"/>
      <c r="Z348" s="702"/>
      <c r="AA348" s="473" t="s">
        <v>1264</v>
      </c>
      <c r="AB348" s="474" t="s">
        <v>539</v>
      </c>
      <c r="AC348" s="474" t="s">
        <v>539</v>
      </c>
      <c r="AD348" s="698"/>
      <c r="AE348" s="702"/>
      <c r="AF348" s="702"/>
      <c r="AG348" s="702"/>
      <c r="AH348" s="729"/>
      <c r="AI348" s="698"/>
      <c r="AJ348" s="700"/>
    </row>
    <row r="349" spans="1:36" ht="24" customHeight="1">
      <c r="A349" s="452">
        <v>87</v>
      </c>
      <c r="B349" s="701">
        <v>276</v>
      </c>
      <c r="C349" s="699" t="s">
        <v>337</v>
      </c>
      <c r="D349" s="699"/>
      <c r="E349" s="699" t="s">
        <v>545</v>
      </c>
      <c r="F349" s="699"/>
      <c r="G349" s="699" t="s">
        <v>59</v>
      </c>
      <c r="H349" s="699" t="s">
        <v>1265</v>
      </c>
      <c r="I349" s="712">
        <v>15000</v>
      </c>
      <c r="J349" s="709" t="s">
        <v>537</v>
      </c>
      <c r="K349" s="709" t="s">
        <v>537</v>
      </c>
      <c r="L349" s="712">
        <v>13065</v>
      </c>
      <c r="M349" s="709" t="s">
        <v>537</v>
      </c>
      <c r="N349" s="709" t="s">
        <v>537</v>
      </c>
      <c r="O349" s="701" t="s">
        <v>537</v>
      </c>
      <c r="P349" s="701" t="s">
        <v>537</v>
      </c>
      <c r="Q349" s="705">
        <v>1935</v>
      </c>
      <c r="R349" s="707">
        <v>241428</v>
      </c>
      <c r="S349" s="721">
        <v>22304</v>
      </c>
      <c r="T349" s="701">
        <v>10</v>
      </c>
      <c r="U349" s="701">
        <v>6</v>
      </c>
      <c r="V349" s="701">
        <v>20</v>
      </c>
      <c r="W349" s="701">
        <v>15</v>
      </c>
      <c r="X349" s="701">
        <v>32</v>
      </c>
      <c r="Y349" s="701">
        <v>18</v>
      </c>
      <c r="Z349" s="701">
        <v>92</v>
      </c>
      <c r="AA349" s="458" t="s">
        <v>547</v>
      </c>
      <c r="AB349" s="459" t="s">
        <v>539</v>
      </c>
      <c r="AC349" s="459" t="s">
        <v>539</v>
      </c>
      <c r="AD349" s="458" t="s">
        <v>733</v>
      </c>
      <c r="AE349" s="459">
        <v>1</v>
      </c>
      <c r="AF349" s="459">
        <v>1</v>
      </c>
      <c r="AG349" s="701" t="s">
        <v>375</v>
      </c>
      <c r="AH349" s="728"/>
      <c r="AI349" s="697" t="s">
        <v>1266</v>
      </c>
      <c r="AJ349" s="699"/>
    </row>
    <row r="350" spans="1:36" ht="24" hidden="1" customHeight="1">
      <c r="B350" s="702"/>
      <c r="C350" s="700"/>
      <c r="D350" s="700"/>
      <c r="E350" s="700"/>
      <c r="F350" s="700"/>
      <c r="G350" s="700"/>
      <c r="H350" s="700"/>
      <c r="I350" s="713"/>
      <c r="J350" s="710"/>
      <c r="K350" s="710"/>
      <c r="L350" s="713"/>
      <c r="M350" s="710"/>
      <c r="N350" s="710"/>
      <c r="O350" s="702"/>
      <c r="P350" s="702"/>
      <c r="Q350" s="706"/>
      <c r="R350" s="708"/>
      <c r="S350" s="722"/>
      <c r="T350" s="702"/>
      <c r="U350" s="702"/>
      <c r="V350" s="702"/>
      <c r="W350" s="702"/>
      <c r="X350" s="702"/>
      <c r="Y350" s="702"/>
      <c r="Z350" s="702"/>
      <c r="AA350" s="473" t="s">
        <v>1267</v>
      </c>
      <c r="AB350" s="474" t="s">
        <v>539</v>
      </c>
      <c r="AC350" s="474" t="s">
        <v>539</v>
      </c>
      <c r="AD350" s="473" t="s">
        <v>1268</v>
      </c>
      <c r="AE350" s="474">
        <v>10</v>
      </c>
      <c r="AF350" s="474">
        <v>15</v>
      </c>
      <c r="AG350" s="702"/>
      <c r="AH350" s="729"/>
      <c r="AI350" s="698"/>
      <c r="AJ350" s="700"/>
    </row>
    <row r="351" spans="1:36" ht="24" customHeight="1">
      <c r="A351" s="452">
        <v>88</v>
      </c>
      <c r="B351" s="463">
        <v>277</v>
      </c>
      <c r="C351" s="464" t="s">
        <v>337</v>
      </c>
      <c r="D351" s="464"/>
      <c r="E351" s="464" t="s">
        <v>545</v>
      </c>
      <c r="F351" s="464"/>
      <c r="G351" s="464" t="s">
        <v>59</v>
      </c>
      <c r="H351" s="464" t="s">
        <v>1269</v>
      </c>
      <c r="I351" s="466">
        <v>15000</v>
      </c>
      <c r="J351" s="465" t="s">
        <v>537</v>
      </c>
      <c r="K351" s="465" t="s">
        <v>537</v>
      </c>
      <c r="L351" s="466">
        <v>14650</v>
      </c>
      <c r="M351" s="465" t="s">
        <v>537</v>
      </c>
      <c r="N351" s="465" t="s">
        <v>537</v>
      </c>
      <c r="O351" s="463" t="s">
        <v>537</v>
      </c>
      <c r="P351" s="463" t="s">
        <v>537</v>
      </c>
      <c r="Q351" s="465">
        <v>350</v>
      </c>
      <c r="R351" s="470">
        <v>241428</v>
      </c>
      <c r="S351" s="471">
        <v>22301</v>
      </c>
      <c r="T351" s="463">
        <v>1</v>
      </c>
      <c r="U351" s="463">
        <v>9</v>
      </c>
      <c r="V351" s="463">
        <v>20</v>
      </c>
      <c r="W351" s="463">
        <v>10</v>
      </c>
      <c r="X351" s="463">
        <v>5</v>
      </c>
      <c r="Y351" s="463">
        <v>30</v>
      </c>
      <c r="Z351" s="463">
        <v>85.5</v>
      </c>
      <c r="AA351" s="472" t="s">
        <v>547</v>
      </c>
      <c r="AB351" s="463" t="s">
        <v>539</v>
      </c>
      <c r="AC351" s="463" t="s">
        <v>539</v>
      </c>
      <c r="AD351" s="472" t="s">
        <v>733</v>
      </c>
      <c r="AE351" s="463">
        <v>1</v>
      </c>
      <c r="AF351" s="463">
        <v>1</v>
      </c>
      <c r="AG351" s="463" t="s">
        <v>375</v>
      </c>
      <c r="AH351" s="476"/>
      <c r="AI351" s="472" t="s">
        <v>1270</v>
      </c>
      <c r="AJ351" s="464"/>
    </row>
    <row r="352" spans="1:36" ht="24" customHeight="1">
      <c r="A352" s="452">
        <v>89</v>
      </c>
      <c r="B352" s="701">
        <v>278</v>
      </c>
      <c r="C352" s="699" t="s">
        <v>337</v>
      </c>
      <c r="D352" s="699"/>
      <c r="E352" s="699" t="s">
        <v>545</v>
      </c>
      <c r="F352" s="699"/>
      <c r="G352" s="699" t="s">
        <v>59</v>
      </c>
      <c r="H352" s="699" t="s">
        <v>1271</v>
      </c>
      <c r="I352" s="712">
        <v>40000</v>
      </c>
      <c r="J352" s="709" t="s">
        <v>537</v>
      </c>
      <c r="K352" s="709" t="s">
        <v>537</v>
      </c>
      <c r="L352" s="712">
        <v>40000</v>
      </c>
      <c r="M352" s="709" t="s">
        <v>537</v>
      </c>
      <c r="N352" s="709" t="s">
        <v>537</v>
      </c>
      <c r="O352" s="701" t="s">
        <v>537</v>
      </c>
      <c r="P352" s="701" t="s">
        <v>537</v>
      </c>
      <c r="Q352" s="709">
        <v>0</v>
      </c>
      <c r="R352" s="707">
        <v>241428</v>
      </c>
      <c r="S352" s="701" t="s">
        <v>1272</v>
      </c>
      <c r="T352" s="701">
        <v>4</v>
      </c>
      <c r="U352" s="701">
        <v>4</v>
      </c>
      <c r="V352" s="701">
        <v>12</v>
      </c>
      <c r="W352" s="701">
        <v>11</v>
      </c>
      <c r="X352" s="701">
        <v>33</v>
      </c>
      <c r="Y352" s="701">
        <v>16</v>
      </c>
      <c r="Z352" s="701">
        <v>87.86</v>
      </c>
      <c r="AA352" s="458" t="s">
        <v>547</v>
      </c>
      <c r="AB352" s="459" t="s">
        <v>539</v>
      </c>
      <c r="AC352" s="459" t="s">
        <v>539</v>
      </c>
      <c r="AD352" s="697" t="s">
        <v>733</v>
      </c>
      <c r="AE352" s="701">
        <v>1</v>
      </c>
      <c r="AF352" s="701">
        <v>1</v>
      </c>
      <c r="AG352" s="701" t="s">
        <v>375</v>
      </c>
      <c r="AH352" s="728"/>
      <c r="AI352" s="697" t="s">
        <v>1273</v>
      </c>
      <c r="AJ352" s="699"/>
    </row>
    <row r="353" spans="1:36" ht="24" hidden="1" customHeight="1">
      <c r="B353" s="702"/>
      <c r="C353" s="700"/>
      <c r="D353" s="700"/>
      <c r="E353" s="700"/>
      <c r="F353" s="700"/>
      <c r="G353" s="700"/>
      <c r="H353" s="700"/>
      <c r="I353" s="713"/>
      <c r="J353" s="710"/>
      <c r="K353" s="710"/>
      <c r="L353" s="713"/>
      <c r="M353" s="710"/>
      <c r="N353" s="710"/>
      <c r="O353" s="702"/>
      <c r="P353" s="702"/>
      <c r="Q353" s="710"/>
      <c r="R353" s="708"/>
      <c r="S353" s="702"/>
      <c r="T353" s="702"/>
      <c r="U353" s="702"/>
      <c r="V353" s="702"/>
      <c r="W353" s="702"/>
      <c r="X353" s="702"/>
      <c r="Y353" s="702"/>
      <c r="Z353" s="702"/>
      <c r="AA353" s="473" t="s">
        <v>1274</v>
      </c>
      <c r="AB353" s="474" t="s">
        <v>539</v>
      </c>
      <c r="AC353" s="474" t="s">
        <v>539</v>
      </c>
      <c r="AD353" s="698"/>
      <c r="AE353" s="702"/>
      <c r="AF353" s="702"/>
      <c r="AG353" s="702"/>
      <c r="AH353" s="729"/>
      <c r="AI353" s="698"/>
      <c r="AJ353" s="700"/>
    </row>
    <row r="354" spans="1:36" ht="24" customHeight="1">
      <c r="A354" s="452">
        <v>90</v>
      </c>
      <c r="B354" s="701">
        <v>279</v>
      </c>
      <c r="C354" s="699" t="s">
        <v>337</v>
      </c>
      <c r="D354" s="699"/>
      <c r="E354" s="699" t="s">
        <v>545</v>
      </c>
      <c r="F354" s="699"/>
      <c r="G354" s="699" t="s">
        <v>59</v>
      </c>
      <c r="H354" s="699" t="s">
        <v>1275</v>
      </c>
      <c r="I354" s="712">
        <v>15000</v>
      </c>
      <c r="J354" s="709" t="s">
        <v>537</v>
      </c>
      <c r="K354" s="709" t="s">
        <v>537</v>
      </c>
      <c r="L354" s="712">
        <v>14999</v>
      </c>
      <c r="M354" s="709" t="s">
        <v>537</v>
      </c>
      <c r="N354" s="709" t="s">
        <v>537</v>
      </c>
      <c r="O354" s="701" t="s">
        <v>537</v>
      </c>
      <c r="P354" s="701" t="s">
        <v>537</v>
      </c>
      <c r="Q354" s="709">
        <v>1</v>
      </c>
      <c r="R354" s="707">
        <v>241518</v>
      </c>
      <c r="S354" s="701" t="s">
        <v>1276</v>
      </c>
      <c r="T354" s="701">
        <v>5</v>
      </c>
      <c r="U354" s="701">
        <v>5</v>
      </c>
      <c r="V354" s="701">
        <v>20</v>
      </c>
      <c r="W354" s="701">
        <v>6</v>
      </c>
      <c r="X354" s="701">
        <v>7</v>
      </c>
      <c r="Y354" s="701">
        <v>22</v>
      </c>
      <c r="Z354" s="701">
        <v>88</v>
      </c>
      <c r="AA354" s="458" t="s">
        <v>1277</v>
      </c>
      <c r="AB354" s="459" t="s">
        <v>539</v>
      </c>
      <c r="AC354" s="459" t="s">
        <v>539</v>
      </c>
      <c r="AD354" s="697" t="s">
        <v>548</v>
      </c>
      <c r="AE354" s="701">
        <v>80</v>
      </c>
      <c r="AF354" s="701">
        <v>88</v>
      </c>
      <c r="AG354" s="701" t="s">
        <v>375</v>
      </c>
      <c r="AH354" s="728"/>
      <c r="AI354" s="697" t="s">
        <v>1278</v>
      </c>
      <c r="AJ354" s="699"/>
    </row>
    <row r="355" spans="1:36" ht="24" hidden="1" customHeight="1">
      <c r="B355" s="715"/>
      <c r="C355" s="714"/>
      <c r="D355" s="714"/>
      <c r="E355" s="714"/>
      <c r="F355" s="714"/>
      <c r="G355" s="714"/>
      <c r="H355" s="714"/>
      <c r="I355" s="720"/>
      <c r="J355" s="717"/>
      <c r="K355" s="717"/>
      <c r="L355" s="720"/>
      <c r="M355" s="717"/>
      <c r="N355" s="717"/>
      <c r="O355" s="715"/>
      <c r="P355" s="715"/>
      <c r="Q355" s="717"/>
      <c r="R355" s="719"/>
      <c r="S355" s="715"/>
      <c r="T355" s="715"/>
      <c r="U355" s="715"/>
      <c r="V355" s="715"/>
      <c r="W355" s="715"/>
      <c r="X355" s="715"/>
      <c r="Y355" s="715"/>
      <c r="Z355" s="715"/>
      <c r="AA355" s="460" t="s">
        <v>1279</v>
      </c>
      <c r="AB355" s="461" t="s">
        <v>539</v>
      </c>
      <c r="AC355" s="461" t="s">
        <v>539</v>
      </c>
      <c r="AD355" s="711"/>
      <c r="AE355" s="715"/>
      <c r="AF355" s="715"/>
      <c r="AG355" s="715"/>
      <c r="AH355" s="730"/>
      <c r="AI355" s="711"/>
      <c r="AJ355" s="714"/>
    </row>
    <row r="356" spans="1:36" ht="24" hidden="1" customHeight="1">
      <c r="B356" s="702"/>
      <c r="C356" s="700"/>
      <c r="D356" s="700"/>
      <c r="E356" s="700"/>
      <c r="F356" s="700"/>
      <c r="G356" s="700"/>
      <c r="H356" s="700"/>
      <c r="I356" s="713"/>
      <c r="J356" s="710"/>
      <c r="K356" s="710"/>
      <c r="L356" s="713"/>
      <c r="M356" s="710"/>
      <c r="N356" s="710"/>
      <c r="O356" s="702"/>
      <c r="P356" s="702"/>
      <c r="Q356" s="710"/>
      <c r="R356" s="708"/>
      <c r="S356" s="702"/>
      <c r="T356" s="702"/>
      <c r="U356" s="702"/>
      <c r="V356" s="702"/>
      <c r="W356" s="702"/>
      <c r="X356" s="702"/>
      <c r="Y356" s="702"/>
      <c r="Z356" s="702"/>
      <c r="AA356" s="473" t="s">
        <v>1280</v>
      </c>
      <c r="AB356" s="474" t="s">
        <v>539</v>
      </c>
      <c r="AC356" s="474" t="s">
        <v>539</v>
      </c>
      <c r="AD356" s="698"/>
      <c r="AE356" s="702"/>
      <c r="AF356" s="702"/>
      <c r="AG356" s="702"/>
      <c r="AH356" s="729"/>
      <c r="AI356" s="698"/>
      <c r="AJ356" s="700"/>
    </row>
    <row r="357" spans="1:36" ht="24" customHeight="1">
      <c r="A357" s="452">
        <v>91</v>
      </c>
      <c r="B357" s="463">
        <v>280</v>
      </c>
      <c r="C357" s="464" t="s">
        <v>337</v>
      </c>
      <c r="D357" s="464"/>
      <c r="E357" s="464" t="s">
        <v>545</v>
      </c>
      <c r="F357" s="464"/>
      <c r="G357" s="464" t="s">
        <v>59</v>
      </c>
      <c r="H357" s="464" t="s">
        <v>1281</v>
      </c>
      <c r="I357" s="466">
        <v>50000</v>
      </c>
      <c r="J357" s="465" t="s">
        <v>537</v>
      </c>
      <c r="K357" s="465" t="s">
        <v>537</v>
      </c>
      <c r="L357" s="466">
        <v>49787</v>
      </c>
      <c r="M357" s="465" t="s">
        <v>537</v>
      </c>
      <c r="N357" s="465" t="s">
        <v>537</v>
      </c>
      <c r="O357" s="463" t="s">
        <v>537</v>
      </c>
      <c r="P357" s="463" t="s">
        <v>537</v>
      </c>
      <c r="Q357" s="465">
        <v>213</v>
      </c>
      <c r="R357" s="470">
        <v>241459</v>
      </c>
      <c r="S357" s="471">
        <v>22333</v>
      </c>
      <c r="T357" s="463">
        <v>4</v>
      </c>
      <c r="U357" s="463">
        <v>6</v>
      </c>
      <c r="V357" s="463">
        <v>20</v>
      </c>
      <c r="W357" s="463">
        <v>9</v>
      </c>
      <c r="X357" s="463">
        <v>46</v>
      </c>
      <c r="Y357" s="463">
        <v>23</v>
      </c>
      <c r="Z357" s="463">
        <v>94.6</v>
      </c>
      <c r="AA357" s="472" t="s">
        <v>547</v>
      </c>
      <c r="AB357" s="463" t="s">
        <v>539</v>
      </c>
      <c r="AC357" s="463" t="s">
        <v>539</v>
      </c>
      <c r="AD357" s="472" t="s">
        <v>733</v>
      </c>
      <c r="AE357" s="463">
        <v>1</v>
      </c>
      <c r="AF357" s="463">
        <v>3</v>
      </c>
      <c r="AG357" s="463" t="s">
        <v>375</v>
      </c>
      <c r="AH357" s="476"/>
      <c r="AI357" s="472" t="s">
        <v>1282</v>
      </c>
      <c r="AJ357" s="464"/>
    </row>
    <row r="358" spans="1:36" ht="24" customHeight="1">
      <c r="A358" s="452">
        <v>92</v>
      </c>
      <c r="B358" s="701">
        <v>281</v>
      </c>
      <c r="C358" s="699" t="s">
        <v>337</v>
      </c>
      <c r="D358" s="699"/>
      <c r="E358" s="699" t="s">
        <v>545</v>
      </c>
      <c r="F358" s="699"/>
      <c r="G358" s="699" t="s">
        <v>59</v>
      </c>
      <c r="H358" s="699" t="s">
        <v>1283</v>
      </c>
      <c r="I358" s="712">
        <v>15000</v>
      </c>
      <c r="J358" s="709" t="s">
        <v>537</v>
      </c>
      <c r="K358" s="709" t="s">
        <v>537</v>
      </c>
      <c r="L358" s="712">
        <v>14875</v>
      </c>
      <c r="M358" s="709" t="s">
        <v>537</v>
      </c>
      <c r="N358" s="709" t="s">
        <v>537</v>
      </c>
      <c r="O358" s="701" t="s">
        <v>537</v>
      </c>
      <c r="P358" s="701" t="s">
        <v>537</v>
      </c>
      <c r="Q358" s="709">
        <v>125</v>
      </c>
      <c r="R358" s="701" t="s">
        <v>643</v>
      </c>
      <c r="S358" s="701" t="s">
        <v>959</v>
      </c>
      <c r="T358" s="701">
        <v>1</v>
      </c>
      <c r="U358" s="701">
        <v>1</v>
      </c>
      <c r="V358" s="701">
        <v>20</v>
      </c>
      <c r="W358" s="701">
        <v>4</v>
      </c>
      <c r="X358" s="701">
        <v>40</v>
      </c>
      <c r="Y358" s="701">
        <v>23</v>
      </c>
      <c r="Z358" s="701">
        <v>90</v>
      </c>
      <c r="AA358" s="458" t="s">
        <v>547</v>
      </c>
      <c r="AB358" s="459" t="s">
        <v>539</v>
      </c>
      <c r="AC358" s="459" t="s">
        <v>539</v>
      </c>
      <c r="AD358" s="697" t="s">
        <v>733</v>
      </c>
      <c r="AE358" s="701">
        <v>1</v>
      </c>
      <c r="AF358" s="701">
        <v>1</v>
      </c>
      <c r="AG358" s="701" t="s">
        <v>375</v>
      </c>
      <c r="AH358" s="728"/>
      <c r="AI358" s="697" t="s">
        <v>1284</v>
      </c>
      <c r="AJ358" s="699"/>
    </row>
    <row r="359" spans="1:36" ht="24" hidden="1" customHeight="1">
      <c r="B359" s="702"/>
      <c r="C359" s="700"/>
      <c r="D359" s="700"/>
      <c r="E359" s="700"/>
      <c r="F359" s="700"/>
      <c r="G359" s="700"/>
      <c r="H359" s="700"/>
      <c r="I359" s="713"/>
      <c r="J359" s="710"/>
      <c r="K359" s="710"/>
      <c r="L359" s="713"/>
      <c r="M359" s="710"/>
      <c r="N359" s="710"/>
      <c r="O359" s="702"/>
      <c r="P359" s="702"/>
      <c r="Q359" s="710"/>
      <c r="R359" s="702"/>
      <c r="S359" s="702"/>
      <c r="T359" s="702"/>
      <c r="U359" s="702"/>
      <c r="V359" s="702"/>
      <c r="W359" s="702"/>
      <c r="X359" s="702"/>
      <c r="Y359" s="702"/>
      <c r="Z359" s="702"/>
      <c r="AA359" s="473" t="s">
        <v>1285</v>
      </c>
      <c r="AB359" s="474" t="s">
        <v>539</v>
      </c>
      <c r="AC359" s="474" t="s">
        <v>539</v>
      </c>
      <c r="AD359" s="698"/>
      <c r="AE359" s="702"/>
      <c r="AF359" s="702"/>
      <c r="AG359" s="702"/>
      <c r="AH359" s="729"/>
      <c r="AI359" s="698"/>
      <c r="AJ359" s="700"/>
    </row>
    <row r="360" spans="1:36" ht="24" customHeight="1">
      <c r="A360" s="452">
        <v>93</v>
      </c>
      <c r="B360" s="701">
        <v>282</v>
      </c>
      <c r="C360" s="699" t="s">
        <v>337</v>
      </c>
      <c r="D360" s="699"/>
      <c r="E360" s="699" t="s">
        <v>545</v>
      </c>
      <c r="F360" s="699"/>
      <c r="G360" s="699" t="s">
        <v>59</v>
      </c>
      <c r="H360" s="699" t="s">
        <v>1286</v>
      </c>
      <c r="I360" s="709">
        <v>0</v>
      </c>
      <c r="J360" s="709" t="s">
        <v>537</v>
      </c>
      <c r="K360" s="709" t="s">
        <v>537</v>
      </c>
      <c r="L360" s="709">
        <v>0</v>
      </c>
      <c r="M360" s="709" t="s">
        <v>537</v>
      </c>
      <c r="N360" s="709" t="s">
        <v>537</v>
      </c>
      <c r="O360" s="701" t="s">
        <v>537</v>
      </c>
      <c r="P360" s="701" t="s">
        <v>537</v>
      </c>
      <c r="Q360" s="709">
        <v>0</v>
      </c>
      <c r="R360" s="707">
        <v>241640</v>
      </c>
      <c r="S360" s="721">
        <v>22542</v>
      </c>
      <c r="T360" s="701">
        <v>0</v>
      </c>
      <c r="U360" s="701">
        <v>5</v>
      </c>
      <c r="V360" s="701">
        <v>15</v>
      </c>
      <c r="W360" s="701">
        <v>0</v>
      </c>
      <c r="X360" s="701">
        <v>24</v>
      </c>
      <c r="Y360" s="701">
        <v>12</v>
      </c>
      <c r="Z360" s="701">
        <v>91.33</v>
      </c>
      <c r="AA360" s="458" t="s">
        <v>547</v>
      </c>
      <c r="AB360" s="459" t="s">
        <v>539</v>
      </c>
      <c r="AC360" s="459" t="s">
        <v>539</v>
      </c>
      <c r="AD360" s="458" t="s">
        <v>1031</v>
      </c>
      <c r="AE360" s="459">
        <v>1</v>
      </c>
      <c r="AF360" s="459">
        <v>1</v>
      </c>
      <c r="AG360" s="701" t="s">
        <v>375</v>
      </c>
      <c r="AH360" s="728"/>
      <c r="AI360" s="697" t="s">
        <v>1287</v>
      </c>
      <c r="AJ360" s="699"/>
    </row>
    <row r="361" spans="1:36" ht="24" hidden="1" customHeight="1">
      <c r="B361" s="702"/>
      <c r="C361" s="700"/>
      <c r="D361" s="700"/>
      <c r="E361" s="700"/>
      <c r="F361" s="700"/>
      <c r="G361" s="700"/>
      <c r="H361" s="700"/>
      <c r="I361" s="710"/>
      <c r="J361" s="710"/>
      <c r="K361" s="710"/>
      <c r="L361" s="710"/>
      <c r="M361" s="710"/>
      <c r="N361" s="710"/>
      <c r="O361" s="702"/>
      <c r="P361" s="702"/>
      <c r="Q361" s="710"/>
      <c r="R361" s="708"/>
      <c r="S361" s="722"/>
      <c r="T361" s="702"/>
      <c r="U361" s="702"/>
      <c r="V361" s="702"/>
      <c r="W361" s="702"/>
      <c r="X361" s="702"/>
      <c r="Y361" s="702"/>
      <c r="Z361" s="702"/>
      <c r="AA361" s="473" t="s">
        <v>1288</v>
      </c>
      <c r="AB361" s="474" t="s">
        <v>539</v>
      </c>
      <c r="AC361" s="474" t="s">
        <v>539</v>
      </c>
      <c r="AD361" s="473" t="s">
        <v>1289</v>
      </c>
      <c r="AE361" s="474" t="s">
        <v>539</v>
      </c>
      <c r="AF361" s="474" t="s">
        <v>539</v>
      </c>
      <c r="AG361" s="702"/>
      <c r="AH361" s="729"/>
      <c r="AI361" s="698"/>
      <c r="AJ361" s="700"/>
    </row>
    <row r="362" spans="1:36" ht="24" customHeight="1">
      <c r="A362" s="452">
        <v>94</v>
      </c>
      <c r="B362" s="463">
        <v>283</v>
      </c>
      <c r="C362" s="464" t="s">
        <v>337</v>
      </c>
      <c r="D362" s="464"/>
      <c r="E362" s="464" t="s">
        <v>545</v>
      </c>
      <c r="F362" s="464"/>
      <c r="G362" s="464" t="s">
        <v>59</v>
      </c>
      <c r="H362" s="464" t="s">
        <v>1290</v>
      </c>
      <c r="I362" s="465" t="s">
        <v>537</v>
      </c>
      <c r="J362" s="465" t="s">
        <v>537</v>
      </c>
      <c r="K362" s="466">
        <v>16000</v>
      </c>
      <c r="L362" s="465" t="s">
        <v>537</v>
      </c>
      <c r="M362" s="465" t="s">
        <v>537</v>
      </c>
      <c r="N362" s="466">
        <v>1175</v>
      </c>
      <c r="O362" s="463" t="s">
        <v>537</v>
      </c>
      <c r="P362" s="463" t="s">
        <v>537</v>
      </c>
      <c r="Q362" s="468">
        <v>14825</v>
      </c>
      <c r="R362" s="470">
        <v>241487</v>
      </c>
      <c r="S362" s="463" t="s">
        <v>1291</v>
      </c>
      <c r="T362" s="463">
        <v>2</v>
      </c>
      <c r="U362" s="463">
        <v>1</v>
      </c>
      <c r="V362" s="463">
        <v>15</v>
      </c>
      <c r="W362" s="463">
        <v>2</v>
      </c>
      <c r="X362" s="463">
        <v>1</v>
      </c>
      <c r="Y362" s="463">
        <v>10</v>
      </c>
      <c r="Z362" s="463">
        <v>90</v>
      </c>
      <c r="AA362" s="472" t="s">
        <v>1292</v>
      </c>
      <c r="AB362" s="463" t="s">
        <v>539</v>
      </c>
      <c r="AC362" s="463" t="s">
        <v>539</v>
      </c>
      <c r="AD362" s="472" t="s">
        <v>1293</v>
      </c>
      <c r="AE362" s="463">
        <v>18</v>
      </c>
      <c r="AF362" s="463">
        <v>13</v>
      </c>
      <c r="AG362" s="463" t="s">
        <v>376</v>
      </c>
      <c r="AH362" s="476"/>
      <c r="AI362" s="472" t="s">
        <v>1294</v>
      </c>
      <c r="AJ362" s="472" t="s">
        <v>543</v>
      </c>
    </row>
    <row r="363" spans="1:36" ht="24" hidden="1" customHeight="1">
      <c r="B363" s="463">
        <v>284</v>
      </c>
      <c r="C363" s="464" t="s">
        <v>534</v>
      </c>
      <c r="D363" s="464"/>
      <c r="E363" s="464" t="s">
        <v>535</v>
      </c>
      <c r="F363" s="464"/>
      <c r="G363" s="464" t="s">
        <v>59</v>
      </c>
      <c r="H363" s="464" t="s">
        <v>668</v>
      </c>
      <c r="I363" s="465" t="s">
        <v>537</v>
      </c>
      <c r="J363" s="466">
        <v>25000</v>
      </c>
      <c r="K363" s="465" t="s">
        <v>537</v>
      </c>
      <c r="L363" s="465" t="s">
        <v>537</v>
      </c>
      <c r="M363" s="466">
        <v>21380</v>
      </c>
      <c r="N363" s="465" t="s">
        <v>537</v>
      </c>
      <c r="O363" s="463" t="s">
        <v>537</v>
      </c>
      <c r="P363" s="463" t="s">
        <v>537</v>
      </c>
      <c r="Q363" s="468">
        <v>3620</v>
      </c>
      <c r="R363" s="470">
        <v>241487</v>
      </c>
      <c r="S363" s="471">
        <v>22361</v>
      </c>
      <c r="T363" s="463">
        <v>70</v>
      </c>
      <c r="U363" s="463">
        <v>20</v>
      </c>
      <c r="V363" s="463">
        <v>0</v>
      </c>
      <c r="W363" s="463">
        <v>92</v>
      </c>
      <c r="X363" s="463">
        <v>56</v>
      </c>
      <c r="Y363" s="463">
        <v>0</v>
      </c>
      <c r="Z363" s="463">
        <v>85.74</v>
      </c>
      <c r="AA363" s="472" t="s">
        <v>547</v>
      </c>
      <c r="AB363" s="463" t="s">
        <v>539</v>
      </c>
      <c r="AC363" s="463" t="s">
        <v>539</v>
      </c>
      <c r="AD363" s="472" t="s">
        <v>548</v>
      </c>
      <c r="AE363" s="463">
        <v>80</v>
      </c>
      <c r="AF363" s="463">
        <v>87.18</v>
      </c>
      <c r="AG363" s="463" t="s">
        <v>375</v>
      </c>
      <c r="AH363" s="476"/>
      <c r="AI363" s="472" t="s">
        <v>1295</v>
      </c>
      <c r="AJ363" s="464"/>
    </row>
    <row r="364" spans="1:36" ht="24" hidden="1" customHeight="1">
      <c r="B364" s="463">
        <v>285</v>
      </c>
      <c r="C364" s="464" t="s">
        <v>534</v>
      </c>
      <c r="D364" s="464"/>
      <c r="E364" s="464" t="s">
        <v>535</v>
      </c>
      <c r="F364" s="464"/>
      <c r="G364" s="464" t="s">
        <v>59</v>
      </c>
      <c r="H364" s="464" t="s">
        <v>667</v>
      </c>
      <c r="I364" s="465" t="s">
        <v>537</v>
      </c>
      <c r="J364" s="466">
        <v>30000</v>
      </c>
      <c r="K364" s="465" t="s">
        <v>537</v>
      </c>
      <c r="L364" s="465" t="s">
        <v>537</v>
      </c>
      <c r="M364" s="466">
        <v>27473</v>
      </c>
      <c r="N364" s="465" t="s">
        <v>537</v>
      </c>
      <c r="O364" s="463" t="s">
        <v>537</v>
      </c>
      <c r="P364" s="463" t="s">
        <v>537</v>
      </c>
      <c r="Q364" s="468">
        <v>2527</v>
      </c>
      <c r="R364" s="470">
        <v>241579</v>
      </c>
      <c r="S364" s="471">
        <v>22453</v>
      </c>
      <c r="T364" s="463">
        <v>100</v>
      </c>
      <c r="U364" s="463">
        <v>50</v>
      </c>
      <c r="V364" s="463">
        <v>0</v>
      </c>
      <c r="W364" s="463">
        <v>184</v>
      </c>
      <c r="X364" s="463">
        <v>60</v>
      </c>
      <c r="Y364" s="464"/>
      <c r="Z364" s="463">
        <v>87.25</v>
      </c>
      <c r="AA364" s="472" t="s">
        <v>547</v>
      </c>
      <c r="AB364" s="463" t="s">
        <v>539</v>
      </c>
      <c r="AC364" s="463" t="s">
        <v>539</v>
      </c>
      <c r="AD364" s="472" t="s">
        <v>548</v>
      </c>
      <c r="AE364" s="463">
        <v>80</v>
      </c>
      <c r="AF364" s="463">
        <v>87.25</v>
      </c>
      <c r="AG364" s="463" t="s">
        <v>375</v>
      </c>
      <c r="AH364" s="476"/>
      <c r="AI364" s="472" t="s">
        <v>1295</v>
      </c>
      <c r="AJ364" s="464"/>
    </row>
    <row r="365" spans="1:36" ht="24" hidden="1" customHeight="1">
      <c r="B365" s="463">
        <v>286</v>
      </c>
      <c r="C365" s="464" t="s">
        <v>534</v>
      </c>
      <c r="D365" s="464"/>
      <c r="E365" s="464" t="s">
        <v>535</v>
      </c>
      <c r="F365" s="464"/>
      <c r="G365" s="464" t="s">
        <v>59</v>
      </c>
      <c r="H365" s="464" t="s">
        <v>669</v>
      </c>
      <c r="I365" s="465" t="s">
        <v>537</v>
      </c>
      <c r="J365" s="466">
        <v>150000</v>
      </c>
      <c r="K365" s="465" t="s">
        <v>537</v>
      </c>
      <c r="L365" s="465" t="s">
        <v>537</v>
      </c>
      <c r="M365" s="466">
        <v>141217</v>
      </c>
      <c r="N365" s="465" t="s">
        <v>537</v>
      </c>
      <c r="O365" s="463" t="s">
        <v>537</v>
      </c>
      <c r="P365" s="463" t="s">
        <v>537</v>
      </c>
      <c r="Q365" s="468">
        <v>8783</v>
      </c>
      <c r="R365" s="463" t="s">
        <v>727</v>
      </c>
      <c r="S365" s="463" t="s">
        <v>583</v>
      </c>
      <c r="T365" s="463">
        <v>95</v>
      </c>
      <c r="U365" s="463">
        <v>8</v>
      </c>
      <c r="V365" s="463">
        <v>0</v>
      </c>
      <c r="W365" s="463">
        <v>139</v>
      </c>
      <c r="X365" s="463">
        <v>6</v>
      </c>
      <c r="Y365" s="463">
        <v>0</v>
      </c>
      <c r="Z365" s="463">
        <v>87.77</v>
      </c>
      <c r="AA365" s="472" t="s">
        <v>1296</v>
      </c>
      <c r="AB365" s="463">
        <v>1</v>
      </c>
      <c r="AC365" s="463">
        <v>2</v>
      </c>
      <c r="AD365" s="472" t="s">
        <v>651</v>
      </c>
      <c r="AE365" s="463">
        <v>1</v>
      </c>
      <c r="AF365" s="463">
        <v>1</v>
      </c>
      <c r="AG365" s="463" t="s">
        <v>375</v>
      </c>
      <c r="AH365" s="476"/>
      <c r="AI365" s="472" t="s">
        <v>1297</v>
      </c>
      <c r="AJ365" s="464"/>
    </row>
    <row r="366" spans="1:36" ht="24" hidden="1" customHeight="1">
      <c r="B366" s="463">
        <v>287</v>
      </c>
      <c r="C366" s="464" t="s">
        <v>534</v>
      </c>
      <c r="D366" s="464"/>
      <c r="E366" s="464" t="s">
        <v>535</v>
      </c>
      <c r="F366" s="464"/>
      <c r="G366" s="464" t="s">
        <v>59</v>
      </c>
      <c r="H366" s="464" t="s">
        <v>1298</v>
      </c>
      <c r="I366" s="465" t="s">
        <v>537</v>
      </c>
      <c r="J366" s="466">
        <v>30000</v>
      </c>
      <c r="K366" s="465" t="s">
        <v>537</v>
      </c>
      <c r="L366" s="465" t="s">
        <v>537</v>
      </c>
      <c r="M366" s="466">
        <v>30000</v>
      </c>
      <c r="N366" s="465" t="s">
        <v>537</v>
      </c>
      <c r="O366" s="463" t="s">
        <v>537</v>
      </c>
      <c r="P366" s="463" t="s">
        <v>537</v>
      </c>
      <c r="Q366" s="465">
        <v>0</v>
      </c>
      <c r="R366" s="470">
        <v>241671</v>
      </c>
      <c r="S366" s="463" t="s">
        <v>1299</v>
      </c>
      <c r="T366" s="463">
        <v>10</v>
      </c>
      <c r="U366" s="463">
        <v>50</v>
      </c>
      <c r="V366" s="463">
        <v>0</v>
      </c>
      <c r="W366" s="463">
        <v>10</v>
      </c>
      <c r="X366" s="463">
        <v>50</v>
      </c>
      <c r="Y366" s="463">
        <v>0</v>
      </c>
      <c r="Z366" s="463">
        <v>93.4</v>
      </c>
      <c r="AA366" s="472" t="s">
        <v>1119</v>
      </c>
      <c r="AB366" s="463" t="s">
        <v>539</v>
      </c>
      <c r="AC366" s="463" t="s">
        <v>539</v>
      </c>
      <c r="AD366" s="472" t="s">
        <v>1016</v>
      </c>
      <c r="AE366" s="463">
        <v>80</v>
      </c>
      <c r="AF366" s="463">
        <v>88</v>
      </c>
      <c r="AG366" s="463" t="s">
        <v>375</v>
      </c>
      <c r="AH366" s="476"/>
      <c r="AI366" s="472" t="s">
        <v>1300</v>
      </c>
      <c r="AJ366" s="464"/>
    </row>
    <row r="367" spans="1:36" ht="24" hidden="1" customHeight="1">
      <c r="B367" s="463">
        <v>288</v>
      </c>
      <c r="C367" s="464" t="s">
        <v>534</v>
      </c>
      <c r="D367" s="464"/>
      <c r="E367" s="464" t="s">
        <v>535</v>
      </c>
      <c r="F367" s="464"/>
      <c r="G367" s="464" t="s">
        <v>59</v>
      </c>
      <c r="H367" s="464" t="s">
        <v>1301</v>
      </c>
      <c r="I367" s="465" t="s">
        <v>537</v>
      </c>
      <c r="J367" s="465" t="s">
        <v>537</v>
      </c>
      <c r="K367" s="466">
        <v>10260</v>
      </c>
      <c r="L367" s="465" t="s">
        <v>537</v>
      </c>
      <c r="M367" s="465" t="s">
        <v>537</v>
      </c>
      <c r="N367" s="466">
        <v>9686</v>
      </c>
      <c r="O367" s="463" t="s">
        <v>537</v>
      </c>
      <c r="P367" s="463" t="s">
        <v>537</v>
      </c>
      <c r="Q367" s="465">
        <v>574</v>
      </c>
      <c r="R367" s="470">
        <v>241671</v>
      </c>
      <c r="S367" s="471">
        <v>22538</v>
      </c>
      <c r="T367" s="463">
        <v>25</v>
      </c>
      <c r="U367" s="463">
        <v>4</v>
      </c>
      <c r="V367" s="463">
        <v>0</v>
      </c>
      <c r="W367" s="463">
        <v>25</v>
      </c>
      <c r="X367" s="463">
        <v>7</v>
      </c>
      <c r="Y367" s="463">
        <v>0</v>
      </c>
      <c r="Z367" s="463">
        <v>86</v>
      </c>
      <c r="AA367" s="472" t="s">
        <v>633</v>
      </c>
      <c r="AB367" s="463" t="s">
        <v>539</v>
      </c>
      <c r="AC367" s="463" t="s">
        <v>539</v>
      </c>
      <c r="AD367" s="472" t="s">
        <v>635</v>
      </c>
      <c r="AE367" s="463" t="s">
        <v>539</v>
      </c>
      <c r="AF367" s="463" t="s">
        <v>539</v>
      </c>
      <c r="AG367" s="463" t="s">
        <v>375</v>
      </c>
      <c r="AH367" s="476"/>
      <c r="AI367" s="472" t="s">
        <v>1302</v>
      </c>
      <c r="AJ367" s="472" t="s">
        <v>792</v>
      </c>
    </row>
    <row r="368" spans="1:36" ht="24" hidden="1" customHeight="1">
      <c r="B368" s="463">
        <v>289</v>
      </c>
      <c r="C368" s="464" t="s">
        <v>534</v>
      </c>
      <c r="D368" s="464"/>
      <c r="E368" s="464" t="s">
        <v>535</v>
      </c>
      <c r="F368" s="464"/>
      <c r="G368" s="464" t="s">
        <v>59</v>
      </c>
      <c r="H368" s="464" t="s">
        <v>1303</v>
      </c>
      <c r="I368" s="465" t="s">
        <v>537</v>
      </c>
      <c r="J368" s="465" t="s">
        <v>537</v>
      </c>
      <c r="K368" s="466">
        <v>60000</v>
      </c>
      <c r="L368" s="465" t="s">
        <v>537</v>
      </c>
      <c r="M368" s="465" t="s">
        <v>537</v>
      </c>
      <c r="N368" s="466">
        <v>43049</v>
      </c>
      <c r="O368" s="463" t="s">
        <v>537</v>
      </c>
      <c r="P368" s="463" t="s">
        <v>537</v>
      </c>
      <c r="Q368" s="468">
        <v>16951</v>
      </c>
      <c r="R368" s="463" t="s">
        <v>643</v>
      </c>
      <c r="S368" s="463" t="s">
        <v>1276</v>
      </c>
      <c r="T368" s="463">
        <v>0</v>
      </c>
      <c r="U368" s="463">
        <v>120</v>
      </c>
      <c r="V368" s="463">
        <v>0</v>
      </c>
      <c r="W368" s="464"/>
      <c r="X368" s="463">
        <v>179</v>
      </c>
      <c r="Y368" s="464"/>
      <c r="Z368" s="463">
        <v>95.9</v>
      </c>
      <c r="AA368" s="472" t="s">
        <v>1304</v>
      </c>
      <c r="AB368" s="463" t="s">
        <v>539</v>
      </c>
      <c r="AC368" s="463" t="s">
        <v>1040</v>
      </c>
      <c r="AD368" s="472" t="s">
        <v>565</v>
      </c>
      <c r="AE368" s="463">
        <v>80</v>
      </c>
      <c r="AF368" s="463">
        <v>95.9</v>
      </c>
      <c r="AG368" s="463" t="s">
        <v>375</v>
      </c>
      <c r="AH368" s="476"/>
      <c r="AI368" s="464"/>
      <c r="AJ368" s="472" t="s">
        <v>792</v>
      </c>
    </row>
    <row r="369" spans="2:36" ht="24" hidden="1" customHeight="1">
      <c r="B369" s="463">
        <v>290</v>
      </c>
      <c r="C369" s="464" t="s">
        <v>534</v>
      </c>
      <c r="D369" s="464"/>
      <c r="E369" s="464" t="s">
        <v>535</v>
      </c>
      <c r="F369" s="464"/>
      <c r="G369" s="464" t="s">
        <v>59</v>
      </c>
      <c r="H369" s="464" t="s">
        <v>1305</v>
      </c>
      <c r="I369" s="465" t="s">
        <v>537</v>
      </c>
      <c r="J369" s="465" t="s">
        <v>537</v>
      </c>
      <c r="K369" s="466">
        <v>21500</v>
      </c>
      <c r="L369" s="465" t="s">
        <v>537</v>
      </c>
      <c r="M369" s="465" t="s">
        <v>537</v>
      </c>
      <c r="N369" s="466">
        <v>13867</v>
      </c>
      <c r="O369" s="463" t="s">
        <v>537</v>
      </c>
      <c r="P369" s="463" t="s">
        <v>537</v>
      </c>
      <c r="Q369" s="468">
        <v>7633</v>
      </c>
      <c r="R369" s="470">
        <v>241579</v>
      </c>
      <c r="S369" s="471">
        <v>22451</v>
      </c>
      <c r="T369" s="463">
        <v>0</v>
      </c>
      <c r="U369" s="463">
        <v>27</v>
      </c>
      <c r="V369" s="463">
        <v>3</v>
      </c>
      <c r="W369" s="463">
        <v>0</v>
      </c>
      <c r="X369" s="463">
        <v>23</v>
      </c>
      <c r="Y369" s="463">
        <v>3</v>
      </c>
      <c r="Z369" s="463">
        <v>90.6</v>
      </c>
      <c r="AA369" s="472" t="s">
        <v>547</v>
      </c>
      <c r="AB369" s="463" t="s">
        <v>539</v>
      </c>
      <c r="AC369" s="463" t="s">
        <v>539</v>
      </c>
      <c r="AD369" s="472" t="s">
        <v>548</v>
      </c>
      <c r="AE369" s="463">
        <v>80</v>
      </c>
      <c r="AF369" s="463">
        <v>90.2</v>
      </c>
      <c r="AG369" s="463" t="s">
        <v>375</v>
      </c>
      <c r="AH369" s="476"/>
      <c r="AI369" s="472" t="s">
        <v>1306</v>
      </c>
      <c r="AJ369" s="472" t="s">
        <v>792</v>
      </c>
    </row>
    <row r="370" spans="2:36" ht="24" hidden="1" customHeight="1">
      <c r="B370" s="463">
        <v>291</v>
      </c>
      <c r="C370" s="464" t="s">
        <v>534</v>
      </c>
      <c r="D370" s="464"/>
      <c r="E370" s="464" t="s">
        <v>535</v>
      </c>
      <c r="F370" s="464"/>
      <c r="G370" s="464" t="s">
        <v>59</v>
      </c>
      <c r="H370" s="464" t="s">
        <v>1307</v>
      </c>
      <c r="I370" s="465" t="s">
        <v>537</v>
      </c>
      <c r="J370" s="465" t="s">
        <v>537</v>
      </c>
      <c r="K370" s="466">
        <v>21500</v>
      </c>
      <c r="L370" s="465" t="s">
        <v>537</v>
      </c>
      <c r="M370" s="465" t="s">
        <v>537</v>
      </c>
      <c r="N370" s="466">
        <v>14979</v>
      </c>
      <c r="O370" s="463" t="s">
        <v>537</v>
      </c>
      <c r="P370" s="463" t="s">
        <v>537</v>
      </c>
      <c r="Q370" s="468">
        <v>6521</v>
      </c>
      <c r="R370" s="470">
        <v>241579</v>
      </c>
      <c r="S370" s="471">
        <v>22459</v>
      </c>
      <c r="T370" s="463">
        <v>0</v>
      </c>
      <c r="U370" s="463">
        <v>27</v>
      </c>
      <c r="V370" s="463">
        <v>3</v>
      </c>
      <c r="W370" s="463">
        <v>0</v>
      </c>
      <c r="X370" s="463">
        <v>30</v>
      </c>
      <c r="Y370" s="463">
        <v>3</v>
      </c>
      <c r="Z370" s="463">
        <v>89.3</v>
      </c>
      <c r="AA370" s="472" t="s">
        <v>547</v>
      </c>
      <c r="AB370" s="463" t="s">
        <v>539</v>
      </c>
      <c r="AC370" s="463" t="s">
        <v>539</v>
      </c>
      <c r="AD370" s="472" t="s">
        <v>548</v>
      </c>
      <c r="AE370" s="463">
        <v>80</v>
      </c>
      <c r="AF370" s="463">
        <v>89.1</v>
      </c>
      <c r="AG370" s="463" t="s">
        <v>375</v>
      </c>
      <c r="AH370" s="476"/>
      <c r="AI370" s="472" t="s">
        <v>1306</v>
      </c>
      <c r="AJ370" s="472" t="s">
        <v>792</v>
      </c>
    </row>
    <row r="371" spans="2:36" ht="24" hidden="1" customHeight="1">
      <c r="B371" s="463">
        <v>292</v>
      </c>
      <c r="C371" s="464" t="s">
        <v>534</v>
      </c>
      <c r="D371" s="464"/>
      <c r="E371" s="464" t="s">
        <v>535</v>
      </c>
      <c r="F371" s="464"/>
      <c r="G371" s="464" t="s">
        <v>59</v>
      </c>
      <c r="H371" s="464" t="s">
        <v>1308</v>
      </c>
      <c r="I371" s="465" t="s">
        <v>537</v>
      </c>
      <c r="J371" s="465" t="s">
        <v>537</v>
      </c>
      <c r="K371" s="466">
        <v>21500</v>
      </c>
      <c r="L371" s="465" t="s">
        <v>537</v>
      </c>
      <c r="M371" s="465" t="s">
        <v>537</v>
      </c>
      <c r="N371" s="466">
        <v>14960</v>
      </c>
      <c r="O371" s="463" t="s">
        <v>537</v>
      </c>
      <c r="P371" s="463" t="s">
        <v>537</v>
      </c>
      <c r="Q371" s="468">
        <v>6540</v>
      </c>
      <c r="R371" s="470">
        <v>241579</v>
      </c>
      <c r="S371" s="471">
        <v>22444</v>
      </c>
      <c r="T371" s="463">
        <v>0</v>
      </c>
      <c r="U371" s="463">
        <v>27</v>
      </c>
      <c r="V371" s="463">
        <v>3</v>
      </c>
      <c r="W371" s="463">
        <v>0</v>
      </c>
      <c r="X371" s="463">
        <v>32</v>
      </c>
      <c r="Y371" s="463">
        <v>3</v>
      </c>
      <c r="Z371" s="463">
        <v>85.6</v>
      </c>
      <c r="AA371" s="472" t="s">
        <v>547</v>
      </c>
      <c r="AB371" s="463" t="s">
        <v>539</v>
      </c>
      <c r="AC371" s="463" t="s">
        <v>539</v>
      </c>
      <c r="AD371" s="472" t="s">
        <v>548</v>
      </c>
      <c r="AE371" s="463">
        <v>80</v>
      </c>
      <c r="AF371" s="463">
        <v>84.8</v>
      </c>
      <c r="AG371" s="463" t="s">
        <v>375</v>
      </c>
      <c r="AH371" s="476"/>
      <c r="AI371" s="472" t="s">
        <v>1306</v>
      </c>
      <c r="AJ371" s="472" t="s">
        <v>792</v>
      </c>
    </row>
    <row r="372" spans="2:36" ht="24" hidden="1" customHeight="1">
      <c r="B372" s="463">
        <v>293</v>
      </c>
      <c r="C372" s="464" t="s">
        <v>534</v>
      </c>
      <c r="D372" s="464"/>
      <c r="E372" s="464" t="s">
        <v>535</v>
      </c>
      <c r="F372" s="464"/>
      <c r="G372" s="464" t="s">
        <v>59</v>
      </c>
      <c r="H372" s="464" t="s">
        <v>1309</v>
      </c>
      <c r="I372" s="465" t="s">
        <v>537</v>
      </c>
      <c r="J372" s="465" t="s">
        <v>537</v>
      </c>
      <c r="K372" s="466">
        <v>21500</v>
      </c>
      <c r="L372" s="465" t="s">
        <v>537</v>
      </c>
      <c r="M372" s="465" t="s">
        <v>537</v>
      </c>
      <c r="N372" s="466">
        <v>16484</v>
      </c>
      <c r="O372" s="463" t="s">
        <v>537</v>
      </c>
      <c r="P372" s="463" t="s">
        <v>537</v>
      </c>
      <c r="Q372" s="468">
        <v>5016</v>
      </c>
      <c r="R372" s="470">
        <v>241579</v>
      </c>
      <c r="S372" s="471">
        <v>22446</v>
      </c>
      <c r="T372" s="463">
        <v>0</v>
      </c>
      <c r="U372" s="463">
        <v>27</v>
      </c>
      <c r="V372" s="463">
        <v>3</v>
      </c>
      <c r="W372" s="463">
        <v>0</v>
      </c>
      <c r="X372" s="463">
        <v>26</v>
      </c>
      <c r="Y372" s="463">
        <v>3</v>
      </c>
      <c r="Z372" s="463">
        <v>87.4</v>
      </c>
      <c r="AA372" s="472" t="s">
        <v>547</v>
      </c>
      <c r="AB372" s="463" t="s">
        <v>539</v>
      </c>
      <c r="AC372" s="463" t="s">
        <v>539</v>
      </c>
      <c r="AD372" s="472" t="s">
        <v>548</v>
      </c>
      <c r="AE372" s="463">
        <v>80</v>
      </c>
      <c r="AF372" s="463">
        <v>85.7</v>
      </c>
      <c r="AG372" s="463" t="s">
        <v>375</v>
      </c>
      <c r="AH372" s="476"/>
      <c r="AI372" s="472" t="s">
        <v>1306</v>
      </c>
      <c r="AJ372" s="472" t="s">
        <v>792</v>
      </c>
    </row>
    <row r="373" spans="2:36" ht="24" hidden="1" customHeight="1">
      <c r="B373" s="463">
        <v>294</v>
      </c>
      <c r="C373" s="464" t="s">
        <v>534</v>
      </c>
      <c r="D373" s="464"/>
      <c r="E373" s="464" t="s">
        <v>535</v>
      </c>
      <c r="F373" s="464"/>
      <c r="G373" s="464" t="s">
        <v>59</v>
      </c>
      <c r="H373" s="464" t="s">
        <v>1310</v>
      </c>
      <c r="I373" s="465" t="s">
        <v>537</v>
      </c>
      <c r="J373" s="465" t="s">
        <v>537</v>
      </c>
      <c r="K373" s="466">
        <v>21500</v>
      </c>
      <c r="L373" s="465" t="s">
        <v>537</v>
      </c>
      <c r="M373" s="465" t="s">
        <v>537</v>
      </c>
      <c r="N373" s="466">
        <v>14032</v>
      </c>
      <c r="O373" s="463" t="s">
        <v>537</v>
      </c>
      <c r="P373" s="463" t="s">
        <v>537</v>
      </c>
      <c r="Q373" s="468">
        <v>7468</v>
      </c>
      <c r="R373" s="470">
        <v>241579</v>
      </c>
      <c r="S373" s="471">
        <v>22445</v>
      </c>
      <c r="T373" s="463">
        <v>0</v>
      </c>
      <c r="U373" s="463">
        <v>27</v>
      </c>
      <c r="V373" s="463">
        <v>3</v>
      </c>
      <c r="W373" s="463">
        <v>0</v>
      </c>
      <c r="X373" s="463">
        <v>25</v>
      </c>
      <c r="Y373" s="463">
        <v>3</v>
      </c>
      <c r="Z373" s="463">
        <v>90.7</v>
      </c>
      <c r="AA373" s="472" t="s">
        <v>547</v>
      </c>
      <c r="AB373" s="463" t="s">
        <v>539</v>
      </c>
      <c r="AC373" s="463" t="s">
        <v>539</v>
      </c>
      <c r="AD373" s="472" t="s">
        <v>548</v>
      </c>
      <c r="AE373" s="463">
        <v>80</v>
      </c>
      <c r="AF373" s="463">
        <v>89.8</v>
      </c>
      <c r="AG373" s="463" t="s">
        <v>375</v>
      </c>
      <c r="AH373" s="476"/>
      <c r="AI373" s="472" t="s">
        <v>1306</v>
      </c>
      <c r="AJ373" s="472" t="s">
        <v>792</v>
      </c>
    </row>
    <row r="374" spans="2:36" ht="24" hidden="1" customHeight="1">
      <c r="B374" s="463">
        <v>295</v>
      </c>
      <c r="C374" s="464" t="s">
        <v>534</v>
      </c>
      <c r="D374" s="464"/>
      <c r="E374" s="464" t="s">
        <v>535</v>
      </c>
      <c r="F374" s="464"/>
      <c r="G374" s="464" t="s">
        <v>59</v>
      </c>
      <c r="H374" s="464" t="s">
        <v>1311</v>
      </c>
      <c r="I374" s="465" t="s">
        <v>537</v>
      </c>
      <c r="J374" s="465" t="s">
        <v>537</v>
      </c>
      <c r="K374" s="466">
        <v>21500</v>
      </c>
      <c r="L374" s="465" t="s">
        <v>537</v>
      </c>
      <c r="M374" s="465" t="s">
        <v>537</v>
      </c>
      <c r="N374" s="466">
        <v>14284</v>
      </c>
      <c r="O374" s="463" t="s">
        <v>537</v>
      </c>
      <c r="P374" s="463" t="s">
        <v>537</v>
      </c>
      <c r="Q374" s="468">
        <v>7216</v>
      </c>
      <c r="R374" s="470">
        <v>241579</v>
      </c>
      <c r="S374" s="471">
        <v>22447</v>
      </c>
      <c r="T374" s="463">
        <v>0</v>
      </c>
      <c r="U374" s="463">
        <v>27</v>
      </c>
      <c r="V374" s="463">
        <v>3</v>
      </c>
      <c r="W374" s="463">
        <v>0</v>
      </c>
      <c r="X374" s="463">
        <v>26</v>
      </c>
      <c r="Y374" s="463">
        <v>3</v>
      </c>
      <c r="Z374" s="463">
        <v>88.7</v>
      </c>
      <c r="AA374" s="472" t="s">
        <v>547</v>
      </c>
      <c r="AB374" s="463" t="s">
        <v>539</v>
      </c>
      <c r="AC374" s="463" t="s">
        <v>539</v>
      </c>
      <c r="AD374" s="472" t="s">
        <v>548</v>
      </c>
      <c r="AE374" s="463">
        <v>80</v>
      </c>
      <c r="AF374" s="463">
        <v>88.8</v>
      </c>
      <c r="AG374" s="463" t="s">
        <v>375</v>
      </c>
      <c r="AH374" s="476"/>
      <c r="AI374" s="472" t="s">
        <v>1306</v>
      </c>
      <c r="AJ374" s="472" t="s">
        <v>792</v>
      </c>
    </row>
    <row r="375" spans="2:36" ht="24" hidden="1" customHeight="1">
      <c r="B375" s="463">
        <v>296</v>
      </c>
      <c r="C375" s="464" t="s">
        <v>534</v>
      </c>
      <c r="D375" s="464"/>
      <c r="E375" s="464" t="s">
        <v>535</v>
      </c>
      <c r="F375" s="464"/>
      <c r="G375" s="464" t="s">
        <v>59</v>
      </c>
      <c r="H375" s="464" t="s">
        <v>1312</v>
      </c>
      <c r="I375" s="465" t="s">
        <v>537</v>
      </c>
      <c r="J375" s="465" t="s">
        <v>537</v>
      </c>
      <c r="K375" s="466">
        <v>25500</v>
      </c>
      <c r="L375" s="465" t="s">
        <v>537</v>
      </c>
      <c r="M375" s="465" t="s">
        <v>537</v>
      </c>
      <c r="N375" s="466">
        <v>21176</v>
      </c>
      <c r="O375" s="463" t="s">
        <v>537</v>
      </c>
      <c r="P375" s="463" t="s">
        <v>537</v>
      </c>
      <c r="Q375" s="468">
        <v>4324</v>
      </c>
      <c r="R375" s="470">
        <v>241609</v>
      </c>
      <c r="S375" s="471">
        <v>22480</v>
      </c>
      <c r="T375" s="463">
        <v>0</v>
      </c>
      <c r="U375" s="463">
        <v>35</v>
      </c>
      <c r="V375" s="463">
        <v>5</v>
      </c>
      <c r="W375" s="463">
        <v>0</v>
      </c>
      <c r="X375" s="463">
        <v>47</v>
      </c>
      <c r="Y375" s="463">
        <v>4</v>
      </c>
      <c r="Z375" s="463">
        <v>87.6</v>
      </c>
      <c r="AA375" s="472" t="s">
        <v>547</v>
      </c>
      <c r="AB375" s="463" t="s">
        <v>539</v>
      </c>
      <c r="AC375" s="463" t="s">
        <v>539</v>
      </c>
      <c r="AD375" s="472" t="s">
        <v>548</v>
      </c>
      <c r="AE375" s="463">
        <v>80</v>
      </c>
      <c r="AF375" s="463">
        <v>87.6</v>
      </c>
      <c r="AG375" s="463" t="s">
        <v>375</v>
      </c>
      <c r="AH375" s="476"/>
      <c r="AI375" s="472" t="s">
        <v>1306</v>
      </c>
      <c r="AJ375" s="472" t="s">
        <v>792</v>
      </c>
    </row>
    <row r="376" spans="2:36" ht="24" hidden="1" customHeight="1">
      <c r="B376" s="463">
        <v>297</v>
      </c>
      <c r="C376" s="464" t="s">
        <v>534</v>
      </c>
      <c r="D376" s="464"/>
      <c r="E376" s="464" t="s">
        <v>535</v>
      </c>
      <c r="F376" s="464"/>
      <c r="G376" s="464" t="s">
        <v>59</v>
      </c>
      <c r="H376" s="464" t="s">
        <v>1313</v>
      </c>
      <c r="I376" s="465" t="s">
        <v>537</v>
      </c>
      <c r="J376" s="466">
        <v>24500</v>
      </c>
      <c r="K376" s="465" t="s">
        <v>537</v>
      </c>
      <c r="L376" s="465" t="s">
        <v>537</v>
      </c>
      <c r="M376" s="466">
        <v>24500</v>
      </c>
      <c r="N376" s="465" t="s">
        <v>537</v>
      </c>
      <c r="O376" s="463" t="s">
        <v>537</v>
      </c>
      <c r="P376" s="463" t="s">
        <v>537</v>
      </c>
      <c r="Q376" s="465">
        <v>0</v>
      </c>
      <c r="R376" s="470">
        <v>241487</v>
      </c>
      <c r="S376" s="463" t="s">
        <v>1314</v>
      </c>
      <c r="T376" s="463">
        <v>4</v>
      </c>
      <c r="U376" s="463">
        <v>36</v>
      </c>
      <c r="V376" s="463">
        <v>0</v>
      </c>
      <c r="W376" s="463">
        <v>0</v>
      </c>
      <c r="X376" s="463">
        <v>10</v>
      </c>
      <c r="Y376" s="463">
        <v>0</v>
      </c>
      <c r="Z376" s="463">
        <v>86.52</v>
      </c>
      <c r="AA376" s="472" t="s">
        <v>1296</v>
      </c>
      <c r="AB376" s="463">
        <v>1</v>
      </c>
      <c r="AC376" s="463">
        <v>1</v>
      </c>
      <c r="AD376" s="472" t="s">
        <v>651</v>
      </c>
      <c r="AE376" s="463">
        <v>1</v>
      </c>
      <c r="AF376" s="463">
        <v>1</v>
      </c>
      <c r="AG376" s="463" t="s">
        <v>375</v>
      </c>
      <c r="AH376" s="476"/>
      <c r="AI376" s="472" t="s">
        <v>1260</v>
      </c>
      <c r="AJ376" s="464"/>
    </row>
    <row r="377" spans="2:36" ht="24" hidden="1" customHeight="1">
      <c r="B377" s="463">
        <v>298</v>
      </c>
      <c r="C377" s="464" t="s">
        <v>534</v>
      </c>
      <c r="D377" s="464"/>
      <c r="E377" s="464" t="s">
        <v>535</v>
      </c>
      <c r="F377" s="464"/>
      <c r="G377" s="464" t="s">
        <v>59</v>
      </c>
      <c r="H377" s="464" t="s">
        <v>1315</v>
      </c>
      <c r="I377" s="465" t="s">
        <v>537</v>
      </c>
      <c r="J377" s="466">
        <v>3500</v>
      </c>
      <c r="K377" s="465" t="s">
        <v>537</v>
      </c>
      <c r="L377" s="465" t="s">
        <v>537</v>
      </c>
      <c r="M377" s="465">
        <v>0</v>
      </c>
      <c r="N377" s="465" t="s">
        <v>537</v>
      </c>
      <c r="O377" s="463" t="s">
        <v>537</v>
      </c>
      <c r="P377" s="463" t="s">
        <v>537</v>
      </c>
      <c r="Q377" s="468">
        <v>3500</v>
      </c>
      <c r="R377" s="470">
        <v>241579</v>
      </c>
      <c r="S377" s="463" t="s">
        <v>1316</v>
      </c>
      <c r="T377" s="463">
        <v>4</v>
      </c>
      <c r="U377" s="463">
        <v>36</v>
      </c>
      <c r="V377" s="463">
        <v>0</v>
      </c>
      <c r="W377" s="463">
        <v>3</v>
      </c>
      <c r="X377" s="463">
        <v>21</v>
      </c>
      <c r="Y377" s="463">
        <v>0</v>
      </c>
      <c r="Z377" s="463">
        <v>85</v>
      </c>
      <c r="AA377" s="472" t="s">
        <v>1296</v>
      </c>
      <c r="AB377" s="463">
        <v>1</v>
      </c>
      <c r="AC377" s="463">
        <v>1</v>
      </c>
      <c r="AD377" s="472" t="s">
        <v>651</v>
      </c>
      <c r="AE377" s="463">
        <v>1</v>
      </c>
      <c r="AF377" s="463">
        <v>1</v>
      </c>
      <c r="AG377" s="463" t="s">
        <v>375</v>
      </c>
      <c r="AH377" s="476"/>
      <c r="AI377" s="472" t="s">
        <v>1260</v>
      </c>
      <c r="AJ377" s="464"/>
    </row>
    <row r="378" spans="2:36" ht="24" hidden="1" customHeight="1">
      <c r="B378" s="463">
        <v>299</v>
      </c>
      <c r="C378" s="464" t="s">
        <v>534</v>
      </c>
      <c r="D378" s="464"/>
      <c r="E378" s="464" t="s">
        <v>535</v>
      </c>
      <c r="F378" s="464"/>
      <c r="G378" s="464" t="s">
        <v>59</v>
      </c>
      <c r="H378" s="464" t="s">
        <v>1317</v>
      </c>
      <c r="I378" s="465" t="s">
        <v>537</v>
      </c>
      <c r="J378" s="465" t="s">
        <v>537</v>
      </c>
      <c r="K378" s="466">
        <v>50000</v>
      </c>
      <c r="L378" s="465" t="s">
        <v>537</v>
      </c>
      <c r="M378" s="465" t="s">
        <v>537</v>
      </c>
      <c r="N378" s="466">
        <v>50000</v>
      </c>
      <c r="O378" s="463" t="s">
        <v>537</v>
      </c>
      <c r="P378" s="463" t="s">
        <v>537</v>
      </c>
      <c r="Q378" s="465">
        <v>0</v>
      </c>
      <c r="R378" s="470">
        <v>241397</v>
      </c>
      <c r="S378" s="471">
        <v>22276</v>
      </c>
      <c r="T378" s="463">
        <v>0</v>
      </c>
      <c r="U378" s="463">
        <v>113</v>
      </c>
      <c r="V378" s="463">
        <v>0</v>
      </c>
      <c r="W378" s="463">
        <v>0</v>
      </c>
      <c r="X378" s="463">
        <v>109</v>
      </c>
      <c r="Y378" s="463">
        <v>0</v>
      </c>
      <c r="Z378" s="463">
        <v>98.5</v>
      </c>
      <c r="AA378" s="472" t="s">
        <v>1318</v>
      </c>
      <c r="AB378" s="463" t="s">
        <v>539</v>
      </c>
      <c r="AC378" s="463" t="s">
        <v>539</v>
      </c>
      <c r="AD378" s="472" t="s">
        <v>1319</v>
      </c>
      <c r="AE378" s="463">
        <v>80</v>
      </c>
      <c r="AF378" s="463">
        <v>98.5</v>
      </c>
      <c r="AG378" s="463" t="s">
        <v>375</v>
      </c>
      <c r="AH378" s="476"/>
      <c r="AI378" s="472" t="s">
        <v>1320</v>
      </c>
      <c r="AJ378" s="472" t="s">
        <v>543</v>
      </c>
    </row>
    <row r="379" spans="2:36" ht="24" hidden="1" customHeight="1">
      <c r="B379" s="463">
        <v>300</v>
      </c>
      <c r="C379" s="464" t="s">
        <v>534</v>
      </c>
      <c r="D379" s="464"/>
      <c r="E379" s="464" t="s">
        <v>535</v>
      </c>
      <c r="F379" s="464"/>
      <c r="G379" s="464" t="s">
        <v>59</v>
      </c>
      <c r="H379" s="464" t="s">
        <v>1321</v>
      </c>
      <c r="I379" s="466">
        <v>33700</v>
      </c>
      <c r="J379" s="465" t="s">
        <v>537</v>
      </c>
      <c r="K379" s="465" t="s">
        <v>537</v>
      </c>
      <c r="L379" s="466">
        <v>29818.799999999999</v>
      </c>
      <c r="M379" s="465" t="s">
        <v>537</v>
      </c>
      <c r="N379" s="465" t="s">
        <v>537</v>
      </c>
      <c r="O379" s="463" t="s">
        <v>537</v>
      </c>
      <c r="P379" s="463" t="s">
        <v>537</v>
      </c>
      <c r="Q379" s="468">
        <v>3881</v>
      </c>
      <c r="R379" s="463" t="s">
        <v>725</v>
      </c>
      <c r="S379" s="463" t="s">
        <v>1322</v>
      </c>
      <c r="T379" s="463">
        <v>5</v>
      </c>
      <c r="U379" s="463">
        <v>5</v>
      </c>
      <c r="V379" s="463">
        <v>0</v>
      </c>
      <c r="W379" s="463">
        <v>40</v>
      </c>
      <c r="X379" s="463">
        <v>34</v>
      </c>
      <c r="Y379" s="463">
        <v>0</v>
      </c>
      <c r="Z379" s="463">
        <v>85.16</v>
      </c>
      <c r="AA379" s="472" t="s">
        <v>1304</v>
      </c>
      <c r="AB379" s="463" t="s">
        <v>539</v>
      </c>
      <c r="AC379" s="463" t="s">
        <v>539</v>
      </c>
      <c r="AD379" s="472" t="s">
        <v>606</v>
      </c>
      <c r="AE379" s="463">
        <v>80</v>
      </c>
      <c r="AF379" s="463">
        <v>89.36</v>
      </c>
      <c r="AG379" s="463" t="s">
        <v>375</v>
      </c>
      <c r="AH379" s="476"/>
      <c r="AI379" s="472" t="s">
        <v>1323</v>
      </c>
      <c r="AJ379" s="464"/>
    </row>
    <row r="380" spans="2:36" ht="24" hidden="1" customHeight="1">
      <c r="B380" s="463">
        <v>301</v>
      </c>
      <c r="C380" s="464" t="s">
        <v>534</v>
      </c>
      <c r="D380" s="464"/>
      <c r="E380" s="464" t="s">
        <v>535</v>
      </c>
      <c r="F380" s="464"/>
      <c r="G380" s="464" t="s">
        <v>59</v>
      </c>
      <c r="H380" s="464" t="s">
        <v>1324</v>
      </c>
      <c r="I380" s="466">
        <v>58000</v>
      </c>
      <c r="J380" s="465" t="s">
        <v>537</v>
      </c>
      <c r="K380" s="465" t="s">
        <v>537</v>
      </c>
      <c r="L380" s="466">
        <v>58000</v>
      </c>
      <c r="M380" s="465" t="s">
        <v>537</v>
      </c>
      <c r="N380" s="465" t="s">
        <v>537</v>
      </c>
      <c r="O380" s="463" t="s">
        <v>537</v>
      </c>
      <c r="P380" s="463" t="s">
        <v>537</v>
      </c>
      <c r="Q380" s="465">
        <v>0</v>
      </c>
      <c r="R380" s="463" t="s">
        <v>805</v>
      </c>
      <c r="S380" s="463" t="s">
        <v>1325</v>
      </c>
      <c r="T380" s="463">
        <v>80</v>
      </c>
      <c r="U380" s="463">
        <v>0</v>
      </c>
      <c r="V380" s="463">
        <v>0</v>
      </c>
      <c r="W380" s="463">
        <v>83</v>
      </c>
      <c r="X380" s="463">
        <v>0</v>
      </c>
      <c r="Y380" s="463">
        <v>0</v>
      </c>
      <c r="Z380" s="463">
        <v>85.36</v>
      </c>
      <c r="AA380" s="472" t="s">
        <v>1304</v>
      </c>
      <c r="AB380" s="463" t="s">
        <v>539</v>
      </c>
      <c r="AC380" s="463" t="s">
        <v>539</v>
      </c>
      <c r="AD380" s="472" t="s">
        <v>565</v>
      </c>
      <c r="AE380" s="463">
        <v>80</v>
      </c>
      <c r="AF380" s="463">
        <v>83.59</v>
      </c>
      <c r="AG380" s="463" t="s">
        <v>375</v>
      </c>
      <c r="AH380" s="476"/>
      <c r="AI380" s="472" t="s">
        <v>1326</v>
      </c>
      <c r="AJ380" s="464"/>
    </row>
    <row r="381" spans="2:36" ht="24" hidden="1" customHeight="1">
      <c r="B381" s="463">
        <v>302</v>
      </c>
      <c r="C381" s="464" t="s">
        <v>534</v>
      </c>
      <c r="D381" s="464"/>
      <c r="E381" s="464" t="s">
        <v>535</v>
      </c>
      <c r="F381" s="464"/>
      <c r="G381" s="464" t="s">
        <v>59</v>
      </c>
      <c r="H381" s="464" t="s">
        <v>1327</v>
      </c>
      <c r="I381" s="466">
        <v>31530</v>
      </c>
      <c r="J381" s="465" t="s">
        <v>537</v>
      </c>
      <c r="K381" s="465" t="s">
        <v>537</v>
      </c>
      <c r="L381" s="466">
        <v>29130</v>
      </c>
      <c r="M381" s="465" t="s">
        <v>537</v>
      </c>
      <c r="N381" s="465" t="s">
        <v>537</v>
      </c>
      <c r="O381" s="463" t="s">
        <v>537</v>
      </c>
      <c r="P381" s="463" t="s">
        <v>537</v>
      </c>
      <c r="Q381" s="468">
        <v>2400</v>
      </c>
      <c r="R381" s="470">
        <v>241459</v>
      </c>
      <c r="S381" s="463" t="s">
        <v>1328</v>
      </c>
      <c r="T381" s="463">
        <v>5</v>
      </c>
      <c r="U381" s="463">
        <v>5</v>
      </c>
      <c r="V381" s="463">
        <v>0</v>
      </c>
      <c r="W381" s="463">
        <v>5</v>
      </c>
      <c r="X381" s="463">
        <v>9</v>
      </c>
      <c r="Y381" s="463">
        <v>0</v>
      </c>
      <c r="Z381" s="463">
        <v>87</v>
      </c>
      <c r="AA381" s="472" t="s">
        <v>1329</v>
      </c>
      <c r="AB381" s="463" t="s">
        <v>539</v>
      </c>
      <c r="AC381" s="463" t="s">
        <v>539</v>
      </c>
      <c r="AD381" s="472" t="s">
        <v>565</v>
      </c>
      <c r="AE381" s="463">
        <v>80</v>
      </c>
      <c r="AF381" s="463">
        <v>87.2</v>
      </c>
      <c r="AG381" s="463" t="s">
        <v>375</v>
      </c>
      <c r="AH381" s="476"/>
      <c r="AI381" s="472" t="s">
        <v>1330</v>
      </c>
      <c r="AJ381" s="464"/>
    </row>
    <row r="382" spans="2:36" ht="24" hidden="1" customHeight="1">
      <c r="B382" s="463">
        <v>303</v>
      </c>
      <c r="C382" s="464" t="s">
        <v>534</v>
      </c>
      <c r="D382" s="464"/>
      <c r="E382" s="464" t="s">
        <v>535</v>
      </c>
      <c r="F382" s="464"/>
      <c r="G382" s="464" t="s">
        <v>59</v>
      </c>
      <c r="H382" s="464" t="s">
        <v>1331</v>
      </c>
      <c r="I382" s="465" t="s">
        <v>537</v>
      </c>
      <c r="J382" s="465" t="s">
        <v>537</v>
      </c>
      <c r="K382" s="466">
        <v>120000</v>
      </c>
      <c r="L382" s="465" t="s">
        <v>537</v>
      </c>
      <c r="M382" s="465" t="s">
        <v>537</v>
      </c>
      <c r="N382" s="466">
        <v>66391</v>
      </c>
      <c r="O382" s="463" t="s">
        <v>537</v>
      </c>
      <c r="P382" s="463" t="s">
        <v>537</v>
      </c>
      <c r="Q382" s="468">
        <v>53609</v>
      </c>
      <c r="R382" s="470">
        <v>241428</v>
      </c>
      <c r="S382" s="463" t="s">
        <v>1332</v>
      </c>
      <c r="T382" s="463">
        <v>30</v>
      </c>
      <c r="U382" s="463">
        <v>6</v>
      </c>
      <c r="V382" s="463">
        <v>0</v>
      </c>
      <c r="W382" s="463">
        <v>28</v>
      </c>
      <c r="X382" s="463">
        <v>14</v>
      </c>
      <c r="Y382" s="463">
        <v>0</v>
      </c>
      <c r="Z382" s="463">
        <v>86</v>
      </c>
      <c r="AA382" s="472" t="s">
        <v>624</v>
      </c>
      <c r="AB382" s="463" t="s">
        <v>539</v>
      </c>
      <c r="AC382" s="463" t="s">
        <v>539</v>
      </c>
      <c r="AD382" s="472" t="s">
        <v>571</v>
      </c>
      <c r="AE382" s="463">
        <v>80</v>
      </c>
      <c r="AF382" s="463">
        <v>86</v>
      </c>
      <c r="AG382" s="463" t="s">
        <v>375</v>
      </c>
      <c r="AH382" s="476"/>
      <c r="AI382" s="472" t="s">
        <v>1300</v>
      </c>
      <c r="AJ382" s="472" t="s">
        <v>543</v>
      </c>
    </row>
    <row r="383" spans="2:36" ht="24" hidden="1" customHeight="1">
      <c r="B383" s="463">
        <v>304</v>
      </c>
      <c r="C383" s="464" t="s">
        <v>534</v>
      </c>
      <c r="D383" s="464"/>
      <c r="E383" s="464" t="s">
        <v>535</v>
      </c>
      <c r="F383" s="464"/>
      <c r="G383" s="464" t="s">
        <v>59</v>
      </c>
      <c r="H383" s="464" t="s">
        <v>1333</v>
      </c>
      <c r="I383" s="465" t="s">
        <v>537</v>
      </c>
      <c r="J383" s="465" t="s">
        <v>537</v>
      </c>
      <c r="K383" s="466">
        <v>200000</v>
      </c>
      <c r="L383" s="465" t="s">
        <v>537</v>
      </c>
      <c r="M383" s="465" t="s">
        <v>537</v>
      </c>
      <c r="N383" s="466">
        <v>190888.5</v>
      </c>
      <c r="O383" s="463" t="s">
        <v>537</v>
      </c>
      <c r="P383" s="463" t="s">
        <v>537</v>
      </c>
      <c r="Q383" s="468">
        <v>9112</v>
      </c>
      <c r="R383" s="470">
        <v>241459</v>
      </c>
      <c r="S383" s="463" t="s">
        <v>870</v>
      </c>
      <c r="T383" s="463">
        <v>0</v>
      </c>
      <c r="U383" s="463">
        <v>0</v>
      </c>
      <c r="V383" s="463">
        <v>0</v>
      </c>
      <c r="W383" s="463">
        <v>255</v>
      </c>
      <c r="X383" s="463">
        <v>56</v>
      </c>
      <c r="Y383" s="463">
        <v>233</v>
      </c>
      <c r="Z383" s="463">
        <v>83.81</v>
      </c>
      <c r="AA383" s="472" t="s">
        <v>1181</v>
      </c>
      <c r="AB383" s="463" t="s">
        <v>539</v>
      </c>
      <c r="AC383" s="463" t="s">
        <v>539</v>
      </c>
      <c r="AD383" s="472" t="s">
        <v>1334</v>
      </c>
      <c r="AE383" s="463">
        <v>80</v>
      </c>
      <c r="AF383" s="463">
        <v>84.12</v>
      </c>
      <c r="AG383" s="463" t="s">
        <v>375</v>
      </c>
      <c r="AH383" s="476"/>
      <c r="AI383" s="472" t="s">
        <v>1335</v>
      </c>
      <c r="AJ383" s="472" t="s">
        <v>543</v>
      </c>
    </row>
    <row r="384" spans="2:36" ht="24" hidden="1" customHeight="1">
      <c r="B384" s="463">
        <v>305</v>
      </c>
      <c r="C384" s="464" t="s">
        <v>534</v>
      </c>
      <c r="D384" s="464"/>
      <c r="E384" s="464" t="s">
        <v>535</v>
      </c>
      <c r="F384" s="464"/>
      <c r="G384" s="464" t="s">
        <v>59</v>
      </c>
      <c r="H384" s="464" t="s">
        <v>1336</v>
      </c>
      <c r="I384" s="466">
        <v>8940</v>
      </c>
      <c r="J384" s="465" t="s">
        <v>537</v>
      </c>
      <c r="K384" s="465" t="s">
        <v>537</v>
      </c>
      <c r="L384" s="466">
        <v>8460</v>
      </c>
      <c r="M384" s="465" t="s">
        <v>537</v>
      </c>
      <c r="N384" s="465" t="s">
        <v>537</v>
      </c>
      <c r="O384" s="463" t="s">
        <v>537</v>
      </c>
      <c r="P384" s="463" t="s">
        <v>537</v>
      </c>
      <c r="Q384" s="465">
        <v>480</v>
      </c>
      <c r="R384" s="470">
        <v>241487</v>
      </c>
      <c r="S384" s="463" t="s">
        <v>1337</v>
      </c>
      <c r="T384" s="463">
        <v>60</v>
      </c>
      <c r="U384" s="463">
        <v>5</v>
      </c>
      <c r="V384" s="463">
        <v>0</v>
      </c>
      <c r="W384" s="463">
        <v>0</v>
      </c>
      <c r="X384" s="463">
        <v>10</v>
      </c>
      <c r="Y384" s="463">
        <v>60</v>
      </c>
      <c r="Z384" s="463">
        <v>93.6</v>
      </c>
      <c r="AA384" s="472" t="s">
        <v>1304</v>
      </c>
      <c r="AB384" s="463" t="s">
        <v>539</v>
      </c>
      <c r="AC384" s="463" t="s">
        <v>539</v>
      </c>
      <c r="AD384" s="472" t="s">
        <v>565</v>
      </c>
      <c r="AE384" s="463">
        <v>80</v>
      </c>
      <c r="AF384" s="463">
        <v>93</v>
      </c>
      <c r="AG384" s="463" t="s">
        <v>375</v>
      </c>
      <c r="AH384" s="476"/>
      <c r="AI384" s="472" t="s">
        <v>1326</v>
      </c>
      <c r="AJ384" s="464"/>
    </row>
    <row r="385" spans="2:36" ht="24" hidden="1" customHeight="1">
      <c r="B385" s="463">
        <v>306</v>
      </c>
      <c r="C385" s="464" t="s">
        <v>534</v>
      </c>
      <c r="D385" s="464"/>
      <c r="E385" s="464" t="s">
        <v>535</v>
      </c>
      <c r="F385" s="464"/>
      <c r="G385" s="464" t="s">
        <v>59</v>
      </c>
      <c r="H385" s="464" t="s">
        <v>1338</v>
      </c>
      <c r="I385" s="466">
        <v>5000</v>
      </c>
      <c r="J385" s="465" t="s">
        <v>537</v>
      </c>
      <c r="K385" s="465" t="s">
        <v>537</v>
      </c>
      <c r="L385" s="466">
        <v>5000</v>
      </c>
      <c r="M385" s="465" t="s">
        <v>537</v>
      </c>
      <c r="N385" s="465" t="s">
        <v>537</v>
      </c>
      <c r="O385" s="463" t="s">
        <v>537</v>
      </c>
      <c r="P385" s="463" t="s">
        <v>537</v>
      </c>
      <c r="Q385" s="465">
        <v>0</v>
      </c>
      <c r="R385" s="470">
        <v>241397</v>
      </c>
      <c r="S385" s="471">
        <v>22277</v>
      </c>
      <c r="T385" s="463">
        <v>20</v>
      </c>
      <c r="U385" s="463">
        <v>5</v>
      </c>
      <c r="V385" s="463">
        <v>0</v>
      </c>
      <c r="W385" s="463">
        <v>177</v>
      </c>
      <c r="X385" s="463">
        <v>30</v>
      </c>
      <c r="Y385" s="463">
        <v>0</v>
      </c>
      <c r="Z385" s="463">
        <v>90.24</v>
      </c>
      <c r="AA385" s="472" t="s">
        <v>1304</v>
      </c>
      <c r="AB385" s="463" t="s">
        <v>539</v>
      </c>
      <c r="AC385" s="463" t="s">
        <v>539</v>
      </c>
      <c r="AD385" s="472" t="s">
        <v>565</v>
      </c>
      <c r="AE385" s="463">
        <v>80</v>
      </c>
      <c r="AF385" s="463">
        <v>88.92</v>
      </c>
      <c r="AG385" s="463" t="s">
        <v>375</v>
      </c>
      <c r="AH385" s="476"/>
      <c r="AI385" s="472" t="s">
        <v>1339</v>
      </c>
      <c r="AJ385" s="464"/>
    </row>
    <row r="386" spans="2:36" ht="24" hidden="1" customHeight="1">
      <c r="B386" s="463">
        <v>307</v>
      </c>
      <c r="C386" s="464" t="s">
        <v>534</v>
      </c>
      <c r="D386" s="464"/>
      <c r="E386" s="464" t="s">
        <v>535</v>
      </c>
      <c r="F386" s="464"/>
      <c r="G386" s="464" t="s">
        <v>59</v>
      </c>
      <c r="H386" s="464" t="s">
        <v>1340</v>
      </c>
      <c r="I386" s="466">
        <v>14530</v>
      </c>
      <c r="J386" s="465" t="s">
        <v>537</v>
      </c>
      <c r="K386" s="465" t="s">
        <v>537</v>
      </c>
      <c r="L386" s="466">
        <v>14530</v>
      </c>
      <c r="M386" s="465" t="s">
        <v>537</v>
      </c>
      <c r="N386" s="465" t="s">
        <v>537</v>
      </c>
      <c r="O386" s="463" t="s">
        <v>537</v>
      </c>
      <c r="P386" s="463" t="s">
        <v>537</v>
      </c>
      <c r="Q386" s="465">
        <v>0</v>
      </c>
      <c r="R386" s="470">
        <v>241609</v>
      </c>
      <c r="S386" s="471">
        <v>22485</v>
      </c>
      <c r="T386" s="463">
        <v>25</v>
      </c>
      <c r="U386" s="463">
        <v>5</v>
      </c>
      <c r="V386" s="463">
        <v>0</v>
      </c>
      <c r="W386" s="463">
        <v>49</v>
      </c>
      <c r="X386" s="463">
        <v>10</v>
      </c>
      <c r="Y386" s="463">
        <v>0</v>
      </c>
      <c r="Z386" s="463">
        <v>91.9</v>
      </c>
      <c r="AA386" s="472" t="s">
        <v>1304</v>
      </c>
      <c r="AB386" s="463" t="s">
        <v>539</v>
      </c>
      <c r="AC386" s="463" t="s">
        <v>539</v>
      </c>
      <c r="AD386" s="472" t="s">
        <v>565</v>
      </c>
      <c r="AE386" s="463">
        <v>80</v>
      </c>
      <c r="AF386" s="463">
        <v>89.16</v>
      </c>
      <c r="AG386" s="463" t="s">
        <v>375</v>
      </c>
      <c r="AH386" s="476"/>
      <c r="AI386" s="472" t="s">
        <v>1326</v>
      </c>
      <c r="AJ386" s="464"/>
    </row>
    <row r="387" spans="2:36" ht="24" hidden="1" customHeight="1">
      <c r="B387" s="463">
        <v>308</v>
      </c>
      <c r="C387" s="464" t="s">
        <v>534</v>
      </c>
      <c r="D387" s="464"/>
      <c r="E387" s="464" t="s">
        <v>535</v>
      </c>
      <c r="F387" s="464"/>
      <c r="G387" s="464" t="s">
        <v>59</v>
      </c>
      <c r="H387" s="464" t="s">
        <v>1341</v>
      </c>
      <c r="I387" s="466">
        <v>32300</v>
      </c>
      <c r="J387" s="465" t="s">
        <v>537</v>
      </c>
      <c r="K387" s="465" t="s">
        <v>537</v>
      </c>
      <c r="L387" s="466">
        <v>22570.5</v>
      </c>
      <c r="M387" s="465" t="s">
        <v>537</v>
      </c>
      <c r="N387" s="465" t="s">
        <v>537</v>
      </c>
      <c r="O387" s="463" t="s">
        <v>537</v>
      </c>
      <c r="P387" s="463" t="s">
        <v>537</v>
      </c>
      <c r="Q387" s="468">
        <v>9730</v>
      </c>
      <c r="R387" s="463" t="s">
        <v>1342</v>
      </c>
      <c r="S387" s="471">
        <v>22360</v>
      </c>
      <c r="T387" s="463">
        <v>85</v>
      </c>
      <c r="U387" s="463">
        <v>15</v>
      </c>
      <c r="V387" s="463">
        <v>0</v>
      </c>
      <c r="W387" s="463">
        <v>85</v>
      </c>
      <c r="X387" s="463">
        <v>26</v>
      </c>
      <c r="Y387" s="463">
        <v>2</v>
      </c>
      <c r="Z387" s="463">
        <v>84.1</v>
      </c>
      <c r="AA387" s="472" t="s">
        <v>1304</v>
      </c>
      <c r="AB387" s="463" t="s">
        <v>539</v>
      </c>
      <c r="AC387" s="463" t="s">
        <v>539</v>
      </c>
      <c r="AD387" s="472" t="s">
        <v>565</v>
      </c>
      <c r="AE387" s="463">
        <v>80</v>
      </c>
      <c r="AF387" s="463">
        <v>86.64</v>
      </c>
      <c r="AG387" s="463" t="s">
        <v>375</v>
      </c>
      <c r="AH387" s="476"/>
      <c r="AI387" s="472" t="s">
        <v>1326</v>
      </c>
      <c r="AJ387" s="464"/>
    </row>
    <row r="388" spans="2:36" ht="24" hidden="1" customHeight="1">
      <c r="B388" s="463">
        <v>309</v>
      </c>
      <c r="C388" s="464" t="s">
        <v>534</v>
      </c>
      <c r="D388" s="464"/>
      <c r="E388" s="464" t="s">
        <v>535</v>
      </c>
      <c r="F388" s="464"/>
      <c r="G388" s="464" t="s">
        <v>59</v>
      </c>
      <c r="H388" s="464" t="s">
        <v>1343</v>
      </c>
      <c r="I388" s="466">
        <v>30000</v>
      </c>
      <c r="J388" s="465" t="s">
        <v>537</v>
      </c>
      <c r="K388" s="465" t="s">
        <v>537</v>
      </c>
      <c r="L388" s="466">
        <v>30000</v>
      </c>
      <c r="M388" s="465" t="s">
        <v>537</v>
      </c>
      <c r="N388" s="465" t="s">
        <v>537</v>
      </c>
      <c r="O388" s="463" t="s">
        <v>537</v>
      </c>
      <c r="P388" s="463" t="s">
        <v>537</v>
      </c>
      <c r="Q388" s="465">
        <v>0</v>
      </c>
      <c r="R388" s="463" t="s">
        <v>1342</v>
      </c>
      <c r="S388" s="463" t="s">
        <v>732</v>
      </c>
      <c r="T388" s="463">
        <v>85</v>
      </c>
      <c r="U388" s="463">
        <v>15</v>
      </c>
      <c r="V388" s="463">
        <v>0</v>
      </c>
      <c r="W388" s="463">
        <v>85</v>
      </c>
      <c r="X388" s="463">
        <v>25</v>
      </c>
      <c r="Y388" s="463">
        <v>0</v>
      </c>
      <c r="Z388" s="463">
        <v>82.12</v>
      </c>
      <c r="AA388" s="472" t="s">
        <v>1304</v>
      </c>
      <c r="AB388" s="463" t="s">
        <v>539</v>
      </c>
      <c r="AC388" s="463" t="s">
        <v>539</v>
      </c>
      <c r="AD388" s="472" t="s">
        <v>565</v>
      </c>
      <c r="AE388" s="463">
        <v>80</v>
      </c>
      <c r="AF388" s="463">
        <v>83.84</v>
      </c>
      <c r="AG388" s="463" t="s">
        <v>375</v>
      </c>
      <c r="AH388" s="476"/>
      <c r="AI388" s="472" t="s">
        <v>1326</v>
      </c>
      <c r="AJ388" s="464"/>
    </row>
    <row r="389" spans="2:36" ht="24" hidden="1" customHeight="1">
      <c r="B389" s="463">
        <v>310</v>
      </c>
      <c r="C389" s="464" t="s">
        <v>534</v>
      </c>
      <c r="D389" s="464"/>
      <c r="E389" s="464" t="s">
        <v>535</v>
      </c>
      <c r="F389" s="464"/>
      <c r="G389" s="464" t="s">
        <v>59</v>
      </c>
      <c r="H389" s="464" t="s">
        <v>1344</v>
      </c>
      <c r="I389" s="466">
        <v>286000</v>
      </c>
      <c r="J389" s="465" t="s">
        <v>537</v>
      </c>
      <c r="K389" s="465" t="s">
        <v>537</v>
      </c>
      <c r="L389" s="466">
        <v>283750</v>
      </c>
      <c r="M389" s="465" t="s">
        <v>537</v>
      </c>
      <c r="N389" s="465" t="s">
        <v>537</v>
      </c>
      <c r="O389" s="463" t="s">
        <v>537</v>
      </c>
      <c r="P389" s="463" t="s">
        <v>537</v>
      </c>
      <c r="Q389" s="468">
        <v>2250</v>
      </c>
      <c r="R389" s="463" t="s">
        <v>1022</v>
      </c>
      <c r="S389" s="463" t="s">
        <v>1118</v>
      </c>
      <c r="T389" s="463">
        <v>0</v>
      </c>
      <c r="U389" s="463">
        <v>1</v>
      </c>
      <c r="V389" s="463">
        <v>0</v>
      </c>
      <c r="W389" s="463">
        <v>0</v>
      </c>
      <c r="X389" s="463">
        <v>1</v>
      </c>
      <c r="Y389" s="463">
        <v>0</v>
      </c>
      <c r="Z389" s="463">
        <v>85</v>
      </c>
      <c r="AA389" s="472" t="s">
        <v>1304</v>
      </c>
      <c r="AB389" s="463" t="s">
        <v>539</v>
      </c>
      <c r="AC389" s="463" t="s">
        <v>539</v>
      </c>
      <c r="AD389" s="472" t="s">
        <v>565</v>
      </c>
      <c r="AE389" s="463">
        <v>80</v>
      </c>
      <c r="AF389" s="463">
        <v>85</v>
      </c>
      <c r="AG389" s="463" t="s">
        <v>375</v>
      </c>
      <c r="AH389" s="476"/>
      <c r="AI389" s="472" t="s">
        <v>1326</v>
      </c>
      <c r="AJ389" s="464"/>
    </row>
    <row r="390" spans="2:36" ht="24" hidden="1" customHeight="1">
      <c r="B390" s="463">
        <v>311</v>
      </c>
      <c r="C390" s="464" t="s">
        <v>534</v>
      </c>
      <c r="D390" s="464"/>
      <c r="E390" s="464" t="s">
        <v>535</v>
      </c>
      <c r="F390" s="464"/>
      <c r="G390" s="464" t="s">
        <v>59</v>
      </c>
      <c r="H390" s="464" t="s">
        <v>1345</v>
      </c>
      <c r="I390" s="466">
        <v>95000</v>
      </c>
      <c r="J390" s="465" t="s">
        <v>537</v>
      </c>
      <c r="K390" s="465" t="s">
        <v>537</v>
      </c>
      <c r="L390" s="466">
        <v>85649</v>
      </c>
      <c r="M390" s="465" t="s">
        <v>537</v>
      </c>
      <c r="N390" s="465" t="s">
        <v>537</v>
      </c>
      <c r="O390" s="463" t="s">
        <v>537</v>
      </c>
      <c r="P390" s="463" t="s">
        <v>537</v>
      </c>
      <c r="Q390" s="468">
        <v>9351</v>
      </c>
      <c r="R390" s="463" t="s">
        <v>1346</v>
      </c>
      <c r="S390" s="463" t="s">
        <v>1347</v>
      </c>
      <c r="T390" s="463">
        <v>5</v>
      </c>
      <c r="U390" s="463">
        <v>20</v>
      </c>
      <c r="V390" s="463">
        <v>100</v>
      </c>
      <c r="W390" s="463">
        <v>5</v>
      </c>
      <c r="X390" s="463">
        <v>20</v>
      </c>
      <c r="Y390" s="463">
        <v>100</v>
      </c>
      <c r="Z390" s="463">
        <v>85.74</v>
      </c>
      <c r="AA390" s="472" t="s">
        <v>1119</v>
      </c>
      <c r="AB390" s="463" t="s">
        <v>539</v>
      </c>
      <c r="AC390" s="463" t="s">
        <v>539</v>
      </c>
      <c r="AD390" s="472" t="s">
        <v>565</v>
      </c>
      <c r="AE390" s="463">
        <v>80</v>
      </c>
      <c r="AF390" s="463">
        <v>85.74</v>
      </c>
      <c r="AG390" s="463" t="s">
        <v>375</v>
      </c>
      <c r="AH390" s="476"/>
      <c r="AI390" s="472" t="s">
        <v>1348</v>
      </c>
      <c r="AJ390" s="464"/>
    </row>
    <row r="391" spans="2:36" ht="24" hidden="1" customHeight="1">
      <c r="B391" s="463">
        <v>312</v>
      </c>
      <c r="C391" s="464" t="s">
        <v>534</v>
      </c>
      <c r="D391" s="464"/>
      <c r="E391" s="464" t="s">
        <v>535</v>
      </c>
      <c r="F391" s="464"/>
      <c r="G391" s="464" t="s">
        <v>59</v>
      </c>
      <c r="H391" s="464" t="s">
        <v>1349</v>
      </c>
      <c r="I391" s="466">
        <v>25000</v>
      </c>
      <c r="J391" s="465" t="s">
        <v>537</v>
      </c>
      <c r="K391" s="465" t="s">
        <v>537</v>
      </c>
      <c r="L391" s="466">
        <v>5500</v>
      </c>
      <c r="M391" s="465" t="s">
        <v>537</v>
      </c>
      <c r="N391" s="465" t="s">
        <v>537</v>
      </c>
      <c r="O391" s="463" t="s">
        <v>537</v>
      </c>
      <c r="P391" s="463" t="s">
        <v>537</v>
      </c>
      <c r="Q391" s="468">
        <v>19500</v>
      </c>
      <c r="R391" s="463" t="s">
        <v>1346</v>
      </c>
      <c r="S391" s="463" t="s">
        <v>1350</v>
      </c>
      <c r="T391" s="463">
        <v>5</v>
      </c>
      <c r="U391" s="463">
        <v>20</v>
      </c>
      <c r="V391" s="463">
        <v>100</v>
      </c>
      <c r="W391" s="463">
        <v>0</v>
      </c>
      <c r="X391" s="463">
        <v>10</v>
      </c>
      <c r="Y391" s="463">
        <v>80</v>
      </c>
      <c r="Z391" s="463">
        <v>86.5</v>
      </c>
      <c r="AA391" s="472" t="s">
        <v>1119</v>
      </c>
      <c r="AB391" s="463" t="s">
        <v>539</v>
      </c>
      <c r="AC391" s="463" t="s">
        <v>539</v>
      </c>
      <c r="AD391" s="472" t="s">
        <v>565</v>
      </c>
      <c r="AE391" s="463">
        <v>80</v>
      </c>
      <c r="AF391" s="463">
        <v>86.5</v>
      </c>
      <c r="AG391" s="463" t="s">
        <v>375</v>
      </c>
      <c r="AH391" s="476"/>
      <c r="AI391" s="472" t="s">
        <v>1348</v>
      </c>
      <c r="AJ391" s="464"/>
    </row>
    <row r="392" spans="2:36" ht="24" hidden="1" customHeight="1">
      <c r="B392" s="463">
        <v>313</v>
      </c>
      <c r="C392" s="464" t="s">
        <v>534</v>
      </c>
      <c r="D392" s="464"/>
      <c r="E392" s="464" t="s">
        <v>535</v>
      </c>
      <c r="F392" s="464"/>
      <c r="G392" s="464" t="s">
        <v>59</v>
      </c>
      <c r="H392" s="464" t="s">
        <v>1351</v>
      </c>
      <c r="I392" s="466">
        <v>73500</v>
      </c>
      <c r="J392" s="465" t="s">
        <v>537</v>
      </c>
      <c r="K392" s="465" t="s">
        <v>537</v>
      </c>
      <c r="L392" s="466">
        <v>72156</v>
      </c>
      <c r="M392" s="465" t="s">
        <v>537</v>
      </c>
      <c r="N392" s="465" t="s">
        <v>537</v>
      </c>
      <c r="O392" s="463" t="s">
        <v>537</v>
      </c>
      <c r="P392" s="463" t="s">
        <v>537</v>
      </c>
      <c r="Q392" s="468">
        <v>1344</v>
      </c>
      <c r="R392" s="463" t="s">
        <v>552</v>
      </c>
      <c r="S392" s="463" t="s">
        <v>1352</v>
      </c>
      <c r="T392" s="463">
        <v>10</v>
      </c>
      <c r="U392" s="463">
        <v>10</v>
      </c>
      <c r="V392" s="463">
        <v>80</v>
      </c>
      <c r="W392" s="463">
        <v>10</v>
      </c>
      <c r="X392" s="463">
        <v>10</v>
      </c>
      <c r="Y392" s="463">
        <v>80</v>
      </c>
      <c r="Z392" s="463">
        <v>85</v>
      </c>
      <c r="AA392" s="472" t="s">
        <v>1119</v>
      </c>
      <c r="AB392" s="463" t="s">
        <v>539</v>
      </c>
      <c r="AC392" s="463" t="s">
        <v>539</v>
      </c>
      <c r="AD392" s="472" t="s">
        <v>1353</v>
      </c>
      <c r="AE392" s="463">
        <v>80</v>
      </c>
      <c r="AF392" s="463">
        <v>80</v>
      </c>
      <c r="AG392" s="463" t="s">
        <v>375</v>
      </c>
      <c r="AH392" s="476"/>
      <c r="AI392" s="472" t="s">
        <v>1354</v>
      </c>
      <c r="AJ392" s="464"/>
    </row>
    <row r="393" spans="2:36" ht="24" hidden="1" customHeight="1">
      <c r="B393" s="463">
        <v>314</v>
      </c>
      <c r="C393" s="464" t="s">
        <v>534</v>
      </c>
      <c r="D393" s="464"/>
      <c r="E393" s="464" t="s">
        <v>535</v>
      </c>
      <c r="F393" s="464"/>
      <c r="G393" s="464" t="s">
        <v>59</v>
      </c>
      <c r="H393" s="464" t="s">
        <v>1355</v>
      </c>
      <c r="I393" s="466">
        <v>26500</v>
      </c>
      <c r="J393" s="465" t="s">
        <v>537</v>
      </c>
      <c r="K393" s="465" t="s">
        <v>537</v>
      </c>
      <c r="L393" s="465">
        <v>0</v>
      </c>
      <c r="M393" s="465" t="s">
        <v>537</v>
      </c>
      <c r="N393" s="465" t="s">
        <v>537</v>
      </c>
      <c r="O393" s="463" t="s">
        <v>537</v>
      </c>
      <c r="P393" s="463" t="s">
        <v>537</v>
      </c>
      <c r="Q393" s="468">
        <v>26500</v>
      </c>
      <c r="R393" s="463" t="s">
        <v>552</v>
      </c>
      <c r="S393" s="463" t="s">
        <v>1352</v>
      </c>
      <c r="T393" s="463">
        <v>10</v>
      </c>
      <c r="U393" s="463">
        <v>10</v>
      </c>
      <c r="V393" s="463">
        <v>80</v>
      </c>
      <c r="W393" s="463">
        <v>10</v>
      </c>
      <c r="X393" s="463">
        <v>10</v>
      </c>
      <c r="Y393" s="463">
        <v>80</v>
      </c>
      <c r="Z393" s="463">
        <v>86</v>
      </c>
      <c r="AA393" s="472" t="s">
        <v>1181</v>
      </c>
      <c r="AB393" s="463" t="s">
        <v>539</v>
      </c>
      <c r="AC393" s="463" t="s">
        <v>539</v>
      </c>
      <c r="AD393" s="472" t="s">
        <v>1353</v>
      </c>
      <c r="AE393" s="463">
        <v>80</v>
      </c>
      <c r="AF393" s="463">
        <v>86</v>
      </c>
      <c r="AG393" s="463" t="s">
        <v>375</v>
      </c>
      <c r="AH393" s="476"/>
      <c r="AI393" s="472" t="s">
        <v>1354</v>
      </c>
      <c r="AJ393" s="464"/>
    </row>
    <row r="394" spans="2:36" ht="24" hidden="1" customHeight="1">
      <c r="B394" s="463">
        <v>315</v>
      </c>
      <c r="C394" s="464" t="s">
        <v>534</v>
      </c>
      <c r="D394" s="464"/>
      <c r="E394" s="464" t="s">
        <v>535</v>
      </c>
      <c r="F394" s="464"/>
      <c r="G394" s="464" t="s">
        <v>59</v>
      </c>
      <c r="H394" s="464" t="s">
        <v>1356</v>
      </c>
      <c r="I394" s="466">
        <v>140000</v>
      </c>
      <c r="J394" s="465" t="s">
        <v>537</v>
      </c>
      <c r="K394" s="465" t="s">
        <v>537</v>
      </c>
      <c r="L394" s="466">
        <v>127250</v>
      </c>
      <c r="M394" s="465" t="s">
        <v>537</v>
      </c>
      <c r="N394" s="465" t="s">
        <v>537</v>
      </c>
      <c r="O394" s="463" t="s">
        <v>537</v>
      </c>
      <c r="P394" s="463" t="s">
        <v>537</v>
      </c>
      <c r="Q394" s="468">
        <v>12750</v>
      </c>
      <c r="R394" s="470">
        <v>241487</v>
      </c>
      <c r="S394" s="463" t="s">
        <v>1207</v>
      </c>
      <c r="T394" s="463">
        <v>15</v>
      </c>
      <c r="U394" s="463">
        <v>5</v>
      </c>
      <c r="V394" s="463">
        <v>0</v>
      </c>
      <c r="W394" s="463">
        <v>14</v>
      </c>
      <c r="X394" s="463">
        <v>5</v>
      </c>
      <c r="Y394" s="463">
        <v>0</v>
      </c>
      <c r="Z394" s="463">
        <v>90</v>
      </c>
      <c r="AA394" s="472" t="s">
        <v>547</v>
      </c>
      <c r="AB394" s="463" t="s">
        <v>539</v>
      </c>
      <c r="AC394" s="463" t="s">
        <v>539</v>
      </c>
      <c r="AD394" s="472" t="s">
        <v>1357</v>
      </c>
      <c r="AE394" s="463">
        <v>1</v>
      </c>
      <c r="AF394" s="463">
        <v>3</v>
      </c>
      <c r="AG394" s="463" t="s">
        <v>375</v>
      </c>
      <c r="AH394" s="476"/>
      <c r="AI394" s="472" t="s">
        <v>1284</v>
      </c>
      <c r="AJ394" s="464"/>
    </row>
    <row r="395" spans="2:36" ht="24" hidden="1" customHeight="1">
      <c r="B395" s="463">
        <v>316</v>
      </c>
      <c r="C395" s="464" t="s">
        <v>534</v>
      </c>
      <c r="D395" s="464"/>
      <c r="E395" s="464" t="s">
        <v>535</v>
      </c>
      <c r="F395" s="464"/>
      <c r="G395" s="464" t="s">
        <v>59</v>
      </c>
      <c r="H395" s="464" t="s">
        <v>1358</v>
      </c>
      <c r="I395" s="466">
        <v>200000</v>
      </c>
      <c r="J395" s="465" t="s">
        <v>537</v>
      </c>
      <c r="K395" s="465" t="s">
        <v>537</v>
      </c>
      <c r="L395" s="466">
        <v>186380</v>
      </c>
      <c r="M395" s="465" t="s">
        <v>537</v>
      </c>
      <c r="N395" s="465" t="s">
        <v>537</v>
      </c>
      <c r="O395" s="463" t="s">
        <v>537</v>
      </c>
      <c r="P395" s="463" t="s">
        <v>537</v>
      </c>
      <c r="Q395" s="468">
        <v>13620</v>
      </c>
      <c r="R395" s="463" t="s">
        <v>863</v>
      </c>
      <c r="S395" s="463" t="s">
        <v>649</v>
      </c>
      <c r="T395" s="463">
        <v>29</v>
      </c>
      <c r="U395" s="463">
        <v>6</v>
      </c>
      <c r="V395" s="463">
        <v>0</v>
      </c>
      <c r="W395" s="463">
        <v>26</v>
      </c>
      <c r="X395" s="463">
        <v>6</v>
      </c>
      <c r="Y395" s="463">
        <v>0</v>
      </c>
      <c r="Z395" s="463">
        <v>89</v>
      </c>
      <c r="AA395" s="472" t="s">
        <v>1359</v>
      </c>
      <c r="AB395" s="463" t="s">
        <v>539</v>
      </c>
      <c r="AC395" s="463" t="s">
        <v>539</v>
      </c>
      <c r="AD395" s="472" t="s">
        <v>728</v>
      </c>
      <c r="AE395" s="463">
        <v>1</v>
      </c>
      <c r="AF395" s="463">
        <v>11</v>
      </c>
      <c r="AG395" s="463" t="s">
        <v>375</v>
      </c>
      <c r="AH395" s="476"/>
      <c r="AI395" s="472" t="s">
        <v>1278</v>
      </c>
      <c r="AJ395" s="464"/>
    </row>
    <row r="396" spans="2:36" ht="24" hidden="1" customHeight="1">
      <c r="B396" s="463">
        <v>317</v>
      </c>
      <c r="C396" s="464" t="s">
        <v>534</v>
      </c>
      <c r="D396" s="464"/>
      <c r="E396" s="464" t="s">
        <v>535</v>
      </c>
      <c r="F396" s="464"/>
      <c r="G396" s="464" t="s">
        <v>59</v>
      </c>
      <c r="H396" s="464" t="s">
        <v>1360</v>
      </c>
      <c r="I396" s="466">
        <v>100000</v>
      </c>
      <c r="J396" s="465" t="s">
        <v>537</v>
      </c>
      <c r="K396" s="465" t="s">
        <v>537</v>
      </c>
      <c r="L396" s="466">
        <v>97501</v>
      </c>
      <c r="M396" s="465" t="s">
        <v>537</v>
      </c>
      <c r="N396" s="465" t="s">
        <v>537</v>
      </c>
      <c r="O396" s="463" t="s">
        <v>537</v>
      </c>
      <c r="P396" s="463" t="s">
        <v>537</v>
      </c>
      <c r="Q396" s="468">
        <v>2499</v>
      </c>
      <c r="R396" s="470">
        <v>241518</v>
      </c>
      <c r="S396" s="463" t="s">
        <v>1361</v>
      </c>
      <c r="T396" s="463">
        <v>25</v>
      </c>
      <c r="U396" s="463">
        <v>11</v>
      </c>
      <c r="V396" s="463">
        <v>0</v>
      </c>
      <c r="W396" s="463">
        <v>27</v>
      </c>
      <c r="X396" s="463">
        <v>10</v>
      </c>
      <c r="Y396" s="463">
        <v>0</v>
      </c>
      <c r="Z396" s="463">
        <v>85.6</v>
      </c>
      <c r="AA396" s="472" t="s">
        <v>899</v>
      </c>
      <c r="AB396" s="463" t="s">
        <v>539</v>
      </c>
      <c r="AC396" s="463" t="s">
        <v>539</v>
      </c>
      <c r="AD396" s="472" t="s">
        <v>1362</v>
      </c>
      <c r="AE396" s="463">
        <v>80</v>
      </c>
      <c r="AF396" s="463">
        <v>83.5</v>
      </c>
      <c r="AG396" s="463" t="s">
        <v>375</v>
      </c>
      <c r="AH396" s="476"/>
      <c r="AI396" s="472" t="s">
        <v>1294</v>
      </c>
      <c r="AJ396" s="464"/>
    </row>
    <row r="397" spans="2:36" ht="24" hidden="1" customHeight="1">
      <c r="B397" s="463">
        <v>318</v>
      </c>
      <c r="C397" s="464" t="s">
        <v>534</v>
      </c>
      <c r="D397" s="464"/>
      <c r="E397" s="464" t="s">
        <v>535</v>
      </c>
      <c r="F397" s="464"/>
      <c r="G397" s="464" t="s">
        <v>59</v>
      </c>
      <c r="H397" s="464" t="s">
        <v>1363</v>
      </c>
      <c r="I397" s="466">
        <v>30400</v>
      </c>
      <c r="J397" s="465" t="s">
        <v>537</v>
      </c>
      <c r="K397" s="465" t="s">
        <v>537</v>
      </c>
      <c r="L397" s="466">
        <v>29200</v>
      </c>
      <c r="M397" s="465" t="s">
        <v>537</v>
      </c>
      <c r="N397" s="465" t="s">
        <v>537</v>
      </c>
      <c r="O397" s="463" t="s">
        <v>537</v>
      </c>
      <c r="P397" s="463" t="s">
        <v>537</v>
      </c>
      <c r="Q397" s="468">
        <v>1200</v>
      </c>
      <c r="R397" s="470">
        <v>241428</v>
      </c>
      <c r="S397" s="463" t="s">
        <v>1364</v>
      </c>
      <c r="T397" s="463">
        <v>30</v>
      </c>
      <c r="U397" s="463">
        <v>10</v>
      </c>
      <c r="V397" s="463">
        <v>0</v>
      </c>
      <c r="W397" s="463">
        <v>30</v>
      </c>
      <c r="X397" s="463">
        <v>20</v>
      </c>
      <c r="Y397" s="463">
        <v>0</v>
      </c>
      <c r="Z397" s="463">
        <v>85.66</v>
      </c>
      <c r="AA397" s="472" t="s">
        <v>1365</v>
      </c>
      <c r="AB397" s="463" t="s">
        <v>539</v>
      </c>
      <c r="AC397" s="463" t="s">
        <v>539</v>
      </c>
      <c r="AD397" s="472" t="s">
        <v>1366</v>
      </c>
      <c r="AE397" s="463">
        <v>100</v>
      </c>
      <c r="AF397" s="463">
        <v>100</v>
      </c>
      <c r="AG397" s="463" t="s">
        <v>375</v>
      </c>
      <c r="AH397" s="476"/>
      <c r="AI397" s="472" t="s">
        <v>1302</v>
      </c>
      <c r="AJ397" s="464"/>
    </row>
    <row r="398" spans="2:36" ht="24" hidden="1" customHeight="1">
      <c r="B398" s="463">
        <v>319</v>
      </c>
      <c r="C398" s="464" t="s">
        <v>534</v>
      </c>
      <c r="D398" s="464"/>
      <c r="E398" s="464" t="s">
        <v>535</v>
      </c>
      <c r="F398" s="464"/>
      <c r="G398" s="464" t="s">
        <v>59</v>
      </c>
      <c r="H398" s="464" t="s">
        <v>1367</v>
      </c>
      <c r="I398" s="466">
        <v>19600</v>
      </c>
      <c r="J398" s="465" t="s">
        <v>537</v>
      </c>
      <c r="K398" s="465" t="s">
        <v>537</v>
      </c>
      <c r="L398" s="466">
        <v>19600</v>
      </c>
      <c r="M398" s="465" t="s">
        <v>537</v>
      </c>
      <c r="N398" s="465" t="s">
        <v>537</v>
      </c>
      <c r="O398" s="463" t="s">
        <v>537</v>
      </c>
      <c r="P398" s="463" t="s">
        <v>537</v>
      </c>
      <c r="Q398" s="465">
        <v>0</v>
      </c>
      <c r="R398" s="470">
        <v>241428</v>
      </c>
      <c r="S398" s="463" t="s">
        <v>1368</v>
      </c>
      <c r="T398" s="463">
        <v>5</v>
      </c>
      <c r="U398" s="463">
        <v>3</v>
      </c>
      <c r="V398" s="463">
        <v>0</v>
      </c>
      <c r="W398" s="463">
        <v>5</v>
      </c>
      <c r="X398" s="463">
        <v>3</v>
      </c>
      <c r="Y398" s="463">
        <v>0</v>
      </c>
      <c r="Z398" s="463">
        <v>85.61</v>
      </c>
      <c r="AA398" s="472" t="s">
        <v>1369</v>
      </c>
      <c r="AB398" s="463" t="s">
        <v>539</v>
      </c>
      <c r="AC398" s="463" t="s">
        <v>539</v>
      </c>
      <c r="AD398" s="472" t="s">
        <v>728</v>
      </c>
      <c r="AE398" s="463">
        <v>1</v>
      </c>
      <c r="AF398" s="463">
        <v>1</v>
      </c>
      <c r="AG398" s="463" t="s">
        <v>375</v>
      </c>
      <c r="AH398" s="476"/>
      <c r="AI398" s="472" t="s">
        <v>1302</v>
      </c>
      <c r="AJ398" s="464"/>
    </row>
    <row r="399" spans="2:36" ht="24" hidden="1" customHeight="1">
      <c r="B399" s="463">
        <v>320</v>
      </c>
      <c r="C399" s="464" t="s">
        <v>534</v>
      </c>
      <c r="D399" s="464"/>
      <c r="E399" s="464" t="s">
        <v>535</v>
      </c>
      <c r="F399" s="464"/>
      <c r="G399" s="464" t="s">
        <v>59</v>
      </c>
      <c r="H399" s="464" t="s">
        <v>636</v>
      </c>
      <c r="I399" s="466">
        <v>300000</v>
      </c>
      <c r="J399" s="465" t="s">
        <v>537</v>
      </c>
      <c r="K399" s="465" t="s">
        <v>537</v>
      </c>
      <c r="L399" s="466">
        <v>240059</v>
      </c>
      <c r="M399" s="465" t="s">
        <v>537</v>
      </c>
      <c r="N399" s="465" t="s">
        <v>537</v>
      </c>
      <c r="O399" s="463" t="s">
        <v>537</v>
      </c>
      <c r="P399" s="463" t="s">
        <v>537</v>
      </c>
      <c r="Q399" s="468">
        <v>59941</v>
      </c>
      <c r="R399" s="463" t="s">
        <v>727</v>
      </c>
      <c r="S399" s="463" t="s">
        <v>637</v>
      </c>
      <c r="T399" s="463">
        <v>70</v>
      </c>
      <c r="U399" s="463">
        <v>12</v>
      </c>
      <c r="V399" s="463">
        <v>0</v>
      </c>
      <c r="W399" s="463">
        <v>44</v>
      </c>
      <c r="X399" s="463">
        <v>16</v>
      </c>
      <c r="Y399" s="463">
        <v>0</v>
      </c>
      <c r="Z399" s="463">
        <v>87</v>
      </c>
      <c r="AA399" s="472" t="s">
        <v>1296</v>
      </c>
      <c r="AB399" s="463">
        <v>1</v>
      </c>
      <c r="AC399" s="463">
        <v>1</v>
      </c>
      <c r="AD399" s="472" t="s">
        <v>651</v>
      </c>
      <c r="AE399" s="463">
        <v>1</v>
      </c>
      <c r="AF399" s="463">
        <v>1</v>
      </c>
      <c r="AG399" s="463" t="s">
        <v>375</v>
      </c>
      <c r="AH399" s="476"/>
      <c r="AI399" s="472" t="s">
        <v>1260</v>
      </c>
      <c r="AJ399" s="464"/>
    </row>
    <row r="400" spans="2:36" ht="24" hidden="1" customHeight="1">
      <c r="B400" s="463">
        <v>321</v>
      </c>
      <c r="C400" s="464" t="s">
        <v>534</v>
      </c>
      <c r="D400" s="464"/>
      <c r="E400" s="464" t="s">
        <v>535</v>
      </c>
      <c r="F400" s="464"/>
      <c r="G400" s="464" t="s">
        <v>59</v>
      </c>
      <c r="H400" s="464" t="s">
        <v>642</v>
      </c>
      <c r="I400" s="466">
        <v>60000</v>
      </c>
      <c r="J400" s="465" t="s">
        <v>537</v>
      </c>
      <c r="K400" s="465" t="s">
        <v>537</v>
      </c>
      <c r="L400" s="466">
        <v>10000</v>
      </c>
      <c r="M400" s="465" t="s">
        <v>537</v>
      </c>
      <c r="N400" s="465" t="s">
        <v>537</v>
      </c>
      <c r="O400" s="463" t="s">
        <v>537</v>
      </c>
      <c r="P400" s="463" t="s">
        <v>537</v>
      </c>
      <c r="Q400" s="468">
        <v>50000</v>
      </c>
      <c r="R400" s="463" t="s">
        <v>643</v>
      </c>
      <c r="S400" s="463" t="s">
        <v>1370</v>
      </c>
      <c r="T400" s="463">
        <v>0</v>
      </c>
      <c r="U400" s="463">
        <v>6</v>
      </c>
      <c r="V400" s="463">
        <v>0</v>
      </c>
      <c r="W400" s="463">
        <v>0</v>
      </c>
      <c r="X400" s="463">
        <v>1</v>
      </c>
      <c r="Y400" s="463">
        <v>0</v>
      </c>
      <c r="Z400" s="463">
        <v>85</v>
      </c>
      <c r="AA400" s="472" t="s">
        <v>633</v>
      </c>
      <c r="AB400" s="463" t="s">
        <v>539</v>
      </c>
      <c r="AC400" s="463" t="s">
        <v>539</v>
      </c>
      <c r="AD400" s="472" t="s">
        <v>635</v>
      </c>
      <c r="AE400" s="463" t="s">
        <v>539</v>
      </c>
      <c r="AF400" s="463" t="s">
        <v>539</v>
      </c>
      <c r="AG400" s="463" t="s">
        <v>375</v>
      </c>
      <c r="AH400" s="476"/>
      <c r="AI400" s="472" t="s">
        <v>1300</v>
      </c>
      <c r="AJ400" s="464"/>
    </row>
    <row r="401" spans="2:36" ht="24" hidden="1" customHeight="1">
      <c r="B401" s="463">
        <v>322</v>
      </c>
      <c r="C401" s="464" t="s">
        <v>534</v>
      </c>
      <c r="D401" s="464"/>
      <c r="E401" s="464" t="s">
        <v>535</v>
      </c>
      <c r="F401" s="464"/>
      <c r="G401" s="464" t="s">
        <v>59</v>
      </c>
      <c r="H401" s="464" t="s">
        <v>1371</v>
      </c>
      <c r="I401" s="465" t="s">
        <v>537</v>
      </c>
      <c r="J401" s="465" t="s">
        <v>537</v>
      </c>
      <c r="K401" s="466">
        <v>10000</v>
      </c>
      <c r="L401" s="465" t="s">
        <v>537</v>
      </c>
      <c r="M401" s="465" t="s">
        <v>537</v>
      </c>
      <c r="N401" s="466">
        <v>5742</v>
      </c>
      <c r="O401" s="463" t="s">
        <v>537</v>
      </c>
      <c r="P401" s="463" t="s">
        <v>537</v>
      </c>
      <c r="Q401" s="468">
        <v>4258</v>
      </c>
      <c r="R401" s="470">
        <v>241518</v>
      </c>
      <c r="S401" s="471">
        <v>22398</v>
      </c>
      <c r="T401" s="463">
        <v>0</v>
      </c>
      <c r="U401" s="463">
        <v>45</v>
      </c>
      <c r="V401" s="463">
        <v>0</v>
      </c>
      <c r="W401" s="463">
        <v>0</v>
      </c>
      <c r="X401" s="463">
        <v>15</v>
      </c>
      <c r="Y401" s="463">
        <v>0</v>
      </c>
      <c r="Z401" s="463">
        <v>86.06</v>
      </c>
      <c r="AA401" s="472" t="s">
        <v>547</v>
      </c>
      <c r="AB401" s="463" t="s">
        <v>539</v>
      </c>
      <c r="AC401" s="463" t="s">
        <v>539</v>
      </c>
      <c r="AD401" s="472" t="s">
        <v>1372</v>
      </c>
      <c r="AE401" s="463" t="s">
        <v>539</v>
      </c>
      <c r="AF401" s="463" t="s">
        <v>539</v>
      </c>
      <c r="AG401" s="463" t="s">
        <v>375</v>
      </c>
      <c r="AH401" s="476"/>
      <c r="AI401" s="472" t="s">
        <v>1300</v>
      </c>
      <c r="AJ401" s="472" t="s">
        <v>543</v>
      </c>
    </row>
    <row r="402" spans="2:36" ht="24" hidden="1" customHeight="1">
      <c r="B402" s="463">
        <v>323</v>
      </c>
      <c r="C402" s="464" t="s">
        <v>165</v>
      </c>
      <c r="D402" s="464"/>
      <c r="E402" s="464" t="s">
        <v>535</v>
      </c>
      <c r="F402" s="464"/>
      <c r="G402" s="464" t="s">
        <v>59</v>
      </c>
      <c r="H402" s="464" t="s">
        <v>1373</v>
      </c>
      <c r="I402" s="465" t="s">
        <v>537</v>
      </c>
      <c r="J402" s="465" t="s">
        <v>537</v>
      </c>
      <c r="K402" s="466">
        <v>5000</v>
      </c>
      <c r="L402" s="465" t="s">
        <v>537</v>
      </c>
      <c r="M402" s="465" t="s">
        <v>537</v>
      </c>
      <c r="N402" s="466">
        <v>4999</v>
      </c>
      <c r="O402" s="463" t="s">
        <v>537</v>
      </c>
      <c r="P402" s="463" t="s">
        <v>537</v>
      </c>
      <c r="Q402" s="465">
        <v>1</v>
      </c>
      <c r="R402" s="470">
        <v>241487</v>
      </c>
      <c r="S402" s="471">
        <v>22359</v>
      </c>
      <c r="T402" s="463">
        <v>0</v>
      </c>
      <c r="U402" s="463">
        <v>24</v>
      </c>
      <c r="V402" s="463">
        <v>0</v>
      </c>
      <c r="W402" s="463">
        <v>0</v>
      </c>
      <c r="X402" s="463">
        <v>25</v>
      </c>
      <c r="Y402" s="463">
        <v>0</v>
      </c>
      <c r="Z402" s="463">
        <v>85</v>
      </c>
      <c r="AA402" s="472" t="s">
        <v>547</v>
      </c>
      <c r="AB402" s="463" t="s">
        <v>539</v>
      </c>
      <c r="AC402" s="463" t="s">
        <v>539</v>
      </c>
      <c r="AD402" s="472" t="s">
        <v>548</v>
      </c>
      <c r="AE402" s="463">
        <v>80</v>
      </c>
      <c r="AF402" s="463">
        <v>85</v>
      </c>
      <c r="AG402" s="463" t="s">
        <v>375</v>
      </c>
      <c r="AH402" s="476"/>
      <c r="AI402" s="472" t="s">
        <v>1374</v>
      </c>
      <c r="AJ402" s="472" t="s">
        <v>543</v>
      </c>
    </row>
    <row r="403" spans="2:36" ht="24" hidden="1" customHeight="1">
      <c r="B403" s="463">
        <v>324</v>
      </c>
      <c r="C403" s="464" t="s">
        <v>165</v>
      </c>
      <c r="D403" s="464"/>
      <c r="E403" s="464" t="s">
        <v>535</v>
      </c>
      <c r="F403" s="464"/>
      <c r="G403" s="464" t="s">
        <v>59</v>
      </c>
      <c r="H403" s="464" t="s">
        <v>1375</v>
      </c>
      <c r="I403" s="465" t="s">
        <v>537</v>
      </c>
      <c r="J403" s="465" t="s">
        <v>537</v>
      </c>
      <c r="K403" s="466">
        <v>5000</v>
      </c>
      <c r="L403" s="465" t="s">
        <v>537</v>
      </c>
      <c r="M403" s="465" t="s">
        <v>537</v>
      </c>
      <c r="N403" s="466">
        <v>4985</v>
      </c>
      <c r="O403" s="463" t="s">
        <v>537</v>
      </c>
      <c r="P403" s="463" t="s">
        <v>537</v>
      </c>
      <c r="Q403" s="465">
        <v>15</v>
      </c>
      <c r="R403" s="470">
        <v>241518</v>
      </c>
      <c r="S403" s="463" t="s">
        <v>1376</v>
      </c>
      <c r="T403" s="463">
        <v>0</v>
      </c>
      <c r="U403" s="463">
        <v>24</v>
      </c>
      <c r="V403" s="463">
        <v>0</v>
      </c>
      <c r="W403" s="463">
        <v>0</v>
      </c>
      <c r="X403" s="463">
        <v>24</v>
      </c>
      <c r="Y403" s="463">
        <v>0</v>
      </c>
      <c r="Z403" s="463">
        <v>86</v>
      </c>
      <c r="AA403" s="472" t="s">
        <v>547</v>
      </c>
      <c r="AB403" s="463" t="s">
        <v>539</v>
      </c>
      <c r="AC403" s="463" t="s">
        <v>539</v>
      </c>
      <c r="AD403" s="472" t="s">
        <v>1075</v>
      </c>
      <c r="AE403" s="463">
        <v>80</v>
      </c>
      <c r="AF403" s="463">
        <v>86</v>
      </c>
      <c r="AG403" s="463" t="s">
        <v>375</v>
      </c>
      <c r="AH403" s="476"/>
      <c r="AI403" s="472" t="s">
        <v>1377</v>
      </c>
      <c r="AJ403" s="472" t="s">
        <v>543</v>
      </c>
    </row>
    <row r="404" spans="2:36" ht="24" hidden="1" customHeight="1">
      <c r="B404" s="463">
        <v>325</v>
      </c>
      <c r="C404" s="464" t="s">
        <v>165</v>
      </c>
      <c r="D404" s="464"/>
      <c r="E404" s="464" t="s">
        <v>535</v>
      </c>
      <c r="F404" s="464"/>
      <c r="G404" s="464" t="s">
        <v>59</v>
      </c>
      <c r="H404" s="464" t="s">
        <v>1378</v>
      </c>
      <c r="I404" s="466">
        <v>37000</v>
      </c>
      <c r="J404" s="465" t="s">
        <v>537</v>
      </c>
      <c r="K404" s="465" t="s">
        <v>537</v>
      </c>
      <c r="L404" s="466">
        <v>36997.5</v>
      </c>
      <c r="M404" s="465" t="s">
        <v>537</v>
      </c>
      <c r="N404" s="465" t="s">
        <v>537</v>
      </c>
      <c r="O404" s="463" t="s">
        <v>537</v>
      </c>
      <c r="P404" s="463" t="s">
        <v>537</v>
      </c>
      <c r="Q404" s="465">
        <v>3</v>
      </c>
      <c r="R404" s="470">
        <v>241397</v>
      </c>
      <c r="S404" s="471">
        <v>22276</v>
      </c>
      <c r="T404" s="463">
        <v>30</v>
      </c>
      <c r="U404" s="463">
        <v>6</v>
      </c>
      <c r="V404" s="463">
        <v>0</v>
      </c>
      <c r="W404" s="463">
        <v>30</v>
      </c>
      <c r="X404" s="463">
        <v>17</v>
      </c>
      <c r="Y404" s="463">
        <v>0</v>
      </c>
      <c r="Z404" s="463">
        <v>85</v>
      </c>
      <c r="AA404" s="472" t="s">
        <v>633</v>
      </c>
      <c r="AB404" s="463" t="s">
        <v>539</v>
      </c>
      <c r="AC404" s="463" t="s">
        <v>539</v>
      </c>
      <c r="AD404" s="472" t="s">
        <v>635</v>
      </c>
      <c r="AE404" s="463" t="s">
        <v>539</v>
      </c>
      <c r="AF404" s="463" t="s">
        <v>539</v>
      </c>
      <c r="AG404" s="463" t="s">
        <v>375</v>
      </c>
      <c r="AH404" s="476"/>
      <c r="AI404" s="472" t="s">
        <v>1379</v>
      </c>
      <c r="AJ404" s="464"/>
    </row>
    <row r="405" spans="2:36" ht="24" hidden="1" customHeight="1">
      <c r="B405" s="463">
        <v>326</v>
      </c>
      <c r="C405" s="464" t="s">
        <v>165</v>
      </c>
      <c r="D405" s="464"/>
      <c r="E405" s="464" t="s">
        <v>535</v>
      </c>
      <c r="F405" s="464"/>
      <c r="G405" s="464" t="s">
        <v>59</v>
      </c>
      <c r="H405" s="464" t="s">
        <v>1380</v>
      </c>
      <c r="I405" s="466">
        <v>18300</v>
      </c>
      <c r="J405" s="465" t="s">
        <v>537</v>
      </c>
      <c r="K405" s="465" t="s">
        <v>537</v>
      </c>
      <c r="L405" s="466">
        <v>16066</v>
      </c>
      <c r="M405" s="465" t="s">
        <v>537</v>
      </c>
      <c r="N405" s="465" t="s">
        <v>537</v>
      </c>
      <c r="O405" s="463" t="s">
        <v>537</v>
      </c>
      <c r="P405" s="463" t="s">
        <v>537</v>
      </c>
      <c r="Q405" s="468">
        <v>2234</v>
      </c>
      <c r="R405" s="470">
        <v>241397</v>
      </c>
      <c r="S405" s="471">
        <v>22277</v>
      </c>
      <c r="T405" s="463">
        <v>30</v>
      </c>
      <c r="U405" s="463">
        <v>6</v>
      </c>
      <c r="V405" s="463">
        <v>0</v>
      </c>
      <c r="W405" s="463">
        <v>31</v>
      </c>
      <c r="X405" s="463">
        <v>19</v>
      </c>
      <c r="Y405" s="463">
        <v>0</v>
      </c>
      <c r="Z405" s="463">
        <v>89</v>
      </c>
      <c r="AA405" s="472" t="s">
        <v>633</v>
      </c>
      <c r="AB405" s="463" t="s">
        <v>539</v>
      </c>
      <c r="AC405" s="463" t="s">
        <v>539</v>
      </c>
      <c r="AD405" s="472" t="s">
        <v>635</v>
      </c>
      <c r="AE405" s="463" t="s">
        <v>539</v>
      </c>
      <c r="AF405" s="463" t="s">
        <v>539</v>
      </c>
      <c r="AG405" s="463" t="s">
        <v>375</v>
      </c>
      <c r="AH405" s="476"/>
      <c r="AI405" s="472" t="s">
        <v>1266</v>
      </c>
      <c r="AJ405" s="464"/>
    </row>
    <row r="406" spans="2:36" ht="24" hidden="1" customHeight="1">
      <c r="B406" s="463">
        <v>327</v>
      </c>
      <c r="C406" s="464" t="s">
        <v>165</v>
      </c>
      <c r="D406" s="464"/>
      <c r="E406" s="464" t="s">
        <v>535</v>
      </c>
      <c r="F406" s="464"/>
      <c r="G406" s="464" t="s">
        <v>59</v>
      </c>
      <c r="H406" s="464" t="s">
        <v>1381</v>
      </c>
      <c r="I406" s="466">
        <v>55200</v>
      </c>
      <c r="J406" s="465" t="s">
        <v>537</v>
      </c>
      <c r="K406" s="465" t="s">
        <v>537</v>
      </c>
      <c r="L406" s="466">
        <v>54958</v>
      </c>
      <c r="M406" s="465" t="s">
        <v>537</v>
      </c>
      <c r="N406" s="465" t="s">
        <v>537</v>
      </c>
      <c r="O406" s="463" t="s">
        <v>537</v>
      </c>
      <c r="P406" s="463" t="s">
        <v>537</v>
      </c>
      <c r="Q406" s="465">
        <v>242</v>
      </c>
      <c r="R406" s="470">
        <v>241428</v>
      </c>
      <c r="S406" s="463" t="s">
        <v>783</v>
      </c>
      <c r="T406" s="463">
        <v>30</v>
      </c>
      <c r="U406" s="463">
        <v>6</v>
      </c>
      <c r="V406" s="463">
        <v>0</v>
      </c>
      <c r="W406" s="463">
        <v>31</v>
      </c>
      <c r="X406" s="463">
        <v>5</v>
      </c>
      <c r="Y406" s="463">
        <v>0</v>
      </c>
      <c r="Z406" s="463">
        <v>91.5</v>
      </c>
      <c r="AA406" s="472" t="s">
        <v>633</v>
      </c>
      <c r="AB406" s="463" t="s">
        <v>539</v>
      </c>
      <c r="AC406" s="463" t="s">
        <v>539</v>
      </c>
      <c r="AD406" s="472" t="s">
        <v>635</v>
      </c>
      <c r="AE406" s="463" t="s">
        <v>539</v>
      </c>
      <c r="AF406" s="463" t="s">
        <v>539</v>
      </c>
      <c r="AG406" s="463" t="s">
        <v>375</v>
      </c>
      <c r="AH406" s="476"/>
      <c r="AI406" s="472" t="s">
        <v>1287</v>
      </c>
      <c r="AJ406" s="464"/>
    </row>
    <row r="407" spans="2:36" ht="24" hidden="1" customHeight="1">
      <c r="B407" s="463">
        <v>328</v>
      </c>
      <c r="C407" s="464" t="s">
        <v>165</v>
      </c>
      <c r="D407" s="464"/>
      <c r="E407" s="464" t="s">
        <v>535</v>
      </c>
      <c r="F407" s="464"/>
      <c r="G407" s="464" t="s">
        <v>59</v>
      </c>
      <c r="H407" s="464" t="s">
        <v>1382</v>
      </c>
      <c r="I407" s="466">
        <v>117040</v>
      </c>
      <c r="J407" s="465" t="s">
        <v>537</v>
      </c>
      <c r="K407" s="465" t="s">
        <v>537</v>
      </c>
      <c r="L407" s="466">
        <v>111374</v>
      </c>
      <c r="M407" s="465" t="s">
        <v>537</v>
      </c>
      <c r="N407" s="465" t="s">
        <v>537</v>
      </c>
      <c r="O407" s="463" t="s">
        <v>537</v>
      </c>
      <c r="P407" s="463" t="s">
        <v>537</v>
      </c>
      <c r="Q407" s="468">
        <v>5666</v>
      </c>
      <c r="R407" s="470">
        <v>241459</v>
      </c>
      <c r="S407" s="463" t="s">
        <v>1383</v>
      </c>
      <c r="T407" s="463">
        <v>29</v>
      </c>
      <c r="U407" s="463">
        <v>3</v>
      </c>
      <c r="V407" s="463">
        <v>0</v>
      </c>
      <c r="W407" s="463">
        <v>28</v>
      </c>
      <c r="X407" s="463">
        <v>3</v>
      </c>
      <c r="Y407" s="463">
        <v>0</v>
      </c>
      <c r="Z407" s="463">
        <v>85</v>
      </c>
      <c r="AA407" s="472" t="s">
        <v>633</v>
      </c>
      <c r="AB407" s="463" t="s">
        <v>539</v>
      </c>
      <c r="AC407" s="463" t="s">
        <v>539</v>
      </c>
      <c r="AD407" s="472" t="s">
        <v>635</v>
      </c>
      <c r="AE407" s="463" t="s">
        <v>539</v>
      </c>
      <c r="AF407" s="463" t="s">
        <v>539</v>
      </c>
      <c r="AG407" s="463" t="s">
        <v>375</v>
      </c>
      <c r="AH407" s="476"/>
      <c r="AI407" s="472" t="s">
        <v>1266</v>
      </c>
      <c r="AJ407" s="464"/>
    </row>
    <row r="408" spans="2:36" ht="24" hidden="1" customHeight="1">
      <c r="B408" s="463">
        <v>329</v>
      </c>
      <c r="C408" s="464" t="s">
        <v>165</v>
      </c>
      <c r="D408" s="464"/>
      <c r="E408" s="464" t="s">
        <v>535</v>
      </c>
      <c r="F408" s="464"/>
      <c r="G408" s="464" t="s">
        <v>59</v>
      </c>
      <c r="H408" s="464" t="s">
        <v>1384</v>
      </c>
      <c r="I408" s="466">
        <v>11200</v>
      </c>
      <c r="J408" s="465" t="s">
        <v>537</v>
      </c>
      <c r="K408" s="465" t="s">
        <v>537</v>
      </c>
      <c r="L408" s="466">
        <v>9950</v>
      </c>
      <c r="M408" s="465" t="s">
        <v>537</v>
      </c>
      <c r="N408" s="465" t="s">
        <v>537</v>
      </c>
      <c r="O408" s="463" t="s">
        <v>537</v>
      </c>
      <c r="P408" s="463" t="s">
        <v>537</v>
      </c>
      <c r="Q408" s="468">
        <v>1250</v>
      </c>
      <c r="R408" s="463" t="s">
        <v>646</v>
      </c>
      <c r="S408" s="463" t="s">
        <v>1385</v>
      </c>
      <c r="T408" s="463">
        <v>28</v>
      </c>
      <c r="U408" s="463">
        <v>4</v>
      </c>
      <c r="V408" s="463">
        <v>0</v>
      </c>
      <c r="W408" s="463">
        <v>28</v>
      </c>
      <c r="X408" s="463">
        <v>4</v>
      </c>
      <c r="Y408" s="463">
        <v>0</v>
      </c>
      <c r="Z408" s="463">
        <v>86</v>
      </c>
      <c r="AA408" s="472" t="s">
        <v>633</v>
      </c>
      <c r="AB408" s="463" t="s">
        <v>539</v>
      </c>
      <c r="AC408" s="463" t="s">
        <v>539</v>
      </c>
      <c r="AD408" s="472" t="s">
        <v>635</v>
      </c>
      <c r="AE408" s="463" t="s">
        <v>539</v>
      </c>
      <c r="AF408" s="463" t="s">
        <v>539</v>
      </c>
      <c r="AG408" s="463" t="s">
        <v>375</v>
      </c>
      <c r="AH408" s="476"/>
      <c r="AI408" s="472" t="s">
        <v>1263</v>
      </c>
      <c r="AJ408" s="464"/>
    </row>
    <row r="409" spans="2:36" ht="24" hidden="1" customHeight="1">
      <c r="B409" s="463">
        <v>330</v>
      </c>
      <c r="C409" s="464" t="s">
        <v>165</v>
      </c>
      <c r="D409" s="464"/>
      <c r="E409" s="464" t="s">
        <v>535</v>
      </c>
      <c r="F409" s="464"/>
      <c r="G409" s="464" t="s">
        <v>59</v>
      </c>
      <c r="H409" s="464" t="s">
        <v>1386</v>
      </c>
      <c r="I409" s="466">
        <v>38900</v>
      </c>
      <c r="J409" s="465" t="s">
        <v>537</v>
      </c>
      <c r="K409" s="465" t="s">
        <v>537</v>
      </c>
      <c r="L409" s="466">
        <v>36629</v>
      </c>
      <c r="M409" s="465" t="s">
        <v>537</v>
      </c>
      <c r="N409" s="465" t="s">
        <v>537</v>
      </c>
      <c r="O409" s="463" t="s">
        <v>537</v>
      </c>
      <c r="P409" s="463" t="s">
        <v>537</v>
      </c>
      <c r="Q409" s="468">
        <v>2271</v>
      </c>
      <c r="R409" s="470">
        <v>241640</v>
      </c>
      <c r="S409" s="463" t="s">
        <v>1387</v>
      </c>
      <c r="T409" s="463">
        <v>28</v>
      </c>
      <c r="U409" s="463">
        <v>4</v>
      </c>
      <c r="V409" s="463">
        <v>0</v>
      </c>
      <c r="W409" s="463">
        <v>26</v>
      </c>
      <c r="X409" s="463">
        <v>4</v>
      </c>
      <c r="Y409" s="463">
        <v>0</v>
      </c>
      <c r="Z409" s="463">
        <v>98</v>
      </c>
      <c r="AA409" s="472" t="s">
        <v>633</v>
      </c>
      <c r="AB409" s="463" t="s">
        <v>539</v>
      </c>
      <c r="AC409" s="463" t="s">
        <v>539</v>
      </c>
      <c r="AD409" s="472" t="s">
        <v>635</v>
      </c>
      <c r="AE409" s="463" t="s">
        <v>539</v>
      </c>
      <c r="AF409" s="463" t="s">
        <v>539</v>
      </c>
      <c r="AG409" s="463" t="s">
        <v>375</v>
      </c>
      <c r="AH409" s="476"/>
      <c r="AI409" s="472" t="s">
        <v>1255</v>
      </c>
      <c r="AJ409" s="464"/>
    </row>
    <row r="410" spans="2:36" ht="24" hidden="1" customHeight="1">
      <c r="B410" s="463">
        <v>331</v>
      </c>
      <c r="C410" s="464" t="s">
        <v>165</v>
      </c>
      <c r="D410" s="464"/>
      <c r="E410" s="464" t="s">
        <v>535</v>
      </c>
      <c r="F410" s="464"/>
      <c r="G410" s="464" t="s">
        <v>59</v>
      </c>
      <c r="H410" s="464" t="s">
        <v>1388</v>
      </c>
      <c r="I410" s="466">
        <v>22360</v>
      </c>
      <c r="J410" s="465" t="s">
        <v>537</v>
      </c>
      <c r="K410" s="465" t="s">
        <v>537</v>
      </c>
      <c r="L410" s="466">
        <v>22320</v>
      </c>
      <c r="M410" s="465" t="s">
        <v>537</v>
      </c>
      <c r="N410" s="465" t="s">
        <v>537</v>
      </c>
      <c r="O410" s="463" t="s">
        <v>537</v>
      </c>
      <c r="P410" s="463" t="s">
        <v>537</v>
      </c>
      <c r="Q410" s="465">
        <v>40</v>
      </c>
      <c r="R410" s="470">
        <v>241671</v>
      </c>
      <c r="S410" s="463" t="s">
        <v>1389</v>
      </c>
      <c r="T410" s="463">
        <v>28</v>
      </c>
      <c r="U410" s="463">
        <v>4</v>
      </c>
      <c r="V410" s="463">
        <v>0</v>
      </c>
      <c r="W410" s="463">
        <v>28</v>
      </c>
      <c r="X410" s="463">
        <v>4</v>
      </c>
      <c r="Y410" s="463">
        <v>0</v>
      </c>
      <c r="Z410" s="463">
        <v>87</v>
      </c>
      <c r="AA410" s="472" t="s">
        <v>633</v>
      </c>
      <c r="AB410" s="463" t="s">
        <v>539</v>
      </c>
      <c r="AC410" s="463" t="s">
        <v>539</v>
      </c>
      <c r="AD410" s="472" t="s">
        <v>635</v>
      </c>
      <c r="AE410" s="463" t="s">
        <v>539</v>
      </c>
      <c r="AF410" s="463" t="s">
        <v>539</v>
      </c>
      <c r="AG410" s="463" t="s">
        <v>375</v>
      </c>
      <c r="AH410" s="476"/>
      <c r="AI410" s="472" t="s">
        <v>1266</v>
      </c>
      <c r="AJ410" s="464"/>
    </row>
    <row r="411" spans="2:36" ht="24" hidden="1" customHeight="1">
      <c r="B411" s="463">
        <v>332</v>
      </c>
      <c r="C411" s="464" t="s">
        <v>165</v>
      </c>
      <c r="D411" s="464"/>
      <c r="E411" s="464" t="s">
        <v>535</v>
      </c>
      <c r="F411" s="464"/>
      <c r="G411" s="464" t="s">
        <v>59</v>
      </c>
      <c r="H411" s="464" t="s">
        <v>1390</v>
      </c>
      <c r="I411" s="466">
        <v>70000</v>
      </c>
      <c r="J411" s="465" t="s">
        <v>537</v>
      </c>
      <c r="K411" s="465" t="s">
        <v>537</v>
      </c>
      <c r="L411" s="466">
        <v>68993</v>
      </c>
      <c r="M411" s="465" t="s">
        <v>537</v>
      </c>
      <c r="N411" s="465" t="s">
        <v>537</v>
      </c>
      <c r="O411" s="463" t="s">
        <v>537</v>
      </c>
      <c r="P411" s="463" t="s">
        <v>537</v>
      </c>
      <c r="Q411" s="468">
        <v>1007</v>
      </c>
      <c r="R411" s="470">
        <v>241428</v>
      </c>
      <c r="S411" s="471">
        <v>22306</v>
      </c>
      <c r="T411" s="463">
        <v>40</v>
      </c>
      <c r="U411" s="463">
        <v>30</v>
      </c>
      <c r="V411" s="463">
        <v>60</v>
      </c>
      <c r="W411" s="463">
        <v>44</v>
      </c>
      <c r="X411" s="463">
        <v>35</v>
      </c>
      <c r="Y411" s="463">
        <v>79</v>
      </c>
      <c r="Z411" s="463">
        <v>85</v>
      </c>
      <c r="AA411" s="472" t="s">
        <v>1391</v>
      </c>
      <c r="AB411" s="463" t="s">
        <v>539</v>
      </c>
      <c r="AC411" s="463" t="s">
        <v>539</v>
      </c>
      <c r="AD411" s="472" t="s">
        <v>565</v>
      </c>
      <c r="AE411" s="463">
        <v>80</v>
      </c>
      <c r="AF411" s="463">
        <v>85</v>
      </c>
      <c r="AG411" s="463" t="s">
        <v>375</v>
      </c>
      <c r="AH411" s="476"/>
      <c r="AI411" s="472" t="s">
        <v>1392</v>
      </c>
      <c r="AJ411" s="464"/>
    </row>
    <row r="412" spans="2:36" ht="24" hidden="1" customHeight="1">
      <c r="B412" s="463">
        <v>333</v>
      </c>
      <c r="C412" s="464" t="s">
        <v>534</v>
      </c>
      <c r="D412" s="464"/>
      <c r="E412" s="464" t="s">
        <v>577</v>
      </c>
      <c r="F412" s="464"/>
      <c r="G412" s="464" t="s">
        <v>59</v>
      </c>
      <c r="H412" s="464" t="s">
        <v>1393</v>
      </c>
      <c r="I412" s="465" t="s">
        <v>537</v>
      </c>
      <c r="J412" s="465" t="s">
        <v>537</v>
      </c>
      <c r="K412" s="466">
        <v>40000</v>
      </c>
      <c r="L412" s="465" t="s">
        <v>537</v>
      </c>
      <c r="M412" s="465" t="s">
        <v>537</v>
      </c>
      <c r="N412" s="466">
        <v>28049</v>
      </c>
      <c r="O412" s="463" t="s">
        <v>537</v>
      </c>
      <c r="P412" s="463" t="s">
        <v>537</v>
      </c>
      <c r="Q412" s="468">
        <v>11951</v>
      </c>
      <c r="R412" s="463" t="s">
        <v>976</v>
      </c>
      <c r="S412" s="463" t="s">
        <v>1394</v>
      </c>
      <c r="T412" s="463">
        <v>0</v>
      </c>
      <c r="U412" s="463">
        <v>0</v>
      </c>
      <c r="V412" s="463">
        <v>0</v>
      </c>
      <c r="W412" s="463">
        <v>0</v>
      </c>
      <c r="X412" s="463">
        <v>0</v>
      </c>
      <c r="Y412" s="463">
        <v>0</v>
      </c>
      <c r="Z412" s="463">
        <v>0</v>
      </c>
      <c r="AA412" s="472" t="s">
        <v>1395</v>
      </c>
      <c r="AB412" s="463" t="s">
        <v>539</v>
      </c>
      <c r="AC412" s="463" t="s">
        <v>539</v>
      </c>
      <c r="AD412" s="472" t="s">
        <v>1396</v>
      </c>
      <c r="AE412" s="463" t="s">
        <v>539</v>
      </c>
      <c r="AF412" s="463" t="s">
        <v>539</v>
      </c>
      <c r="AG412" s="463" t="s">
        <v>375</v>
      </c>
      <c r="AH412" s="476"/>
      <c r="AI412" s="472" t="s">
        <v>1287</v>
      </c>
      <c r="AJ412" s="472" t="s">
        <v>543</v>
      </c>
    </row>
    <row r="413" spans="2:36" ht="24" hidden="1" customHeight="1">
      <c r="B413" s="463">
        <v>334</v>
      </c>
      <c r="C413" s="464" t="s">
        <v>534</v>
      </c>
      <c r="D413" s="464"/>
      <c r="E413" s="464" t="s">
        <v>577</v>
      </c>
      <c r="F413" s="464"/>
      <c r="G413" s="464" t="s">
        <v>59</v>
      </c>
      <c r="H413" s="464" t="s">
        <v>1397</v>
      </c>
      <c r="I413" s="465" t="s">
        <v>537</v>
      </c>
      <c r="J413" s="465" t="s">
        <v>537</v>
      </c>
      <c r="K413" s="466">
        <v>40000</v>
      </c>
      <c r="L413" s="465" t="s">
        <v>537</v>
      </c>
      <c r="M413" s="465" t="s">
        <v>537</v>
      </c>
      <c r="N413" s="466">
        <v>28710</v>
      </c>
      <c r="O413" s="463" t="s">
        <v>537</v>
      </c>
      <c r="P413" s="463" t="s">
        <v>537</v>
      </c>
      <c r="Q413" s="468">
        <v>11290</v>
      </c>
      <c r="R413" s="463" t="s">
        <v>976</v>
      </c>
      <c r="S413" s="463" t="s">
        <v>1398</v>
      </c>
      <c r="T413" s="463">
        <v>0</v>
      </c>
      <c r="U413" s="463">
        <v>0</v>
      </c>
      <c r="V413" s="463">
        <v>0</v>
      </c>
      <c r="W413" s="463">
        <v>0</v>
      </c>
      <c r="X413" s="463">
        <v>0</v>
      </c>
      <c r="Y413" s="463">
        <v>0</v>
      </c>
      <c r="Z413" s="463">
        <v>0</v>
      </c>
      <c r="AA413" s="472" t="s">
        <v>1395</v>
      </c>
      <c r="AB413" s="463" t="s">
        <v>539</v>
      </c>
      <c r="AC413" s="463" t="s">
        <v>539</v>
      </c>
      <c r="AD413" s="472" t="s">
        <v>1399</v>
      </c>
      <c r="AE413" s="463" t="s">
        <v>539</v>
      </c>
      <c r="AF413" s="463" t="s">
        <v>539</v>
      </c>
      <c r="AG413" s="463" t="s">
        <v>375</v>
      </c>
      <c r="AH413" s="476"/>
      <c r="AI413" s="472" t="s">
        <v>1287</v>
      </c>
      <c r="AJ413" s="472" t="s">
        <v>543</v>
      </c>
    </row>
    <row r="414" spans="2:36" ht="24" hidden="1" customHeight="1">
      <c r="B414" s="463">
        <v>335</v>
      </c>
      <c r="C414" s="464" t="s">
        <v>534</v>
      </c>
      <c r="D414" s="464"/>
      <c r="E414" s="464" t="s">
        <v>535</v>
      </c>
      <c r="F414" s="464"/>
      <c r="G414" s="464" t="s">
        <v>267</v>
      </c>
      <c r="H414" s="464" t="s">
        <v>1400</v>
      </c>
      <c r="I414" s="466">
        <v>100000</v>
      </c>
      <c r="J414" s="465" t="s">
        <v>537</v>
      </c>
      <c r="K414" s="465" t="s">
        <v>537</v>
      </c>
      <c r="L414" s="466">
        <v>98000</v>
      </c>
      <c r="M414" s="465" t="s">
        <v>537</v>
      </c>
      <c r="N414" s="465" t="s">
        <v>537</v>
      </c>
      <c r="O414" s="463" t="s">
        <v>537</v>
      </c>
      <c r="P414" s="463" t="s">
        <v>537</v>
      </c>
      <c r="Q414" s="468">
        <v>2000</v>
      </c>
      <c r="R414" s="463" t="s">
        <v>643</v>
      </c>
      <c r="S414" s="463" t="s">
        <v>1401</v>
      </c>
      <c r="T414" s="463">
        <v>0</v>
      </c>
      <c r="U414" s="463">
        <v>0</v>
      </c>
      <c r="V414" s="463">
        <v>0</v>
      </c>
      <c r="W414" s="463">
        <v>0</v>
      </c>
      <c r="X414" s="463">
        <v>0</v>
      </c>
      <c r="Y414" s="463">
        <v>0</v>
      </c>
      <c r="Z414" s="463">
        <v>98.88</v>
      </c>
      <c r="AA414" s="472" t="s">
        <v>1402</v>
      </c>
      <c r="AB414" s="463" t="s">
        <v>539</v>
      </c>
      <c r="AC414" s="463" t="s">
        <v>539</v>
      </c>
      <c r="AD414" s="472" t="s">
        <v>1403</v>
      </c>
      <c r="AE414" s="463">
        <v>80</v>
      </c>
      <c r="AF414" s="463">
        <v>98.88</v>
      </c>
      <c r="AG414" s="463" t="s">
        <v>375</v>
      </c>
      <c r="AH414" s="476"/>
      <c r="AI414" s="472" t="s">
        <v>537</v>
      </c>
      <c r="AJ414" s="472" t="s">
        <v>537</v>
      </c>
    </row>
    <row r="415" spans="2:36" ht="24" hidden="1" customHeight="1">
      <c r="B415" s="463">
        <v>336</v>
      </c>
      <c r="C415" s="464" t="s">
        <v>534</v>
      </c>
      <c r="D415" s="464"/>
      <c r="E415" s="464" t="s">
        <v>535</v>
      </c>
      <c r="F415" s="464"/>
      <c r="G415" s="464" t="s">
        <v>267</v>
      </c>
      <c r="H415" s="464" t="s">
        <v>1404</v>
      </c>
      <c r="I415" s="466">
        <v>430000</v>
      </c>
      <c r="J415" s="465" t="s">
        <v>537</v>
      </c>
      <c r="K415" s="465" t="s">
        <v>537</v>
      </c>
      <c r="L415" s="466">
        <v>321940</v>
      </c>
      <c r="M415" s="465" t="s">
        <v>537</v>
      </c>
      <c r="N415" s="465" t="s">
        <v>537</v>
      </c>
      <c r="O415" s="463" t="s">
        <v>537</v>
      </c>
      <c r="P415" s="463" t="s">
        <v>537</v>
      </c>
      <c r="Q415" s="468">
        <v>108060</v>
      </c>
      <c r="R415" s="463" t="s">
        <v>646</v>
      </c>
      <c r="S415" s="463" t="s">
        <v>1405</v>
      </c>
      <c r="T415" s="463">
        <v>0</v>
      </c>
      <c r="U415" s="463">
        <v>63</v>
      </c>
      <c r="V415" s="463">
        <v>0</v>
      </c>
      <c r="W415" s="463">
        <v>0</v>
      </c>
      <c r="X415" s="463">
        <v>53</v>
      </c>
      <c r="Y415" s="463">
        <v>5</v>
      </c>
      <c r="Z415" s="463">
        <v>87.5</v>
      </c>
      <c r="AA415" s="472" t="s">
        <v>547</v>
      </c>
      <c r="AB415" s="463" t="s">
        <v>539</v>
      </c>
      <c r="AC415" s="463" t="s">
        <v>539</v>
      </c>
      <c r="AD415" s="472" t="s">
        <v>548</v>
      </c>
      <c r="AE415" s="463">
        <v>80</v>
      </c>
      <c r="AF415" s="463">
        <v>80</v>
      </c>
      <c r="AG415" s="463" t="s">
        <v>375</v>
      </c>
      <c r="AH415" s="476"/>
      <c r="AI415" s="472" t="s">
        <v>1406</v>
      </c>
      <c r="AJ415" s="464"/>
    </row>
    <row r="416" spans="2:36" ht="24" hidden="1" customHeight="1">
      <c r="B416" s="463">
        <v>337</v>
      </c>
      <c r="C416" s="464" t="s">
        <v>534</v>
      </c>
      <c r="D416" s="464"/>
      <c r="E416" s="464" t="s">
        <v>535</v>
      </c>
      <c r="F416" s="464"/>
      <c r="G416" s="464" t="s">
        <v>267</v>
      </c>
      <c r="H416" s="464" t="s">
        <v>1407</v>
      </c>
      <c r="I416" s="466">
        <v>200000</v>
      </c>
      <c r="J416" s="465" t="s">
        <v>537</v>
      </c>
      <c r="K416" s="465" t="s">
        <v>537</v>
      </c>
      <c r="L416" s="466">
        <v>169080</v>
      </c>
      <c r="M416" s="465" t="s">
        <v>537</v>
      </c>
      <c r="N416" s="465" t="s">
        <v>537</v>
      </c>
      <c r="O416" s="463" t="s">
        <v>537</v>
      </c>
      <c r="P416" s="463" t="s">
        <v>537</v>
      </c>
      <c r="Q416" s="468">
        <v>30920</v>
      </c>
      <c r="R416" s="463" t="s">
        <v>646</v>
      </c>
      <c r="S416" s="463" t="s">
        <v>1408</v>
      </c>
      <c r="T416" s="463">
        <v>0</v>
      </c>
      <c r="U416" s="463">
        <v>80</v>
      </c>
      <c r="V416" s="463">
        <v>0</v>
      </c>
      <c r="W416" s="463">
        <v>0</v>
      </c>
      <c r="X416" s="463">
        <v>76</v>
      </c>
      <c r="Y416" s="463">
        <v>0</v>
      </c>
      <c r="Z416" s="464"/>
      <c r="AA416" s="472" t="s">
        <v>547</v>
      </c>
      <c r="AB416" s="463" t="s">
        <v>539</v>
      </c>
      <c r="AC416" s="463" t="s">
        <v>539</v>
      </c>
      <c r="AD416" s="472" t="s">
        <v>548</v>
      </c>
      <c r="AE416" s="463">
        <v>80</v>
      </c>
      <c r="AF416" s="463">
        <v>89.62</v>
      </c>
      <c r="AG416" s="463" t="s">
        <v>375</v>
      </c>
      <c r="AH416" s="476"/>
      <c r="AI416" s="472">
        <v>887913774</v>
      </c>
      <c r="AJ416" s="464"/>
    </row>
    <row r="417" spans="2:36" ht="24" hidden="1" customHeight="1">
      <c r="B417" s="701">
        <v>338</v>
      </c>
      <c r="C417" s="699" t="s">
        <v>534</v>
      </c>
      <c r="D417" s="699"/>
      <c r="E417" s="699" t="s">
        <v>535</v>
      </c>
      <c r="F417" s="699"/>
      <c r="G417" s="699" t="s">
        <v>189</v>
      </c>
      <c r="H417" s="699" t="s">
        <v>1409</v>
      </c>
      <c r="I417" s="709" t="s">
        <v>537</v>
      </c>
      <c r="J417" s="712">
        <v>60000</v>
      </c>
      <c r="K417" s="709" t="s">
        <v>537</v>
      </c>
      <c r="L417" s="709" t="s">
        <v>537</v>
      </c>
      <c r="M417" s="712">
        <v>60000</v>
      </c>
      <c r="N417" s="709" t="s">
        <v>537</v>
      </c>
      <c r="O417" s="701" t="s">
        <v>537</v>
      </c>
      <c r="P417" s="701" t="s">
        <v>537</v>
      </c>
      <c r="Q417" s="709">
        <v>0</v>
      </c>
      <c r="R417" s="707">
        <v>241671</v>
      </c>
      <c r="S417" s="721">
        <v>22545</v>
      </c>
      <c r="T417" s="701">
        <v>0</v>
      </c>
      <c r="U417" s="701">
        <v>15</v>
      </c>
      <c r="V417" s="701">
        <v>0</v>
      </c>
      <c r="W417" s="699"/>
      <c r="X417" s="701">
        <v>15</v>
      </c>
      <c r="Y417" s="699"/>
      <c r="Z417" s="701">
        <v>90</v>
      </c>
      <c r="AA417" s="458" t="s">
        <v>547</v>
      </c>
      <c r="AB417" s="459" t="s">
        <v>539</v>
      </c>
      <c r="AC417" s="459" t="s">
        <v>1040</v>
      </c>
      <c r="AD417" s="458" t="s">
        <v>548</v>
      </c>
      <c r="AE417" s="459">
        <v>80</v>
      </c>
      <c r="AF417" s="459">
        <v>90</v>
      </c>
      <c r="AG417" s="701" t="s">
        <v>375</v>
      </c>
      <c r="AH417" s="728"/>
      <c r="AI417" s="697">
        <v>74317126</v>
      </c>
      <c r="AJ417" s="699"/>
    </row>
    <row r="418" spans="2:36" ht="24" hidden="1" customHeight="1">
      <c r="B418" s="702"/>
      <c r="C418" s="700"/>
      <c r="D418" s="700"/>
      <c r="E418" s="700"/>
      <c r="F418" s="700"/>
      <c r="G418" s="700"/>
      <c r="H418" s="700"/>
      <c r="I418" s="710"/>
      <c r="J418" s="713"/>
      <c r="K418" s="710"/>
      <c r="L418" s="710"/>
      <c r="M418" s="713"/>
      <c r="N418" s="710"/>
      <c r="O418" s="702"/>
      <c r="P418" s="702"/>
      <c r="Q418" s="710"/>
      <c r="R418" s="708"/>
      <c r="S418" s="722"/>
      <c r="T418" s="702"/>
      <c r="U418" s="702"/>
      <c r="V418" s="702"/>
      <c r="W418" s="700"/>
      <c r="X418" s="702"/>
      <c r="Y418" s="700"/>
      <c r="Z418" s="702"/>
      <c r="AA418" s="473" t="s">
        <v>1410</v>
      </c>
      <c r="AB418" s="474" t="s">
        <v>539</v>
      </c>
      <c r="AC418" s="474" t="s">
        <v>1040</v>
      </c>
      <c r="AD418" s="473" t="s">
        <v>1411</v>
      </c>
      <c r="AE418" s="474">
        <v>15</v>
      </c>
      <c r="AF418" s="474">
        <v>15</v>
      </c>
      <c r="AG418" s="702"/>
      <c r="AH418" s="729"/>
      <c r="AI418" s="698"/>
      <c r="AJ418" s="700"/>
    </row>
    <row r="419" spans="2:36" ht="24" hidden="1" customHeight="1">
      <c r="B419" s="463">
        <v>339</v>
      </c>
      <c r="C419" s="464" t="s">
        <v>534</v>
      </c>
      <c r="D419" s="464"/>
      <c r="E419" s="464" t="s">
        <v>535</v>
      </c>
      <c r="F419" s="464"/>
      <c r="G419" s="464" t="s">
        <v>189</v>
      </c>
      <c r="H419" s="464" t="s">
        <v>1412</v>
      </c>
      <c r="I419" s="465" t="s">
        <v>537</v>
      </c>
      <c r="J419" s="466">
        <v>150000</v>
      </c>
      <c r="K419" s="465" t="s">
        <v>537</v>
      </c>
      <c r="L419" s="465" t="s">
        <v>537</v>
      </c>
      <c r="M419" s="466">
        <v>149800</v>
      </c>
      <c r="N419" s="465" t="s">
        <v>537</v>
      </c>
      <c r="O419" s="463" t="s">
        <v>537</v>
      </c>
      <c r="P419" s="463" t="s">
        <v>537</v>
      </c>
      <c r="Q419" s="465">
        <v>200</v>
      </c>
      <c r="R419" s="470">
        <v>241671</v>
      </c>
      <c r="S419" s="471">
        <v>22545</v>
      </c>
      <c r="T419" s="463">
        <v>0</v>
      </c>
      <c r="U419" s="463">
        <v>264</v>
      </c>
      <c r="V419" s="463">
        <v>0</v>
      </c>
      <c r="W419" s="464"/>
      <c r="X419" s="463">
        <v>318</v>
      </c>
      <c r="Y419" s="464"/>
      <c r="Z419" s="463">
        <v>90</v>
      </c>
      <c r="AA419" s="472" t="s">
        <v>1413</v>
      </c>
      <c r="AB419" s="463" t="s">
        <v>539</v>
      </c>
      <c r="AC419" s="463" t="s">
        <v>539</v>
      </c>
      <c r="AD419" s="472" t="s">
        <v>548</v>
      </c>
      <c r="AE419" s="463">
        <v>80</v>
      </c>
      <c r="AF419" s="463">
        <v>90</v>
      </c>
      <c r="AG419" s="463" t="s">
        <v>375</v>
      </c>
      <c r="AH419" s="476"/>
      <c r="AI419" s="472">
        <v>74317126</v>
      </c>
      <c r="AJ419" s="464"/>
    </row>
    <row r="420" spans="2:36" ht="24" hidden="1" customHeight="1">
      <c r="B420" s="701">
        <v>340</v>
      </c>
      <c r="C420" s="699" t="s">
        <v>534</v>
      </c>
      <c r="D420" s="699"/>
      <c r="E420" s="699" t="s">
        <v>535</v>
      </c>
      <c r="F420" s="699"/>
      <c r="G420" s="699" t="s">
        <v>189</v>
      </c>
      <c r="H420" s="699" t="s">
        <v>1414</v>
      </c>
      <c r="I420" s="712">
        <v>70000</v>
      </c>
      <c r="J420" s="709" t="s">
        <v>537</v>
      </c>
      <c r="K420" s="709" t="s">
        <v>537</v>
      </c>
      <c r="L420" s="712">
        <v>69950</v>
      </c>
      <c r="M420" s="709" t="s">
        <v>537</v>
      </c>
      <c r="N420" s="709" t="s">
        <v>537</v>
      </c>
      <c r="O420" s="701" t="s">
        <v>537</v>
      </c>
      <c r="P420" s="701" t="s">
        <v>537</v>
      </c>
      <c r="Q420" s="709">
        <v>50</v>
      </c>
      <c r="R420" s="701" t="s">
        <v>643</v>
      </c>
      <c r="S420" s="701" t="s">
        <v>969</v>
      </c>
      <c r="T420" s="701">
        <v>0</v>
      </c>
      <c r="U420" s="701">
        <v>100</v>
      </c>
      <c r="V420" s="701">
        <v>0</v>
      </c>
      <c r="W420" s="699"/>
      <c r="X420" s="701">
        <v>105</v>
      </c>
      <c r="Y420" s="699"/>
      <c r="Z420" s="701">
        <v>90</v>
      </c>
      <c r="AA420" s="458" t="s">
        <v>547</v>
      </c>
      <c r="AB420" s="459" t="s">
        <v>539</v>
      </c>
      <c r="AC420" s="459" t="s">
        <v>1040</v>
      </c>
      <c r="AD420" s="458" t="s">
        <v>1075</v>
      </c>
      <c r="AE420" s="459" t="s">
        <v>539</v>
      </c>
      <c r="AF420" s="459" t="s">
        <v>1040</v>
      </c>
      <c r="AG420" s="701" t="s">
        <v>376</v>
      </c>
      <c r="AH420" s="728"/>
      <c r="AI420" s="697" t="s">
        <v>1415</v>
      </c>
      <c r="AJ420" s="699"/>
    </row>
    <row r="421" spans="2:36" ht="24" hidden="1" customHeight="1">
      <c r="B421" s="702"/>
      <c r="C421" s="700"/>
      <c r="D421" s="700"/>
      <c r="E421" s="700"/>
      <c r="F421" s="700"/>
      <c r="G421" s="700"/>
      <c r="H421" s="700"/>
      <c r="I421" s="713"/>
      <c r="J421" s="710"/>
      <c r="K421" s="710"/>
      <c r="L421" s="713"/>
      <c r="M421" s="710"/>
      <c r="N421" s="710"/>
      <c r="O421" s="702"/>
      <c r="P421" s="702"/>
      <c r="Q421" s="710"/>
      <c r="R421" s="702"/>
      <c r="S421" s="702"/>
      <c r="T421" s="702"/>
      <c r="U421" s="702"/>
      <c r="V421" s="702"/>
      <c r="W421" s="700"/>
      <c r="X421" s="702"/>
      <c r="Y421" s="700"/>
      <c r="Z421" s="702"/>
      <c r="AA421" s="473" t="s">
        <v>1416</v>
      </c>
      <c r="AB421" s="474">
        <v>80</v>
      </c>
      <c r="AC421" s="474">
        <v>90</v>
      </c>
      <c r="AD421" s="473" t="s">
        <v>1417</v>
      </c>
      <c r="AE421" s="474">
        <v>85</v>
      </c>
      <c r="AF421" s="474">
        <v>100</v>
      </c>
      <c r="AG421" s="702"/>
      <c r="AH421" s="729"/>
      <c r="AI421" s="698"/>
      <c r="AJ421" s="700"/>
    </row>
    <row r="422" spans="2:36" ht="24" hidden="1" customHeight="1">
      <c r="B422" s="701">
        <v>341</v>
      </c>
      <c r="C422" s="699" t="s">
        <v>534</v>
      </c>
      <c r="D422" s="699"/>
      <c r="E422" s="699" t="s">
        <v>535</v>
      </c>
      <c r="F422" s="699"/>
      <c r="G422" s="699" t="s">
        <v>189</v>
      </c>
      <c r="H422" s="699" t="s">
        <v>1418</v>
      </c>
      <c r="I422" s="712">
        <v>50000</v>
      </c>
      <c r="J422" s="709" t="s">
        <v>537</v>
      </c>
      <c r="K422" s="709" t="s">
        <v>537</v>
      </c>
      <c r="L422" s="712">
        <v>50000</v>
      </c>
      <c r="M422" s="709" t="s">
        <v>537</v>
      </c>
      <c r="N422" s="709" t="s">
        <v>537</v>
      </c>
      <c r="O422" s="701" t="s">
        <v>537</v>
      </c>
      <c r="P422" s="701" t="s">
        <v>537</v>
      </c>
      <c r="Q422" s="709">
        <v>0</v>
      </c>
      <c r="R422" s="707">
        <v>241609</v>
      </c>
      <c r="S422" s="701" t="s">
        <v>1387</v>
      </c>
      <c r="T422" s="701">
        <v>0</v>
      </c>
      <c r="U422" s="701">
        <v>48</v>
      </c>
      <c r="V422" s="701">
        <v>0</v>
      </c>
      <c r="W422" s="699"/>
      <c r="X422" s="701">
        <v>48</v>
      </c>
      <c r="Y422" s="699"/>
      <c r="Z422" s="701">
        <v>90</v>
      </c>
      <c r="AA422" s="458" t="s">
        <v>547</v>
      </c>
      <c r="AB422" s="459" t="s">
        <v>539</v>
      </c>
      <c r="AC422" s="459" t="s">
        <v>1040</v>
      </c>
      <c r="AD422" s="697" t="s">
        <v>548</v>
      </c>
      <c r="AE422" s="701">
        <v>80</v>
      </c>
      <c r="AF422" s="701">
        <v>90</v>
      </c>
      <c r="AG422" s="701" t="s">
        <v>375</v>
      </c>
      <c r="AH422" s="728"/>
      <c r="AI422" s="697">
        <v>887916173</v>
      </c>
      <c r="AJ422" s="699"/>
    </row>
    <row r="423" spans="2:36" ht="24" hidden="1" customHeight="1">
      <c r="B423" s="702"/>
      <c r="C423" s="700"/>
      <c r="D423" s="700"/>
      <c r="E423" s="700"/>
      <c r="F423" s="700"/>
      <c r="G423" s="700"/>
      <c r="H423" s="700"/>
      <c r="I423" s="713"/>
      <c r="J423" s="710"/>
      <c r="K423" s="710"/>
      <c r="L423" s="713"/>
      <c r="M423" s="710"/>
      <c r="N423" s="710"/>
      <c r="O423" s="702"/>
      <c r="P423" s="702"/>
      <c r="Q423" s="710"/>
      <c r="R423" s="708"/>
      <c r="S423" s="702"/>
      <c r="T423" s="702"/>
      <c r="U423" s="702"/>
      <c r="V423" s="702"/>
      <c r="W423" s="700"/>
      <c r="X423" s="702"/>
      <c r="Y423" s="700"/>
      <c r="Z423" s="702"/>
      <c r="AA423" s="473" t="s">
        <v>1419</v>
      </c>
      <c r="AB423" s="474" t="s">
        <v>539</v>
      </c>
      <c r="AC423" s="474" t="s">
        <v>1040</v>
      </c>
      <c r="AD423" s="698"/>
      <c r="AE423" s="702"/>
      <c r="AF423" s="702"/>
      <c r="AG423" s="702"/>
      <c r="AH423" s="729"/>
      <c r="AI423" s="698"/>
      <c r="AJ423" s="700"/>
    </row>
    <row r="424" spans="2:36" ht="24" hidden="1" customHeight="1">
      <c r="B424" s="463">
        <v>342</v>
      </c>
      <c r="C424" s="464" t="s">
        <v>534</v>
      </c>
      <c r="D424" s="464"/>
      <c r="E424" s="464" t="s">
        <v>535</v>
      </c>
      <c r="F424" s="464"/>
      <c r="G424" s="464" t="s">
        <v>189</v>
      </c>
      <c r="H424" s="464" t="s">
        <v>1420</v>
      </c>
      <c r="I424" s="466">
        <v>200000</v>
      </c>
      <c r="J424" s="465" t="s">
        <v>537</v>
      </c>
      <c r="K424" s="465" t="s">
        <v>537</v>
      </c>
      <c r="L424" s="466">
        <v>200000</v>
      </c>
      <c r="M424" s="465" t="s">
        <v>537</v>
      </c>
      <c r="N424" s="465" t="s">
        <v>537</v>
      </c>
      <c r="O424" s="463" t="s">
        <v>537</v>
      </c>
      <c r="P424" s="463" t="s">
        <v>537</v>
      </c>
      <c r="Q424" s="465">
        <v>0</v>
      </c>
      <c r="R424" s="470">
        <v>241609</v>
      </c>
      <c r="S424" s="463" t="s">
        <v>1421</v>
      </c>
      <c r="T424" s="463">
        <v>0</v>
      </c>
      <c r="U424" s="463">
        <v>135</v>
      </c>
      <c r="V424" s="463">
        <v>0</v>
      </c>
      <c r="W424" s="464"/>
      <c r="X424" s="463">
        <v>145</v>
      </c>
      <c r="Y424" s="464"/>
      <c r="Z424" s="463">
        <v>95</v>
      </c>
      <c r="AA424" s="472" t="s">
        <v>547</v>
      </c>
      <c r="AB424" s="463" t="s">
        <v>539</v>
      </c>
      <c r="AC424" s="463" t="s">
        <v>1040</v>
      </c>
      <c r="AD424" s="472" t="s">
        <v>548</v>
      </c>
      <c r="AE424" s="463">
        <v>80</v>
      </c>
      <c r="AF424" s="463">
        <v>90</v>
      </c>
      <c r="AG424" s="463" t="s">
        <v>375</v>
      </c>
      <c r="AH424" s="476"/>
      <c r="AI424" s="472" t="s">
        <v>1415</v>
      </c>
      <c r="AJ424" s="464"/>
    </row>
    <row r="425" spans="2:36" ht="24" hidden="1" customHeight="1">
      <c r="B425" s="463">
        <v>343</v>
      </c>
      <c r="C425" s="464" t="s">
        <v>534</v>
      </c>
      <c r="D425" s="464"/>
      <c r="E425" s="464" t="s">
        <v>535</v>
      </c>
      <c r="F425" s="464"/>
      <c r="G425" s="464" t="s">
        <v>189</v>
      </c>
      <c r="H425" s="464" t="s">
        <v>1422</v>
      </c>
      <c r="I425" s="466">
        <v>100000</v>
      </c>
      <c r="J425" s="465" t="s">
        <v>537</v>
      </c>
      <c r="K425" s="465" t="s">
        <v>537</v>
      </c>
      <c r="L425" s="466">
        <v>155000</v>
      </c>
      <c r="M425" s="465" t="s">
        <v>537</v>
      </c>
      <c r="N425" s="465" t="s">
        <v>537</v>
      </c>
      <c r="O425" s="463" t="s">
        <v>537</v>
      </c>
      <c r="P425" s="467">
        <v>55000</v>
      </c>
      <c r="Q425" s="465">
        <v>0</v>
      </c>
      <c r="R425" s="470">
        <v>241640</v>
      </c>
      <c r="S425" s="463" t="s">
        <v>1423</v>
      </c>
      <c r="T425" s="463">
        <v>0</v>
      </c>
      <c r="U425" s="463">
        <v>50</v>
      </c>
      <c r="V425" s="463">
        <v>7</v>
      </c>
      <c r="W425" s="464"/>
      <c r="X425" s="463">
        <v>40</v>
      </c>
      <c r="Y425" s="464"/>
      <c r="Z425" s="463">
        <v>90</v>
      </c>
      <c r="AA425" s="472" t="s">
        <v>547</v>
      </c>
      <c r="AB425" s="463" t="s">
        <v>539</v>
      </c>
      <c r="AC425" s="463" t="s">
        <v>1040</v>
      </c>
      <c r="AD425" s="472" t="s">
        <v>548</v>
      </c>
      <c r="AE425" s="463">
        <v>80</v>
      </c>
      <c r="AF425" s="463">
        <v>90</v>
      </c>
      <c r="AG425" s="463" t="s">
        <v>375</v>
      </c>
      <c r="AH425" s="476"/>
      <c r="AI425" s="472">
        <v>74317126</v>
      </c>
      <c r="AJ425" s="464"/>
    </row>
    <row r="426" spans="2:36" ht="24" hidden="1" customHeight="1">
      <c r="B426" s="463">
        <v>344</v>
      </c>
      <c r="C426" s="464" t="s">
        <v>534</v>
      </c>
      <c r="D426" s="464"/>
      <c r="E426" s="464" t="s">
        <v>535</v>
      </c>
      <c r="F426" s="464"/>
      <c r="G426" s="464" t="s">
        <v>189</v>
      </c>
      <c r="H426" s="464" t="s">
        <v>1424</v>
      </c>
      <c r="I426" s="466">
        <v>200000</v>
      </c>
      <c r="J426" s="465" t="s">
        <v>537</v>
      </c>
      <c r="K426" s="465" t="s">
        <v>537</v>
      </c>
      <c r="L426" s="466">
        <v>177360</v>
      </c>
      <c r="M426" s="465" t="s">
        <v>537</v>
      </c>
      <c r="N426" s="465" t="s">
        <v>537</v>
      </c>
      <c r="O426" s="463" t="s">
        <v>537</v>
      </c>
      <c r="P426" s="463" t="s">
        <v>537</v>
      </c>
      <c r="Q426" s="468">
        <v>22640</v>
      </c>
      <c r="R426" s="470">
        <v>241640</v>
      </c>
      <c r="S426" s="463" t="s">
        <v>1425</v>
      </c>
      <c r="T426" s="463">
        <v>0</v>
      </c>
      <c r="U426" s="463">
        <v>60</v>
      </c>
      <c r="V426" s="463">
        <v>0</v>
      </c>
      <c r="W426" s="463">
        <v>0</v>
      </c>
      <c r="X426" s="463">
        <v>54</v>
      </c>
      <c r="Y426" s="463">
        <v>0</v>
      </c>
      <c r="Z426" s="463">
        <v>90</v>
      </c>
      <c r="AA426" s="472" t="s">
        <v>547</v>
      </c>
      <c r="AB426" s="463" t="s">
        <v>539</v>
      </c>
      <c r="AC426" s="463" t="s">
        <v>539</v>
      </c>
      <c r="AD426" s="472" t="s">
        <v>548</v>
      </c>
      <c r="AE426" s="463" t="s">
        <v>539</v>
      </c>
      <c r="AF426" s="463" t="s">
        <v>539</v>
      </c>
      <c r="AG426" s="463" t="s">
        <v>375</v>
      </c>
      <c r="AH426" s="476"/>
      <c r="AI426" s="472">
        <v>74317126</v>
      </c>
      <c r="AJ426" s="464"/>
    </row>
    <row r="427" spans="2:36" ht="24" hidden="1" customHeight="1">
      <c r="B427" s="463">
        <v>345</v>
      </c>
      <c r="C427" s="464" t="s">
        <v>534</v>
      </c>
      <c r="D427" s="464"/>
      <c r="E427" s="464" t="s">
        <v>535</v>
      </c>
      <c r="F427" s="464"/>
      <c r="G427" s="464" t="s">
        <v>189</v>
      </c>
      <c r="H427" s="464" t="s">
        <v>1426</v>
      </c>
      <c r="I427" s="465" t="s">
        <v>537</v>
      </c>
      <c r="J427" s="465" t="s">
        <v>537</v>
      </c>
      <c r="K427" s="466">
        <v>150000</v>
      </c>
      <c r="L427" s="465" t="s">
        <v>537</v>
      </c>
      <c r="M427" s="465" t="s">
        <v>537</v>
      </c>
      <c r="N427" s="466">
        <v>270274</v>
      </c>
      <c r="O427" s="463" t="s">
        <v>537</v>
      </c>
      <c r="P427" s="463" t="s">
        <v>537</v>
      </c>
      <c r="Q427" s="468">
        <v>-120274</v>
      </c>
      <c r="R427" s="470">
        <v>241579</v>
      </c>
      <c r="S427" s="463" t="s">
        <v>1427</v>
      </c>
      <c r="T427" s="463">
        <v>0</v>
      </c>
      <c r="U427" s="463">
        <v>10</v>
      </c>
      <c r="V427" s="463">
        <v>0</v>
      </c>
      <c r="W427" s="464"/>
      <c r="X427" s="463">
        <v>10</v>
      </c>
      <c r="Y427" s="464"/>
      <c r="Z427" s="463">
        <v>90</v>
      </c>
      <c r="AA427" s="472" t="s">
        <v>1428</v>
      </c>
      <c r="AB427" s="463">
        <v>80</v>
      </c>
      <c r="AC427" s="463">
        <v>90</v>
      </c>
      <c r="AD427" s="472" t="s">
        <v>1429</v>
      </c>
      <c r="AE427" s="463">
        <v>80</v>
      </c>
      <c r="AF427" s="463">
        <v>90</v>
      </c>
      <c r="AG427" s="463" t="s">
        <v>375</v>
      </c>
      <c r="AH427" s="476"/>
      <c r="AI427" s="472">
        <v>74317126</v>
      </c>
      <c r="AJ427" s="472" t="s">
        <v>543</v>
      </c>
    </row>
    <row r="428" spans="2:36" ht="24" hidden="1" customHeight="1">
      <c r="B428" s="463">
        <v>346</v>
      </c>
      <c r="C428" s="464" t="s">
        <v>534</v>
      </c>
      <c r="D428" s="464"/>
      <c r="E428" s="464" t="s">
        <v>535</v>
      </c>
      <c r="F428" s="464"/>
      <c r="G428" s="464" t="s">
        <v>189</v>
      </c>
      <c r="H428" s="464" t="s">
        <v>1430</v>
      </c>
      <c r="I428" s="465" t="s">
        <v>537</v>
      </c>
      <c r="J428" s="465" t="s">
        <v>537</v>
      </c>
      <c r="K428" s="466">
        <v>150000</v>
      </c>
      <c r="L428" s="465" t="s">
        <v>537</v>
      </c>
      <c r="M428" s="465" t="s">
        <v>537</v>
      </c>
      <c r="N428" s="466">
        <v>135925</v>
      </c>
      <c r="O428" s="463" t="s">
        <v>537</v>
      </c>
      <c r="P428" s="463" t="s">
        <v>537</v>
      </c>
      <c r="Q428" s="468">
        <v>14075</v>
      </c>
      <c r="R428" s="463" t="s">
        <v>1431</v>
      </c>
      <c r="S428" s="463" t="s">
        <v>1432</v>
      </c>
      <c r="T428" s="463">
        <v>0</v>
      </c>
      <c r="U428" s="463">
        <v>10</v>
      </c>
      <c r="V428" s="463">
        <v>0</v>
      </c>
      <c r="W428" s="464"/>
      <c r="X428" s="463">
        <v>14</v>
      </c>
      <c r="Y428" s="464"/>
      <c r="Z428" s="463">
        <v>90</v>
      </c>
      <c r="AA428" s="472" t="s">
        <v>1428</v>
      </c>
      <c r="AB428" s="463">
        <v>80</v>
      </c>
      <c r="AC428" s="463">
        <v>90</v>
      </c>
      <c r="AD428" s="472" t="s">
        <v>1429</v>
      </c>
      <c r="AE428" s="463">
        <v>80</v>
      </c>
      <c r="AF428" s="463">
        <v>90</v>
      </c>
      <c r="AG428" s="463" t="s">
        <v>375</v>
      </c>
      <c r="AH428" s="476"/>
      <c r="AI428" s="472">
        <v>74317126</v>
      </c>
      <c r="AJ428" s="472" t="s">
        <v>543</v>
      </c>
    </row>
    <row r="429" spans="2:36" ht="24" hidden="1" customHeight="1">
      <c r="B429" s="463">
        <v>347</v>
      </c>
      <c r="C429" s="464" t="s">
        <v>534</v>
      </c>
      <c r="D429" s="464"/>
      <c r="E429" s="464" t="s">
        <v>535</v>
      </c>
      <c r="F429" s="464"/>
      <c r="G429" s="464" t="s">
        <v>189</v>
      </c>
      <c r="H429" s="464" t="s">
        <v>1433</v>
      </c>
      <c r="I429" s="465" t="s">
        <v>537</v>
      </c>
      <c r="J429" s="465" t="s">
        <v>537</v>
      </c>
      <c r="K429" s="466">
        <v>131400</v>
      </c>
      <c r="L429" s="465" t="s">
        <v>537</v>
      </c>
      <c r="M429" s="465" t="s">
        <v>537</v>
      </c>
      <c r="N429" s="465">
        <v>0</v>
      </c>
      <c r="O429" s="463" t="s">
        <v>537</v>
      </c>
      <c r="P429" s="463" t="s">
        <v>537</v>
      </c>
      <c r="Q429" s="468">
        <v>131400</v>
      </c>
      <c r="R429" s="470">
        <v>241609</v>
      </c>
      <c r="S429" s="463" t="s">
        <v>1434</v>
      </c>
      <c r="T429" s="463">
        <v>0</v>
      </c>
      <c r="U429" s="463">
        <v>90</v>
      </c>
      <c r="V429" s="463">
        <v>0</v>
      </c>
      <c r="W429" s="464"/>
      <c r="X429" s="463">
        <v>90</v>
      </c>
      <c r="Y429" s="464"/>
      <c r="Z429" s="463">
        <v>90</v>
      </c>
      <c r="AA429" s="472" t="s">
        <v>1435</v>
      </c>
      <c r="AB429" s="463">
        <v>80</v>
      </c>
      <c r="AC429" s="463">
        <v>90</v>
      </c>
      <c r="AD429" s="472" t="s">
        <v>1436</v>
      </c>
      <c r="AE429" s="463">
        <v>85</v>
      </c>
      <c r="AF429" s="463">
        <v>100</v>
      </c>
      <c r="AG429" s="463" t="s">
        <v>375</v>
      </c>
      <c r="AH429" s="476"/>
      <c r="AI429" s="472" t="s">
        <v>1415</v>
      </c>
      <c r="AJ429" s="472" t="s">
        <v>543</v>
      </c>
    </row>
    <row r="430" spans="2:36" ht="24" hidden="1" customHeight="1">
      <c r="B430" s="463">
        <v>348</v>
      </c>
      <c r="C430" s="464" t="s">
        <v>165</v>
      </c>
      <c r="D430" s="464"/>
      <c r="E430" s="464" t="s">
        <v>535</v>
      </c>
      <c r="F430" s="464"/>
      <c r="G430" s="464" t="s">
        <v>189</v>
      </c>
      <c r="H430" s="464" t="s">
        <v>1437</v>
      </c>
      <c r="I430" s="465" t="s">
        <v>537</v>
      </c>
      <c r="J430" s="465" t="s">
        <v>537</v>
      </c>
      <c r="K430" s="466">
        <v>55400</v>
      </c>
      <c r="L430" s="465" t="s">
        <v>537</v>
      </c>
      <c r="M430" s="465" t="s">
        <v>537</v>
      </c>
      <c r="N430" s="466">
        <v>35950</v>
      </c>
      <c r="O430" s="463" t="s">
        <v>537</v>
      </c>
      <c r="P430" s="463" t="s">
        <v>537</v>
      </c>
      <c r="Q430" s="468">
        <v>19450</v>
      </c>
      <c r="R430" s="470">
        <v>241459</v>
      </c>
      <c r="S430" s="471">
        <v>22321</v>
      </c>
      <c r="T430" s="463">
        <v>180</v>
      </c>
      <c r="U430" s="463">
        <v>59</v>
      </c>
      <c r="V430" s="463">
        <v>15</v>
      </c>
      <c r="W430" s="464"/>
      <c r="X430" s="463">
        <v>131</v>
      </c>
      <c r="Y430" s="464"/>
      <c r="Z430" s="463">
        <v>90</v>
      </c>
      <c r="AA430" s="472" t="s">
        <v>1438</v>
      </c>
      <c r="AB430" s="463">
        <v>80</v>
      </c>
      <c r="AC430" s="463">
        <v>90</v>
      </c>
      <c r="AD430" s="472" t="s">
        <v>1439</v>
      </c>
      <c r="AE430" s="463">
        <v>254</v>
      </c>
      <c r="AF430" s="463">
        <v>131</v>
      </c>
      <c r="AG430" s="463" t="s">
        <v>376</v>
      </c>
      <c r="AH430" s="476"/>
      <c r="AI430" s="472">
        <v>74317126</v>
      </c>
      <c r="AJ430" s="472" t="s">
        <v>543</v>
      </c>
    </row>
    <row r="431" spans="2:36" ht="24" hidden="1" customHeight="1">
      <c r="B431" s="463">
        <v>349</v>
      </c>
      <c r="C431" s="464" t="s">
        <v>165</v>
      </c>
      <c r="D431" s="464"/>
      <c r="E431" s="464" t="s">
        <v>535</v>
      </c>
      <c r="F431" s="464"/>
      <c r="G431" s="464" t="s">
        <v>44</v>
      </c>
      <c r="H431" s="464" t="s">
        <v>1440</v>
      </c>
      <c r="I431" s="465" t="s">
        <v>537</v>
      </c>
      <c r="J431" s="466">
        <v>5200</v>
      </c>
      <c r="K431" s="465" t="s">
        <v>537</v>
      </c>
      <c r="L431" s="465" t="s">
        <v>537</v>
      </c>
      <c r="M431" s="466">
        <v>5200</v>
      </c>
      <c r="N431" s="465" t="s">
        <v>537</v>
      </c>
      <c r="O431" s="463" t="s">
        <v>537</v>
      </c>
      <c r="P431" s="463" t="s">
        <v>537</v>
      </c>
      <c r="Q431" s="465">
        <v>0</v>
      </c>
      <c r="R431" s="470">
        <v>241609</v>
      </c>
      <c r="S431" s="471">
        <v>22483</v>
      </c>
      <c r="T431" s="463">
        <v>7</v>
      </c>
      <c r="U431" s="463">
        <v>4</v>
      </c>
      <c r="V431" s="463">
        <v>0</v>
      </c>
      <c r="W431" s="463">
        <v>7</v>
      </c>
      <c r="X431" s="463">
        <v>4</v>
      </c>
      <c r="Y431" s="464"/>
      <c r="Z431" s="463">
        <v>90.83</v>
      </c>
      <c r="AA431" s="472" t="s">
        <v>547</v>
      </c>
      <c r="AB431" s="463" t="s">
        <v>539</v>
      </c>
      <c r="AC431" s="463" t="s">
        <v>539</v>
      </c>
      <c r="AD431" s="472" t="s">
        <v>548</v>
      </c>
      <c r="AE431" s="463">
        <v>80</v>
      </c>
      <c r="AF431" s="463">
        <v>91.67</v>
      </c>
      <c r="AG431" s="463" t="s">
        <v>375</v>
      </c>
      <c r="AH431" s="476"/>
      <c r="AI431" s="472" t="s">
        <v>1441</v>
      </c>
      <c r="AJ431" s="464"/>
    </row>
    <row r="432" spans="2:36" ht="24" hidden="1" customHeight="1">
      <c r="B432" s="463">
        <v>350</v>
      </c>
      <c r="C432" s="464" t="s">
        <v>165</v>
      </c>
      <c r="D432" s="464"/>
      <c r="E432" s="464" t="s">
        <v>535</v>
      </c>
      <c r="F432" s="464"/>
      <c r="G432" s="464" t="s">
        <v>44</v>
      </c>
      <c r="H432" s="464" t="s">
        <v>1442</v>
      </c>
      <c r="I432" s="465" t="s">
        <v>537</v>
      </c>
      <c r="J432" s="466">
        <v>12000</v>
      </c>
      <c r="K432" s="465" t="s">
        <v>537</v>
      </c>
      <c r="L432" s="465" t="s">
        <v>537</v>
      </c>
      <c r="M432" s="466">
        <v>12000</v>
      </c>
      <c r="N432" s="465" t="s">
        <v>537</v>
      </c>
      <c r="O432" s="463" t="s">
        <v>537</v>
      </c>
      <c r="P432" s="463" t="s">
        <v>537</v>
      </c>
      <c r="Q432" s="465">
        <v>0</v>
      </c>
      <c r="R432" s="463" t="s">
        <v>1443</v>
      </c>
      <c r="S432" s="463" t="s">
        <v>1444</v>
      </c>
      <c r="T432" s="463">
        <v>20</v>
      </c>
      <c r="U432" s="463">
        <v>5</v>
      </c>
      <c r="V432" s="463">
        <v>0</v>
      </c>
      <c r="W432" s="463">
        <v>23</v>
      </c>
      <c r="X432" s="463">
        <v>7</v>
      </c>
      <c r="Y432" s="464"/>
      <c r="Z432" s="463">
        <v>85.13</v>
      </c>
      <c r="AA432" s="472" t="s">
        <v>547</v>
      </c>
      <c r="AB432" s="463" t="s">
        <v>539</v>
      </c>
      <c r="AC432" s="463" t="s">
        <v>539</v>
      </c>
      <c r="AD432" s="472" t="s">
        <v>548</v>
      </c>
      <c r="AE432" s="463">
        <v>80</v>
      </c>
      <c r="AF432" s="463">
        <v>90.5</v>
      </c>
      <c r="AG432" s="463" t="s">
        <v>375</v>
      </c>
      <c r="AH432" s="476"/>
      <c r="AI432" s="472" t="s">
        <v>1441</v>
      </c>
      <c r="AJ432" s="464"/>
    </row>
    <row r="433" spans="2:36" ht="24" hidden="1" customHeight="1">
      <c r="B433" s="463">
        <v>351</v>
      </c>
      <c r="C433" s="464" t="s">
        <v>377</v>
      </c>
      <c r="D433" s="464"/>
      <c r="E433" s="464" t="s">
        <v>602</v>
      </c>
      <c r="F433" s="464"/>
      <c r="G433" s="464" t="s">
        <v>44</v>
      </c>
      <c r="H433" s="464" t="s">
        <v>1445</v>
      </c>
      <c r="I433" s="466">
        <v>75000</v>
      </c>
      <c r="J433" s="465" t="s">
        <v>537</v>
      </c>
      <c r="K433" s="465" t="s">
        <v>537</v>
      </c>
      <c r="L433" s="466">
        <v>62400</v>
      </c>
      <c r="M433" s="465" t="s">
        <v>537</v>
      </c>
      <c r="N433" s="465" t="s">
        <v>537</v>
      </c>
      <c r="O433" s="463" t="s">
        <v>537</v>
      </c>
      <c r="P433" s="463" t="s">
        <v>537</v>
      </c>
      <c r="Q433" s="468">
        <v>12600</v>
      </c>
      <c r="R433" s="470">
        <v>241487</v>
      </c>
      <c r="S433" s="463" t="s">
        <v>874</v>
      </c>
      <c r="T433" s="463">
        <v>50</v>
      </c>
      <c r="U433" s="463">
        <v>10</v>
      </c>
      <c r="V433" s="463">
        <v>1</v>
      </c>
      <c r="W433" s="463">
        <v>90</v>
      </c>
      <c r="X433" s="463">
        <v>10</v>
      </c>
      <c r="Y433" s="463">
        <v>0</v>
      </c>
      <c r="Z433" s="463">
        <v>86.5</v>
      </c>
      <c r="AA433" s="472" t="s">
        <v>612</v>
      </c>
      <c r="AB433" s="463" t="s">
        <v>539</v>
      </c>
      <c r="AC433" s="463" t="s">
        <v>539</v>
      </c>
      <c r="AD433" s="472" t="s">
        <v>565</v>
      </c>
      <c r="AE433" s="463">
        <v>80</v>
      </c>
      <c r="AF433" s="463">
        <v>86.5</v>
      </c>
      <c r="AG433" s="463" t="s">
        <v>375</v>
      </c>
      <c r="AH433" s="476"/>
      <c r="AI433" s="472" t="s">
        <v>1446</v>
      </c>
      <c r="AJ433" s="464"/>
    </row>
    <row r="434" spans="2:36" ht="24" hidden="1" customHeight="1">
      <c r="B434" s="463">
        <v>352</v>
      </c>
      <c r="C434" s="464" t="s">
        <v>377</v>
      </c>
      <c r="D434" s="464"/>
      <c r="E434" s="464" t="s">
        <v>602</v>
      </c>
      <c r="F434" s="464"/>
      <c r="G434" s="464" t="s">
        <v>44</v>
      </c>
      <c r="H434" s="464" t="s">
        <v>1447</v>
      </c>
      <c r="I434" s="465" t="s">
        <v>537</v>
      </c>
      <c r="J434" s="465" t="s">
        <v>537</v>
      </c>
      <c r="K434" s="466">
        <v>97200</v>
      </c>
      <c r="L434" s="465" t="s">
        <v>537</v>
      </c>
      <c r="M434" s="465" t="s">
        <v>537</v>
      </c>
      <c r="N434" s="466">
        <v>61700</v>
      </c>
      <c r="O434" s="463" t="s">
        <v>537</v>
      </c>
      <c r="P434" s="463" t="s">
        <v>537</v>
      </c>
      <c r="Q434" s="468">
        <v>35500</v>
      </c>
      <c r="R434" s="470">
        <v>241640</v>
      </c>
      <c r="S434" s="471">
        <v>22522</v>
      </c>
      <c r="T434" s="463">
        <v>100</v>
      </c>
      <c r="U434" s="463">
        <v>55</v>
      </c>
      <c r="V434" s="463">
        <v>45</v>
      </c>
      <c r="W434" s="463">
        <v>184</v>
      </c>
      <c r="X434" s="463">
        <v>16</v>
      </c>
      <c r="Y434" s="464"/>
      <c r="Z434" s="463">
        <v>90.5</v>
      </c>
      <c r="AA434" s="472" t="s">
        <v>612</v>
      </c>
      <c r="AB434" s="463" t="s">
        <v>539</v>
      </c>
      <c r="AC434" s="463" t="s">
        <v>539</v>
      </c>
      <c r="AD434" s="472" t="s">
        <v>565</v>
      </c>
      <c r="AE434" s="463">
        <v>80</v>
      </c>
      <c r="AF434" s="463">
        <v>92.5</v>
      </c>
      <c r="AG434" s="463" t="s">
        <v>375</v>
      </c>
      <c r="AH434" s="476"/>
      <c r="AI434" s="472" t="s">
        <v>1448</v>
      </c>
      <c r="AJ434" s="472" t="s">
        <v>543</v>
      </c>
    </row>
    <row r="435" spans="2:36" ht="24" hidden="1" customHeight="1">
      <c r="B435" s="463">
        <v>353</v>
      </c>
      <c r="C435" s="464" t="s">
        <v>377</v>
      </c>
      <c r="D435" s="464"/>
      <c r="E435" s="464" t="s">
        <v>602</v>
      </c>
      <c r="F435" s="464"/>
      <c r="G435" s="464" t="s">
        <v>44</v>
      </c>
      <c r="H435" s="464" t="s">
        <v>617</v>
      </c>
      <c r="I435" s="465" t="s">
        <v>537</v>
      </c>
      <c r="J435" s="466">
        <v>334800</v>
      </c>
      <c r="K435" s="465" t="s">
        <v>537</v>
      </c>
      <c r="L435" s="465" t="s">
        <v>537</v>
      </c>
      <c r="M435" s="466">
        <v>334800</v>
      </c>
      <c r="N435" s="465" t="s">
        <v>537</v>
      </c>
      <c r="O435" s="463" t="s">
        <v>537</v>
      </c>
      <c r="P435" s="463" t="s">
        <v>537</v>
      </c>
      <c r="Q435" s="465">
        <v>0</v>
      </c>
      <c r="R435" s="470">
        <v>241609</v>
      </c>
      <c r="S435" s="463" t="s">
        <v>1449</v>
      </c>
      <c r="T435" s="463">
        <v>800</v>
      </c>
      <c r="U435" s="463">
        <v>50</v>
      </c>
      <c r="V435" s="463">
        <v>0</v>
      </c>
      <c r="W435" s="463">
        <v>800</v>
      </c>
      <c r="X435" s="463">
        <v>50</v>
      </c>
      <c r="Y435" s="464"/>
      <c r="Z435" s="463">
        <v>86</v>
      </c>
      <c r="AA435" s="472" t="s">
        <v>612</v>
      </c>
      <c r="AB435" s="463" t="s">
        <v>539</v>
      </c>
      <c r="AC435" s="463" t="s">
        <v>539</v>
      </c>
      <c r="AD435" s="472" t="s">
        <v>1450</v>
      </c>
      <c r="AE435" s="463">
        <v>80</v>
      </c>
      <c r="AF435" s="463">
        <v>86</v>
      </c>
      <c r="AG435" s="463" t="s">
        <v>375</v>
      </c>
      <c r="AH435" s="476"/>
      <c r="AI435" s="472" t="s">
        <v>1451</v>
      </c>
      <c r="AJ435" s="464"/>
    </row>
    <row r="436" spans="2:36" ht="24" hidden="1" customHeight="1">
      <c r="B436" s="463">
        <v>354</v>
      </c>
      <c r="C436" s="464" t="s">
        <v>534</v>
      </c>
      <c r="D436" s="464"/>
      <c r="E436" s="464" t="s">
        <v>535</v>
      </c>
      <c r="F436" s="464"/>
      <c r="G436" s="464" t="s">
        <v>44</v>
      </c>
      <c r="H436" s="464" t="s">
        <v>1452</v>
      </c>
      <c r="I436" s="466">
        <v>100000</v>
      </c>
      <c r="J436" s="465" t="s">
        <v>537</v>
      </c>
      <c r="K436" s="465" t="s">
        <v>537</v>
      </c>
      <c r="L436" s="466">
        <v>52688</v>
      </c>
      <c r="M436" s="465" t="s">
        <v>537</v>
      </c>
      <c r="N436" s="465" t="s">
        <v>537</v>
      </c>
      <c r="O436" s="463" t="s">
        <v>537</v>
      </c>
      <c r="P436" s="463" t="s">
        <v>537</v>
      </c>
      <c r="Q436" s="468">
        <v>47312</v>
      </c>
      <c r="R436" s="463" t="s">
        <v>1453</v>
      </c>
      <c r="S436" s="463" t="s">
        <v>1454</v>
      </c>
      <c r="T436" s="463">
        <v>12</v>
      </c>
      <c r="U436" s="463">
        <v>6</v>
      </c>
      <c r="V436" s="463">
        <v>0</v>
      </c>
      <c r="W436" s="463">
        <v>6</v>
      </c>
      <c r="X436" s="463">
        <v>2</v>
      </c>
      <c r="Y436" s="463">
        <v>0</v>
      </c>
      <c r="Z436" s="463">
        <v>93</v>
      </c>
      <c r="AA436" s="472" t="s">
        <v>1455</v>
      </c>
      <c r="AB436" s="463">
        <v>1</v>
      </c>
      <c r="AC436" s="463">
        <v>1</v>
      </c>
      <c r="AD436" s="472" t="s">
        <v>729</v>
      </c>
      <c r="AE436" s="463">
        <v>1</v>
      </c>
      <c r="AF436" s="463">
        <v>1</v>
      </c>
      <c r="AG436" s="463" t="s">
        <v>375</v>
      </c>
      <c r="AH436" s="476"/>
      <c r="AI436" s="464"/>
      <c r="AJ436" s="464"/>
    </row>
    <row r="437" spans="2:36" ht="24" hidden="1" customHeight="1">
      <c r="B437" s="463">
        <v>355</v>
      </c>
      <c r="C437" s="464" t="s">
        <v>534</v>
      </c>
      <c r="D437" s="464"/>
      <c r="E437" s="464" t="s">
        <v>535</v>
      </c>
      <c r="F437" s="464"/>
      <c r="G437" s="464" t="s">
        <v>44</v>
      </c>
      <c r="H437" s="464" t="s">
        <v>1456</v>
      </c>
      <c r="I437" s="466">
        <v>50000</v>
      </c>
      <c r="J437" s="465" t="s">
        <v>537</v>
      </c>
      <c r="K437" s="465" t="s">
        <v>537</v>
      </c>
      <c r="L437" s="466">
        <v>48580</v>
      </c>
      <c r="M437" s="465" t="s">
        <v>537</v>
      </c>
      <c r="N437" s="465" t="s">
        <v>537</v>
      </c>
      <c r="O437" s="463" t="s">
        <v>537</v>
      </c>
      <c r="P437" s="463" t="s">
        <v>537</v>
      </c>
      <c r="Q437" s="468">
        <v>1420</v>
      </c>
      <c r="R437" s="463" t="s">
        <v>1457</v>
      </c>
      <c r="S437" s="463" t="s">
        <v>1458</v>
      </c>
      <c r="T437" s="463">
        <v>800</v>
      </c>
      <c r="U437" s="463">
        <v>80</v>
      </c>
      <c r="V437" s="463">
        <v>0</v>
      </c>
      <c r="W437" s="463">
        <v>326</v>
      </c>
      <c r="X437" s="463">
        <v>37</v>
      </c>
      <c r="Y437" s="464"/>
      <c r="Z437" s="463">
        <v>86.4</v>
      </c>
      <c r="AA437" s="472" t="s">
        <v>547</v>
      </c>
      <c r="AB437" s="463" t="s">
        <v>539</v>
      </c>
      <c r="AC437" s="463" t="s">
        <v>539</v>
      </c>
      <c r="AD437" s="472" t="s">
        <v>548</v>
      </c>
      <c r="AE437" s="463">
        <v>80</v>
      </c>
      <c r="AF437" s="463">
        <v>90.8</v>
      </c>
      <c r="AG437" s="463" t="s">
        <v>375</v>
      </c>
      <c r="AH437" s="476"/>
      <c r="AI437" s="464"/>
      <c r="AJ437" s="464"/>
    </row>
    <row r="438" spans="2:36" ht="24" hidden="1" customHeight="1">
      <c r="B438" s="463">
        <v>356</v>
      </c>
      <c r="C438" s="464" t="s">
        <v>534</v>
      </c>
      <c r="D438" s="464"/>
      <c r="E438" s="464" t="s">
        <v>535</v>
      </c>
      <c r="F438" s="464"/>
      <c r="G438" s="464" t="s">
        <v>44</v>
      </c>
      <c r="H438" s="464" t="s">
        <v>642</v>
      </c>
      <c r="I438" s="466">
        <v>60000</v>
      </c>
      <c r="J438" s="465" t="s">
        <v>537</v>
      </c>
      <c r="K438" s="465" t="s">
        <v>537</v>
      </c>
      <c r="L438" s="466">
        <v>40080</v>
      </c>
      <c r="M438" s="465" t="s">
        <v>537</v>
      </c>
      <c r="N438" s="465" t="s">
        <v>537</v>
      </c>
      <c r="O438" s="463" t="s">
        <v>537</v>
      </c>
      <c r="P438" s="463" t="s">
        <v>537</v>
      </c>
      <c r="Q438" s="468">
        <v>19920</v>
      </c>
      <c r="R438" s="470">
        <v>241518</v>
      </c>
      <c r="S438" s="463" t="s">
        <v>1459</v>
      </c>
      <c r="T438" s="463">
        <v>0</v>
      </c>
      <c r="U438" s="463">
        <v>2</v>
      </c>
      <c r="V438" s="463">
        <v>0</v>
      </c>
      <c r="W438" s="464"/>
      <c r="X438" s="463">
        <v>2</v>
      </c>
      <c r="Y438" s="464"/>
      <c r="Z438" s="463">
        <v>90</v>
      </c>
      <c r="AA438" s="472" t="s">
        <v>737</v>
      </c>
      <c r="AB438" s="463" t="s">
        <v>539</v>
      </c>
      <c r="AC438" s="463" t="s">
        <v>539</v>
      </c>
      <c r="AD438" s="472" t="s">
        <v>1460</v>
      </c>
      <c r="AE438" s="463" t="s">
        <v>539</v>
      </c>
      <c r="AF438" s="463" t="s">
        <v>539</v>
      </c>
      <c r="AG438" s="463" t="s">
        <v>375</v>
      </c>
      <c r="AH438" s="476"/>
      <c r="AI438" s="464"/>
      <c r="AJ438" s="464"/>
    </row>
    <row r="439" spans="2:36" ht="24" hidden="1" customHeight="1">
      <c r="B439" s="463">
        <v>357</v>
      </c>
      <c r="C439" s="464" t="s">
        <v>534</v>
      </c>
      <c r="D439" s="464"/>
      <c r="E439" s="464" t="s">
        <v>535</v>
      </c>
      <c r="F439" s="464"/>
      <c r="G439" s="464" t="s">
        <v>44</v>
      </c>
      <c r="H439" s="464" t="s">
        <v>1461</v>
      </c>
      <c r="I439" s="465" t="s">
        <v>537</v>
      </c>
      <c r="J439" s="465" t="s">
        <v>537</v>
      </c>
      <c r="K439" s="466">
        <v>130400</v>
      </c>
      <c r="L439" s="465" t="s">
        <v>537</v>
      </c>
      <c r="M439" s="465" t="s">
        <v>537</v>
      </c>
      <c r="N439" s="466">
        <v>128027.25</v>
      </c>
      <c r="O439" s="463" t="s">
        <v>537</v>
      </c>
      <c r="P439" s="463" t="s">
        <v>537</v>
      </c>
      <c r="Q439" s="468">
        <v>2373</v>
      </c>
      <c r="R439" s="470">
        <v>241428</v>
      </c>
      <c r="S439" s="463" t="s">
        <v>623</v>
      </c>
      <c r="T439" s="463">
        <v>10</v>
      </c>
      <c r="U439" s="463">
        <v>15</v>
      </c>
      <c r="V439" s="463">
        <v>0</v>
      </c>
      <c r="W439" s="463">
        <v>22</v>
      </c>
      <c r="X439" s="463">
        <v>11</v>
      </c>
      <c r="Y439" s="464"/>
      <c r="Z439" s="463">
        <v>88</v>
      </c>
      <c r="AA439" s="472" t="s">
        <v>624</v>
      </c>
      <c r="AB439" s="463" t="s">
        <v>539</v>
      </c>
      <c r="AC439" s="463" t="s">
        <v>539</v>
      </c>
      <c r="AD439" s="472" t="s">
        <v>571</v>
      </c>
      <c r="AE439" s="463">
        <v>80</v>
      </c>
      <c r="AF439" s="463">
        <v>87</v>
      </c>
      <c r="AG439" s="463" t="s">
        <v>375</v>
      </c>
      <c r="AH439" s="476"/>
      <c r="AI439" s="464"/>
      <c r="AJ439" s="472" t="s">
        <v>543</v>
      </c>
    </row>
    <row r="440" spans="2:36" ht="24" hidden="1" customHeight="1">
      <c r="B440" s="463">
        <v>358</v>
      </c>
      <c r="C440" s="464" t="s">
        <v>534</v>
      </c>
      <c r="D440" s="464"/>
      <c r="E440" s="464" t="s">
        <v>535</v>
      </c>
      <c r="F440" s="464"/>
      <c r="G440" s="464" t="s">
        <v>44</v>
      </c>
      <c r="H440" s="464" t="s">
        <v>1462</v>
      </c>
      <c r="I440" s="466">
        <v>50000</v>
      </c>
      <c r="J440" s="465" t="s">
        <v>537</v>
      </c>
      <c r="K440" s="465" t="s">
        <v>537</v>
      </c>
      <c r="L440" s="466">
        <v>50000</v>
      </c>
      <c r="M440" s="465" t="s">
        <v>537</v>
      </c>
      <c r="N440" s="465" t="s">
        <v>537</v>
      </c>
      <c r="O440" s="463" t="s">
        <v>537</v>
      </c>
      <c r="P440" s="463" t="s">
        <v>537</v>
      </c>
      <c r="Q440" s="465">
        <v>0</v>
      </c>
      <c r="R440" s="470">
        <v>241640</v>
      </c>
      <c r="S440" s="463" t="s">
        <v>1463</v>
      </c>
      <c r="T440" s="463">
        <v>400</v>
      </c>
      <c r="U440" s="463">
        <v>10</v>
      </c>
      <c r="V440" s="463">
        <v>0</v>
      </c>
      <c r="W440" s="463">
        <v>400</v>
      </c>
      <c r="X440" s="463">
        <v>10</v>
      </c>
      <c r="Y440" s="464"/>
      <c r="Z440" s="463">
        <v>85.8</v>
      </c>
      <c r="AA440" s="472" t="s">
        <v>547</v>
      </c>
      <c r="AB440" s="463" t="s">
        <v>539</v>
      </c>
      <c r="AC440" s="463" t="s">
        <v>539</v>
      </c>
      <c r="AD440" s="472" t="s">
        <v>548</v>
      </c>
      <c r="AE440" s="463" t="s">
        <v>539</v>
      </c>
      <c r="AF440" s="463" t="s">
        <v>539</v>
      </c>
      <c r="AG440" s="463" t="s">
        <v>375</v>
      </c>
      <c r="AH440" s="476"/>
      <c r="AI440" s="464"/>
      <c r="AJ440" s="464"/>
    </row>
    <row r="441" spans="2:36" ht="24" hidden="1" customHeight="1">
      <c r="B441" s="701">
        <v>359</v>
      </c>
      <c r="C441" s="699" t="s">
        <v>165</v>
      </c>
      <c r="D441" s="699"/>
      <c r="E441" s="699" t="s">
        <v>535</v>
      </c>
      <c r="F441" s="699"/>
      <c r="G441" s="699" t="s">
        <v>44</v>
      </c>
      <c r="H441" s="699" t="s">
        <v>636</v>
      </c>
      <c r="I441" s="712">
        <v>200000</v>
      </c>
      <c r="J441" s="709" t="s">
        <v>537</v>
      </c>
      <c r="K441" s="709" t="s">
        <v>537</v>
      </c>
      <c r="L441" s="712">
        <v>200000</v>
      </c>
      <c r="M441" s="709" t="s">
        <v>537</v>
      </c>
      <c r="N441" s="709" t="s">
        <v>537</v>
      </c>
      <c r="O441" s="701" t="s">
        <v>537</v>
      </c>
      <c r="P441" s="701" t="s">
        <v>537</v>
      </c>
      <c r="Q441" s="709">
        <v>0</v>
      </c>
      <c r="R441" s="707">
        <v>241609</v>
      </c>
      <c r="S441" s="701" t="s">
        <v>637</v>
      </c>
      <c r="T441" s="701">
        <v>195</v>
      </c>
      <c r="U441" s="701">
        <v>72</v>
      </c>
      <c r="V441" s="701">
        <v>0</v>
      </c>
      <c r="W441" s="701">
        <v>200</v>
      </c>
      <c r="X441" s="701">
        <v>67</v>
      </c>
      <c r="Y441" s="699"/>
      <c r="Z441" s="701">
        <v>90.5</v>
      </c>
      <c r="AA441" s="458" t="s">
        <v>1304</v>
      </c>
      <c r="AB441" s="459" t="s">
        <v>539</v>
      </c>
      <c r="AC441" s="459" t="s">
        <v>539</v>
      </c>
      <c r="AD441" s="697" t="s">
        <v>565</v>
      </c>
      <c r="AE441" s="701">
        <v>80</v>
      </c>
      <c r="AF441" s="701">
        <v>95.5</v>
      </c>
      <c r="AG441" s="701" t="s">
        <v>375</v>
      </c>
      <c r="AH441" s="728"/>
      <c r="AI441" s="697" t="s">
        <v>1446</v>
      </c>
      <c r="AJ441" s="699"/>
    </row>
    <row r="442" spans="2:36" ht="24" hidden="1" customHeight="1">
      <c r="B442" s="702"/>
      <c r="C442" s="700"/>
      <c r="D442" s="700"/>
      <c r="E442" s="700"/>
      <c r="F442" s="700"/>
      <c r="G442" s="700"/>
      <c r="H442" s="700"/>
      <c r="I442" s="713"/>
      <c r="J442" s="710"/>
      <c r="K442" s="710"/>
      <c r="L442" s="713"/>
      <c r="M442" s="710"/>
      <c r="N442" s="710"/>
      <c r="O442" s="702"/>
      <c r="P442" s="702"/>
      <c r="Q442" s="710"/>
      <c r="R442" s="708"/>
      <c r="S442" s="702"/>
      <c r="T442" s="702"/>
      <c r="U442" s="702"/>
      <c r="V442" s="702"/>
      <c r="W442" s="702"/>
      <c r="X442" s="702"/>
      <c r="Y442" s="700"/>
      <c r="Z442" s="702"/>
      <c r="AA442" s="473" t="s">
        <v>1464</v>
      </c>
      <c r="AB442" s="474">
        <v>10</v>
      </c>
      <c r="AC442" s="474">
        <v>48</v>
      </c>
      <c r="AD442" s="698"/>
      <c r="AE442" s="702"/>
      <c r="AF442" s="702"/>
      <c r="AG442" s="702"/>
      <c r="AH442" s="729"/>
      <c r="AI442" s="698"/>
      <c r="AJ442" s="700"/>
    </row>
    <row r="443" spans="2:36" ht="24" hidden="1" customHeight="1">
      <c r="B443" s="463">
        <v>360</v>
      </c>
      <c r="C443" s="464" t="s">
        <v>165</v>
      </c>
      <c r="D443" s="464"/>
      <c r="E443" s="464" t="s">
        <v>535</v>
      </c>
      <c r="F443" s="464"/>
      <c r="G443" s="464" t="s">
        <v>44</v>
      </c>
      <c r="H443" s="464" t="s">
        <v>1465</v>
      </c>
      <c r="I443" s="466">
        <v>20000</v>
      </c>
      <c r="J443" s="465" t="s">
        <v>537</v>
      </c>
      <c r="K443" s="465" t="s">
        <v>537</v>
      </c>
      <c r="L443" s="466">
        <v>20000</v>
      </c>
      <c r="M443" s="465" t="s">
        <v>537</v>
      </c>
      <c r="N443" s="465" t="s">
        <v>537</v>
      </c>
      <c r="O443" s="463" t="s">
        <v>537</v>
      </c>
      <c r="P443" s="463" t="s">
        <v>537</v>
      </c>
      <c r="Q443" s="465">
        <v>0</v>
      </c>
      <c r="R443" s="470">
        <v>241487</v>
      </c>
      <c r="S443" s="463" t="s">
        <v>1466</v>
      </c>
      <c r="T443" s="463">
        <v>50</v>
      </c>
      <c r="U443" s="463">
        <v>7</v>
      </c>
      <c r="V443" s="463">
        <v>3</v>
      </c>
      <c r="W443" s="463">
        <v>50</v>
      </c>
      <c r="X443" s="463">
        <v>7</v>
      </c>
      <c r="Y443" s="463">
        <v>3</v>
      </c>
      <c r="Z443" s="463">
        <v>85.87</v>
      </c>
      <c r="AA443" s="472" t="s">
        <v>1119</v>
      </c>
      <c r="AB443" s="463" t="s">
        <v>539</v>
      </c>
      <c r="AC443" s="463" t="s">
        <v>539</v>
      </c>
      <c r="AD443" s="472" t="s">
        <v>1016</v>
      </c>
      <c r="AE443" s="463">
        <v>80</v>
      </c>
      <c r="AF443" s="463">
        <v>92.5</v>
      </c>
      <c r="AG443" s="463" t="s">
        <v>375</v>
      </c>
      <c r="AH443" s="476"/>
      <c r="AI443" s="472" t="s">
        <v>1448</v>
      </c>
      <c r="AJ443" s="464"/>
    </row>
    <row r="444" spans="2:36" ht="24" hidden="1" customHeight="1">
      <c r="B444" s="701">
        <v>361</v>
      </c>
      <c r="C444" s="699" t="s">
        <v>165</v>
      </c>
      <c r="D444" s="699"/>
      <c r="E444" s="699" t="s">
        <v>535</v>
      </c>
      <c r="F444" s="699"/>
      <c r="G444" s="699" t="s">
        <v>44</v>
      </c>
      <c r="H444" s="699" t="s">
        <v>1467</v>
      </c>
      <c r="I444" s="712">
        <v>300000</v>
      </c>
      <c r="J444" s="709" t="s">
        <v>537</v>
      </c>
      <c r="K444" s="709" t="s">
        <v>537</v>
      </c>
      <c r="L444" s="712">
        <v>282792</v>
      </c>
      <c r="M444" s="709" t="s">
        <v>537</v>
      </c>
      <c r="N444" s="709" t="s">
        <v>537</v>
      </c>
      <c r="O444" s="701" t="s">
        <v>537</v>
      </c>
      <c r="P444" s="701" t="s">
        <v>537</v>
      </c>
      <c r="Q444" s="705">
        <v>17208</v>
      </c>
      <c r="R444" s="707">
        <v>241428</v>
      </c>
      <c r="S444" s="701" t="s">
        <v>649</v>
      </c>
      <c r="T444" s="701">
        <v>30</v>
      </c>
      <c r="U444" s="701">
        <v>15</v>
      </c>
      <c r="V444" s="701">
        <v>0</v>
      </c>
      <c r="W444" s="701">
        <v>32</v>
      </c>
      <c r="X444" s="701">
        <v>13</v>
      </c>
      <c r="Y444" s="699"/>
      <c r="Z444" s="701">
        <v>86.5</v>
      </c>
      <c r="AA444" s="458" t="s">
        <v>547</v>
      </c>
      <c r="AB444" s="459" t="s">
        <v>539</v>
      </c>
      <c r="AC444" s="459" t="s">
        <v>539</v>
      </c>
      <c r="AD444" s="458" t="s">
        <v>548</v>
      </c>
      <c r="AE444" s="459">
        <v>80</v>
      </c>
      <c r="AF444" s="459">
        <v>88</v>
      </c>
      <c r="AG444" s="701" t="s">
        <v>375</v>
      </c>
      <c r="AH444" s="728"/>
      <c r="AI444" s="699"/>
      <c r="AJ444" s="699"/>
    </row>
    <row r="445" spans="2:36" ht="24" hidden="1" customHeight="1">
      <c r="B445" s="702"/>
      <c r="C445" s="700"/>
      <c r="D445" s="700"/>
      <c r="E445" s="700"/>
      <c r="F445" s="700"/>
      <c r="G445" s="700"/>
      <c r="H445" s="700"/>
      <c r="I445" s="713"/>
      <c r="J445" s="710"/>
      <c r="K445" s="710"/>
      <c r="L445" s="713"/>
      <c r="M445" s="710"/>
      <c r="N445" s="710"/>
      <c r="O445" s="702"/>
      <c r="P445" s="702"/>
      <c r="Q445" s="706"/>
      <c r="R445" s="708"/>
      <c r="S445" s="702"/>
      <c r="T445" s="702"/>
      <c r="U445" s="702"/>
      <c r="V445" s="702"/>
      <c r="W445" s="702"/>
      <c r="X445" s="702"/>
      <c r="Y445" s="700"/>
      <c r="Z445" s="702"/>
      <c r="AA445" s="473" t="s">
        <v>1468</v>
      </c>
      <c r="AB445" s="474" t="s">
        <v>539</v>
      </c>
      <c r="AC445" s="474" t="s">
        <v>539</v>
      </c>
      <c r="AD445" s="473" t="s">
        <v>1469</v>
      </c>
      <c r="AE445" s="474">
        <v>1</v>
      </c>
      <c r="AF445" s="474">
        <v>1</v>
      </c>
      <c r="AG445" s="702"/>
      <c r="AH445" s="729"/>
      <c r="AI445" s="700"/>
      <c r="AJ445" s="700"/>
    </row>
    <row r="446" spans="2:36" ht="24" hidden="1" customHeight="1">
      <c r="B446" s="463">
        <v>362</v>
      </c>
      <c r="C446" s="464" t="s">
        <v>165</v>
      </c>
      <c r="D446" s="464"/>
      <c r="E446" s="464" t="s">
        <v>535</v>
      </c>
      <c r="F446" s="464"/>
      <c r="G446" s="464" t="s">
        <v>44</v>
      </c>
      <c r="H446" s="464" t="s">
        <v>1470</v>
      </c>
      <c r="I446" s="466">
        <v>50000</v>
      </c>
      <c r="J446" s="465" t="s">
        <v>537</v>
      </c>
      <c r="K446" s="465" t="s">
        <v>537</v>
      </c>
      <c r="L446" s="466">
        <v>44500</v>
      </c>
      <c r="M446" s="465" t="s">
        <v>537</v>
      </c>
      <c r="N446" s="465" t="s">
        <v>537</v>
      </c>
      <c r="O446" s="463" t="s">
        <v>537</v>
      </c>
      <c r="P446" s="463" t="s">
        <v>537</v>
      </c>
      <c r="Q446" s="468">
        <v>5500</v>
      </c>
      <c r="R446" s="470">
        <v>241459</v>
      </c>
      <c r="S446" s="471">
        <v>22322</v>
      </c>
      <c r="T446" s="463">
        <v>17</v>
      </c>
      <c r="U446" s="463">
        <v>13</v>
      </c>
      <c r="V446" s="463">
        <v>120</v>
      </c>
      <c r="W446" s="463">
        <v>17</v>
      </c>
      <c r="X446" s="463">
        <v>13</v>
      </c>
      <c r="Y446" s="463">
        <v>120</v>
      </c>
      <c r="Z446" s="463">
        <v>95</v>
      </c>
      <c r="AA446" s="472" t="s">
        <v>728</v>
      </c>
      <c r="AB446" s="463">
        <v>1</v>
      </c>
      <c r="AC446" s="463">
        <v>1</v>
      </c>
      <c r="AD446" s="472" t="s">
        <v>651</v>
      </c>
      <c r="AE446" s="463">
        <v>1</v>
      </c>
      <c r="AF446" s="463">
        <v>1</v>
      </c>
      <c r="AG446" s="463" t="s">
        <v>375</v>
      </c>
      <c r="AH446" s="476"/>
      <c r="AI446" s="472" t="s">
        <v>1471</v>
      </c>
      <c r="AJ446" s="464"/>
    </row>
    <row r="447" spans="2:36" ht="24" hidden="1" customHeight="1">
      <c r="B447" s="463">
        <v>363</v>
      </c>
      <c r="C447" s="464" t="s">
        <v>165</v>
      </c>
      <c r="D447" s="464"/>
      <c r="E447" s="464" t="s">
        <v>535</v>
      </c>
      <c r="F447" s="464"/>
      <c r="G447" s="464" t="s">
        <v>44</v>
      </c>
      <c r="H447" s="464" t="s">
        <v>1472</v>
      </c>
      <c r="I447" s="466">
        <v>100000</v>
      </c>
      <c r="J447" s="465" t="s">
        <v>537</v>
      </c>
      <c r="K447" s="465" t="s">
        <v>537</v>
      </c>
      <c r="L447" s="466">
        <v>98367</v>
      </c>
      <c r="M447" s="465" t="s">
        <v>537</v>
      </c>
      <c r="N447" s="465" t="s">
        <v>537</v>
      </c>
      <c r="O447" s="463" t="s">
        <v>537</v>
      </c>
      <c r="P447" s="463" t="s">
        <v>537</v>
      </c>
      <c r="Q447" s="468">
        <v>1633</v>
      </c>
      <c r="R447" s="470">
        <v>241579</v>
      </c>
      <c r="S447" s="463" t="s">
        <v>1473</v>
      </c>
      <c r="T447" s="463">
        <v>30</v>
      </c>
      <c r="U447" s="463">
        <v>15</v>
      </c>
      <c r="V447" s="463">
        <v>0</v>
      </c>
      <c r="W447" s="463">
        <v>200</v>
      </c>
      <c r="X447" s="463">
        <v>12</v>
      </c>
      <c r="Y447" s="463">
        <v>18</v>
      </c>
      <c r="Z447" s="463">
        <v>90</v>
      </c>
      <c r="AA447" s="472" t="s">
        <v>547</v>
      </c>
      <c r="AB447" s="463" t="s">
        <v>539</v>
      </c>
      <c r="AC447" s="463" t="s">
        <v>539</v>
      </c>
      <c r="AD447" s="472" t="s">
        <v>548</v>
      </c>
      <c r="AE447" s="463">
        <v>80</v>
      </c>
      <c r="AF447" s="463">
        <v>92</v>
      </c>
      <c r="AG447" s="463" t="s">
        <v>375</v>
      </c>
      <c r="AH447" s="476"/>
      <c r="AI447" s="472">
        <v>4030</v>
      </c>
      <c r="AJ447" s="464"/>
    </row>
    <row r="448" spans="2:36" ht="24" hidden="1" customHeight="1">
      <c r="B448" s="463">
        <v>364</v>
      </c>
      <c r="C448" s="464" t="s">
        <v>534</v>
      </c>
      <c r="D448" s="464"/>
      <c r="E448" s="464" t="s">
        <v>535</v>
      </c>
      <c r="F448" s="464"/>
      <c r="G448" s="464" t="s">
        <v>44</v>
      </c>
      <c r="H448" s="464" t="s">
        <v>1474</v>
      </c>
      <c r="I448" s="465" t="s">
        <v>537</v>
      </c>
      <c r="J448" s="466">
        <v>40000</v>
      </c>
      <c r="K448" s="465" t="s">
        <v>537</v>
      </c>
      <c r="L448" s="465" t="s">
        <v>537</v>
      </c>
      <c r="M448" s="466">
        <v>40000</v>
      </c>
      <c r="N448" s="465" t="s">
        <v>537</v>
      </c>
      <c r="O448" s="463" t="s">
        <v>537</v>
      </c>
      <c r="P448" s="463" t="s">
        <v>537</v>
      </c>
      <c r="Q448" s="465">
        <v>0</v>
      </c>
      <c r="R448" s="463" t="s">
        <v>1475</v>
      </c>
      <c r="S448" s="471">
        <v>22526</v>
      </c>
      <c r="T448" s="463">
        <v>320</v>
      </c>
      <c r="U448" s="463">
        <v>25</v>
      </c>
      <c r="V448" s="463">
        <v>0</v>
      </c>
      <c r="W448" s="463">
        <v>320</v>
      </c>
      <c r="X448" s="463">
        <v>25</v>
      </c>
      <c r="Y448" s="464"/>
      <c r="Z448" s="463">
        <v>88</v>
      </c>
      <c r="AA448" s="472" t="s">
        <v>547</v>
      </c>
      <c r="AB448" s="463" t="s">
        <v>539</v>
      </c>
      <c r="AC448" s="463" t="s">
        <v>539</v>
      </c>
      <c r="AD448" s="472" t="s">
        <v>548</v>
      </c>
      <c r="AE448" s="463">
        <v>80</v>
      </c>
      <c r="AF448" s="463">
        <v>86.6</v>
      </c>
      <c r="AG448" s="463" t="s">
        <v>375</v>
      </c>
      <c r="AH448" s="476"/>
      <c r="AI448" s="464"/>
      <c r="AJ448" s="464"/>
    </row>
    <row r="449" spans="1:36" ht="24" hidden="1" customHeight="1">
      <c r="B449" s="463">
        <v>365</v>
      </c>
      <c r="C449" s="464" t="s">
        <v>534</v>
      </c>
      <c r="D449" s="464"/>
      <c r="E449" s="464" t="s">
        <v>535</v>
      </c>
      <c r="F449" s="464"/>
      <c r="G449" s="464" t="s">
        <v>44</v>
      </c>
      <c r="H449" s="464" t="s">
        <v>1476</v>
      </c>
      <c r="I449" s="465" t="s">
        <v>537</v>
      </c>
      <c r="J449" s="466">
        <v>20000</v>
      </c>
      <c r="K449" s="465" t="s">
        <v>537</v>
      </c>
      <c r="L449" s="465" t="s">
        <v>537</v>
      </c>
      <c r="M449" s="466">
        <v>19009.72</v>
      </c>
      <c r="N449" s="465" t="s">
        <v>537</v>
      </c>
      <c r="O449" s="463" t="s">
        <v>537</v>
      </c>
      <c r="P449" s="463" t="s">
        <v>537</v>
      </c>
      <c r="Q449" s="465">
        <v>990</v>
      </c>
      <c r="R449" s="470">
        <v>241579</v>
      </c>
      <c r="S449" s="463" t="s">
        <v>1477</v>
      </c>
      <c r="T449" s="463">
        <v>1300</v>
      </c>
      <c r="U449" s="463">
        <v>2</v>
      </c>
      <c r="V449" s="463">
        <v>0</v>
      </c>
      <c r="W449" s="463">
        <v>1300</v>
      </c>
      <c r="X449" s="463">
        <v>2</v>
      </c>
      <c r="Y449" s="464"/>
      <c r="Z449" s="463">
        <v>92.2</v>
      </c>
      <c r="AA449" s="472" t="s">
        <v>547</v>
      </c>
      <c r="AB449" s="463" t="s">
        <v>539</v>
      </c>
      <c r="AC449" s="463" t="s">
        <v>539</v>
      </c>
      <c r="AD449" s="472" t="s">
        <v>548</v>
      </c>
      <c r="AE449" s="463">
        <v>80</v>
      </c>
      <c r="AF449" s="463">
        <v>92.2</v>
      </c>
      <c r="AG449" s="463" t="s">
        <v>375</v>
      </c>
      <c r="AH449" s="476"/>
      <c r="AI449" s="472" t="s">
        <v>1478</v>
      </c>
      <c r="AJ449" s="464"/>
    </row>
    <row r="450" spans="1:36" ht="24" hidden="1" customHeight="1">
      <c r="B450" s="463">
        <v>366</v>
      </c>
      <c r="C450" s="464" t="s">
        <v>534</v>
      </c>
      <c r="D450" s="464"/>
      <c r="E450" s="464" t="s">
        <v>535</v>
      </c>
      <c r="F450" s="464"/>
      <c r="G450" s="464" t="s">
        <v>44</v>
      </c>
      <c r="H450" s="464" t="s">
        <v>1479</v>
      </c>
      <c r="I450" s="465" t="s">
        <v>537</v>
      </c>
      <c r="J450" s="466">
        <v>72200</v>
      </c>
      <c r="K450" s="465" t="s">
        <v>537</v>
      </c>
      <c r="L450" s="465" t="s">
        <v>537</v>
      </c>
      <c r="M450" s="466">
        <v>11720</v>
      </c>
      <c r="N450" s="465" t="s">
        <v>537</v>
      </c>
      <c r="O450" s="463" t="s">
        <v>537</v>
      </c>
      <c r="P450" s="463" t="s">
        <v>537</v>
      </c>
      <c r="Q450" s="468">
        <v>60480</v>
      </c>
      <c r="R450" s="463" t="s">
        <v>643</v>
      </c>
      <c r="S450" s="463" t="s">
        <v>1480</v>
      </c>
      <c r="T450" s="463">
        <v>14</v>
      </c>
      <c r="U450" s="463">
        <v>32</v>
      </c>
      <c r="V450" s="463">
        <v>0</v>
      </c>
      <c r="W450" s="463">
        <v>14</v>
      </c>
      <c r="X450" s="463">
        <v>32</v>
      </c>
      <c r="Y450" s="464"/>
      <c r="Z450" s="463">
        <v>90.2</v>
      </c>
      <c r="AA450" s="472" t="s">
        <v>547</v>
      </c>
      <c r="AB450" s="463" t="s">
        <v>539</v>
      </c>
      <c r="AC450" s="463" t="s">
        <v>539</v>
      </c>
      <c r="AD450" s="472" t="s">
        <v>548</v>
      </c>
      <c r="AE450" s="463">
        <v>80</v>
      </c>
      <c r="AF450" s="463">
        <v>85.2</v>
      </c>
      <c r="AG450" s="463" t="s">
        <v>375</v>
      </c>
      <c r="AH450" s="476"/>
      <c r="AI450" s="472" t="s">
        <v>1481</v>
      </c>
      <c r="AJ450" s="464"/>
    </row>
    <row r="451" spans="1:36" ht="24" hidden="1" customHeight="1">
      <c r="B451" s="463">
        <v>367</v>
      </c>
      <c r="C451" s="464" t="s">
        <v>165</v>
      </c>
      <c r="D451" s="464"/>
      <c r="E451" s="464" t="s">
        <v>535</v>
      </c>
      <c r="F451" s="464"/>
      <c r="G451" s="464" t="s">
        <v>44</v>
      </c>
      <c r="H451" s="464" t="s">
        <v>1482</v>
      </c>
      <c r="I451" s="465" t="s">
        <v>537</v>
      </c>
      <c r="J451" s="466">
        <v>404000</v>
      </c>
      <c r="K451" s="465" t="s">
        <v>537</v>
      </c>
      <c r="L451" s="465" t="s">
        <v>537</v>
      </c>
      <c r="M451" s="466">
        <v>276850</v>
      </c>
      <c r="N451" s="465" t="s">
        <v>537</v>
      </c>
      <c r="O451" s="463" t="s">
        <v>537</v>
      </c>
      <c r="P451" s="463" t="s">
        <v>537</v>
      </c>
      <c r="Q451" s="468">
        <v>127150</v>
      </c>
      <c r="R451" s="463" t="s">
        <v>747</v>
      </c>
      <c r="S451" s="471">
        <v>22535</v>
      </c>
      <c r="T451" s="463">
        <v>20</v>
      </c>
      <c r="U451" s="463">
        <v>5</v>
      </c>
      <c r="V451" s="463">
        <v>0</v>
      </c>
      <c r="W451" s="463">
        <v>800</v>
      </c>
      <c r="X451" s="463">
        <v>10</v>
      </c>
      <c r="Y451" s="464"/>
      <c r="Z451" s="463">
        <v>92</v>
      </c>
      <c r="AA451" s="472" t="s">
        <v>547</v>
      </c>
      <c r="AB451" s="463" t="s">
        <v>539</v>
      </c>
      <c r="AC451" s="463" t="s">
        <v>539</v>
      </c>
      <c r="AD451" s="472" t="s">
        <v>548</v>
      </c>
      <c r="AE451" s="463">
        <v>80</v>
      </c>
      <c r="AF451" s="463">
        <v>95.5</v>
      </c>
      <c r="AG451" s="463" t="s">
        <v>375</v>
      </c>
      <c r="AH451" s="476"/>
      <c r="AI451" s="464"/>
      <c r="AJ451" s="464"/>
    </row>
    <row r="452" spans="1:36" ht="24" hidden="1" customHeight="1">
      <c r="B452" s="463">
        <v>368</v>
      </c>
      <c r="C452" s="464" t="s">
        <v>165</v>
      </c>
      <c r="D452" s="464"/>
      <c r="E452" s="464" t="s">
        <v>535</v>
      </c>
      <c r="F452" s="464"/>
      <c r="G452" s="464" t="s">
        <v>44</v>
      </c>
      <c r="H452" s="464" t="s">
        <v>1483</v>
      </c>
      <c r="I452" s="465" t="s">
        <v>537</v>
      </c>
      <c r="J452" s="466">
        <v>419700</v>
      </c>
      <c r="K452" s="465" t="s">
        <v>537</v>
      </c>
      <c r="L452" s="465" t="s">
        <v>537</v>
      </c>
      <c r="M452" s="466">
        <v>398560</v>
      </c>
      <c r="N452" s="465" t="s">
        <v>537</v>
      </c>
      <c r="O452" s="463" t="s">
        <v>537</v>
      </c>
      <c r="P452" s="463" t="s">
        <v>537</v>
      </c>
      <c r="Q452" s="468">
        <v>21140</v>
      </c>
      <c r="R452" s="463" t="s">
        <v>785</v>
      </c>
      <c r="S452" s="471">
        <v>22316</v>
      </c>
      <c r="T452" s="463">
        <v>160</v>
      </c>
      <c r="U452" s="463">
        <v>14</v>
      </c>
      <c r="V452" s="463">
        <v>0</v>
      </c>
      <c r="W452" s="463">
        <v>160</v>
      </c>
      <c r="X452" s="463">
        <v>12</v>
      </c>
      <c r="Y452" s="464"/>
      <c r="Z452" s="463">
        <v>94.8</v>
      </c>
      <c r="AA452" s="472" t="s">
        <v>633</v>
      </c>
      <c r="AB452" s="463" t="s">
        <v>539</v>
      </c>
      <c r="AC452" s="463" t="s">
        <v>539</v>
      </c>
      <c r="AD452" s="472" t="s">
        <v>635</v>
      </c>
      <c r="AE452" s="463" t="s">
        <v>539</v>
      </c>
      <c r="AF452" s="463" t="s">
        <v>539</v>
      </c>
      <c r="AG452" s="463" t="s">
        <v>375</v>
      </c>
      <c r="AH452" s="476"/>
      <c r="AI452" s="464"/>
      <c r="AJ452" s="464"/>
    </row>
    <row r="453" spans="1:36" ht="24" hidden="1" customHeight="1">
      <c r="B453" s="463">
        <v>369</v>
      </c>
      <c r="C453" s="464" t="s">
        <v>165</v>
      </c>
      <c r="D453" s="464"/>
      <c r="E453" s="464" t="s">
        <v>535</v>
      </c>
      <c r="F453" s="464"/>
      <c r="G453" s="464" t="s">
        <v>44</v>
      </c>
      <c r="H453" s="464" t="s">
        <v>1484</v>
      </c>
      <c r="I453" s="465" t="s">
        <v>537</v>
      </c>
      <c r="J453" s="466">
        <v>25400</v>
      </c>
      <c r="K453" s="465" t="s">
        <v>537</v>
      </c>
      <c r="L453" s="465" t="s">
        <v>537</v>
      </c>
      <c r="M453" s="466">
        <v>25400</v>
      </c>
      <c r="N453" s="465" t="s">
        <v>537</v>
      </c>
      <c r="O453" s="463" t="s">
        <v>537</v>
      </c>
      <c r="P453" s="463" t="s">
        <v>537</v>
      </c>
      <c r="Q453" s="465">
        <v>0</v>
      </c>
      <c r="R453" s="470">
        <v>241459</v>
      </c>
      <c r="S453" s="471">
        <v>22319</v>
      </c>
      <c r="T453" s="463">
        <v>500</v>
      </c>
      <c r="U453" s="463">
        <v>60</v>
      </c>
      <c r="V453" s="463">
        <v>0</v>
      </c>
      <c r="W453" s="463">
        <v>500</v>
      </c>
      <c r="X453" s="463">
        <v>60</v>
      </c>
      <c r="Y453" s="464"/>
      <c r="Z453" s="463">
        <v>90.5</v>
      </c>
      <c r="AA453" s="472" t="s">
        <v>547</v>
      </c>
      <c r="AB453" s="463" t="s">
        <v>539</v>
      </c>
      <c r="AC453" s="463" t="s">
        <v>539</v>
      </c>
      <c r="AD453" s="472" t="s">
        <v>548</v>
      </c>
      <c r="AE453" s="463">
        <v>80</v>
      </c>
      <c r="AF453" s="463">
        <v>92</v>
      </c>
      <c r="AG453" s="463" t="s">
        <v>375</v>
      </c>
      <c r="AH453" s="476"/>
      <c r="AI453" s="464"/>
      <c r="AJ453" s="464"/>
    </row>
    <row r="454" spans="1:36" ht="24" hidden="1" customHeight="1">
      <c r="B454" s="463">
        <v>370</v>
      </c>
      <c r="C454" s="464" t="s">
        <v>165</v>
      </c>
      <c r="D454" s="464"/>
      <c r="E454" s="464" t="s">
        <v>535</v>
      </c>
      <c r="F454" s="464"/>
      <c r="G454" s="464" t="s">
        <v>44</v>
      </c>
      <c r="H454" s="464" t="s">
        <v>1485</v>
      </c>
      <c r="I454" s="465" t="s">
        <v>537</v>
      </c>
      <c r="J454" s="466">
        <v>28700</v>
      </c>
      <c r="K454" s="465" t="s">
        <v>537</v>
      </c>
      <c r="L454" s="465" t="s">
        <v>537</v>
      </c>
      <c r="M454" s="466">
        <v>26700</v>
      </c>
      <c r="N454" s="465" t="s">
        <v>537</v>
      </c>
      <c r="O454" s="463" t="s">
        <v>537</v>
      </c>
      <c r="P454" s="463" t="s">
        <v>537</v>
      </c>
      <c r="Q454" s="468">
        <v>2000</v>
      </c>
      <c r="R454" s="470">
        <v>241487</v>
      </c>
      <c r="S454" s="463" t="s">
        <v>1486</v>
      </c>
      <c r="T454" s="463">
        <v>0</v>
      </c>
      <c r="U454" s="463">
        <v>13</v>
      </c>
      <c r="V454" s="463">
        <v>0</v>
      </c>
      <c r="W454" s="463">
        <v>13</v>
      </c>
      <c r="X454" s="463">
        <v>12</v>
      </c>
      <c r="Y454" s="463">
        <v>1</v>
      </c>
      <c r="Z454" s="463">
        <v>91.53</v>
      </c>
      <c r="AA454" s="472" t="s">
        <v>547</v>
      </c>
      <c r="AB454" s="463" t="s">
        <v>539</v>
      </c>
      <c r="AC454" s="463" t="s">
        <v>539</v>
      </c>
      <c r="AD454" s="472" t="s">
        <v>548</v>
      </c>
      <c r="AE454" s="463">
        <v>80</v>
      </c>
      <c r="AF454" s="463">
        <v>96.5</v>
      </c>
      <c r="AG454" s="463" t="s">
        <v>375</v>
      </c>
      <c r="AH454" s="476"/>
      <c r="AI454" s="464"/>
      <c r="AJ454" s="464"/>
    </row>
    <row r="455" spans="1:36" ht="24" hidden="1" customHeight="1">
      <c r="B455" s="463">
        <v>371</v>
      </c>
      <c r="C455" s="464" t="s">
        <v>165</v>
      </c>
      <c r="D455" s="464"/>
      <c r="E455" s="464" t="s">
        <v>535</v>
      </c>
      <c r="F455" s="464"/>
      <c r="G455" s="464" t="s">
        <v>44</v>
      </c>
      <c r="H455" s="464" t="s">
        <v>668</v>
      </c>
      <c r="I455" s="465" t="s">
        <v>537</v>
      </c>
      <c r="J455" s="466">
        <v>117700</v>
      </c>
      <c r="K455" s="465" t="s">
        <v>537</v>
      </c>
      <c r="L455" s="465" t="s">
        <v>537</v>
      </c>
      <c r="M455" s="466">
        <v>117700</v>
      </c>
      <c r="N455" s="465" t="s">
        <v>537</v>
      </c>
      <c r="O455" s="463" t="s">
        <v>537</v>
      </c>
      <c r="P455" s="463" t="s">
        <v>537</v>
      </c>
      <c r="Q455" s="465">
        <v>0</v>
      </c>
      <c r="R455" s="470">
        <v>241487</v>
      </c>
      <c r="S455" s="471">
        <v>22371</v>
      </c>
      <c r="T455" s="463">
        <v>850</v>
      </c>
      <c r="U455" s="463">
        <v>0</v>
      </c>
      <c r="V455" s="463">
        <v>0</v>
      </c>
      <c r="W455" s="463">
        <v>900</v>
      </c>
      <c r="X455" s="464"/>
      <c r="Y455" s="464"/>
      <c r="Z455" s="463">
        <v>86</v>
      </c>
      <c r="AA455" s="472" t="s">
        <v>547</v>
      </c>
      <c r="AB455" s="463" t="s">
        <v>539</v>
      </c>
      <c r="AC455" s="463" t="s">
        <v>539</v>
      </c>
      <c r="AD455" s="472" t="s">
        <v>548</v>
      </c>
      <c r="AE455" s="463">
        <v>80</v>
      </c>
      <c r="AF455" s="463">
        <v>87</v>
      </c>
      <c r="AG455" s="463" t="s">
        <v>375</v>
      </c>
      <c r="AH455" s="476"/>
      <c r="AI455" s="472" t="s">
        <v>1446</v>
      </c>
      <c r="AJ455" s="464"/>
    </row>
    <row r="456" spans="1:36" ht="24" hidden="1" customHeight="1">
      <c r="B456" s="463">
        <v>372</v>
      </c>
      <c r="C456" s="464" t="s">
        <v>165</v>
      </c>
      <c r="D456" s="464"/>
      <c r="E456" s="464" t="s">
        <v>535</v>
      </c>
      <c r="F456" s="464"/>
      <c r="G456" s="464" t="s">
        <v>44</v>
      </c>
      <c r="H456" s="464" t="s">
        <v>667</v>
      </c>
      <c r="I456" s="465" t="s">
        <v>537</v>
      </c>
      <c r="J456" s="466">
        <v>117000</v>
      </c>
      <c r="K456" s="465" t="s">
        <v>537</v>
      </c>
      <c r="L456" s="465" t="s">
        <v>537</v>
      </c>
      <c r="M456" s="466">
        <v>117000</v>
      </c>
      <c r="N456" s="465" t="s">
        <v>537</v>
      </c>
      <c r="O456" s="463" t="s">
        <v>537</v>
      </c>
      <c r="P456" s="463" t="s">
        <v>537</v>
      </c>
      <c r="Q456" s="465">
        <v>0</v>
      </c>
      <c r="R456" s="470">
        <v>241579</v>
      </c>
      <c r="S456" s="471">
        <v>22448</v>
      </c>
      <c r="T456" s="463">
        <v>1170</v>
      </c>
      <c r="U456" s="463">
        <v>0</v>
      </c>
      <c r="V456" s="463">
        <v>0</v>
      </c>
      <c r="W456" s="463">
        <v>1170</v>
      </c>
      <c r="X456" s="464"/>
      <c r="Y456" s="464"/>
      <c r="Z456" s="463">
        <v>90</v>
      </c>
      <c r="AA456" s="472" t="s">
        <v>547</v>
      </c>
      <c r="AB456" s="463" t="s">
        <v>539</v>
      </c>
      <c r="AC456" s="463" t="s">
        <v>539</v>
      </c>
      <c r="AD456" s="472" t="s">
        <v>548</v>
      </c>
      <c r="AE456" s="463">
        <v>80</v>
      </c>
      <c r="AF456" s="463">
        <v>90</v>
      </c>
      <c r="AG456" s="463" t="s">
        <v>375</v>
      </c>
      <c r="AH456" s="476"/>
      <c r="AI456" s="472" t="s">
        <v>1446</v>
      </c>
      <c r="AJ456" s="464"/>
    </row>
    <row r="457" spans="1:36" ht="24" hidden="1" customHeight="1">
      <c r="B457" s="463">
        <v>373</v>
      </c>
      <c r="C457" s="464" t="s">
        <v>165</v>
      </c>
      <c r="D457" s="464"/>
      <c r="E457" s="464" t="s">
        <v>535</v>
      </c>
      <c r="F457" s="464"/>
      <c r="G457" s="464" t="s">
        <v>44</v>
      </c>
      <c r="H457" s="464" t="s">
        <v>669</v>
      </c>
      <c r="I457" s="465" t="s">
        <v>537</v>
      </c>
      <c r="J457" s="466">
        <v>270000</v>
      </c>
      <c r="K457" s="465" t="s">
        <v>537</v>
      </c>
      <c r="L457" s="465" t="s">
        <v>537</v>
      </c>
      <c r="M457" s="466">
        <v>270000</v>
      </c>
      <c r="N457" s="465" t="s">
        <v>537</v>
      </c>
      <c r="O457" s="463" t="s">
        <v>537</v>
      </c>
      <c r="P457" s="463" t="s">
        <v>537</v>
      </c>
      <c r="Q457" s="465">
        <v>0</v>
      </c>
      <c r="R457" s="470">
        <v>241609</v>
      </c>
      <c r="S457" s="463" t="s">
        <v>637</v>
      </c>
      <c r="T457" s="463">
        <v>400</v>
      </c>
      <c r="U457" s="463">
        <v>50</v>
      </c>
      <c r="V457" s="463">
        <v>0</v>
      </c>
      <c r="W457" s="463">
        <v>500</v>
      </c>
      <c r="X457" s="463">
        <v>50</v>
      </c>
      <c r="Y457" s="464"/>
      <c r="Z457" s="463">
        <v>95</v>
      </c>
      <c r="AA457" s="472" t="s">
        <v>728</v>
      </c>
      <c r="AB457" s="463">
        <v>1</v>
      </c>
      <c r="AC457" s="463">
        <v>1</v>
      </c>
      <c r="AD457" s="472" t="s">
        <v>729</v>
      </c>
      <c r="AE457" s="463">
        <v>1</v>
      </c>
      <c r="AF457" s="463">
        <v>1</v>
      </c>
      <c r="AG457" s="463" t="s">
        <v>375</v>
      </c>
      <c r="AH457" s="476"/>
      <c r="AI457" s="472" t="s">
        <v>1446</v>
      </c>
      <c r="AJ457" s="464"/>
    </row>
    <row r="458" spans="1:36" ht="24" hidden="1" customHeight="1">
      <c r="B458" s="463">
        <v>374</v>
      </c>
      <c r="C458" s="464" t="s">
        <v>165</v>
      </c>
      <c r="D458" s="464"/>
      <c r="E458" s="464" t="s">
        <v>535</v>
      </c>
      <c r="F458" s="464"/>
      <c r="G458" s="464" t="s">
        <v>44</v>
      </c>
      <c r="H458" s="464" t="s">
        <v>1487</v>
      </c>
      <c r="I458" s="465" t="s">
        <v>537</v>
      </c>
      <c r="J458" s="466">
        <v>460000</v>
      </c>
      <c r="K458" s="465" t="s">
        <v>537</v>
      </c>
      <c r="L458" s="465" t="s">
        <v>537</v>
      </c>
      <c r="M458" s="466">
        <v>366081</v>
      </c>
      <c r="N458" s="465" t="s">
        <v>537</v>
      </c>
      <c r="O458" s="463" t="s">
        <v>537</v>
      </c>
      <c r="P458" s="463" t="s">
        <v>537</v>
      </c>
      <c r="Q458" s="468">
        <v>93919</v>
      </c>
      <c r="R458" s="463" t="s">
        <v>643</v>
      </c>
      <c r="S458" s="463" t="s">
        <v>1488</v>
      </c>
      <c r="T458" s="463">
        <v>0</v>
      </c>
      <c r="U458" s="463">
        <v>80</v>
      </c>
      <c r="V458" s="463">
        <v>0</v>
      </c>
      <c r="W458" s="464"/>
      <c r="X458" s="463">
        <v>48</v>
      </c>
      <c r="Y458" s="464"/>
      <c r="Z458" s="463">
        <v>84</v>
      </c>
      <c r="AA458" s="472" t="s">
        <v>547</v>
      </c>
      <c r="AB458" s="463" t="s">
        <v>539</v>
      </c>
      <c r="AC458" s="463" t="s">
        <v>539</v>
      </c>
      <c r="AD458" s="472" t="s">
        <v>548</v>
      </c>
      <c r="AE458" s="463">
        <v>80</v>
      </c>
      <c r="AF458" s="463">
        <v>89</v>
      </c>
      <c r="AG458" s="463" t="s">
        <v>375</v>
      </c>
      <c r="AH458" s="476"/>
      <c r="AI458" s="472" t="s">
        <v>1448</v>
      </c>
      <c r="AJ458" s="464"/>
    </row>
    <row r="459" spans="1:36" ht="24" hidden="1" customHeight="1">
      <c r="B459" s="463">
        <v>375</v>
      </c>
      <c r="C459" s="464" t="s">
        <v>165</v>
      </c>
      <c r="D459" s="464"/>
      <c r="E459" s="464" t="s">
        <v>535</v>
      </c>
      <c r="F459" s="464"/>
      <c r="G459" s="464" t="s">
        <v>44</v>
      </c>
      <c r="H459" s="464" t="s">
        <v>1489</v>
      </c>
      <c r="I459" s="465" t="s">
        <v>537</v>
      </c>
      <c r="J459" s="466">
        <v>60000</v>
      </c>
      <c r="K459" s="465" t="s">
        <v>537</v>
      </c>
      <c r="L459" s="465" t="s">
        <v>537</v>
      </c>
      <c r="M459" s="466">
        <v>59688</v>
      </c>
      <c r="N459" s="465" t="s">
        <v>537</v>
      </c>
      <c r="O459" s="463" t="s">
        <v>537</v>
      </c>
      <c r="P459" s="463" t="s">
        <v>537</v>
      </c>
      <c r="Q459" s="465">
        <v>312</v>
      </c>
      <c r="R459" s="463" t="s">
        <v>1490</v>
      </c>
      <c r="S459" s="463" t="s">
        <v>1064</v>
      </c>
      <c r="T459" s="463">
        <v>0</v>
      </c>
      <c r="U459" s="463">
        <v>0</v>
      </c>
      <c r="V459" s="463">
        <v>200</v>
      </c>
      <c r="W459" s="464"/>
      <c r="X459" s="464"/>
      <c r="Y459" s="463">
        <v>200</v>
      </c>
      <c r="Z459" s="463">
        <v>92</v>
      </c>
      <c r="AA459" s="472" t="s">
        <v>1491</v>
      </c>
      <c r="AB459" s="463" t="s">
        <v>539</v>
      </c>
      <c r="AC459" s="463" t="s">
        <v>539</v>
      </c>
      <c r="AD459" s="472" t="s">
        <v>1492</v>
      </c>
      <c r="AE459" s="463">
        <v>80</v>
      </c>
      <c r="AF459" s="463">
        <v>902</v>
      </c>
      <c r="AG459" s="463" t="s">
        <v>375</v>
      </c>
      <c r="AH459" s="476"/>
      <c r="AI459" s="472">
        <v>818985920</v>
      </c>
      <c r="AJ459" s="464"/>
    </row>
    <row r="460" spans="1:36" ht="24" hidden="1" customHeight="1">
      <c r="B460" s="463">
        <v>376</v>
      </c>
      <c r="C460" s="464" t="s">
        <v>165</v>
      </c>
      <c r="D460" s="464"/>
      <c r="E460" s="464" t="s">
        <v>535</v>
      </c>
      <c r="F460" s="464"/>
      <c r="G460" s="464" t="s">
        <v>44</v>
      </c>
      <c r="H460" s="464" t="s">
        <v>1493</v>
      </c>
      <c r="I460" s="465" t="s">
        <v>537</v>
      </c>
      <c r="J460" s="466">
        <v>31300</v>
      </c>
      <c r="K460" s="465" t="s">
        <v>537</v>
      </c>
      <c r="L460" s="465" t="s">
        <v>537</v>
      </c>
      <c r="M460" s="466">
        <v>31276</v>
      </c>
      <c r="N460" s="465" t="s">
        <v>537</v>
      </c>
      <c r="O460" s="463" t="s">
        <v>537</v>
      </c>
      <c r="P460" s="463" t="s">
        <v>537</v>
      </c>
      <c r="Q460" s="465">
        <v>24</v>
      </c>
      <c r="R460" s="470">
        <v>241579</v>
      </c>
      <c r="S460" s="471">
        <v>22460</v>
      </c>
      <c r="T460" s="463">
        <v>0</v>
      </c>
      <c r="U460" s="463">
        <v>19</v>
      </c>
      <c r="V460" s="463">
        <v>3</v>
      </c>
      <c r="W460" s="464"/>
      <c r="X460" s="463">
        <v>26</v>
      </c>
      <c r="Y460" s="464"/>
      <c r="Z460" s="463">
        <v>90.56</v>
      </c>
      <c r="AA460" s="472" t="s">
        <v>547</v>
      </c>
      <c r="AB460" s="463" t="s">
        <v>539</v>
      </c>
      <c r="AC460" s="463" t="s">
        <v>539</v>
      </c>
      <c r="AD460" s="472" t="s">
        <v>548</v>
      </c>
      <c r="AE460" s="463" t="s">
        <v>539</v>
      </c>
      <c r="AF460" s="463" t="s">
        <v>539</v>
      </c>
      <c r="AG460" s="463" t="s">
        <v>375</v>
      </c>
      <c r="AH460" s="476"/>
      <c r="AI460" s="464"/>
      <c r="AJ460" s="464"/>
    </row>
    <row r="461" spans="1:36" ht="24" hidden="1" customHeight="1">
      <c r="B461" s="463">
        <v>377</v>
      </c>
      <c r="C461" s="464" t="s">
        <v>534</v>
      </c>
      <c r="D461" s="464"/>
      <c r="E461" s="464" t="s">
        <v>577</v>
      </c>
      <c r="F461" s="464"/>
      <c r="G461" s="464" t="s">
        <v>44</v>
      </c>
      <c r="H461" s="464" t="s">
        <v>1494</v>
      </c>
      <c r="I461" s="465" t="s">
        <v>537</v>
      </c>
      <c r="J461" s="465" t="s">
        <v>537</v>
      </c>
      <c r="K461" s="466">
        <v>20000</v>
      </c>
      <c r="L461" s="465" t="s">
        <v>537</v>
      </c>
      <c r="M461" s="465" t="s">
        <v>537</v>
      </c>
      <c r="N461" s="466">
        <v>20000</v>
      </c>
      <c r="O461" s="463" t="s">
        <v>537</v>
      </c>
      <c r="P461" s="463" t="s">
        <v>537</v>
      </c>
      <c r="Q461" s="465">
        <v>0</v>
      </c>
      <c r="R461" s="470">
        <v>241487</v>
      </c>
      <c r="S461" s="463" t="s">
        <v>1495</v>
      </c>
      <c r="T461" s="463">
        <v>0</v>
      </c>
      <c r="U461" s="463">
        <v>0</v>
      </c>
      <c r="V461" s="463">
        <v>0</v>
      </c>
      <c r="W461" s="463">
        <v>2</v>
      </c>
      <c r="X461" s="463">
        <v>4</v>
      </c>
      <c r="Y461" s="463">
        <v>22</v>
      </c>
      <c r="Z461" s="463">
        <v>92.8</v>
      </c>
      <c r="AA461" s="472" t="s">
        <v>1496</v>
      </c>
      <c r="AB461" s="463" t="s">
        <v>539</v>
      </c>
      <c r="AC461" s="463" t="s">
        <v>539</v>
      </c>
      <c r="AD461" s="472" t="s">
        <v>1497</v>
      </c>
      <c r="AE461" s="463">
        <v>1</v>
      </c>
      <c r="AF461" s="463">
        <v>1</v>
      </c>
      <c r="AG461" s="463" t="s">
        <v>375</v>
      </c>
      <c r="AH461" s="476"/>
      <c r="AI461" s="464"/>
      <c r="AJ461" s="472" t="s">
        <v>543</v>
      </c>
    </row>
    <row r="462" spans="1:36" ht="24" hidden="1" customHeight="1">
      <c r="B462" s="463">
        <v>378</v>
      </c>
      <c r="C462" s="464" t="s">
        <v>534</v>
      </c>
      <c r="D462" s="464"/>
      <c r="E462" s="464" t="s">
        <v>577</v>
      </c>
      <c r="F462" s="464"/>
      <c r="G462" s="464" t="s">
        <v>44</v>
      </c>
      <c r="H462" s="464" t="s">
        <v>1498</v>
      </c>
      <c r="I462" s="465" t="s">
        <v>537</v>
      </c>
      <c r="J462" s="465" t="s">
        <v>537</v>
      </c>
      <c r="K462" s="466">
        <v>15000</v>
      </c>
      <c r="L462" s="465" t="s">
        <v>537</v>
      </c>
      <c r="M462" s="465" t="s">
        <v>537</v>
      </c>
      <c r="N462" s="466">
        <v>14600</v>
      </c>
      <c r="O462" s="463" t="s">
        <v>537</v>
      </c>
      <c r="P462" s="463" t="s">
        <v>537</v>
      </c>
      <c r="Q462" s="465">
        <v>400</v>
      </c>
      <c r="R462" s="470">
        <v>241487</v>
      </c>
      <c r="S462" s="471">
        <v>22364</v>
      </c>
      <c r="T462" s="463">
        <v>0</v>
      </c>
      <c r="U462" s="463">
        <v>0</v>
      </c>
      <c r="V462" s="463">
        <v>0</v>
      </c>
      <c r="W462" s="463">
        <v>13</v>
      </c>
      <c r="X462" s="463">
        <v>9</v>
      </c>
      <c r="Y462" s="463">
        <v>29</v>
      </c>
      <c r="Z462" s="463">
        <v>83.5</v>
      </c>
      <c r="AA462" s="472" t="s">
        <v>1499</v>
      </c>
      <c r="AB462" s="463" t="s">
        <v>539</v>
      </c>
      <c r="AC462" s="463" t="s">
        <v>539</v>
      </c>
      <c r="AD462" s="472" t="s">
        <v>1500</v>
      </c>
      <c r="AE462" s="463">
        <v>1</v>
      </c>
      <c r="AF462" s="463">
        <v>1</v>
      </c>
      <c r="AG462" s="463" t="s">
        <v>375</v>
      </c>
      <c r="AH462" s="476"/>
      <c r="AI462" s="464"/>
      <c r="AJ462" s="472" t="s">
        <v>543</v>
      </c>
    </row>
    <row r="463" spans="1:36" ht="24" customHeight="1">
      <c r="A463" s="452">
        <v>95</v>
      </c>
      <c r="B463" s="701">
        <v>379</v>
      </c>
      <c r="C463" s="699" t="s">
        <v>337</v>
      </c>
      <c r="D463" s="699"/>
      <c r="E463" s="699" t="s">
        <v>545</v>
      </c>
      <c r="F463" s="699"/>
      <c r="G463" s="699" t="s">
        <v>44</v>
      </c>
      <c r="H463" s="699" t="s">
        <v>1501</v>
      </c>
      <c r="I463" s="712">
        <v>28000</v>
      </c>
      <c r="J463" s="709" t="s">
        <v>537</v>
      </c>
      <c r="K463" s="709" t="s">
        <v>537</v>
      </c>
      <c r="L463" s="712">
        <v>27992.9</v>
      </c>
      <c r="M463" s="709" t="s">
        <v>537</v>
      </c>
      <c r="N463" s="709" t="s">
        <v>537</v>
      </c>
      <c r="O463" s="701" t="s">
        <v>537</v>
      </c>
      <c r="P463" s="701" t="s">
        <v>537</v>
      </c>
      <c r="Q463" s="709">
        <v>7</v>
      </c>
      <c r="R463" s="707">
        <v>241428</v>
      </c>
      <c r="S463" s="701" t="s">
        <v>821</v>
      </c>
      <c r="T463" s="701">
        <v>2</v>
      </c>
      <c r="U463" s="701">
        <v>3</v>
      </c>
      <c r="V463" s="701">
        <v>35</v>
      </c>
      <c r="W463" s="701">
        <v>2</v>
      </c>
      <c r="X463" s="701">
        <v>3</v>
      </c>
      <c r="Y463" s="701">
        <v>35</v>
      </c>
      <c r="Z463" s="701">
        <v>87</v>
      </c>
      <c r="AA463" s="458" t="s">
        <v>547</v>
      </c>
      <c r="AB463" s="459" t="s">
        <v>539</v>
      </c>
      <c r="AC463" s="459" t="s">
        <v>539</v>
      </c>
      <c r="AD463" s="458" t="s">
        <v>548</v>
      </c>
      <c r="AE463" s="459">
        <v>80</v>
      </c>
      <c r="AF463" s="459">
        <v>91</v>
      </c>
      <c r="AG463" s="701" t="s">
        <v>375</v>
      </c>
      <c r="AH463" s="728"/>
      <c r="AI463" s="697">
        <v>4040</v>
      </c>
      <c r="AJ463" s="699"/>
    </row>
    <row r="464" spans="1:36" ht="24" hidden="1" customHeight="1">
      <c r="B464" s="702"/>
      <c r="C464" s="700"/>
      <c r="D464" s="700"/>
      <c r="E464" s="700"/>
      <c r="F464" s="700"/>
      <c r="G464" s="700"/>
      <c r="H464" s="700"/>
      <c r="I464" s="713"/>
      <c r="J464" s="710"/>
      <c r="K464" s="710"/>
      <c r="L464" s="713"/>
      <c r="M464" s="710"/>
      <c r="N464" s="710"/>
      <c r="O464" s="702"/>
      <c r="P464" s="702"/>
      <c r="Q464" s="710"/>
      <c r="R464" s="708"/>
      <c r="S464" s="702"/>
      <c r="T464" s="702"/>
      <c r="U464" s="702"/>
      <c r="V464" s="702"/>
      <c r="W464" s="702"/>
      <c r="X464" s="702"/>
      <c r="Y464" s="702"/>
      <c r="Z464" s="702"/>
      <c r="AA464" s="473" t="s">
        <v>1502</v>
      </c>
      <c r="AB464" s="474">
        <v>1</v>
      </c>
      <c r="AC464" s="474">
        <v>1</v>
      </c>
      <c r="AD464" s="473" t="s">
        <v>1503</v>
      </c>
      <c r="AE464" s="474">
        <v>1</v>
      </c>
      <c r="AF464" s="474">
        <v>1</v>
      </c>
      <c r="AG464" s="702"/>
      <c r="AH464" s="729"/>
      <c r="AI464" s="698"/>
      <c r="AJ464" s="700"/>
    </row>
    <row r="465" spans="1:36" ht="24" customHeight="1">
      <c r="A465" s="452">
        <v>96</v>
      </c>
      <c r="B465" s="701">
        <v>380</v>
      </c>
      <c r="C465" s="699" t="s">
        <v>337</v>
      </c>
      <c r="D465" s="699"/>
      <c r="E465" s="699" t="s">
        <v>545</v>
      </c>
      <c r="F465" s="699"/>
      <c r="G465" s="699" t="s">
        <v>44</v>
      </c>
      <c r="H465" s="699" t="s">
        <v>1504</v>
      </c>
      <c r="I465" s="712">
        <v>26000</v>
      </c>
      <c r="J465" s="709" t="s">
        <v>537</v>
      </c>
      <c r="K465" s="709" t="s">
        <v>537</v>
      </c>
      <c r="L465" s="712">
        <v>10000</v>
      </c>
      <c r="M465" s="709" t="s">
        <v>537</v>
      </c>
      <c r="N465" s="709" t="s">
        <v>537</v>
      </c>
      <c r="O465" s="701" t="s">
        <v>537</v>
      </c>
      <c r="P465" s="701" t="s">
        <v>537</v>
      </c>
      <c r="Q465" s="705">
        <v>16000</v>
      </c>
      <c r="R465" s="707">
        <v>241518</v>
      </c>
      <c r="S465" s="721">
        <v>22398</v>
      </c>
      <c r="T465" s="701">
        <v>3</v>
      </c>
      <c r="U465" s="701">
        <v>7</v>
      </c>
      <c r="V465" s="701">
        <v>30</v>
      </c>
      <c r="W465" s="701">
        <v>1</v>
      </c>
      <c r="X465" s="701">
        <v>3</v>
      </c>
      <c r="Y465" s="701">
        <v>36</v>
      </c>
      <c r="Z465" s="701">
        <v>86</v>
      </c>
      <c r="AA465" s="458" t="s">
        <v>547</v>
      </c>
      <c r="AB465" s="459" t="s">
        <v>539</v>
      </c>
      <c r="AC465" s="459" t="s">
        <v>539</v>
      </c>
      <c r="AD465" s="458" t="s">
        <v>548</v>
      </c>
      <c r="AE465" s="459">
        <v>80</v>
      </c>
      <c r="AF465" s="459">
        <v>87</v>
      </c>
      <c r="AG465" s="701" t="s">
        <v>375</v>
      </c>
      <c r="AH465" s="728"/>
      <c r="AI465" s="697">
        <v>4050</v>
      </c>
      <c r="AJ465" s="699"/>
    </row>
    <row r="466" spans="1:36" ht="24" hidden="1" customHeight="1">
      <c r="B466" s="702"/>
      <c r="C466" s="700"/>
      <c r="D466" s="700"/>
      <c r="E466" s="700"/>
      <c r="F466" s="700"/>
      <c r="G466" s="700"/>
      <c r="H466" s="700"/>
      <c r="I466" s="713"/>
      <c r="J466" s="710"/>
      <c r="K466" s="710"/>
      <c r="L466" s="713"/>
      <c r="M466" s="710"/>
      <c r="N466" s="710"/>
      <c r="O466" s="702"/>
      <c r="P466" s="702"/>
      <c r="Q466" s="706"/>
      <c r="R466" s="708"/>
      <c r="S466" s="722"/>
      <c r="T466" s="702"/>
      <c r="U466" s="702"/>
      <c r="V466" s="702"/>
      <c r="W466" s="702"/>
      <c r="X466" s="702"/>
      <c r="Y466" s="702"/>
      <c r="Z466" s="702"/>
      <c r="AA466" s="473" t="s">
        <v>1505</v>
      </c>
      <c r="AB466" s="474">
        <v>1</v>
      </c>
      <c r="AC466" s="474">
        <v>1</v>
      </c>
      <c r="AD466" s="473" t="s">
        <v>1506</v>
      </c>
      <c r="AE466" s="474">
        <v>1</v>
      </c>
      <c r="AF466" s="474">
        <v>1</v>
      </c>
      <c r="AG466" s="702"/>
      <c r="AH466" s="729"/>
      <c r="AI466" s="698"/>
      <c r="AJ466" s="700"/>
    </row>
    <row r="467" spans="1:36" ht="24" customHeight="1">
      <c r="A467" s="452">
        <v>97</v>
      </c>
      <c r="B467" s="701">
        <v>381</v>
      </c>
      <c r="C467" s="699" t="s">
        <v>337</v>
      </c>
      <c r="D467" s="699"/>
      <c r="E467" s="699" t="s">
        <v>545</v>
      </c>
      <c r="F467" s="699"/>
      <c r="G467" s="699" t="s">
        <v>44</v>
      </c>
      <c r="H467" s="699" t="s">
        <v>1507</v>
      </c>
      <c r="I467" s="712">
        <v>27000</v>
      </c>
      <c r="J467" s="709" t="s">
        <v>537</v>
      </c>
      <c r="K467" s="709" t="s">
        <v>537</v>
      </c>
      <c r="L467" s="712">
        <v>26880</v>
      </c>
      <c r="M467" s="709" t="s">
        <v>537</v>
      </c>
      <c r="N467" s="709" t="s">
        <v>537</v>
      </c>
      <c r="O467" s="701" t="s">
        <v>537</v>
      </c>
      <c r="P467" s="701" t="s">
        <v>537</v>
      </c>
      <c r="Q467" s="709">
        <v>120</v>
      </c>
      <c r="R467" s="707">
        <v>241428</v>
      </c>
      <c r="S467" s="701" t="s">
        <v>1508</v>
      </c>
      <c r="T467" s="701">
        <v>1</v>
      </c>
      <c r="U467" s="701">
        <v>3</v>
      </c>
      <c r="V467" s="701">
        <v>36</v>
      </c>
      <c r="W467" s="701">
        <v>1</v>
      </c>
      <c r="X467" s="701">
        <v>3</v>
      </c>
      <c r="Y467" s="701">
        <v>50</v>
      </c>
      <c r="Z467" s="701">
        <v>92</v>
      </c>
      <c r="AA467" s="458" t="s">
        <v>547</v>
      </c>
      <c r="AB467" s="459" t="s">
        <v>539</v>
      </c>
      <c r="AC467" s="459" t="s">
        <v>539</v>
      </c>
      <c r="AD467" s="458" t="s">
        <v>548</v>
      </c>
      <c r="AE467" s="459">
        <v>80</v>
      </c>
      <c r="AF467" s="459">
        <v>90</v>
      </c>
      <c r="AG467" s="701" t="s">
        <v>375</v>
      </c>
      <c r="AH467" s="728"/>
      <c r="AI467" s="697" t="s">
        <v>1509</v>
      </c>
      <c r="AJ467" s="699"/>
    </row>
    <row r="468" spans="1:36" ht="24" hidden="1" customHeight="1">
      <c r="B468" s="702"/>
      <c r="C468" s="700"/>
      <c r="D468" s="700"/>
      <c r="E468" s="700"/>
      <c r="F468" s="700"/>
      <c r="G468" s="700"/>
      <c r="H468" s="700"/>
      <c r="I468" s="713"/>
      <c r="J468" s="710"/>
      <c r="K468" s="710"/>
      <c r="L468" s="713"/>
      <c r="M468" s="710"/>
      <c r="N468" s="710"/>
      <c r="O468" s="702"/>
      <c r="P468" s="702"/>
      <c r="Q468" s="710"/>
      <c r="R468" s="708"/>
      <c r="S468" s="702"/>
      <c r="T468" s="702"/>
      <c r="U468" s="702"/>
      <c r="V468" s="702"/>
      <c r="W468" s="702"/>
      <c r="X468" s="702"/>
      <c r="Y468" s="702"/>
      <c r="Z468" s="702"/>
      <c r="AA468" s="473" t="s">
        <v>1510</v>
      </c>
      <c r="AB468" s="474">
        <v>1</v>
      </c>
      <c r="AC468" s="474">
        <v>1</v>
      </c>
      <c r="AD468" s="473" t="s">
        <v>1511</v>
      </c>
      <c r="AE468" s="474">
        <v>1</v>
      </c>
      <c r="AF468" s="474">
        <v>1</v>
      </c>
      <c r="AG468" s="702"/>
      <c r="AH468" s="729"/>
      <c r="AI468" s="698"/>
      <c r="AJ468" s="700"/>
    </row>
    <row r="469" spans="1:36" ht="24" customHeight="1">
      <c r="A469" s="452">
        <v>98</v>
      </c>
      <c r="B469" s="701">
        <v>382</v>
      </c>
      <c r="C469" s="699" t="s">
        <v>337</v>
      </c>
      <c r="D469" s="699"/>
      <c r="E469" s="699" t="s">
        <v>545</v>
      </c>
      <c r="F469" s="699"/>
      <c r="G469" s="699" t="s">
        <v>44</v>
      </c>
      <c r="H469" s="699" t="s">
        <v>1512</v>
      </c>
      <c r="I469" s="712">
        <v>13000</v>
      </c>
      <c r="J469" s="709" t="s">
        <v>537</v>
      </c>
      <c r="K469" s="709" t="s">
        <v>537</v>
      </c>
      <c r="L469" s="712">
        <v>13000</v>
      </c>
      <c r="M469" s="709" t="s">
        <v>537</v>
      </c>
      <c r="N469" s="709" t="s">
        <v>537</v>
      </c>
      <c r="O469" s="701" t="s">
        <v>537</v>
      </c>
      <c r="P469" s="701" t="s">
        <v>537</v>
      </c>
      <c r="Q469" s="709">
        <v>0</v>
      </c>
      <c r="R469" s="707">
        <v>241609</v>
      </c>
      <c r="S469" s="721">
        <v>22488</v>
      </c>
      <c r="T469" s="701">
        <v>2</v>
      </c>
      <c r="U469" s="701">
        <v>2</v>
      </c>
      <c r="V469" s="701">
        <v>36</v>
      </c>
      <c r="W469" s="699"/>
      <c r="X469" s="701">
        <v>5</v>
      </c>
      <c r="Y469" s="701">
        <v>35</v>
      </c>
      <c r="Z469" s="701">
        <v>90.5</v>
      </c>
      <c r="AA469" s="458" t="s">
        <v>547</v>
      </c>
      <c r="AB469" s="459" t="s">
        <v>539</v>
      </c>
      <c r="AC469" s="459" t="s">
        <v>539</v>
      </c>
      <c r="AD469" s="458" t="s">
        <v>548</v>
      </c>
      <c r="AE469" s="459">
        <v>80</v>
      </c>
      <c r="AF469" s="459">
        <v>92</v>
      </c>
      <c r="AG469" s="701" t="s">
        <v>375</v>
      </c>
      <c r="AH469" s="728"/>
      <c r="AI469" s="699"/>
      <c r="AJ469" s="699"/>
    </row>
    <row r="470" spans="1:36" ht="24" hidden="1" customHeight="1">
      <c r="B470" s="702"/>
      <c r="C470" s="700"/>
      <c r="D470" s="700"/>
      <c r="E470" s="700"/>
      <c r="F470" s="700"/>
      <c r="G470" s="700"/>
      <c r="H470" s="700"/>
      <c r="I470" s="713"/>
      <c r="J470" s="710"/>
      <c r="K470" s="710"/>
      <c r="L470" s="713"/>
      <c r="M470" s="710"/>
      <c r="N470" s="710"/>
      <c r="O470" s="702"/>
      <c r="P470" s="702"/>
      <c r="Q470" s="710"/>
      <c r="R470" s="708"/>
      <c r="S470" s="722"/>
      <c r="T470" s="702"/>
      <c r="U470" s="702"/>
      <c r="V470" s="702"/>
      <c r="W470" s="700"/>
      <c r="X470" s="702"/>
      <c r="Y470" s="702"/>
      <c r="Z470" s="702"/>
      <c r="AA470" s="473" t="s">
        <v>1513</v>
      </c>
      <c r="AB470" s="474" t="s">
        <v>539</v>
      </c>
      <c r="AC470" s="474" t="s">
        <v>539</v>
      </c>
      <c r="AD470" s="473" t="s">
        <v>1514</v>
      </c>
      <c r="AE470" s="474" t="s">
        <v>539</v>
      </c>
      <c r="AF470" s="474" t="s">
        <v>539</v>
      </c>
      <c r="AG470" s="702"/>
      <c r="AH470" s="729"/>
      <c r="AI470" s="700"/>
      <c r="AJ470" s="700"/>
    </row>
    <row r="471" spans="1:36" ht="24" customHeight="1">
      <c r="A471" s="452">
        <v>99</v>
      </c>
      <c r="B471" s="701">
        <v>383</v>
      </c>
      <c r="C471" s="699" t="s">
        <v>337</v>
      </c>
      <c r="D471" s="699"/>
      <c r="E471" s="699" t="s">
        <v>545</v>
      </c>
      <c r="F471" s="699"/>
      <c r="G471" s="699" t="s">
        <v>44</v>
      </c>
      <c r="H471" s="699" t="s">
        <v>1515</v>
      </c>
      <c r="I471" s="712">
        <v>30000</v>
      </c>
      <c r="J471" s="709" t="s">
        <v>537</v>
      </c>
      <c r="K471" s="709" t="s">
        <v>537</v>
      </c>
      <c r="L471" s="712">
        <v>20000</v>
      </c>
      <c r="M471" s="709" t="s">
        <v>537</v>
      </c>
      <c r="N471" s="709" t="s">
        <v>537</v>
      </c>
      <c r="O471" s="701" t="s">
        <v>537</v>
      </c>
      <c r="P471" s="701" t="s">
        <v>537</v>
      </c>
      <c r="Q471" s="705">
        <v>10000</v>
      </c>
      <c r="R471" s="707">
        <v>241579</v>
      </c>
      <c r="S471" s="701" t="s">
        <v>692</v>
      </c>
      <c r="T471" s="701">
        <v>1</v>
      </c>
      <c r="U471" s="701">
        <v>3</v>
      </c>
      <c r="V471" s="701">
        <v>36</v>
      </c>
      <c r="W471" s="701">
        <v>1</v>
      </c>
      <c r="X471" s="701">
        <v>4</v>
      </c>
      <c r="Y471" s="701">
        <v>35</v>
      </c>
      <c r="Z471" s="701">
        <v>95</v>
      </c>
      <c r="AA471" s="458" t="s">
        <v>547</v>
      </c>
      <c r="AB471" s="459" t="s">
        <v>539</v>
      </c>
      <c r="AC471" s="459" t="s">
        <v>539</v>
      </c>
      <c r="AD471" s="458" t="s">
        <v>548</v>
      </c>
      <c r="AE471" s="459">
        <v>80</v>
      </c>
      <c r="AF471" s="459">
        <v>95</v>
      </c>
      <c r="AG471" s="701" t="s">
        <v>375</v>
      </c>
      <c r="AH471" s="728"/>
      <c r="AI471" s="697">
        <v>4040</v>
      </c>
      <c r="AJ471" s="699"/>
    </row>
    <row r="472" spans="1:36" ht="24" hidden="1" customHeight="1">
      <c r="B472" s="702"/>
      <c r="C472" s="700"/>
      <c r="D472" s="700"/>
      <c r="E472" s="700"/>
      <c r="F472" s="700"/>
      <c r="G472" s="700"/>
      <c r="H472" s="700"/>
      <c r="I472" s="713"/>
      <c r="J472" s="710"/>
      <c r="K472" s="710"/>
      <c r="L472" s="713"/>
      <c r="M472" s="710"/>
      <c r="N472" s="710"/>
      <c r="O472" s="702"/>
      <c r="P472" s="702"/>
      <c r="Q472" s="706"/>
      <c r="R472" s="708"/>
      <c r="S472" s="702"/>
      <c r="T472" s="702"/>
      <c r="U472" s="702"/>
      <c r="V472" s="702"/>
      <c r="W472" s="702"/>
      <c r="X472" s="702"/>
      <c r="Y472" s="702"/>
      <c r="Z472" s="702"/>
      <c r="AA472" s="473" t="s">
        <v>1516</v>
      </c>
      <c r="AB472" s="474">
        <v>1</v>
      </c>
      <c r="AC472" s="474">
        <v>1</v>
      </c>
      <c r="AD472" s="473" t="s">
        <v>1517</v>
      </c>
      <c r="AE472" s="474">
        <v>1</v>
      </c>
      <c r="AF472" s="474">
        <v>1</v>
      </c>
      <c r="AG472" s="702"/>
      <c r="AH472" s="729"/>
      <c r="AI472" s="698"/>
      <c r="AJ472" s="700"/>
    </row>
    <row r="473" spans="1:36" ht="24" customHeight="1">
      <c r="A473" s="452">
        <v>100</v>
      </c>
      <c r="B473" s="701">
        <v>384</v>
      </c>
      <c r="C473" s="699" t="s">
        <v>337</v>
      </c>
      <c r="D473" s="699"/>
      <c r="E473" s="699" t="s">
        <v>545</v>
      </c>
      <c r="F473" s="699"/>
      <c r="G473" s="699" t="s">
        <v>44</v>
      </c>
      <c r="H473" s="699" t="s">
        <v>1518</v>
      </c>
      <c r="I473" s="712">
        <v>26000</v>
      </c>
      <c r="J473" s="709" t="s">
        <v>537</v>
      </c>
      <c r="K473" s="709" t="s">
        <v>537</v>
      </c>
      <c r="L473" s="712">
        <v>25600</v>
      </c>
      <c r="M473" s="709" t="s">
        <v>537</v>
      </c>
      <c r="N473" s="709" t="s">
        <v>537</v>
      </c>
      <c r="O473" s="701" t="s">
        <v>537</v>
      </c>
      <c r="P473" s="701" t="s">
        <v>537</v>
      </c>
      <c r="Q473" s="709">
        <v>400</v>
      </c>
      <c r="R473" s="707">
        <v>241579</v>
      </c>
      <c r="S473" s="701" t="s">
        <v>1519</v>
      </c>
      <c r="T473" s="701">
        <v>2</v>
      </c>
      <c r="U473" s="701">
        <v>3</v>
      </c>
      <c r="V473" s="701">
        <v>35</v>
      </c>
      <c r="W473" s="701">
        <v>5</v>
      </c>
      <c r="X473" s="701">
        <v>5</v>
      </c>
      <c r="Y473" s="701">
        <v>40</v>
      </c>
      <c r="Z473" s="701">
        <v>88</v>
      </c>
      <c r="AA473" s="458" t="s">
        <v>547</v>
      </c>
      <c r="AB473" s="459" t="s">
        <v>539</v>
      </c>
      <c r="AC473" s="459" t="s">
        <v>539</v>
      </c>
      <c r="AD473" s="458" t="s">
        <v>548</v>
      </c>
      <c r="AE473" s="459">
        <v>80</v>
      </c>
      <c r="AF473" s="459">
        <v>90</v>
      </c>
      <c r="AG473" s="701" t="s">
        <v>375</v>
      </c>
      <c r="AH473" s="728"/>
      <c r="AI473" s="697" t="s">
        <v>1520</v>
      </c>
      <c r="AJ473" s="699"/>
    </row>
    <row r="474" spans="1:36" ht="24" hidden="1" customHeight="1">
      <c r="B474" s="702"/>
      <c r="C474" s="700"/>
      <c r="D474" s="700"/>
      <c r="E474" s="700"/>
      <c r="F474" s="700"/>
      <c r="G474" s="700"/>
      <c r="H474" s="700"/>
      <c r="I474" s="713"/>
      <c r="J474" s="710"/>
      <c r="K474" s="710"/>
      <c r="L474" s="713"/>
      <c r="M474" s="710"/>
      <c r="N474" s="710"/>
      <c r="O474" s="702"/>
      <c r="P474" s="702"/>
      <c r="Q474" s="710"/>
      <c r="R474" s="708"/>
      <c r="S474" s="702"/>
      <c r="T474" s="702"/>
      <c r="U474" s="702"/>
      <c r="V474" s="702"/>
      <c r="W474" s="702"/>
      <c r="X474" s="702"/>
      <c r="Y474" s="702"/>
      <c r="Z474" s="702"/>
      <c r="AA474" s="473" t="s">
        <v>1521</v>
      </c>
      <c r="AB474" s="474" t="s">
        <v>539</v>
      </c>
      <c r="AC474" s="474" t="s">
        <v>539</v>
      </c>
      <c r="AD474" s="473" t="s">
        <v>1522</v>
      </c>
      <c r="AE474" s="474" t="s">
        <v>539</v>
      </c>
      <c r="AF474" s="474" t="s">
        <v>539</v>
      </c>
      <c r="AG474" s="702"/>
      <c r="AH474" s="729"/>
      <c r="AI474" s="698"/>
      <c r="AJ474" s="700"/>
    </row>
    <row r="475" spans="1:36" ht="24" customHeight="1">
      <c r="A475" s="452">
        <v>101</v>
      </c>
      <c r="B475" s="701">
        <v>385</v>
      </c>
      <c r="C475" s="699" t="s">
        <v>337</v>
      </c>
      <c r="D475" s="699"/>
      <c r="E475" s="699" t="s">
        <v>545</v>
      </c>
      <c r="F475" s="699"/>
      <c r="G475" s="699" t="s">
        <v>44</v>
      </c>
      <c r="H475" s="699" t="s">
        <v>1523</v>
      </c>
      <c r="I475" s="709">
        <v>0</v>
      </c>
      <c r="J475" s="709" t="s">
        <v>537</v>
      </c>
      <c r="K475" s="709" t="s">
        <v>537</v>
      </c>
      <c r="L475" s="709">
        <v>0</v>
      </c>
      <c r="M475" s="709" t="s">
        <v>537</v>
      </c>
      <c r="N475" s="709" t="s">
        <v>537</v>
      </c>
      <c r="O475" s="701" t="s">
        <v>537</v>
      </c>
      <c r="P475" s="701" t="s">
        <v>537</v>
      </c>
      <c r="Q475" s="709">
        <v>0</v>
      </c>
      <c r="R475" s="707">
        <v>241671</v>
      </c>
      <c r="S475" s="721">
        <v>22542</v>
      </c>
      <c r="T475" s="701">
        <v>2</v>
      </c>
      <c r="U475" s="701">
        <v>1</v>
      </c>
      <c r="V475" s="701">
        <v>10</v>
      </c>
      <c r="W475" s="699"/>
      <c r="X475" s="701">
        <v>10</v>
      </c>
      <c r="Y475" s="701">
        <v>4</v>
      </c>
      <c r="Z475" s="701">
        <v>86</v>
      </c>
      <c r="AA475" s="458" t="s">
        <v>1524</v>
      </c>
      <c r="AB475" s="459" t="s">
        <v>539</v>
      </c>
      <c r="AC475" s="459" t="s">
        <v>539</v>
      </c>
      <c r="AD475" s="458" t="s">
        <v>1525</v>
      </c>
      <c r="AE475" s="459" t="s">
        <v>539</v>
      </c>
      <c r="AF475" s="459" t="s">
        <v>539</v>
      </c>
      <c r="AG475" s="701" t="s">
        <v>375</v>
      </c>
      <c r="AH475" s="728"/>
      <c r="AI475" s="699"/>
      <c r="AJ475" s="699"/>
    </row>
    <row r="476" spans="1:36" ht="24" hidden="1" customHeight="1">
      <c r="B476" s="702"/>
      <c r="C476" s="700"/>
      <c r="D476" s="700"/>
      <c r="E476" s="700"/>
      <c r="F476" s="700"/>
      <c r="G476" s="700"/>
      <c r="H476" s="700"/>
      <c r="I476" s="710"/>
      <c r="J476" s="710"/>
      <c r="K476" s="710"/>
      <c r="L476" s="710"/>
      <c r="M476" s="710"/>
      <c r="N476" s="710"/>
      <c r="O476" s="702"/>
      <c r="P476" s="702"/>
      <c r="Q476" s="710"/>
      <c r="R476" s="708"/>
      <c r="S476" s="722"/>
      <c r="T476" s="702"/>
      <c r="U476" s="702"/>
      <c r="V476" s="702"/>
      <c r="W476" s="700"/>
      <c r="X476" s="702"/>
      <c r="Y476" s="702"/>
      <c r="Z476" s="702"/>
      <c r="AA476" s="473" t="s">
        <v>1526</v>
      </c>
      <c r="AB476" s="474" t="s">
        <v>539</v>
      </c>
      <c r="AC476" s="474" t="s">
        <v>539</v>
      </c>
      <c r="AD476" s="473" t="s">
        <v>1527</v>
      </c>
      <c r="AE476" s="474">
        <v>80</v>
      </c>
      <c r="AF476" s="474">
        <v>86</v>
      </c>
      <c r="AG476" s="702"/>
      <c r="AH476" s="729"/>
      <c r="AI476" s="700"/>
      <c r="AJ476" s="700"/>
    </row>
    <row r="477" spans="1:36" ht="24" customHeight="1">
      <c r="A477" s="452">
        <v>102</v>
      </c>
      <c r="B477" s="463">
        <v>386</v>
      </c>
      <c r="C477" s="464" t="s">
        <v>337</v>
      </c>
      <c r="D477" s="464"/>
      <c r="E477" s="464" t="s">
        <v>545</v>
      </c>
      <c r="F477" s="464"/>
      <c r="G477" s="464" t="s">
        <v>44</v>
      </c>
      <c r="H477" s="464" t="s">
        <v>1528</v>
      </c>
      <c r="I477" s="465" t="s">
        <v>537</v>
      </c>
      <c r="J477" s="465" t="s">
        <v>537</v>
      </c>
      <c r="K477" s="466">
        <v>25000</v>
      </c>
      <c r="L477" s="465" t="s">
        <v>537</v>
      </c>
      <c r="M477" s="465" t="s">
        <v>537</v>
      </c>
      <c r="N477" s="466">
        <v>24080</v>
      </c>
      <c r="O477" s="463" t="s">
        <v>537</v>
      </c>
      <c r="P477" s="463" t="s">
        <v>537</v>
      </c>
      <c r="Q477" s="465">
        <v>920</v>
      </c>
      <c r="R477" s="470">
        <v>241487</v>
      </c>
      <c r="S477" s="463" t="s">
        <v>1529</v>
      </c>
      <c r="T477" s="463">
        <v>1</v>
      </c>
      <c r="U477" s="463">
        <v>2</v>
      </c>
      <c r="V477" s="463">
        <v>12</v>
      </c>
      <c r="W477" s="463">
        <v>6</v>
      </c>
      <c r="X477" s="463">
        <v>4</v>
      </c>
      <c r="Y477" s="463">
        <v>12</v>
      </c>
      <c r="Z477" s="463">
        <v>95</v>
      </c>
      <c r="AA477" s="472" t="s">
        <v>1530</v>
      </c>
      <c r="AB477" s="463" t="s">
        <v>539</v>
      </c>
      <c r="AC477" s="463" t="s">
        <v>539</v>
      </c>
      <c r="AD477" s="472" t="s">
        <v>1531</v>
      </c>
      <c r="AE477" s="463" t="s">
        <v>539</v>
      </c>
      <c r="AF477" s="463" t="s">
        <v>539</v>
      </c>
      <c r="AG477" s="463" t="s">
        <v>375</v>
      </c>
      <c r="AH477" s="476"/>
      <c r="AI477" s="464"/>
      <c r="AJ477" s="472" t="s">
        <v>543</v>
      </c>
    </row>
    <row r="478" spans="1:36" ht="24" customHeight="1">
      <c r="A478" s="452">
        <v>103</v>
      </c>
      <c r="B478" s="463">
        <v>387</v>
      </c>
      <c r="C478" s="464" t="s">
        <v>337</v>
      </c>
      <c r="D478" s="464"/>
      <c r="E478" s="464" t="s">
        <v>545</v>
      </c>
      <c r="F478" s="464"/>
      <c r="G478" s="464" t="s">
        <v>44</v>
      </c>
      <c r="H478" s="464" t="s">
        <v>1532</v>
      </c>
      <c r="I478" s="465" t="s">
        <v>537</v>
      </c>
      <c r="J478" s="465" t="s">
        <v>537</v>
      </c>
      <c r="K478" s="466">
        <v>12000</v>
      </c>
      <c r="L478" s="465" t="s">
        <v>537</v>
      </c>
      <c r="M478" s="465" t="s">
        <v>537</v>
      </c>
      <c r="N478" s="466">
        <v>12000</v>
      </c>
      <c r="O478" s="463" t="s">
        <v>537</v>
      </c>
      <c r="P478" s="463" t="s">
        <v>537</v>
      </c>
      <c r="Q478" s="465">
        <v>0</v>
      </c>
      <c r="R478" s="470">
        <v>241609</v>
      </c>
      <c r="S478" s="463" t="s">
        <v>1533</v>
      </c>
      <c r="T478" s="463">
        <v>2</v>
      </c>
      <c r="U478" s="463">
        <v>4</v>
      </c>
      <c r="V478" s="463">
        <v>60</v>
      </c>
      <c r="W478" s="463">
        <v>3</v>
      </c>
      <c r="X478" s="463">
        <v>4</v>
      </c>
      <c r="Y478" s="463">
        <v>63</v>
      </c>
      <c r="Z478" s="463">
        <v>93</v>
      </c>
      <c r="AA478" s="472" t="s">
        <v>1534</v>
      </c>
      <c r="AB478" s="463" t="s">
        <v>539</v>
      </c>
      <c r="AC478" s="463" t="s">
        <v>539</v>
      </c>
      <c r="AD478" s="472" t="s">
        <v>1535</v>
      </c>
      <c r="AE478" s="463" t="s">
        <v>539</v>
      </c>
      <c r="AF478" s="463" t="s">
        <v>539</v>
      </c>
      <c r="AG478" s="463" t="s">
        <v>375</v>
      </c>
      <c r="AH478" s="476"/>
      <c r="AI478" s="464"/>
      <c r="AJ478" s="472" t="s">
        <v>543</v>
      </c>
    </row>
    <row r="479" spans="1:36" ht="24" customHeight="1">
      <c r="A479" s="452">
        <v>104</v>
      </c>
      <c r="B479" s="463">
        <v>388</v>
      </c>
      <c r="C479" s="464" t="s">
        <v>337</v>
      </c>
      <c r="D479" s="464"/>
      <c r="E479" s="464" t="s">
        <v>545</v>
      </c>
      <c r="F479" s="464"/>
      <c r="G479" s="464" t="s">
        <v>44</v>
      </c>
      <c r="H479" s="464" t="s">
        <v>1536</v>
      </c>
      <c r="I479" s="465" t="s">
        <v>537</v>
      </c>
      <c r="J479" s="465" t="s">
        <v>537</v>
      </c>
      <c r="K479" s="466">
        <v>15000</v>
      </c>
      <c r="L479" s="465" t="s">
        <v>537</v>
      </c>
      <c r="M479" s="465" t="s">
        <v>537</v>
      </c>
      <c r="N479" s="466">
        <v>14920</v>
      </c>
      <c r="O479" s="463" t="s">
        <v>537</v>
      </c>
      <c r="P479" s="463" t="s">
        <v>537</v>
      </c>
      <c r="Q479" s="465">
        <v>80</v>
      </c>
      <c r="R479" s="470">
        <v>241579</v>
      </c>
      <c r="S479" s="463" t="s">
        <v>1537</v>
      </c>
      <c r="T479" s="463">
        <v>1</v>
      </c>
      <c r="U479" s="463">
        <v>2</v>
      </c>
      <c r="V479" s="463">
        <v>38</v>
      </c>
      <c r="W479" s="464"/>
      <c r="X479" s="463">
        <v>9</v>
      </c>
      <c r="Y479" s="463">
        <v>33</v>
      </c>
      <c r="Z479" s="463">
        <v>87</v>
      </c>
      <c r="AA479" s="472" t="s">
        <v>1538</v>
      </c>
      <c r="AB479" s="463" t="s">
        <v>539</v>
      </c>
      <c r="AC479" s="463" t="s">
        <v>539</v>
      </c>
      <c r="AD479" s="472" t="s">
        <v>1539</v>
      </c>
      <c r="AE479" s="463" t="s">
        <v>539</v>
      </c>
      <c r="AF479" s="463" t="s">
        <v>539</v>
      </c>
      <c r="AG479" s="463" t="s">
        <v>375</v>
      </c>
      <c r="AH479" s="476"/>
      <c r="AI479" s="472" t="s">
        <v>1540</v>
      </c>
      <c r="AJ479" s="472" t="s">
        <v>543</v>
      </c>
    </row>
    <row r="480" spans="1:36" ht="24" customHeight="1">
      <c r="A480" s="452">
        <v>105</v>
      </c>
      <c r="B480" s="463">
        <v>389</v>
      </c>
      <c r="C480" s="464" t="s">
        <v>337</v>
      </c>
      <c r="D480" s="464"/>
      <c r="E480" s="464" t="s">
        <v>545</v>
      </c>
      <c r="F480" s="464"/>
      <c r="G480" s="464" t="s">
        <v>44</v>
      </c>
      <c r="H480" s="464" t="s">
        <v>1541</v>
      </c>
      <c r="I480" s="465" t="s">
        <v>537</v>
      </c>
      <c r="J480" s="465" t="s">
        <v>537</v>
      </c>
      <c r="K480" s="466">
        <v>17000</v>
      </c>
      <c r="L480" s="465" t="s">
        <v>537</v>
      </c>
      <c r="M480" s="465" t="s">
        <v>537</v>
      </c>
      <c r="N480" s="466">
        <v>16720</v>
      </c>
      <c r="O480" s="463" t="s">
        <v>537</v>
      </c>
      <c r="P480" s="463" t="s">
        <v>537</v>
      </c>
      <c r="Q480" s="465">
        <v>280</v>
      </c>
      <c r="R480" s="470">
        <v>241518</v>
      </c>
      <c r="S480" s="463" t="s">
        <v>1542</v>
      </c>
      <c r="T480" s="463">
        <v>2</v>
      </c>
      <c r="U480" s="463">
        <v>2</v>
      </c>
      <c r="V480" s="463">
        <v>40</v>
      </c>
      <c r="W480" s="463">
        <v>10</v>
      </c>
      <c r="X480" s="463">
        <v>6</v>
      </c>
      <c r="Y480" s="463">
        <v>27</v>
      </c>
      <c r="Z480" s="463">
        <v>90</v>
      </c>
      <c r="AA480" s="472" t="s">
        <v>1543</v>
      </c>
      <c r="AB480" s="463" t="s">
        <v>539</v>
      </c>
      <c r="AC480" s="463" t="s">
        <v>539</v>
      </c>
      <c r="AD480" s="472" t="s">
        <v>1544</v>
      </c>
      <c r="AE480" s="463" t="s">
        <v>539</v>
      </c>
      <c r="AF480" s="463" t="s">
        <v>539</v>
      </c>
      <c r="AG480" s="463" t="s">
        <v>375</v>
      </c>
      <c r="AH480" s="476"/>
      <c r="AI480" s="464"/>
      <c r="AJ480" s="472" t="s">
        <v>543</v>
      </c>
    </row>
    <row r="481" spans="2:36" ht="24" hidden="1" customHeight="1">
      <c r="B481" s="463">
        <v>390</v>
      </c>
      <c r="C481" s="464" t="s">
        <v>10</v>
      </c>
      <c r="D481" s="464"/>
      <c r="E481" s="464" t="s">
        <v>558</v>
      </c>
      <c r="F481" s="464"/>
      <c r="G481" s="464" t="s">
        <v>44</v>
      </c>
      <c r="H481" s="464" t="s">
        <v>1545</v>
      </c>
      <c r="I481" s="465" t="s">
        <v>537</v>
      </c>
      <c r="J481" s="465" t="s">
        <v>537</v>
      </c>
      <c r="K481" s="466">
        <v>5160</v>
      </c>
      <c r="L481" s="465" t="s">
        <v>537</v>
      </c>
      <c r="M481" s="465" t="s">
        <v>537</v>
      </c>
      <c r="N481" s="466">
        <v>5160</v>
      </c>
      <c r="O481" s="463" t="s">
        <v>537</v>
      </c>
      <c r="P481" s="463" t="s">
        <v>537</v>
      </c>
      <c r="Q481" s="465">
        <v>0</v>
      </c>
      <c r="R481" s="470">
        <v>241671</v>
      </c>
      <c r="S481" s="471">
        <v>22528</v>
      </c>
      <c r="T481" s="463">
        <v>0</v>
      </c>
      <c r="U481" s="463">
        <v>14</v>
      </c>
      <c r="V481" s="463">
        <v>7</v>
      </c>
      <c r="W481" s="463">
        <v>0</v>
      </c>
      <c r="X481" s="463">
        <v>21</v>
      </c>
      <c r="Y481" s="463">
        <v>0</v>
      </c>
      <c r="Z481" s="463">
        <v>80.2</v>
      </c>
      <c r="AA481" s="472" t="s">
        <v>1546</v>
      </c>
      <c r="AB481" s="463" t="s">
        <v>539</v>
      </c>
      <c r="AC481" s="463" t="s">
        <v>539</v>
      </c>
      <c r="AD481" s="472" t="s">
        <v>1547</v>
      </c>
      <c r="AE481" s="463" t="s">
        <v>539</v>
      </c>
      <c r="AF481" s="463" t="s">
        <v>539</v>
      </c>
      <c r="AG481" s="463" t="s">
        <v>375</v>
      </c>
      <c r="AH481" s="476"/>
      <c r="AI481" s="472" t="s">
        <v>1448</v>
      </c>
      <c r="AJ481" s="472" t="s">
        <v>562</v>
      </c>
    </row>
    <row r="482" spans="2:36" ht="24" hidden="1" customHeight="1">
      <c r="B482" s="463">
        <v>391</v>
      </c>
      <c r="C482" s="464" t="s">
        <v>10</v>
      </c>
      <c r="D482" s="464"/>
      <c r="E482" s="464" t="s">
        <v>558</v>
      </c>
      <c r="F482" s="464"/>
      <c r="G482" s="464" t="s">
        <v>44</v>
      </c>
      <c r="H482" s="464" t="s">
        <v>1548</v>
      </c>
      <c r="I482" s="465" t="s">
        <v>537</v>
      </c>
      <c r="J482" s="465" t="s">
        <v>537</v>
      </c>
      <c r="K482" s="466">
        <v>10650</v>
      </c>
      <c r="L482" s="465" t="s">
        <v>537</v>
      </c>
      <c r="M482" s="465" t="s">
        <v>537</v>
      </c>
      <c r="N482" s="466">
        <v>8582</v>
      </c>
      <c r="O482" s="463" t="s">
        <v>537</v>
      </c>
      <c r="P482" s="463" t="s">
        <v>537</v>
      </c>
      <c r="Q482" s="468">
        <v>2068</v>
      </c>
      <c r="R482" s="470">
        <v>241428</v>
      </c>
      <c r="S482" s="471">
        <v>22299</v>
      </c>
      <c r="T482" s="463">
        <v>0</v>
      </c>
      <c r="U482" s="463">
        <v>1</v>
      </c>
      <c r="V482" s="463">
        <v>0</v>
      </c>
      <c r="W482" s="464"/>
      <c r="X482" s="463">
        <v>1</v>
      </c>
      <c r="Y482" s="464"/>
      <c r="Z482" s="463">
        <v>95.5</v>
      </c>
      <c r="AA482" s="472" t="s">
        <v>547</v>
      </c>
      <c r="AB482" s="463" t="s">
        <v>539</v>
      </c>
      <c r="AC482" s="463" t="s">
        <v>539</v>
      </c>
      <c r="AD482" s="472" t="s">
        <v>548</v>
      </c>
      <c r="AE482" s="463">
        <v>80</v>
      </c>
      <c r="AF482" s="463">
        <v>85.5</v>
      </c>
      <c r="AG482" s="463" t="s">
        <v>375</v>
      </c>
      <c r="AH482" s="476"/>
      <c r="AI482" s="464"/>
      <c r="AJ482" s="472" t="s">
        <v>562</v>
      </c>
    </row>
    <row r="483" spans="2:36" ht="24" hidden="1" customHeight="1">
      <c r="B483" s="463">
        <v>392</v>
      </c>
      <c r="C483" s="464" t="s">
        <v>10</v>
      </c>
      <c r="D483" s="464"/>
      <c r="E483" s="464" t="s">
        <v>558</v>
      </c>
      <c r="F483" s="464"/>
      <c r="G483" s="464" t="s">
        <v>44</v>
      </c>
      <c r="H483" s="464" t="s">
        <v>1549</v>
      </c>
      <c r="I483" s="465" t="s">
        <v>537</v>
      </c>
      <c r="J483" s="465" t="s">
        <v>537</v>
      </c>
      <c r="K483" s="466">
        <v>12000</v>
      </c>
      <c r="L483" s="465" t="s">
        <v>537</v>
      </c>
      <c r="M483" s="465" t="s">
        <v>537</v>
      </c>
      <c r="N483" s="466">
        <v>7851</v>
      </c>
      <c r="O483" s="463" t="s">
        <v>537</v>
      </c>
      <c r="P483" s="463" t="s">
        <v>537</v>
      </c>
      <c r="Q483" s="468">
        <v>4149</v>
      </c>
      <c r="R483" s="470">
        <v>241487</v>
      </c>
      <c r="S483" s="463" t="s">
        <v>1550</v>
      </c>
      <c r="T483" s="463">
        <v>0</v>
      </c>
      <c r="U483" s="463">
        <v>1</v>
      </c>
      <c r="V483" s="463">
        <v>0</v>
      </c>
      <c r="W483" s="463">
        <v>0</v>
      </c>
      <c r="X483" s="463">
        <v>1</v>
      </c>
      <c r="Y483" s="463">
        <v>0</v>
      </c>
      <c r="Z483" s="463">
        <v>100</v>
      </c>
      <c r="AA483" s="472" t="s">
        <v>1551</v>
      </c>
      <c r="AB483" s="463">
        <v>80</v>
      </c>
      <c r="AC483" s="463">
        <v>100</v>
      </c>
      <c r="AD483" s="472" t="s">
        <v>1552</v>
      </c>
      <c r="AE483" s="463" t="s">
        <v>539</v>
      </c>
      <c r="AF483" s="463" t="s">
        <v>539</v>
      </c>
      <c r="AG483" s="463" t="s">
        <v>375</v>
      </c>
      <c r="AH483" s="476"/>
      <c r="AI483" s="464"/>
      <c r="AJ483" s="472" t="s">
        <v>562</v>
      </c>
    </row>
    <row r="484" spans="2:36" ht="24" hidden="1" customHeight="1">
      <c r="B484" s="463">
        <v>393</v>
      </c>
      <c r="C484" s="464" t="s">
        <v>10</v>
      </c>
      <c r="D484" s="464"/>
      <c r="E484" s="464" t="s">
        <v>558</v>
      </c>
      <c r="F484" s="464"/>
      <c r="G484" s="464" t="s">
        <v>44</v>
      </c>
      <c r="H484" s="464" t="s">
        <v>1553</v>
      </c>
      <c r="I484" s="465" t="s">
        <v>537</v>
      </c>
      <c r="J484" s="465" t="s">
        <v>537</v>
      </c>
      <c r="K484" s="466">
        <v>16197</v>
      </c>
      <c r="L484" s="465" t="s">
        <v>537</v>
      </c>
      <c r="M484" s="465" t="s">
        <v>537</v>
      </c>
      <c r="N484" s="466">
        <v>9758</v>
      </c>
      <c r="O484" s="463" t="s">
        <v>537</v>
      </c>
      <c r="P484" s="463" t="s">
        <v>537</v>
      </c>
      <c r="Q484" s="468">
        <v>6439</v>
      </c>
      <c r="R484" s="470">
        <v>241579</v>
      </c>
      <c r="S484" s="471">
        <v>22437</v>
      </c>
      <c r="T484" s="463">
        <v>0</v>
      </c>
      <c r="U484" s="463">
        <v>1</v>
      </c>
      <c r="V484" s="463">
        <v>0</v>
      </c>
      <c r="W484" s="464"/>
      <c r="X484" s="463">
        <v>1</v>
      </c>
      <c r="Y484" s="464"/>
      <c r="Z484" s="463">
        <v>100</v>
      </c>
      <c r="AA484" s="472" t="s">
        <v>1554</v>
      </c>
      <c r="AB484" s="463">
        <v>80</v>
      </c>
      <c r="AC484" s="463">
        <v>100</v>
      </c>
      <c r="AD484" s="472" t="s">
        <v>1555</v>
      </c>
      <c r="AE484" s="463">
        <v>1</v>
      </c>
      <c r="AF484" s="463">
        <v>1</v>
      </c>
      <c r="AG484" s="463" t="s">
        <v>375</v>
      </c>
      <c r="AH484" s="476"/>
      <c r="AI484" s="464"/>
      <c r="AJ484" s="472" t="s">
        <v>562</v>
      </c>
    </row>
    <row r="485" spans="2:36" ht="24" hidden="1" customHeight="1">
      <c r="B485" s="463">
        <v>394</v>
      </c>
      <c r="C485" s="464" t="s">
        <v>10</v>
      </c>
      <c r="D485" s="464"/>
      <c r="E485" s="464" t="s">
        <v>558</v>
      </c>
      <c r="F485" s="464"/>
      <c r="G485" s="464" t="s">
        <v>44</v>
      </c>
      <c r="H485" s="464" t="s">
        <v>1556</v>
      </c>
      <c r="I485" s="465" t="s">
        <v>537</v>
      </c>
      <c r="J485" s="465" t="s">
        <v>537</v>
      </c>
      <c r="K485" s="466">
        <v>30000</v>
      </c>
      <c r="L485" s="465" t="s">
        <v>537</v>
      </c>
      <c r="M485" s="465" t="s">
        <v>537</v>
      </c>
      <c r="N485" s="466">
        <v>30000</v>
      </c>
      <c r="O485" s="463" t="s">
        <v>537</v>
      </c>
      <c r="P485" s="463" t="s">
        <v>537</v>
      </c>
      <c r="Q485" s="465">
        <v>0</v>
      </c>
      <c r="R485" s="470">
        <v>241518</v>
      </c>
      <c r="S485" s="463" t="s">
        <v>1459</v>
      </c>
      <c r="T485" s="463">
        <v>0</v>
      </c>
      <c r="U485" s="463">
        <v>1</v>
      </c>
      <c r="V485" s="463">
        <v>0</v>
      </c>
      <c r="W485" s="463">
        <v>0</v>
      </c>
      <c r="X485" s="463">
        <v>1</v>
      </c>
      <c r="Y485" s="463">
        <v>0</v>
      </c>
      <c r="Z485" s="463">
        <v>95</v>
      </c>
      <c r="AA485" s="472" t="s">
        <v>1557</v>
      </c>
      <c r="AB485" s="463" t="s">
        <v>539</v>
      </c>
      <c r="AC485" s="463" t="s">
        <v>539</v>
      </c>
      <c r="AD485" s="472" t="s">
        <v>1558</v>
      </c>
      <c r="AE485" s="463" t="s">
        <v>539</v>
      </c>
      <c r="AF485" s="463" t="s">
        <v>539</v>
      </c>
      <c r="AG485" s="463" t="s">
        <v>375</v>
      </c>
      <c r="AH485" s="476"/>
      <c r="AI485" s="464"/>
      <c r="AJ485" s="472" t="s">
        <v>562</v>
      </c>
    </row>
    <row r="486" spans="2:36" ht="24" hidden="1" customHeight="1">
      <c r="B486" s="463">
        <v>395</v>
      </c>
      <c r="C486" s="464" t="s">
        <v>10</v>
      </c>
      <c r="D486" s="464"/>
      <c r="E486" s="464" t="s">
        <v>558</v>
      </c>
      <c r="F486" s="464"/>
      <c r="G486" s="464" t="s">
        <v>44</v>
      </c>
      <c r="H486" s="464" t="s">
        <v>1559</v>
      </c>
      <c r="I486" s="465" t="s">
        <v>537</v>
      </c>
      <c r="J486" s="465" t="s">
        <v>537</v>
      </c>
      <c r="K486" s="466">
        <v>100000</v>
      </c>
      <c r="L486" s="465" t="s">
        <v>537</v>
      </c>
      <c r="M486" s="465" t="s">
        <v>537</v>
      </c>
      <c r="N486" s="466">
        <v>99990</v>
      </c>
      <c r="O486" s="463" t="s">
        <v>537</v>
      </c>
      <c r="P486" s="463" t="s">
        <v>537</v>
      </c>
      <c r="Q486" s="465">
        <v>10</v>
      </c>
      <c r="R486" s="470">
        <v>241640</v>
      </c>
      <c r="S486" s="463" t="s">
        <v>1110</v>
      </c>
      <c r="T486" s="463">
        <v>570</v>
      </c>
      <c r="U486" s="463">
        <v>27</v>
      </c>
      <c r="V486" s="463">
        <v>3</v>
      </c>
      <c r="W486" s="463">
        <v>570</v>
      </c>
      <c r="X486" s="463">
        <v>27</v>
      </c>
      <c r="Y486" s="463">
        <v>3</v>
      </c>
      <c r="Z486" s="463">
        <v>91.53</v>
      </c>
      <c r="AA486" s="472" t="s">
        <v>677</v>
      </c>
      <c r="AB486" s="463" t="s">
        <v>539</v>
      </c>
      <c r="AC486" s="463" t="s">
        <v>539</v>
      </c>
      <c r="AD486" s="472" t="s">
        <v>548</v>
      </c>
      <c r="AE486" s="463">
        <v>80</v>
      </c>
      <c r="AF486" s="463">
        <v>90.92</v>
      </c>
      <c r="AG486" s="463" t="s">
        <v>375</v>
      </c>
      <c r="AH486" s="476"/>
      <c r="AI486" s="464"/>
      <c r="AJ486" s="472" t="s">
        <v>562</v>
      </c>
    </row>
    <row r="487" spans="2:36" ht="24" hidden="1" customHeight="1">
      <c r="B487" s="463">
        <v>396</v>
      </c>
      <c r="C487" s="464" t="s">
        <v>10</v>
      </c>
      <c r="D487" s="464"/>
      <c r="E487" s="464" t="s">
        <v>558</v>
      </c>
      <c r="F487" s="464"/>
      <c r="G487" s="464" t="s">
        <v>44</v>
      </c>
      <c r="H487" s="464" t="s">
        <v>1560</v>
      </c>
      <c r="I487" s="465" t="s">
        <v>537</v>
      </c>
      <c r="J487" s="465" t="s">
        <v>537</v>
      </c>
      <c r="K487" s="466">
        <v>130160</v>
      </c>
      <c r="L487" s="465" t="s">
        <v>537</v>
      </c>
      <c r="M487" s="465" t="s">
        <v>537</v>
      </c>
      <c r="N487" s="466">
        <v>112560</v>
      </c>
      <c r="O487" s="463" t="s">
        <v>537</v>
      </c>
      <c r="P487" s="463" t="s">
        <v>537</v>
      </c>
      <c r="Q487" s="468">
        <v>17600</v>
      </c>
      <c r="R487" s="470">
        <v>241640</v>
      </c>
      <c r="S487" s="471">
        <v>22500</v>
      </c>
      <c r="T487" s="463">
        <v>0</v>
      </c>
      <c r="U487" s="463">
        <v>200</v>
      </c>
      <c r="V487" s="463">
        <v>0</v>
      </c>
      <c r="W487" s="464"/>
      <c r="X487" s="463">
        <v>140</v>
      </c>
      <c r="Y487" s="464"/>
      <c r="Z487" s="463">
        <v>85</v>
      </c>
      <c r="AA487" s="472" t="s">
        <v>1561</v>
      </c>
      <c r="AB487" s="463" t="s">
        <v>539</v>
      </c>
      <c r="AC487" s="463" t="s">
        <v>539</v>
      </c>
      <c r="AD487" s="472" t="s">
        <v>1562</v>
      </c>
      <c r="AE487" s="463">
        <v>80</v>
      </c>
      <c r="AF487" s="463">
        <v>90</v>
      </c>
      <c r="AG487" s="463" t="s">
        <v>375</v>
      </c>
      <c r="AH487" s="476"/>
      <c r="AI487" s="472" t="s">
        <v>1448</v>
      </c>
      <c r="AJ487" s="472" t="s">
        <v>562</v>
      </c>
    </row>
    <row r="488" spans="2:36" ht="24" hidden="1" customHeight="1">
      <c r="B488" s="701">
        <v>397</v>
      </c>
      <c r="C488" s="699" t="s">
        <v>534</v>
      </c>
      <c r="D488" s="699" t="s">
        <v>544</v>
      </c>
      <c r="E488" s="699" t="s">
        <v>535</v>
      </c>
      <c r="F488" s="699"/>
      <c r="G488" s="699" t="s">
        <v>193</v>
      </c>
      <c r="H488" s="699" t="s">
        <v>1563</v>
      </c>
      <c r="I488" s="712">
        <v>200000</v>
      </c>
      <c r="J488" s="709" t="s">
        <v>537</v>
      </c>
      <c r="K488" s="709" t="s">
        <v>537</v>
      </c>
      <c r="L488" s="712">
        <v>44940</v>
      </c>
      <c r="M488" s="709" t="s">
        <v>537</v>
      </c>
      <c r="N488" s="709" t="s">
        <v>537</v>
      </c>
      <c r="O488" s="701" t="s">
        <v>537</v>
      </c>
      <c r="P488" s="701" t="s">
        <v>537</v>
      </c>
      <c r="Q488" s="705">
        <v>155060</v>
      </c>
      <c r="R488" s="701" t="s">
        <v>552</v>
      </c>
      <c r="S488" s="701" t="s">
        <v>1564</v>
      </c>
      <c r="T488" s="701">
        <v>0</v>
      </c>
      <c r="U488" s="701">
        <v>0</v>
      </c>
      <c r="V488" s="701">
        <v>1200</v>
      </c>
      <c r="W488" s="701">
        <v>0</v>
      </c>
      <c r="X488" s="701">
        <v>0</v>
      </c>
      <c r="Y488" s="701">
        <v>1200</v>
      </c>
      <c r="Z488" s="701">
        <v>85</v>
      </c>
      <c r="AA488" s="458" t="s">
        <v>1181</v>
      </c>
      <c r="AB488" s="459" t="s">
        <v>539</v>
      </c>
      <c r="AC488" s="459">
        <v>85</v>
      </c>
      <c r="AD488" s="458" t="s">
        <v>1016</v>
      </c>
      <c r="AE488" s="459">
        <v>80</v>
      </c>
      <c r="AF488" s="459">
        <v>85</v>
      </c>
      <c r="AG488" s="701" t="s">
        <v>375</v>
      </c>
      <c r="AH488" s="728"/>
      <c r="AI488" s="697" t="s">
        <v>1565</v>
      </c>
      <c r="AJ488" s="699"/>
    </row>
    <row r="489" spans="2:36" ht="24" hidden="1" customHeight="1">
      <c r="B489" s="702"/>
      <c r="C489" s="700"/>
      <c r="D489" s="700"/>
      <c r="E489" s="700"/>
      <c r="F489" s="700"/>
      <c r="G489" s="700"/>
      <c r="H489" s="700"/>
      <c r="I489" s="713"/>
      <c r="J489" s="710"/>
      <c r="K489" s="710"/>
      <c r="L489" s="713"/>
      <c r="M489" s="710"/>
      <c r="N489" s="710"/>
      <c r="O489" s="702"/>
      <c r="P489" s="702"/>
      <c r="Q489" s="706"/>
      <c r="R489" s="702"/>
      <c r="S489" s="702"/>
      <c r="T489" s="702"/>
      <c r="U489" s="702"/>
      <c r="V489" s="702"/>
      <c r="W489" s="702"/>
      <c r="X489" s="702"/>
      <c r="Y489" s="702"/>
      <c r="Z489" s="702"/>
      <c r="AA489" s="473" t="s">
        <v>1566</v>
      </c>
      <c r="AB489" s="474" t="s">
        <v>539</v>
      </c>
      <c r="AC489" s="474">
        <v>1</v>
      </c>
      <c r="AD489" s="473" t="s">
        <v>1566</v>
      </c>
      <c r="AE489" s="474">
        <v>1</v>
      </c>
      <c r="AF489" s="474">
        <v>1</v>
      </c>
      <c r="AG489" s="702"/>
      <c r="AH489" s="729"/>
      <c r="AI489" s="698"/>
      <c r="AJ489" s="700"/>
    </row>
    <row r="490" spans="2:36" ht="24" hidden="1" customHeight="1">
      <c r="B490" s="701">
        <v>398</v>
      </c>
      <c r="C490" s="699" t="s">
        <v>534</v>
      </c>
      <c r="D490" s="699" t="s">
        <v>544</v>
      </c>
      <c r="E490" s="699" t="s">
        <v>535</v>
      </c>
      <c r="F490" s="699"/>
      <c r="G490" s="699" t="s">
        <v>193</v>
      </c>
      <c r="H490" s="699" t="s">
        <v>1567</v>
      </c>
      <c r="I490" s="712">
        <v>400000</v>
      </c>
      <c r="J490" s="709" t="s">
        <v>537</v>
      </c>
      <c r="K490" s="709" t="s">
        <v>537</v>
      </c>
      <c r="L490" s="712">
        <v>360395</v>
      </c>
      <c r="M490" s="709" t="s">
        <v>537</v>
      </c>
      <c r="N490" s="709" t="s">
        <v>537</v>
      </c>
      <c r="O490" s="701" t="s">
        <v>537</v>
      </c>
      <c r="P490" s="701" t="s">
        <v>537</v>
      </c>
      <c r="Q490" s="705">
        <v>39605</v>
      </c>
      <c r="R490" s="701" t="s">
        <v>984</v>
      </c>
      <c r="S490" s="701" t="s">
        <v>1056</v>
      </c>
      <c r="T490" s="701">
        <v>0</v>
      </c>
      <c r="U490" s="701">
        <v>40</v>
      </c>
      <c r="V490" s="701">
        <v>50</v>
      </c>
      <c r="W490" s="699"/>
      <c r="X490" s="699"/>
      <c r="Y490" s="701">
        <v>80</v>
      </c>
      <c r="Z490" s="701">
        <v>87.5</v>
      </c>
      <c r="AA490" s="697" t="s">
        <v>1181</v>
      </c>
      <c r="AB490" s="701" t="s">
        <v>539</v>
      </c>
      <c r="AC490" s="701">
        <v>87.5</v>
      </c>
      <c r="AD490" s="458" t="s">
        <v>1016</v>
      </c>
      <c r="AE490" s="459">
        <v>80</v>
      </c>
      <c r="AF490" s="459">
        <v>86.25</v>
      </c>
      <c r="AG490" s="701" t="s">
        <v>375</v>
      </c>
      <c r="AH490" s="728"/>
      <c r="AI490" s="697" t="s">
        <v>1565</v>
      </c>
      <c r="AJ490" s="699"/>
    </row>
    <row r="491" spans="2:36" ht="24" hidden="1" customHeight="1">
      <c r="B491" s="702"/>
      <c r="C491" s="700"/>
      <c r="D491" s="700"/>
      <c r="E491" s="700"/>
      <c r="F491" s="700"/>
      <c r="G491" s="700"/>
      <c r="H491" s="700"/>
      <c r="I491" s="713"/>
      <c r="J491" s="710"/>
      <c r="K491" s="710"/>
      <c r="L491" s="713"/>
      <c r="M491" s="710"/>
      <c r="N491" s="710"/>
      <c r="O491" s="702"/>
      <c r="P491" s="702"/>
      <c r="Q491" s="706"/>
      <c r="R491" s="702"/>
      <c r="S491" s="702"/>
      <c r="T491" s="702"/>
      <c r="U491" s="702"/>
      <c r="V491" s="702"/>
      <c r="W491" s="700"/>
      <c r="X491" s="700"/>
      <c r="Y491" s="702"/>
      <c r="Z491" s="702"/>
      <c r="AA491" s="698"/>
      <c r="AB491" s="702"/>
      <c r="AC491" s="702"/>
      <c r="AD491" s="473" t="s">
        <v>1568</v>
      </c>
      <c r="AE491" s="474">
        <v>1</v>
      </c>
      <c r="AF491" s="474">
        <v>1</v>
      </c>
      <c r="AG491" s="702"/>
      <c r="AH491" s="729"/>
      <c r="AI491" s="698"/>
      <c r="AJ491" s="700"/>
    </row>
    <row r="492" spans="2:36" ht="24" hidden="1" customHeight="1">
      <c r="B492" s="701">
        <v>399</v>
      </c>
      <c r="C492" s="699" t="s">
        <v>534</v>
      </c>
      <c r="D492" s="699" t="s">
        <v>544</v>
      </c>
      <c r="E492" s="699" t="s">
        <v>535</v>
      </c>
      <c r="F492" s="699"/>
      <c r="G492" s="699" t="s">
        <v>193</v>
      </c>
      <c r="H492" s="699" t="s">
        <v>1569</v>
      </c>
      <c r="I492" s="712">
        <v>300000</v>
      </c>
      <c r="J492" s="709" t="s">
        <v>537</v>
      </c>
      <c r="K492" s="709" t="s">
        <v>537</v>
      </c>
      <c r="L492" s="712">
        <v>300000</v>
      </c>
      <c r="M492" s="709" t="s">
        <v>537</v>
      </c>
      <c r="N492" s="709" t="s">
        <v>537</v>
      </c>
      <c r="O492" s="701" t="s">
        <v>537</v>
      </c>
      <c r="P492" s="701" t="s">
        <v>537</v>
      </c>
      <c r="Q492" s="709">
        <v>0</v>
      </c>
      <c r="R492" s="707">
        <v>241428</v>
      </c>
      <c r="S492" s="701" t="s">
        <v>1570</v>
      </c>
      <c r="T492" s="701">
        <v>0</v>
      </c>
      <c r="U492" s="701">
        <v>0</v>
      </c>
      <c r="V492" s="701">
        <v>2000</v>
      </c>
      <c r="W492" s="732">
        <v>10000</v>
      </c>
      <c r="X492" s="699"/>
      <c r="Y492" s="699"/>
      <c r="Z492" s="701">
        <v>95.5</v>
      </c>
      <c r="AA492" s="458" t="s">
        <v>1181</v>
      </c>
      <c r="AB492" s="459" t="s">
        <v>539</v>
      </c>
      <c r="AC492" s="459">
        <v>95.5</v>
      </c>
      <c r="AD492" s="458" t="s">
        <v>1016</v>
      </c>
      <c r="AE492" s="459">
        <v>80</v>
      </c>
      <c r="AF492" s="459">
        <v>97.8</v>
      </c>
      <c r="AG492" s="701" t="s">
        <v>375</v>
      </c>
      <c r="AH492" s="728"/>
      <c r="AI492" s="697" t="s">
        <v>1565</v>
      </c>
      <c r="AJ492" s="699"/>
    </row>
    <row r="493" spans="2:36" ht="24" hidden="1" customHeight="1">
      <c r="B493" s="702"/>
      <c r="C493" s="700"/>
      <c r="D493" s="700"/>
      <c r="E493" s="700"/>
      <c r="F493" s="700"/>
      <c r="G493" s="700"/>
      <c r="H493" s="700"/>
      <c r="I493" s="713"/>
      <c r="J493" s="710"/>
      <c r="K493" s="710"/>
      <c r="L493" s="713"/>
      <c r="M493" s="710"/>
      <c r="N493" s="710"/>
      <c r="O493" s="702"/>
      <c r="P493" s="702"/>
      <c r="Q493" s="710"/>
      <c r="R493" s="708"/>
      <c r="S493" s="702"/>
      <c r="T493" s="702"/>
      <c r="U493" s="702"/>
      <c r="V493" s="702"/>
      <c r="W493" s="733"/>
      <c r="X493" s="700"/>
      <c r="Y493" s="700"/>
      <c r="Z493" s="702"/>
      <c r="AA493" s="473" t="s">
        <v>1571</v>
      </c>
      <c r="AB493" s="474" t="s">
        <v>539</v>
      </c>
      <c r="AC493" s="474">
        <v>97.8</v>
      </c>
      <c r="AD493" s="473" t="s">
        <v>1572</v>
      </c>
      <c r="AE493" s="474">
        <v>1</v>
      </c>
      <c r="AF493" s="474">
        <v>1</v>
      </c>
      <c r="AG493" s="702"/>
      <c r="AH493" s="729"/>
      <c r="AI493" s="698"/>
      <c r="AJ493" s="700"/>
    </row>
    <row r="494" spans="2:36" ht="24" hidden="1" customHeight="1">
      <c r="B494" s="463">
        <v>400</v>
      </c>
      <c r="C494" s="464" t="s">
        <v>534</v>
      </c>
      <c r="D494" s="464" t="s">
        <v>544</v>
      </c>
      <c r="E494" s="464" t="s">
        <v>535</v>
      </c>
      <c r="F494" s="464"/>
      <c r="G494" s="464" t="s">
        <v>193</v>
      </c>
      <c r="H494" s="464" t="s">
        <v>1573</v>
      </c>
      <c r="I494" s="466">
        <v>30000</v>
      </c>
      <c r="J494" s="465" t="s">
        <v>537</v>
      </c>
      <c r="K494" s="465" t="s">
        <v>537</v>
      </c>
      <c r="L494" s="466">
        <v>24325</v>
      </c>
      <c r="M494" s="465" t="s">
        <v>537</v>
      </c>
      <c r="N494" s="465" t="s">
        <v>537</v>
      </c>
      <c r="O494" s="463" t="s">
        <v>537</v>
      </c>
      <c r="P494" s="463" t="s">
        <v>537</v>
      </c>
      <c r="Q494" s="468">
        <v>5675</v>
      </c>
      <c r="R494" s="470">
        <v>241609</v>
      </c>
      <c r="S494" s="471">
        <v>22481</v>
      </c>
      <c r="T494" s="463">
        <v>30</v>
      </c>
      <c r="U494" s="463">
        <v>24</v>
      </c>
      <c r="V494" s="463">
        <v>1</v>
      </c>
      <c r="W494" s="463">
        <v>30</v>
      </c>
      <c r="X494" s="463">
        <v>24</v>
      </c>
      <c r="Y494" s="463">
        <v>1</v>
      </c>
      <c r="Z494" s="463">
        <v>87.47</v>
      </c>
      <c r="AA494" s="472" t="s">
        <v>677</v>
      </c>
      <c r="AB494" s="463" t="s">
        <v>539</v>
      </c>
      <c r="AC494" s="463" t="s">
        <v>537</v>
      </c>
      <c r="AD494" s="472" t="s">
        <v>548</v>
      </c>
      <c r="AE494" s="463">
        <v>80</v>
      </c>
      <c r="AF494" s="463">
        <v>87.47</v>
      </c>
      <c r="AG494" s="463" t="s">
        <v>375</v>
      </c>
      <c r="AH494" s="476"/>
      <c r="AI494" s="472" t="s">
        <v>1574</v>
      </c>
      <c r="AJ494" s="464"/>
    </row>
    <row r="495" spans="2:36" ht="24" hidden="1" customHeight="1">
      <c r="B495" s="463">
        <v>401</v>
      </c>
      <c r="C495" s="464" t="s">
        <v>534</v>
      </c>
      <c r="D495" s="464"/>
      <c r="E495" s="464" t="s">
        <v>535</v>
      </c>
      <c r="F495" s="464"/>
      <c r="G495" s="464" t="s">
        <v>193</v>
      </c>
      <c r="H495" s="464" t="s">
        <v>1575</v>
      </c>
      <c r="I495" s="465" t="s">
        <v>537</v>
      </c>
      <c r="J495" s="465" t="s">
        <v>537</v>
      </c>
      <c r="K495" s="466">
        <v>113100</v>
      </c>
      <c r="L495" s="465" t="s">
        <v>537</v>
      </c>
      <c r="M495" s="465" t="s">
        <v>537</v>
      </c>
      <c r="N495" s="466">
        <v>97336</v>
      </c>
      <c r="O495" s="463" t="s">
        <v>537</v>
      </c>
      <c r="P495" s="463" t="s">
        <v>537</v>
      </c>
      <c r="Q495" s="468">
        <v>15764</v>
      </c>
      <c r="R495" s="463" t="s">
        <v>646</v>
      </c>
      <c r="S495" s="463" t="s">
        <v>1576</v>
      </c>
      <c r="T495" s="463">
        <v>0</v>
      </c>
      <c r="U495" s="463">
        <v>0</v>
      </c>
      <c r="V495" s="463">
        <v>3000</v>
      </c>
      <c r="W495" s="463">
        <v>3000</v>
      </c>
      <c r="X495" s="464"/>
      <c r="Y495" s="464"/>
      <c r="Z495" s="463">
        <v>95.5</v>
      </c>
      <c r="AA495" s="472" t="s">
        <v>1577</v>
      </c>
      <c r="AB495" s="463">
        <v>80</v>
      </c>
      <c r="AC495" s="463">
        <v>95.5</v>
      </c>
      <c r="AD495" s="472" t="s">
        <v>1578</v>
      </c>
      <c r="AE495" s="463" t="s">
        <v>539</v>
      </c>
      <c r="AF495" s="478">
        <v>4538</v>
      </c>
      <c r="AG495" s="463" t="s">
        <v>376</v>
      </c>
      <c r="AH495" s="476"/>
      <c r="AI495" s="472" t="s">
        <v>1565</v>
      </c>
      <c r="AJ495" s="472" t="s">
        <v>543</v>
      </c>
    </row>
    <row r="496" spans="2:36" ht="24" hidden="1" customHeight="1">
      <c r="B496" s="463">
        <v>402</v>
      </c>
      <c r="C496" s="464" t="s">
        <v>534</v>
      </c>
      <c r="D496" s="464"/>
      <c r="E496" s="464" t="s">
        <v>535</v>
      </c>
      <c r="F496" s="464"/>
      <c r="G496" s="464" t="s">
        <v>193</v>
      </c>
      <c r="H496" s="464" t="s">
        <v>1579</v>
      </c>
      <c r="I496" s="465" t="s">
        <v>537</v>
      </c>
      <c r="J496" s="465" t="s">
        <v>537</v>
      </c>
      <c r="K496" s="466">
        <v>138400</v>
      </c>
      <c r="L496" s="465" t="s">
        <v>537</v>
      </c>
      <c r="M496" s="465" t="s">
        <v>537</v>
      </c>
      <c r="N496" s="466">
        <v>138400</v>
      </c>
      <c r="O496" s="463" t="s">
        <v>537</v>
      </c>
      <c r="P496" s="463" t="s">
        <v>537</v>
      </c>
      <c r="Q496" s="465">
        <v>0</v>
      </c>
      <c r="R496" s="463" t="s">
        <v>643</v>
      </c>
      <c r="S496" s="463" t="s">
        <v>1580</v>
      </c>
      <c r="T496" s="463">
        <v>0</v>
      </c>
      <c r="U496" s="463">
        <v>50</v>
      </c>
      <c r="V496" s="463">
        <v>0</v>
      </c>
      <c r="W496" s="464"/>
      <c r="X496" s="463">
        <v>50</v>
      </c>
      <c r="Y496" s="464"/>
      <c r="Z496" s="463">
        <v>87.5</v>
      </c>
      <c r="AA496" s="472" t="s">
        <v>1581</v>
      </c>
      <c r="AB496" s="463" t="s">
        <v>539</v>
      </c>
      <c r="AC496" s="463">
        <v>87.5</v>
      </c>
      <c r="AD496" s="472" t="s">
        <v>1582</v>
      </c>
      <c r="AE496" s="463" t="s">
        <v>539</v>
      </c>
      <c r="AF496" s="463">
        <v>91.7</v>
      </c>
      <c r="AG496" s="463" t="s">
        <v>376</v>
      </c>
      <c r="AH496" s="476"/>
      <c r="AI496" s="472" t="s">
        <v>1565</v>
      </c>
      <c r="AJ496" s="472" t="s">
        <v>543</v>
      </c>
    </row>
    <row r="497" spans="2:36" ht="24" hidden="1" customHeight="1">
      <c r="B497" s="463">
        <v>403</v>
      </c>
      <c r="C497" s="464" t="s">
        <v>534</v>
      </c>
      <c r="D497" s="464" t="s">
        <v>544</v>
      </c>
      <c r="E497" s="464" t="s">
        <v>535</v>
      </c>
      <c r="F497" s="464"/>
      <c r="G497" s="464" t="s">
        <v>193</v>
      </c>
      <c r="H497" s="464" t="s">
        <v>1583</v>
      </c>
      <c r="I497" s="465" t="s">
        <v>537</v>
      </c>
      <c r="J497" s="466">
        <v>50000</v>
      </c>
      <c r="K497" s="465" t="s">
        <v>537</v>
      </c>
      <c r="L497" s="465" t="s">
        <v>537</v>
      </c>
      <c r="M497" s="466">
        <v>50000</v>
      </c>
      <c r="N497" s="465" t="s">
        <v>537</v>
      </c>
      <c r="O497" s="463" t="s">
        <v>537</v>
      </c>
      <c r="P497" s="463" t="s">
        <v>537</v>
      </c>
      <c r="Q497" s="465">
        <v>0</v>
      </c>
      <c r="R497" s="470">
        <v>241609</v>
      </c>
      <c r="S497" s="463" t="s">
        <v>850</v>
      </c>
      <c r="T497" s="463">
        <v>30</v>
      </c>
      <c r="U497" s="463">
        <v>10</v>
      </c>
      <c r="V497" s="463">
        <v>0</v>
      </c>
      <c r="W497" s="463">
        <v>25</v>
      </c>
      <c r="X497" s="463">
        <v>5</v>
      </c>
      <c r="Y497" s="463">
        <v>10</v>
      </c>
      <c r="Z497" s="463">
        <v>92.57</v>
      </c>
      <c r="AA497" s="472" t="s">
        <v>547</v>
      </c>
      <c r="AB497" s="463" t="s">
        <v>539</v>
      </c>
      <c r="AC497" s="463">
        <v>94.29</v>
      </c>
      <c r="AD497" s="472" t="s">
        <v>548</v>
      </c>
      <c r="AE497" s="463">
        <v>80</v>
      </c>
      <c r="AF497" s="463">
        <v>95.43</v>
      </c>
      <c r="AG497" s="463" t="s">
        <v>375</v>
      </c>
      <c r="AH497" s="476"/>
      <c r="AI497" s="472" t="s">
        <v>1584</v>
      </c>
      <c r="AJ497" s="464"/>
    </row>
    <row r="498" spans="2:36" ht="24" hidden="1" customHeight="1">
      <c r="B498" s="463">
        <v>404</v>
      </c>
      <c r="C498" s="464" t="s">
        <v>534</v>
      </c>
      <c r="D498" s="464"/>
      <c r="E498" s="464" t="s">
        <v>535</v>
      </c>
      <c r="F498" s="464"/>
      <c r="G498" s="464" t="s">
        <v>268</v>
      </c>
      <c r="H498" s="464" t="s">
        <v>1585</v>
      </c>
      <c r="I498" s="466">
        <v>43000</v>
      </c>
      <c r="J498" s="465" t="s">
        <v>537</v>
      </c>
      <c r="K498" s="465" t="s">
        <v>537</v>
      </c>
      <c r="L498" s="466">
        <v>36050</v>
      </c>
      <c r="M498" s="465" t="s">
        <v>537</v>
      </c>
      <c r="N498" s="465" t="s">
        <v>537</v>
      </c>
      <c r="O498" s="463" t="s">
        <v>537</v>
      </c>
      <c r="P498" s="463" t="s">
        <v>537</v>
      </c>
      <c r="Q498" s="468">
        <v>6950</v>
      </c>
      <c r="R498" s="470">
        <v>241518</v>
      </c>
      <c r="S498" s="463" t="s">
        <v>1238</v>
      </c>
      <c r="T498" s="463">
        <v>0</v>
      </c>
      <c r="U498" s="463">
        <v>25</v>
      </c>
      <c r="V498" s="463">
        <v>0</v>
      </c>
      <c r="W498" s="463">
        <v>0</v>
      </c>
      <c r="X498" s="463">
        <v>25</v>
      </c>
      <c r="Y498" s="463">
        <v>0</v>
      </c>
      <c r="Z498" s="463">
        <v>92.73</v>
      </c>
      <c r="AA498" s="472" t="s">
        <v>547</v>
      </c>
      <c r="AB498" s="463" t="s">
        <v>539</v>
      </c>
      <c r="AC498" s="463" t="s">
        <v>539</v>
      </c>
      <c r="AD498" s="472" t="s">
        <v>548</v>
      </c>
      <c r="AE498" s="463">
        <v>80</v>
      </c>
      <c r="AF498" s="463">
        <v>91.67</v>
      </c>
      <c r="AG498" s="463" t="s">
        <v>375</v>
      </c>
      <c r="AH498" s="476"/>
      <c r="AI498" s="472" t="s">
        <v>1586</v>
      </c>
      <c r="AJ498" s="464"/>
    </row>
    <row r="499" spans="2:36" ht="24" hidden="1" customHeight="1">
      <c r="B499" s="463">
        <v>405</v>
      </c>
      <c r="C499" s="464" t="s">
        <v>534</v>
      </c>
      <c r="D499" s="464" t="s">
        <v>544</v>
      </c>
      <c r="E499" s="464" t="s">
        <v>535</v>
      </c>
      <c r="F499" s="464"/>
      <c r="G499" s="464" t="s">
        <v>268</v>
      </c>
      <c r="H499" s="464" t="s">
        <v>1587</v>
      </c>
      <c r="I499" s="466">
        <v>20000</v>
      </c>
      <c r="J499" s="465" t="s">
        <v>537</v>
      </c>
      <c r="K499" s="465" t="s">
        <v>537</v>
      </c>
      <c r="L499" s="466">
        <v>19800</v>
      </c>
      <c r="M499" s="465" t="s">
        <v>537</v>
      </c>
      <c r="N499" s="465" t="s">
        <v>537</v>
      </c>
      <c r="O499" s="463" t="s">
        <v>537</v>
      </c>
      <c r="P499" s="463" t="s">
        <v>537</v>
      </c>
      <c r="Q499" s="465">
        <v>200</v>
      </c>
      <c r="R499" s="470">
        <v>241428</v>
      </c>
      <c r="S499" s="463" t="s">
        <v>1588</v>
      </c>
      <c r="T499" s="463">
        <v>11</v>
      </c>
      <c r="U499" s="463">
        <v>0</v>
      </c>
      <c r="V499" s="463">
        <v>0</v>
      </c>
      <c r="W499" s="463">
        <v>11</v>
      </c>
      <c r="X499" s="463">
        <v>0</v>
      </c>
      <c r="Y499" s="463">
        <v>0</v>
      </c>
      <c r="Z499" s="463">
        <v>89</v>
      </c>
      <c r="AA499" s="472" t="s">
        <v>547</v>
      </c>
      <c r="AB499" s="463" t="s">
        <v>539</v>
      </c>
      <c r="AC499" s="463" t="s">
        <v>539</v>
      </c>
      <c r="AD499" s="472" t="s">
        <v>548</v>
      </c>
      <c r="AE499" s="463">
        <v>80</v>
      </c>
      <c r="AF499" s="463">
        <v>100</v>
      </c>
      <c r="AG499" s="463" t="s">
        <v>375</v>
      </c>
      <c r="AH499" s="476"/>
      <c r="AI499" s="472" t="s">
        <v>1589</v>
      </c>
      <c r="AJ499" s="464"/>
    </row>
    <row r="500" spans="2:36" ht="24" hidden="1" customHeight="1">
      <c r="B500" s="463">
        <v>406</v>
      </c>
      <c r="C500" s="464" t="s">
        <v>534</v>
      </c>
      <c r="D500" s="464" t="s">
        <v>544</v>
      </c>
      <c r="E500" s="464" t="s">
        <v>535</v>
      </c>
      <c r="F500" s="464"/>
      <c r="G500" s="464" t="s">
        <v>268</v>
      </c>
      <c r="H500" s="464" t="s">
        <v>1590</v>
      </c>
      <c r="I500" s="466">
        <v>140000</v>
      </c>
      <c r="J500" s="465" t="s">
        <v>537</v>
      </c>
      <c r="K500" s="465" t="s">
        <v>537</v>
      </c>
      <c r="L500" s="466">
        <v>65580</v>
      </c>
      <c r="M500" s="465" t="s">
        <v>537</v>
      </c>
      <c r="N500" s="465" t="s">
        <v>537</v>
      </c>
      <c r="O500" s="463" t="s">
        <v>537</v>
      </c>
      <c r="P500" s="463" t="s">
        <v>537</v>
      </c>
      <c r="Q500" s="468">
        <v>74420</v>
      </c>
      <c r="R500" s="470">
        <v>241459</v>
      </c>
      <c r="S500" s="463" t="s">
        <v>1591</v>
      </c>
      <c r="T500" s="463">
        <v>15</v>
      </c>
      <c r="U500" s="463">
        <v>1</v>
      </c>
      <c r="V500" s="463">
        <v>0</v>
      </c>
      <c r="W500" s="463">
        <v>15</v>
      </c>
      <c r="X500" s="463">
        <v>1</v>
      </c>
      <c r="Y500" s="463">
        <v>0</v>
      </c>
      <c r="Z500" s="463">
        <v>91.6</v>
      </c>
      <c r="AA500" s="472" t="s">
        <v>728</v>
      </c>
      <c r="AB500" s="463">
        <v>1</v>
      </c>
      <c r="AC500" s="463">
        <v>1</v>
      </c>
      <c r="AD500" s="472" t="s">
        <v>1592</v>
      </c>
      <c r="AE500" s="463">
        <v>1</v>
      </c>
      <c r="AF500" s="463">
        <v>1</v>
      </c>
      <c r="AG500" s="463" t="s">
        <v>375</v>
      </c>
      <c r="AH500" s="476"/>
      <c r="AI500" s="472">
        <v>958749626</v>
      </c>
      <c r="AJ500" s="464"/>
    </row>
    <row r="501" spans="2:36" ht="24" hidden="1" customHeight="1">
      <c r="B501" s="463">
        <v>407</v>
      </c>
      <c r="C501" s="464" t="s">
        <v>534</v>
      </c>
      <c r="D501" s="464" t="s">
        <v>544</v>
      </c>
      <c r="E501" s="464" t="s">
        <v>535</v>
      </c>
      <c r="F501" s="464"/>
      <c r="G501" s="464" t="s">
        <v>268</v>
      </c>
      <c r="H501" s="464" t="s">
        <v>1593</v>
      </c>
      <c r="I501" s="466">
        <v>60000</v>
      </c>
      <c r="J501" s="465" t="s">
        <v>537</v>
      </c>
      <c r="K501" s="465" t="s">
        <v>537</v>
      </c>
      <c r="L501" s="466">
        <v>52700</v>
      </c>
      <c r="M501" s="465" t="s">
        <v>537</v>
      </c>
      <c r="N501" s="465" t="s">
        <v>537</v>
      </c>
      <c r="O501" s="463" t="s">
        <v>537</v>
      </c>
      <c r="P501" s="463" t="s">
        <v>537</v>
      </c>
      <c r="Q501" s="468">
        <v>7300</v>
      </c>
      <c r="R501" s="470">
        <v>241640</v>
      </c>
      <c r="S501" s="471">
        <v>22502</v>
      </c>
      <c r="T501" s="463">
        <v>200</v>
      </c>
      <c r="U501" s="463">
        <v>0</v>
      </c>
      <c r="V501" s="463">
        <v>0</v>
      </c>
      <c r="W501" s="463">
        <v>200</v>
      </c>
      <c r="X501" s="463">
        <v>20</v>
      </c>
      <c r="Y501" s="463">
        <v>0</v>
      </c>
      <c r="Z501" s="463">
        <v>81.14</v>
      </c>
      <c r="AA501" s="472" t="s">
        <v>1304</v>
      </c>
      <c r="AB501" s="463" t="s">
        <v>539</v>
      </c>
      <c r="AC501" s="463" t="s">
        <v>539</v>
      </c>
      <c r="AD501" s="472" t="s">
        <v>565</v>
      </c>
      <c r="AE501" s="463">
        <v>80</v>
      </c>
      <c r="AF501" s="463">
        <v>81.17</v>
      </c>
      <c r="AG501" s="463" t="s">
        <v>375</v>
      </c>
      <c r="AH501" s="476"/>
      <c r="AI501" s="472" t="s">
        <v>1589</v>
      </c>
      <c r="AJ501" s="464"/>
    </row>
    <row r="502" spans="2:36" ht="24" hidden="1" customHeight="1">
      <c r="B502" s="463">
        <v>408</v>
      </c>
      <c r="C502" s="464" t="s">
        <v>534</v>
      </c>
      <c r="D502" s="464" t="s">
        <v>544</v>
      </c>
      <c r="E502" s="464" t="s">
        <v>535</v>
      </c>
      <c r="F502" s="464"/>
      <c r="G502" s="464" t="s">
        <v>268</v>
      </c>
      <c r="H502" s="464" t="s">
        <v>1594</v>
      </c>
      <c r="I502" s="466">
        <v>500000</v>
      </c>
      <c r="J502" s="465" t="s">
        <v>537</v>
      </c>
      <c r="K502" s="465" t="s">
        <v>537</v>
      </c>
      <c r="L502" s="466">
        <v>463533</v>
      </c>
      <c r="M502" s="465" t="s">
        <v>537</v>
      </c>
      <c r="N502" s="465" t="s">
        <v>537</v>
      </c>
      <c r="O502" s="463" t="s">
        <v>537</v>
      </c>
      <c r="P502" s="463" t="s">
        <v>537</v>
      </c>
      <c r="Q502" s="468">
        <v>36467</v>
      </c>
      <c r="R502" s="470">
        <v>241579</v>
      </c>
      <c r="S502" s="463" t="s">
        <v>1595</v>
      </c>
      <c r="T502" s="463">
        <v>0</v>
      </c>
      <c r="U502" s="463">
        <v>100</v>
      </c>
      <c r="V502" s="463">
        <v>0</v>
      </c>
      <c r="W502" s="463">
        <v>0</v>
      </c>
      <c r="X502" s="463">
        <v>66</v>
      </c>
      <c r="Y502" s="463">
        <v>0</v>
      </c>
      <c r="Z502" s="463">
        <v>82</v>
      </c>
      <c r="AA502" s="472" t="s">
        <v>728</v>
      </c>
      <c r="AB502" s="463">
        <v>1</v>
      </c>
      <c r="AC502" s="463">
        <v>7</v>
      </c>
      <c r="AD502" s="472" t="s">
        <v>1592</v>
      </c>
      <c r="AE502" s="463">
        <v>1</v>
      </c>
      <c r="AF502" s="463">
        <v>1</v>
      </c>
      <c r="AG502" s="463" t="s">
        <v>375</v>
      </c>
      <c r="AH502" s="476"/>
      <c r="AI502" s="472" t="s">
        <v>1596</v>
      </c>
      <c r="AJ502" s="464"/>
    </row>
    <row r="503" spans="2:36" ht="24" hidden="1" customHeight="1">
      <c r="B503" s="463">
        <v>409</v>
      </c>
      <c r="C503" s="464" t="s">
        <v>534</v>
      </c>
      <c r="D503" s="464" t="s">
        <v>544</v>
      </c>
      <c r="E503" s="464" t="s">
        <v>535</v>
      </c>
      <c r="F503" s="464"/>
      <c r="G503" s="464" t="s">
        <v>268</v>
      </c>
      <c r="H503" s="464" t="s">
        <v>1597</v>
      </c>
      <c r="I503" s="466">
        <v>30000</v>
      </c>
      <c r="J503" s="465" t="s">
        <v>537</v>
      </c>
      <c r="K503" s="465" t="s">
        <v>537</v>
      </c>
      <c r="L503" s="466">
        <v>29180</v>
      </c>
      <c r="M503" s="465" t="s">
        <v>537</v>
      </c>
      <c r="N503" s="465" t="s">
        <v>537</v>
      </c>
      <c r="O503" s="463" t="s">
        <v>537</v>
      </c>
      <c r="P503" s="463" t="s">
        <v>537</v>
      </c>
      <c r="Q503" s="465">
        <v>820</v>
      </c>
      <c r="R503" s="470">
        <v>241640</v>
      </c>
      <c r="S503" s="471">
        <v>22460</v>
      </c>
      <c r="T503" s="463">
        <v>300</v>
      </c>
      <c r="U503" s="463">
        <v>0</v>
      </c>
      <c r="V503" s="463">
        <v>0</v>
      </c>
      <c r="W503" s="463">
        <v>470</v>
      </c>
      <c r="X503" s="463">
        <v>0</v>
      </c>
      <c r="Y503" s="463">
        <v>0</v>
      </c>
      <c r="Z503" s="463">
        <v>78.2</v>
      </c>
      <c r="AA503" s="472" t="s">
        <v>1304</v>
      </c>
      <c r="AB503" s="463" t="s">
        <v>539</v>
      </c>
      <c r="AC503" s="463" t="s">
        <v>539</v>
      </c>
      <c r="AD503" s="472" t="s">
        <v>565</v>
      </c>
      <c r="AE503" s="463">
        <v>80</v>
      </c>
      <c r="AF503" s="463">
        <v>78.2</v>
      </c>
      <c r="AG503" s="463" t="s">
        <v>376</v>
      </c>
      <c r="AH503" s="476"/>
      <c r="AI503" s="472" t="s">
        <v>1598</v>
      </c>
      <c r="AJ503" s="464"/>
    </row>
    <row r="504" spans="2:36" ht="24" hidden="1" customHeight="1">
      <c r="B504" s="463">
        <v>410</v>
      </c>
      <c r="C504" s="464" t="s">
        <v>534</v>
      </c>
      <c r="D504" s="464" t="s">
        <v>544</v>
      </c>
      <c r="E504" s="464" t="s">
        <v>535</v>
      </c>
      <c r="F504" s="464"/>
      <c r="G504" s="464" t="s">
        <v>268</v>
      </c>
      <c r="H504" s="464" t="s">
        <v>1599</v>
      </c>
      <c r="I504" s="466">
        <v>57000</v>
      </c>
      <c r="J504" s="465" t="s">
        <v>537</v>
      </c>
      <c r="K504" s="465" t="s">
        <v>537</v>
      </c>
      <c r="L504" s="466">
        <v>41400</v>
      </c>
      <c r="M504" s="465" t="s">
        <v>537</v>
      </c>
      <c r="N504" s="465" t="s">
        <v>537</v>
      </c>
      <c r="O504" s="463" t="s">
        <v>537</v>
      </c>
      <c r="P504" s="463" t="s">
        <v>537</v>
      </c>
      <c r="Q504" s="468">
        <v>15600</v>
      </c>
      <c r="R504" s="470">
        <v>241518</v>
      </c>
      <c r="S504" s="463" t="s">
        <v>1238</v>
      </c>
      <c r="T504" s="463">
        <v>35</v>
      </c>
      <c r="U504" s="463">
        <v>0</v>
      </c>
      <c r="V504" s="463">
        <v>0</v>
      </c>
      <c r="W504" s="463">
        <v>30</v>
      </c>
      <c r="X504" s="463">
        <v>0</v>
      </c>
      <c r="Y504" s="463">
        <v>0</v>
      </c>
      <c r="Z504" s="464"/>
      <c r="AA504" s="472" t="s">
        <v>547</v>
      </c>
      <c r="AB504" s="463" t="s">
        <v>539</v>
      </c>
      <c r="AC504" s="463" t="s">
        <v>539</v>
      </c>
      <c r="AD504" s="472" t="s">
        <v>548</v>
      </c>
      <c r="AE504" s="463">
        <v>80</v>
      </c>
      <c r="AF504" s="463">
        <v>33.33</v>
      </c>
      <c r="AG504" s="463" t="s">
        <v>376</v>
      </c>
      <c r="AH504" s="476"/>
      <c r="AI504" s="472" t="s">
        <v>1586</v>
      </c>
      <c r="AJ504" s="464"/>
    </row>
    <row r="505" spans="2:36" ht="24" hidden="1" customHeight="1">
      <c r="B505" s="463">
        <v>411</v>
      </c>
      <c r="C505" s="464" t="s">
        <v>534</v>
      </c>
      <c r="D505" s="464" t="s">
        <v>544</v>
      </c>
      <c r="E505" s="464" t="s">
        <v>535</v>
      </c>
      <c r="F505" s="464"/>
      <c r="G505" s="464" t="s">
        <v>268</v>
      </c>
      <c r="H505" s="464" t="s">
        <v>1600</v>
      </c>
      <c r="I505" s="465" t="s">
        <v>537</v>
      </c>
      <c r="J505" s="466">
        <v>200000</v>
      </c>
      <c r="K505" s="465" t="s">
        <v>537</v>
      </c>
      <c r="L505" s="465" t="s">
        <v>537</v>
      </c>
      <c r="M505" s="466">
        <v>177116</v>
      </c>
      <c r="N505" s="465" t="s">
        <v>537</v>
      </c>
      <c r="O505" s="463" t="s">
        <v>537</v>
      </c>
      <c r="P505" s="463" t="s">
        <v>537</v>
      </c>
      <c r="Q505" s="468">
        <v>22884</v>
      </c>
      <c r="R505" s="463" t="s">
        <v>984</v>
      </c>
      <c r="S505" s="463" t="s">
        <v>1601</v>
      </c>
      <c r="T505" s="463">
        <v>103</v>
      </c>
      <c r="U505" s="463">
        <v>17</v>
      </c>
      <c r="V505" s="463">
        <v>0</v>
      </c>
      <c r="W505" s="463">
        <v>101</v>
      </c>
      <c r="X505" s="463">
        <v>17</v>
      </c>
      <c r="Y505" s="463">
        <v>0</v>
      </c>
      <c r="Z505" s="463">
        <v>91.98</v>
      </c>
      <c r="AA505" s="472" t="s">
        <v>547</v>
      </c>
      <c r="AB505" s="463" t="s">
        <v>539</v>
      </c>
      <c r="AC505" s="463" t="s">
        <v>539</v>
      </c>
      <c r="AD505" s="472" t="s">
        <v>548</v>
      </c>
      <c r="AE505" s="463">
        <v>80</v>
      </c>
      <c r="AF505" s="463">
        <v>91</v>
      </c>
      <c r="AG505" s="463" t="s">
        <v>375</v>
      </c>
      <c r="AH505" s="476"/>
      <c r="AI505" s="472" t="s">
        <v>1602</v>
      </c>
      <c r="AJ505" s="464"/>
    </row>
    <row r="506" spans="2:36" ht="24" hidden="1" customHeight="1">
      <c r="B506" s="463">
        <v>412</v>
      </c>
      <c r="C506" s="464" t="s">
        <v>534</v>
      </c>
      <c r="D506" s="464" t="s">
        <v>544</v>
      </c>
      <c r="E506" s="464" t="s">
        <v>535</v>
      </c>
      <c r="F506" s="464"/>
      <c r="G506" s="464" t="s">
        <v>268</v>
      </c>
      <c r="H506" s="464" t="s">
        <v>1603</v>
      </c>
      <c r="I506" s="465" t="s">
        <v>537</v>
      </c>
      <c r="J506" s="466">
        <v>100000</v>
      </c>
      <c r="K506" s="465" t="s">
        <v>537</v>
      </c>
      <c r="L506" s="465" t="s">
        <v>537</v>
      </c>
      <c r="M506" s="466">
        <v>93100</v>
      </c>
      <c r="N506" s="465" t="s">
        <v>537</v>
      </c>
      <c r="O506" s="463" t="s">
        <v>537</v>
      </c>
      <c r="P506" s="463" t="s">
        <v>537</v>
      </c>
      <c r="Q506" s="468">
        <v>6900</v>
      </c>
      <c r="R506" s="470">
        <v>241397</v>
      </c>
      <c r="S506" s="463" t="s">
        <v>1604</v>
      </c>
      <c r="T506" s="463">
        <v>43</v>
      </c>
      <c r="U506" s="463">
        <v>12</v>
      </c>
      <c r="V506" s="463">
        <v>0</v>
      </c>
      <c r="W506" s="463">
        <v>37</v>
      </c>
      <c r="X506" s="463">
        <v>10</v>
      </c>
      <c r="Y506" s="463">
        <v>0</v>
      </c>
      <c r="Z506" s="463">
        <v>85</v>
      </c>
      <c r="AA506" s="472" t="s">
        <v>547</v>
      </c>
      <c r="AB506" s="463" t="s">
        <v>539</v>
      </c>
      <c r="AC506" s="463" t="s">
        <v>539</v>
      </c>
      <c r="AD506" s="472" t="s">
        <v>548</v>
      </c>
      <c r="AE506" s="463">
        <v>80</v>
      </c>
      <c r="AF506" s="463">
        <v>100</v>
      </c>
      <c r="AG506" s="463" t="s">
        <v>375</v>
      </c>
      <c r="AH506" s="476"/>
      <c r="AI506" s="472">
        <v>970495459</v>
      </c>
      <c r="AJ506" s="464"/>
    </row>
    <row r="507" spans="2:36" ht="24" hidden="1" customHeight="1">
      <c r="B507" s="463">
        <v>413</v>
      </c>
      <c r="C507" s="464" t="s">
        <v>534</v>
      </c>
      <c r="D507" s="464" t="s">
        <v>544</v>
      </c>
      <c r="E507" s="464" t="s">
        <v>535</v>
      </c>
      <c r="F507" s="464"/>
      <c r="G507" s="464" t="s">
        <v>268</v>
      </c>
      <c r="H507" s="464" t="s">
        <v>1605</v>
      </c>
      <c r="I507" s="465" t="s">
        <v>537</v>
      </c>
      <c r="J507" s="466">
        <v>500000</v>
      </c>
      <c r="K507" s="465" t="s">
        <v>537</v>
      </c>
      <c r="L507" s="465" t="s">
        <v>537</v>
      </c>
      <c r="M507" s="466">
        <v>327560</v>
      </c>
      <c r="N507" s="465" t="s">
        <v>537</v>
      </c>
      <c r="O507" s="463" t="s">
        <v>537</v>
      </c>
      <c r="P507" s="463" t="s">
        <v>537</v>
      </c>
      <c r="Q507" s="468">
        <v>172440</v>
      </c>
      <c r="R507" s="470">
        <v>241428</v>
      </c>
      <c r="S507" s="463" t="s">
        <v>1606</v>
      </c>
      <c r="T507" s="463">
        <v>169</v>
      </c>
      <c r="U507" s="463">
        <v>29</v>
      </c>
      <c r="V507" s="463">
        <v>0</v>
      </c>
      <c r="W507" s="463">
        <v>129</v>
      </c>
      <c r="X507" s="463">
        <v>24</v>
      </c>
      <c r="Y507" s="463">
        <v>0</v>
      </c>
      <c r="Z507" s="463">
        <v>71.900000000000006</v>
      </c>
      <c r="AA507" s="472" t="s">
        <v>547</v>
      </c>
      <c r="AB507" s="463" t="s">
        <v>539</v>
      </c>
      <c r="AC507" s="463" t="s">
        <v>539</v>
      </c>
      <c r="AD507" s="472" t="s">
        <v>548</v>
      </c>
      <c r="AE507" s="463">
        <v>80</v>
      </c>
      <c r="AF507" s="463">
        <v>100</v>
      </c>
      <c r="AG507" s="463" t="s">
        <v>375</v>
      </c>
      <c r="AH507" s="476"/>
      <c r="AI507" s="472">
        <v>970495459</v>
      </c>
      <c r="AJ507" s="464"/>
    </row>
    <row r="508" spans="2:36" ht="24" hidden="1" customHeight="1">
      <c r="B508" s="463">
        <v>414</v>
      </c>
      <c r="C508" s="464" t="s">
        <v>534</v>
      </c>
      <c r="D508" s="464" t="s">
        <v>544</v>
      </c>
      <c r="E508" s="464" t="s">
        <v>535</v>
      </c>
      <c r="F508" s="464"/>
      <c r="G508" s="464" t="s">
        <v>268</v>
      </c>
      <c r="H508" s="464" t="s">
        <v>1607</v>
      </c>
      <c r="I508" s="465" t="s">
        <v>537</v>
      </c>
      <c r="J508" s="466">
        <v>32400</v>
      </c>
      <c r="K508" s="465" t="s">
        <v>537</v>
      </c>
      <c r="L508" s="465" t="s">
        <v>537</v>
      </c>
      <c r="M508" s="466">
        <v>10000</v>
      </c>
      <c r="N508" s="465" t="s">
        <v>537</v>
      </c>
      <c r="O508" s="463" t="s">
        <v>537</v>
      </c>
      <c r="P508" s="463" t="s">
        <v>537</v>
      </c>
      <c r="Q508" s="468">
        <v>22400</v>
      </c>
      <c r="R508" s="470">
        <v>241459</v>
      </c>
      <c r="S508" s="463" t="s">
        <v>1608</v>
      </c>
      <c r="T508" s="463">
        <v>10</v>
      </c>
      <c r="U508" s="463">
        <v>2</v>
      </c>
      <c r="V508" s="463">
        <v>0</v>
      </c>
      <c r="W508" s="463">
        <v>3</v>
      </c>
      <c r="X508" s="463">
        <v>1</v>
      </c>
      <c r="Y508" s="463">
        <v>0</v>
      </c>
      <c r="Z508" s="463">
        <v>97</v>
      </c>
      <c r="AA508" s="472" t="s">
        <v>547</v>
      </c>
      <c r="AB508" s="463" t="s">
        <v>539</v>
      </c>
      <c r="AC508" s="463" t="s">
        <v>539</v>
      </c>
      <c r="AD508" s="472" t="s">
        <v>548</v>
      </c>
      <c r="AE508" s="463">
        <v>80</v>
      </c>
      <c r="AF508" s="463">
        <v>100</v>
      </c>
      <c r="AG508" s="463" t="s">
        <v>375</v>
      </c>
      <c r="AH508" s="476"/>
      <c r="AI508" s="472">
        <v>845071095</v>
      </c>
      <c r="AJ508" s="464"/>
    </row>
    <row r="509" spans="2:36" ht="24" hidden="1" customHeight="1">
      <c r="B509" s="463">
        <v>415</v>
      </c>
      <c r="C509" s="464" t="s">
        <v>534</v>
      </c>
      <c r="D509" s="464" t="s">
        <v>544</v>
      </c>
      <c r="E509" s="464" t="s">
        <v>535</v>
      </c>
      <c r="F509" s="464"/>
      <c r="G509" s="464" t="s">
        <v>268</v>
      </c>
      <c r="H509" s="464" t="s">
        <v>1609</v>
      </c>
      <c r="I509" s="465" t="s">
        <v>537</v>
      </c>
      <c r="J509" s="466">
        <v>200000</v>
      </c>
      <c r="K509" s="465" t="s">
        <v>537</v>
      </c>
      <c r="L509" s="465" t="s">
        <v>537</v>
      </c>
      <c r="M509" s="466">
        <v>169500</v>
      </c>
      <c r="N509" s="465" t="s">
        <v>537</v>
      </c>
      <c r="O509" s="463" t="s">
        <v>537</v>
      </c>
      <c r="P509" s="463" t="s">
        <v>537</v>
      </c>
      <c r="Q509" s="468">
        <v>30500</v>
      </c>
      <c r="R509" s="470">
        <v>241518</v>
      </c>
      <c r="S509" s="463" t="s">
        <v>1610</v>
      </c>
      <c r="T509" s="463">
        <v>0</v>
      </c>
      <c r="U509" s="463">
        <v>240</v>
      </c>
      <c r="V509" s="463">
        <v>0</v>
      </c>
      <c r="W509" s="463">
        <v>0</v>
      </c>
      <c r="X509" s="463">
        <v>163</v>
      </c>
      <c r="Y509" s="463">
        <v>0</v>
      </c>
      <c r="Z509" s="463">
        <v>80</v>
      </c>
      <c r="AA509" s="472" t="s">
        <v>728</v>
      </c>
      <c r="AB509" s="463">
        <v>1</v>
      </c>
      <c r="AC509" s="463">
        <v>3</v>
      </c>
      <c r="AD509" s="472" t="s">
        <v>565</v>
      </c>
      <c r="AE509" s="463">
        <v>80</v>
      </c>
      <c r="AF509" s="463">
        <v>80</v>
      </c>
      <c r="AG509" s="463" t="s">
        <v>375</v>
      </c>
      <c r="AH509" s="476"/>
      <c r="AI509" s="472">
        <v>970495459</v>
      </c>
      <c r="AJ509" s="464"/>
    </row>
    <row r="510" spans="2:36" ht="24" hidden="1" customHeight="1">
      <c r="B510" s="463">
        <v>416</v>
      </c>
      <c r="C510" s="464" t="s">
        <v>534</v>
      </c>
      <c r="D510" s="464" t="s">
        <v>544</v>
      </c>
      <c r="E510" s="464" t="s">
        <v>535</v>
      </c>
      <c r="F510" s="464"/>
      <c r="G510" s="464" t="s">
        <v>268</v>
      </c>
      <c r="H510" s="464" t="s">
        <v>1611</v>
      </c>
      <c r="I510" s="465" t="s">
        <v>537</v>
      </c>
      <c r="J510" s="466">
        <v>32400</v>
      </c>
      <c r="K510" s="465" t="s">
        <v>537</v>
      </c>
      <c r="L510" s="465" t="s">
        <v>537</v>
      </c>
      <c r="M510" s="466">
        <v>16000</v>
      </c>
      <c r="N510" s="465" t="s">
        <v>537</v>
      </c>
      <c r="O510" s="463" t="s">
        <v>537</v>
      </c>
      <c r="P510" s="463" t="s">
        <v>537</v>
      </c>
      <c r="Q510" s="468">
        <v>16400</v>
      </c>
      <c r="R510" s="470">
        <v>241640</v>
      </c>
      <c r="S510" s="463" t="s">
        <v>1612</v>
      </c>
      <c r="T510" s="463">
        <v>10</v>
      </c>
      <c r="U510" s="463">
        <v>2</v>
      </c>
      <c r="V510" s="463">
        <v>0</v>
      </c>
      <c r="W510" s="463">
        <v>7</v>
      </c>
      <c r="X510" s="463">
        <v>1</v>
      </c>
      <c r="Y510" s="463">
        <v>0</v>
      </c>
      <c r="Z510" s="463">
        <v>83.5</v>
      </c>
      <c r="AA510" s="472" t="s">
        <v>547</v>
      </c>
      <c r="AB510" s="463" t="s">
        <v>539</v>
      </c>
      <c r="AC510" s="463" t="s">
        <v>539</v>
      </c>
      <c r="AD510" s="472" t="s">
        <v>548</v>
      </c>
      <c r="AE510" s="463">
        <v>80</v>
      </c>
      <c r="AF510" s="463">
        <v>100</v>
      </c>
      <c r="AG510" s="463" t="s">
        <v>375</v>
      </c>
      <c r="AH510" s="476"/>
      <c r="AI510" s="472" t="s">
        <v>1613</v>
      </c>
      <c r="AJ510" s="464"/>
    </row>
    <row r="511" spans="2:36" ht="24" hidden="1" customHeight="1">
      <c r="B511" s="463">
        <v>417</v>
      </c>
      <c r="C511" s="464" t="s">
        <v>534</v>
      </c>
      <c r="D511" s="464" t="s">
        <v>544</v>
      </c>
      <c r="E511" s="464" t="s">
        <v>535</v>
      </c>
      <c r="F511" s="464"/>
      <c r="G511" s="464" t="s">
        <v>268</v>
      </c>
      <c r="H511" s="464" t="s">
        <v>1614</v>
      </c>
      <c r="I511" s="465" t="s">
        <v>537</v>
      </c>
      <c r="J511" s="466">
        <v>220000</v>
      </c>
      <c r="K511" s="465" t="s">
        <v>537</v>
      </c>
      <c r="L511" s="465" t="s">
        <v>537</v>
      </c>
      <c r="M511" s="466">
        <v>218381</v>
      </c>
      <c r="N511" s="465" t="s">
        <v>537</v>
      </c>
      <c r="O511" s="463" t="s">
        <v>537</v>
      </c>
      <c r="P511" s="463" t="s">
        <v>537</v>
      </c>
      <c r="Q511" s="468">
        <v>1619</v>
      </c>
      <c r="R511" s="470">
        <v>241671</v>
      </c>
      <c r="S511" s="463" t="s">
        <v>1615</v>
      </c>
      <c r="T511" s="463">
        <v>2100</v>
      </c>
      <c r="U511" s="463">
        <v>0</v>
      </c>
      <c r="V511" s="463">
        <v>0</v>
      </c>
      <c r="W511" s="463">
        <v>2153</v>
      </c>
      <c r="X511" s="463">
        <v>492</v>
      </c>
      <c r="Y511" s="464"/>
      <c r="Z511" s="463">
        <v>83.08</v>
      </c>
      <c r="AA511" s="472" t="s">
        <v>1304</v>
      </c>
      <c r="AB511" s="463" t="s">
        <v>539</v>
      </c>
      <c r="AC511" s="463" t="s">
        <v>539</v>
      </c>
      <c r="AD511" s="472" t="s">
        <v>565</v>
      </c>
      <c r="AE511" s="463">
        <v>80</v>
      </c>
      <c r="AF511" s="463">
        <v>83.08</v>
      </c>
      <c r="AG511" s="463" t="s">
        <v>375</v>
      </c>
      <c r="AH511" s="476"/>
      <c r="AI511" s="472" t="s">
        <v>1616</v>
      </c>
      <c r="AJ511" s="464"/>
    </row>
    <row r="512" spans="2:36" ht="24" hidden="1" customHeight="1">
      <c r="B512" s="463">
        <v>418</v>
      </c>
      <c r="C512" s="464" t="s">
        <v>377</v>
      </c>
      <c r="D512" s="464" t="s">
        <v>544</v>
      </c>
      <c r="E512" s="464" t="s">
        <v>602</v>
      </c>
      <c r="F512" s="464"/>
      <c r="G512" s="464" t="s">
        <v>268</v>
      </c>
      <c r="H512" s="464" t="s">
        <v>1617</v>
      </c>
      <c r="I512" s="466">
        <v>100000</v>
      </c>
      <c r="J512" s="465" t="s">
        <v>537</v>
      </c>
      <c r="K512" s="465" t="s">
        <v>537</v>
      </c>
      <c r="L512" s="466">
        <v>75420</v>
      </c>
      <c r="M512" s="465" t="s">
        <v>537</v>
      </c>
      <c r="N512" s="465" t="s">
        <v>537</v>
      </c>
      <c r="O512" s="463" t="s">
        <v>537</v>
      </c>
      <c r="P512" s="463" t="s">
        <v>537</v>
      </c>
      <c r="Q512" s="468">
        <v>24580</v>
      </c>
      <c r="R512" s="470">
        <v>241518</v>
      </c>
      <c r="S512" s="463" t="s">
        <v>1618</v>
      </c>
      <c r="T512" s="463">
        <v>200</v>
      </c>
      <c r="U512" s="463">
        <v>100</v>
      </c>
      <c r="V512" s="463">
        <v>0</v>
      </c>
      <c r="W512" s="463">
        <v>270</v>
      </c>
      <c r="X512" s="463">
        <v>185</v>
      </c>
      <c r="Y512" s="463">
        <v>0</v>
      </c>
      <c r="Z512" s="463">
        <v>84</v>
      </c>
      <c r="AA512" s="472" t="s">
        <v>619</v>
      </c>
      <c r="AB512" s="463" t="s">
        <v>539</v>
      </c>
      <c r="AC512" s="463" t="s">
        <v>539</v>
      </c>
      <c r="AD512" s="472" t="s">
        <v>565</v>
      </c>
      <c r="AE512" s="463">
        <v>80</v>
      </c>
      <c r="AF512" s="463">
        <v>84</v>
      </c>
      <c r="AG512" s="463" t="s">
        <v>375</v>
      </c>
      <c r="AH512" s="476"/>
      <c r="AI512" s="472" t="s">
        <v>1619</v>
      </c>
      <c r="AJ512" s="464"/>
    </row>
    <row r="513" spans="2:36" ht="24" hidden="1" customHeight="1">
      <c r="B513" s="463">
        <v>419</v>
      </c>
      <c r="C513" s="464" t="s">
        <v>377</v>
      </c>
      <c r="D513" s="464" t="s">
        <v>544</v>
      </c>
      <c r="E513" s="464" t="s">
        <v>602</v>
      </c>
      <c r="F513" s="464"/>
      <c r="G513" s="464" t="s">
        <v>268</v>
      </c>
      <c r="H513" s="464" t="s">
        <v>1620</v>
      </c>
      <c r="I513" s="466">
        <v>400000</v>
      </c>
      <c r="J513" s="465" t="s">
        <v>537</v>
      </c>
      <c r="K513" s="465" t="s">
        <v>537</v>
      </c>
      <c r="L513" s="466">
        <v>346162</v>
      </c>
      <c r="M513" s="465" t="s">
        <v>537</v>
      </c>
      <c r="N513" s="465" t="s">
        <v>537</v>
      </c>
      <c r="O513" s="463" t="s">
        <v>537</v>
      </c>
      <c r="P513" s="463" t="s">
        <v>537</v>
      </c>
      <c r="Q513" s="468">
        <v>53838</v>
      </c>
      <c r="R513" s="463" t="s">
        <v>643</v>
      </c>
      <c r="S513" s="463" t="s">
        <v>1621</v>
      </c>
      <c r="T513" s="463">
        <v>18</v>
      </c>
      <c r="U513" s="463">
        <v>90</v>
      </c>
      <c r="V513" s="463">
        <v>0</v>
      </c>
      <c r="W513" s="463">
        <v>18</v>
      </c>
      <c r="X513" s="463">
        <v>80</v>
      </c>
      <c r="Y513" s="463">
        <v>0</v>
      </c>
      <c r="Z513" s="463">
        <v>93.33</v>
      </c>
      <c r="AA513" s="472" t="s">
        <v>547</v>
      </c>
      <c r="AB513" s="463" t="s">
        <v>539</v>
      </c>
      <c r="AC513" s="463" t="s">
        <v>539</v>
      </c>
      <c r="AD513" s="472" t="s">
        <v>548</v>
      </c>
      <c r="AE513" s="463">
        <v>80</v>
      </c>
      <c r="AF513" s="463">
        <v>91.32</v>
      </c>
      <c r="AG513" s="463" t="s">
        <v>375</v>
      </c>
      <c r="AH513" s="476"/>
      <c r="AI513" s="472" t="s">
        <v>1622</v>
      </c>
      <c r="AJ513" s="464"/>
    </row>
    <row r="514" spans="2:36" ht="24" hidden="1" customHeight="1">
      <c r="B514" s="463">
        <v>420</v>
      </c>
      <c r="C514" s="464" t="s">
        <v>377</v>
      </c>
      <c r="D514" s="464" t="s">
        <v>544</v>
      </c>
      <c r="E514" s="464" t="s">
        <v>602</v>
      </c>
      <c r="F514" s="464"/>
      <c r="G514" s="464" t="s">
        <v>268</v>
      </c>
      <c r="H514" s="464" t="s">
        <v>1623</v>
      </c>
      <c r="I514" s="466">
        <v>300000</v>
      </c>
      <c r="J514" s="465" t="s">
        <v>537</v>
      </c>
      <c r="K514" s="465" t="s">
        <v>537</v>
      </c>
      <c r="L514" s="466">
        <v>266050</v>
      </c>
      <c r="M514" s="465" t="s">
        <v>537</v>
      </c>
      <c r="N514" s="465" t="s">
        <v>537</v>
      </c>
      <c r="O514" s="463" t="s">
        <v>537</v>
      </c>
      <c r="P514" s="463" t="s">
        <v>537</v>
      </c>
      <c r="Q514" s="468">
        <v>33950</v>
      </c>
      <c r="R514" s="470">
        <v>241459</v>
      </c>
      <c r="S514" s="463" t="s">
        <v>1624</v>
      </c>
      <c r="T514" s="463">
        <v>50</v>
      </c>
      <c r="U514" s="463">
        <v>10</v>
      </c>
      <c r="V514" s="463">
        <v>0</v>
      </c>
      <c r="W514" s="463">
        <v>35</v>
      </c>
      <c r="X514" s="463">
        <v>6</v>
      </c>
      <c r="Y514" s="463">
        <v>0</v>
      </c>
      <c r="Z514" s="463">
        <v>76</v>
      </c>
      <c r="AA514" s="472" t="s">
        <v>619</v>
      </c>
      <c r="AB514" s="463" t="s">
        <v>539</v>
      </c>
      <c r="AC514" s="463" t="s">
        <v>539</v>
      </c>
      <c r="AD514" s="472" t="s">
        <v>565</v>
      </c>
      <c r="AE514" s="463">
        <v>80</v>
      </c>
      <c r="AF514" s="463">
        <v>76</v>
      </c>
      <c r="AG514" s="463" t="s">
        <v>376</v>
      </c>
      <c r="AH514" s="476"/>
      <c r="AI514" s="472" t="s">
        <v>1625</v>
      </c>
      <c r="AJ514" s="464"/>
    </row>
    <row r="515" spans="2:36" ht="24" hidden="1" customHeight="1">
      <c r="B515" s="463">
        <v>421</v>
      </c>
      <c r="C515" s="464" t="s">
        <v>377</v>
      </c>
      <c r="D515" s="464" t="s">
        <v>544</v>
      </c>
      <c r="E515" s="464" t="s">
        <v>602</v>
      </c>
      <c r="F515" s="464"/>
      <c r="G515" s="464" t="s">
        <v>268</v>
      </c>
      <c r="H515" s="464" t="s">
        <v>1626</v>
      </c>
      <c r="I515" s="466">
        <v>50000</v>
      </c>
      <c r="J515" s="465" t="s">
        <v>537</v>
      </c>
      <c r="K515" s="465" t="s">
        <v>537</v>
      </c>
      <c r="L515" s="466">
        <v>48300</v>
      </c>
      <c r="M515" s="465" t="s">
        <v>537</v>
      </c>
      <c r="N515" s="465" t="s">
        <v>537</v>
      </c>
      <c r="O515" s="463" t="s">
        <v>537</v>
      </c>
      <c r="P515" s="463" t="s">
        <v>537</v>
      </c>
      <c r="Q515" s="468">
        <v>1700</v>
      </c>
      <c r="R515" s="470">
        <v>241579</v>
      </c>
      <c r="S515" s="463" t="s">
        <v>1627</v>
      </c>
      <c r="T515" s="463">
        <v>30</v>
      </c>
      <c r="U515" s="463">
        <v>0</v>
      </c>
      <c r="V515" s="463">
        <v>0</v>
      </c>
      <c r="W515" s="463">
        <v>23</v>
      </c>
      <c r="X515" s="463">
        <v>0</v>
      </c>
      <c r="Y515" s="463">
        <v>0</v>
      </c>
      <c r="Z515" s="463">
        <v>89.4</v>
      </c>
      <c r="AA515" s="472" t="s">
        <v>619</v>
      </c>
      <c r="AB515" s="463" t="s">
        <v>539</v>
      </c>
      <c r="AC515" s="463" t="s">
        <v>539</v>
      </c>
      <c r="AD515" s="472" t="s">
        <v>565</v>
      </c>
      <c r="AE515" s="463">
        <v>80</v>
      </c>
      <c r="AF515" s="463">
        <v>100</v>
      </c>
      <c r="AG515" s="463" t="s">
        <v>375</v>
      </c>
      <c r="AH515" s="476"/>
      <c r="AI515" s="472" t="s">
        <v>1589</v>
      </c>
      <c r="AJ515" s="464"/>
    </row>
    <row r="516" spans="2:36" ht="24" hidden="1" customHeight="1">
      <c r="B516" s="463">
        <v>422</v>
      </c>
      <c r="C516" s="464" t="s">
        <v>377</v>
      </c>
      <c r="D516" s="464" t="s">
        <v>544</v>
      </c>
      <c r="E516" s="464" t="s">
        <v>602</v>
      </c>
      <c r="F516" s="464"/>
      <c r="G516" s="464" t="s">
        <v>268</v>
      </c>
      <c r="H516" s="464" t="s">
        <v>1628</v>
      </c>
      <c r="I516" s="466">
        <v>60000</v>
      </c>
      <c r="J516" s="465" t="s">
        <v>537</v>
      </c>
      <c r="K516" s="465" t="s">
        <v>537</v>
      </c>
      <c r="L516" s="466">
        <v>54676</v>
      </c>
      <c r="M516" s="465" t="s">
        <v>537</v>
      </c>
      <c r="N516" s="465" t="s">
        <v>537</v>
      </c>
      <c r="O516" s="463" t="s">
        <v>537</v>
      </c>
      <c r="P516" s="463" t="s">
        <v>537</v>
      </c>
      <c r="Q516" s="468">
        <v>5324</v>
      </c>
      <c r="R516" s="470">
        <v>241579</v>
      </c>
      <c r="S516" s="471">
        <v>22460</v>
      </c>
      <c r="T516" s="463">
        <v>500</v>
      </c>
      <c r="U516" s="463">
        <v>0</v>
      </c>
      <c r="V516" s="463">
        <v>0</v>
      </c>
      <c r="W516" s="463">
        <v>2256</v>
      </c>
      <c r="X516" s="463">
        <v>125</v>
      </c>
      <c r="Y516" s="463">
        <v>0</v>
      </c>
      <c r="Z516" s="463">
        <v>77.599999999999994</v>
      </c>
      <c r="AA516" s="472" t="s">
        <v>619</v>
      </c>
      <c r="AB516" s="463" t="s">
        <v>539</v>
      </c>
      <c r="AC516" s="463" t="s">
        <v>539</v>
      </c>
      <c r="AD516" s="472" t="s">
        <v>565</v>
      </c>
      <c r="AE516" s="463">
        <v>80</v>
      </c>
      <c r="AF516" s="463">
        <v>77.599999999999994</v>
      </c>
      <c r="AG516" s="463" t="s">
        <v>376</v>
      </c>
      <c r="AH516" s="476"/>
      <c r="AI516" s="472" t="s">
        <v>1598</v>
      </c>
      <c r="AJ516" s="464"/>
    </row>
    <row r="517" spans="2:36" ht="24" hidden="1" customHeight="1">
      <c r="B517" s="463">
        <v>423</v>
      </c>
      <c r="C517" s="464" t="s">
        <v>377</v>
      </c>
      <c r="D517" s="464" t="s">
        <v>544</v>
      </c>
      <c r="E517" s="464" t="s">
        <v>602</v>
      </c>
      <c r="F517" s="464"/>
      <c r="G517" s="464" t="s">
        <v>268</v>
      </c>
      <c r="H517" s="464" t="s">
        <v>1629</v>
      </c>
      <c r="I517" s="466">
        <v>100000</v>
      </c>
      <c r="J517" s="465" t="s">
        <v>537</v>
      </c>
      <c r="K517" s="465" t="s">
        <v>537</v>
      </c>
      <c r="L517" s="466">
        <v>61768</v>
      </c>
      <c r="M517" s="465" t="s">
        <v>537</v>
      </c>
      <c r="N517" s="465" t="s">
        <v>537</v>
      </c>
      <c r="O517" s="463" t="s">
        <v>537</v>
      </c>
      <c r="P517" s="463" t="s">
        <v>537</v>
      </c>
      <c r="Q517" s="468">
        <v>38232</v>
      </c>
      <c r="R517" s="470">
        <v>241609</v>
      </c>
      <c r="S517" s="463" t="s">
        <v>1630</v>
      </c>
      <c r="T517" s="463">
        <v>500</v>
      </c>
      <c r="U517" s="463">
        <v>50</v>
      </c>
      <c r="V517" s="463">
        <v>50</v>
      </c>
      <c r="W517" s="463">
        <v>741</v>
      </c>
      <c r="X517" s="463">
        <v>71</v>
      </c>
      <c r="Y517" s="463">
        <v>2</v>
      </c>
      <c r="Z517" s="463">
        <v>80.650000000000006</v>
      </c>
      <c r="AA517" s="472" t="s">
        <v>619</v>
      </c>
      <c r="AB517" s="463" t="s">
        <v>539</v>
      </c>
      <c r="AC517" s="463" t="s">
        <v>539</v>
      </c>
      <c r="AD517" s="472" t="s">
        <v>565</v>
      </c>
      <c r="AE517" s="463">
        <v>80</v>
      </c>
      <c r="AF517" s="463">
        <v>80.650000000000006</v>
      </c>
      <c r="AG517" s="463" t="s">
        <v>375</v>
      </c>
      <c r="AH517" s="476"/>
      <c r="AI517" s="472">
        <v>815430968</v>
      </c>
      <c r="AJ517" s="464"/>
    </row>
    <row r="518" spans="2:36" ht="24" hidden="1" customHeight="1">
      <c r="B518" s="463">
        <v>424</v>
      </c>
      <c r="C518" s="464" t="s">
        <v>377</v>
      </c>
      <c r="D518" s="464" t="s">
        <v>544</v>
      </c>
      <c r="E518" s="464" t="s">
        <v>602</v>
      </c>
      <c r="F518" s="464"/>
      <c r="G518" s="464" t="s">
        <v>268</v>
      </c>
      <c r="H518" s="464" t="s">
        <v>1631</v>
      </c>
      <c r="I518" s="466">
        <v>100000</v>
      </c>
      <c r="J518" s="465" t="s">
        <v>537</v>
      </c>
      <c r="K518" s="465" t="s">
        <v>537</v>
      </c>
      <c r="L518" s="466">
        <v>80076</v>
      </c>
      <c r="M518" s="465" t="s">
        <v>537</v>
      </c>
      <c r="N518" s="465" t="s">
        <v>537</v>
      </c>
      <c r="O518" s="463" t="s">
        <v>537</v>
      </c>
      <c r="P518" s="463" t="s">
        <v>537</v>
      </c>
      <c r="Q518" s="468">
        <v>19924</v>
      </c>
      <c r="R518" s="470">
        <v>241518</v>
      </c>
      <c r="S518" s="471">
        <v>22456</v>
      </c>
      <c r="T518" s="463">
        <v>300</v>
      </c>
      <c r="U518" s="463">
        <v>20</v>
      </c>
      <c r="V518" s="463">
        <v>180</v>
      </c>
      <c r="W518" s="463">
        <v>481</v>
      </c>
      <c r="X518" s="463">
        <v>6</v>
      </c>
      <c r="Y518" s="463">
        <v>16</v>
      </c>
      <c r="Z518" s="463">
        <v>87.4</v>
      </c>
      <c r="AA518" s="472" t="s">
        <v>619</v>
      </c>
      <c r="AB518" s="463" t="s">
        <v>539</v>
      </c>
      <c r="AC518" s="463" t="s">
        <v>539</v>
      </c>
      <c r="AD518" s="472" t="s">
        <v>565</v>
      </c>
      <c r="AE518" s="463">
        <v>80</v>
      </c>
      <c r="AF518" s="463">
        <v>88.84</v>
      </c>
      <c r="AG518" s="463" t="s">
        <v>375</v>
      </c>
      <c r="AH518" s="476"/>
      <c r="AI518" s="472">
        <v>86560982</v>
      </c>
      <c r="AJ518" s="464"/>
    </row>
    <row r="519" spans="2:36" ht="24" hidden="1" customHeight="1">
      <c r="B519" s="463">
        <v>425</v>
      </c>
      <c r="C519" s="464" t="s">
        <v>377</v>
      </c>
      <c r="D519" s="464" t="s">
        <v>544</v>
      </c>
      <c r="E519" s="464" t="s">
        <v>602</v>
      </c>
      <c r="F519" s="464"/>
      <c r="G519" s="464" t="s">
        <v>268</v>
      </c>
      <c r="H519" s="464" t="s">
        <v>1632</v>
      </c>
      <c r="I519" s="466">
        <v>80000</v>
      </c>
      <c r="J519" s="465" t="s">
        <v>537</v>
      </c>
      <c r="K519" s="465" t="s">
        <v>537</v>
      </c>
      <c r="L519" s="466">
        <v>45700</v>
      </c>
      <c r="M519" s="465" t="s">
        <v>537</v>
      </c>
      <c r="N519" s="465" t="s">
        <v>537</v>
      </c>
      <c r="O519" s="463" t="s">
        <v>537</v>
      </c>
      <c r="P519" s="463" t="s">
        <v>537</v>
      </c>
      <c r="Q519" s="468">
        <v>34300</v>
      </c>
      <c r="R519" s="470">
        <v>241609</v>
      </c>
      <c r="S519" s="471">
        <v>22524</v>
      </c>
      <c r="T519" s="463">
        <v>100</v>
      </c>
      <c r="U519" s="463">
        <v>0</v>
      </c>
      <c r="V519" s="463">
        <v>0</v>
      </c>
      <c r="W519" s="463">
        <v>317</v>
      </c>
      <c r="X519" s="463">
        <v>0</v>
      </c>
      <c r="Y519" s="463">
        <v>74</v>
      </c>
      <c r="Z519" s="463">
        <v>89.6</v>
      </c>
      <c r="AA519" s="472" t="s">
        <v>612</v>
      </c>
      <c r="AB519" s="463" t="s">
        <v>539</v>
      </c>
      <c r="AC519" s="463" t="s">
        <v>539</v>
      </c>
      <c r="AD519" s="472" t="s">
        <v>565</v>
      </c>
      <c r="AE519" s="463">
        <v>80</v>
      </c>
      <c r="AF519" s="463">
        <v>89.6</v>
      </c>
      <c r="AG519" s="463" t="s">
        <v>375</v>
      </c>
      <c r="AH519" s="476"/>
      <c r="AI519" s="472" t="s">
        <v>1598</v>
      </c>
      <c r="AJ519" s="464"/>
    </row>
    <row r="520" spans="2:36" ht="24" hidden="1" customHeight="1">
      <c r="B520" s="701">
        <v>426</v>
      </c>
      <c r="C520" s="699" t="s">
        <v>534</v>
      </c>
      <c r="D520" s="699" t="s">
        <v>544</v>
      </c>
      <c r="E520" s="699" t="s">
        <v>1633</v>
      </c>
      <c r="F520" s="699"/>
      <c r="G520" s="699" t="s">
        <v>268</v>
      </c>
      <c r="H520" s="699" t="s">
        <v>636</v>
      </c>
      <c r="I520" s="712">
        <v>1200000</v>
      </c>
      <c r="J520" s="709" t="s">
        <v>537</v>
      </c>
      <c r="K520" s="709" t="s">
        <v>537</v>
      </c>
      <c r="L520" s="709">
        <v>0</v>
      </c>
      <c r="M520" s="709" t="s">
        <v>537</v>
      </c>
      <c r="N520" s="709" t="s">
        <v>537</v>
      </c>
      <c r="O520" s="723">
        <v>1200000</v>
      </c>
      <c r="P520" s="701" t="s">
        <v>537</v>
      </c>
      <c r="Q520" s="709">
        <v>0</v>
      </c>
      <c r="R520" s="707">
        <v>241609</v>
      </c>
      <c r="S520" s="699"/>
      <c r="T520" s="701">
        <v>1500</v>
      </c>
      <c r="U520" s="701">
        <v>100</v>
      </c>
      <c r="V520" s="701">
        <v>200</v>
      </c>
      <c r="W520" s="699"/>
      <c r="X520" s="699"/>
      <c r="Y520" s="699"/>
      <c r="Z520" s="699"/>
      <c r="AA520" s="697" t="s">
        <v>1304</v>
      </c>
      <c r="AB520" s="701" t="s">
        <v>539</v>
      </c>
      <c r="AC520" s="699"/>
      <c r="AD520" s="697" t="s">
        <v>565</v>
      </c>
      <c r="AE520" s="701">
        <v>80</v>
      </c>
      <c r="AF520" s="699"/>
      <c r="AG520" s="701" t="s">
        <v>376</v>
      </c>
      <c r="AH520" s="728"/>
      <c r="AI520" s="697" t="s">
        <v>566</v>
      </c>
      <c r="AJ520" s="699"/>
    </row>
    <row r="521" spans="2:36" ht="24" hidden="1" customHeight="1">
      <c r="B521" s="702"/>
      <c r="C521" s="700"/>
      <c r="D521" s="700"/>
      <c r="E521" s="700"/>
      <c r="F521" s="700"/>
      <c r="G521" s="700"/>
      <c r="H521" s="700"/>
      <c r="I521" s="713"/>
      <c r="J521" s="710"/>
      <c r="K521" s="710"/>
      <c r="L521" s="710"/>
      <c r="M521" s="710"/>
      <c r="N521" s="710"/>
      <c r="O521" s="724"/>
      <c r="P521" s="702"/>
      <c r="Q521" s="710"/>
      <c r="R521" s="708"/>
      <c r="S521" s="700"/>
      <c r="T521" s="702"/>
      <c r="U521" s="702"/>
      <c r="V521" s="702"/>
      <c r="W521" s="700"/>
      <c r="X521" s="700"/>
      <c r="Y521" s="700"/>
      <c r="Z521" s="700"/>
      <c r="AA521" s="698"/>
      <c r="AB521" s="702"/>
      <c r="AC521" s="700"/>
      <c r="AD521" s="698"/>
      <c r="AE521" s="702"/>
      <c r="AF521" s="700"/>
      <c r="AG521" s="702"/>
      <c r="AH521" s="729"/>
      <c r="AI521" s="698"/>
      <c r="AJ521" s="700"/>
    </row>
    <row r="522" spans="2:36" ht="24" hidden="1" customHeight="1">
      <c r="B522" s="463">
        <v>427</v>
      </c>
      <c r="C522" s="464" t="s">
        <v>534</v>
      </c>
      <c r="D522" s="464" t="s">
        <v>544</v>
      </c>
      <c r="E522" s="464" t="s">
        <v>1633</v>
      </c>
      <c r="F522" s="464"/>
      <c r="G522" s="464" t="s">
        <v>268</v>
      </c>
      <c r="H522" s="464" t="s">
        <v>1634</v>
      </c>
      <c r="I522" s="466">
        <v>200000</v>
      </c>
      <c r="J522" s="465" t="s">
        <v>537</v>
      </c>
      <c r="K522" s="465" t="s">
        <v>537</v>
      </c>
      <c r="L522" s="466">
        <v>137672</v>
      </c>
      <c r="M522" s="465" t="s">
        <v>537</v>
      </c>
      <c r="N522" s="465" t="s">
        <v>537</v>
      </c>
      <c r="O522" s="463" t="s">
        <v>537</v>
      </c>
      <c r="P522" s="463" t="s">
        <v>537</v>
      </c>
      <c r="Q522" s="468">
        <v>62328</v>
      </c>
      <c r="R522" s="463" t="s">
        <v>646</v>
      </c>
      <c r="S522" s="463" t="s">
        <v>1635</v>
      </c>
      <c r="T522" s="463">
        <v>103</v>
      </c>
      <c r="U522" s="463">
        <v>22</v>
      </c>
      <c r="V522" s="463">
        <v>0</v>
      </c>
      <c r="W522" s="463">
        <v>101</v>
      </c>
      <c r="X522" s="463">
        <v>25</v>
      </c>
      <c r="Y522" s="463">
        <v>0</v>
      </c>
      <c r="Z522" s="463">
        <v>90</v>
      </c>
      <c r="AA522" s="472" t="s">
        <v>1636</v>
      </c>
      <c r="AB522" s="463">
        <v>1</v>
      </c>
      <c r="AC522" s="463">
        <v>2</v>
      </c>
      <c r="AD522" s="472" t="s">
        <v>1637</v>
      </c>
      <c r="AE522" s="463">
        <v>1</v>
      </c>
      <c r="AF522" s="463">
        <v>1</v>
      </c>
      <c r="AG522" s="463" t="s">
        <v>375</v>
      </c>
      <c r="AH522" s="476"/>
      <c r="AI522" s="472">
        <v>970495459</v>
      </c>
      <c r="AJ522" s="464"/>
    </row>
    <row r="523" spans="2:36" ht="24" hidden="1" customHeight="1">
      <c r="B523" s="463">
        <v>428</v>
      </c>
      <c r="C523" s="464" t="s">
        <v>534</v>
      </c>
      <c r="D523" s="464" t="s">
        <v>544</v>
      </c>
      <c r="E523" s="464" t="s">
        <v>1633</v>
      </c>
      <c r="F523" s="464"/>
      <c r="G523" s="464" t="s">
        <v>268</v>
      </c>
      <c r="H523" s="464" t="s">
        <v>1638</v>
      </c>
      <c r="I523" s="466">
        <v>500000</v>
      </c>
      <c r="J523" s="465" t="s">
        <v>537</v>
      </c>
      <c r="K523" s="465" t="s">
        <v>537</v>
      </c>
      <c r="L523" s="466">
        <v>463183</v>
      </c>
      <c r="M523" s="465" t="s">
        <v>537</v>
      </c>
      <c r="N523" s="465" t="s">
        <v>537</v>
      </c>
      <c r="O523" s="463" t="s">
        <v>537</v>
      </c>
      <c r="P523" s="463" t="s">
        <v>537</v>
      </c>
      <c r="Q523" s="468">
        <v>36817</v>
      </c>
      <c r="R523" s="470">
        <v>241428</v>
      </c>
      <c r="S523" s="463" t="s">
        <v>1639</v>
      </c>
      <c r="T523" s="463">
        <v>43</v>
      </c>
      <c r="U523" s="463">
        <v>22</v>
      </c>
      <c r="V523" s="463">
        <v>0</v>
      </c>
      <c r="W523" s="463">
        <v>35</v>
      </c>
      <c r="X523" s="463">
        <v>18</v>
      </c>
      <c r="Y523" s="463">
        <v>0</v>
      </c>
      <c r="Z523" s="463">
        <v>95.4</v>
      </c>
      <c r="AA523" s="472" t="s">
        <v>1640</v>
      </c>
      <c r="AB523" s="463">
        <v>1</v>
      </c>
      <c r="AC523" s="463">
        <v>0</v>
      </c>
      <c r="AD523" s="472" t="s">
        <v>1641</v>
      </c>
      <c r="AE523" s="463">
        <v>1</v>
      </c>
      <c r="AF523" s="463">
        <v>9</v>
      </c>
      <c r="AG523" s="463" t="s">
        <v>375</v>
      </c>
      <c r="AH523" s="476"/>
      <c r="AI523" s="472">
        <v>970495459</v>
      </c>
      <c r="AJ523" s="464"/>
    </row>
    <row r="524" spans="2:36" ht="24" hidden="1" customHeight="1">
      <c r="B524" s="463">
        <v>429</v>
      </c>
      <c r="C524" s="464" t="s">
        <v>534</v>
      </c>
      <c r="D524" s="464" t="s">
        <v>544</v>
      </c>
      <c r="E524" s="464" t="s">
        <v>1633</v>
      </c>
      <c r="F524" s="464"/>
      <c r="G524" s="464" t="s">
        <v>268</v>
      </c>
      <c r="H524" s="464" t="s">
        <v>1642</v>
      </c>
      <c r="I524" s="466">
        <v>1400000</v>
      </c>
      <c r="J524" s="465" t="s">
        <v>537</v>
      </c>
      <c r="K524" s="465" t="s">
        <v>537</v>
      </c>
      <c r="L524" s="466">
        <v>1343703</v>
      </c>
      <c r="M524" s="465" t="s">
        <v>537</v>
      </c>
      <c r="N524" s="465" t="s">
        <v>537</v>
      </c>
      <c r="O524" s="463" t="s">
        <v>537</v>
      </c>
      <c r="P524" s="463" t="s">
        <v>537</v>
      </c>
      <c r="Q524" s="468">
        <v>56297</v>
      </c>
      <c r="R524" s="470">
        <v>241459</v>
      </c>
      <c r="S524" s="463" t="s">
        <v>1624</v>
      </c>
      <c r="T524" s="463">
        <v>169</v>
      </c>
      <c r="U524" s="463">
        <v>40</v>
      </c>
      <c r="V524" s="463">
        <v>0</v>
      </c>
      <c r="W524" s="463">
        <v>143</v>
      </c>
      <c r="X524" s="463">
        <v>40</v>
      </c>
      <c r="Y524" s="463">
        <v>0</v>
      </c>
      <c r="Z524" s="463">
        <v>77.14</v>
      </c>
      <c r="AA524" s="472" t="s">
        <v>728</v>
      </c>
      <c r="AB524" s="463">
        <v>1</v>
      </c>
      <c r="AC524" s="463">
        <v>33</v>
      </c>
      <c r="AD524" s="472" t="s">
        <v>1592</v>
      </c>
      <c r="AE524" s="463">
        <v>1</v>
      </c>
      <c r="AF524" s="463">
        <v>5</v>
      </c>
      <c r="AG524" s="463" t="s">
        <v>375</v>
      </c>
      <c r="AH524" s="476"/>
      <c r="AI524" s="472">
        <v>970495459</v>
      </c>
      <c r="AJ524" s="464"/>
    </row>
    <row r="525" spans="2:36" ht="24" hidden="1" customHeight="1">
      <c r="B525" s="463">
        <v>430</v>
      </c>
      <c r="C525" s="464" t="s">
        <v>534</v>
      </c>
      <c r="D525" s="464"/>
      <c r="E525" s="464" t="s">
        <v>535</v>
      </c>
      <c r="F525" s="464"/>
      <c r="G525" s="464" t="s">
        <v>1643</v>
      </c>
      <c r="H525" s="464" t="s">
        <v>1644</v>
      </c>
      <c r="I525" s="465" t="s">
        <v>537</v>
      </c>
      <c r="J525" s="465" t="s">
        <v>537</v>
      </c>
      <c r="K525" s="466">
        <v>300000</v>
      </c>
      <c r="L525" s="465" t="s">
        <v>537</v>
      </c>
      <c r="M525" s="465" t="s">
        <v>537</v>
      </c>
      <c r="N525" s="466">
        <v>298490.17</v>
      </c>
      <c r="O525" s="463" t="s">
        <v>537</v>
      </c>
      <c r="P525" s="463" t="s">
        <v>537</v>
      </c>
      <c r="Q525" s="468">
        <v>1510</v>
      </c>
      <c r="R525" s="463" t="s">
        <v>1645</v>
      </c>
      <c r="S525" s="463" t="s">
        <v>1646</v>
      </c>
      <c r="T525" s="463">
        <v>0</v>
      </c>
      <c r="U525" s="463">
        <v>0</v>
      </c>
      <c r="V525" s="463">
        <v>0</v>
      </c>
      <c r="W525" s="463">
        <v>0</v>
      </c>
      <c r="X525" s="463">
        <v>0</v>
      </c>
      <c r="Y525" s="463">
        <v>50000</v>
      </c>
      <c r="Z525" s="463">
        <v>90</v>
      </c>
      <c r="AA525" s="472" t="s">
        <v>1647</v>
      </c>
      <c r="AB525" s="463" t="s">
        <v>539</v>
      </c>
      <c r="AC525" s="463" t="s">
        <v>539</v>
      </c>
      <c r="AD525" s="472" t="s">
        <v>1648</v>
      </c>
      <c r="AE525" s="463">
        <v>80</v>
      </c>
      <c r="AF525" s="463">
        <v>90</v>
      </c>
      <c r="AG525" s="463" t="s">
        <v>375</v>
      </c>
      <c r="AH525" s="476"/>
      <c r="AI525" s="472">
        <v>848487155</v>
      </c>
      <c r="AJ525" s="472" t="s">
        <v>792</v>
      </c>
    </row>
    <row r="526" spans="2:36" ht="24" hidden="1" customHeight="1">
      <c r="B526" s="463">
        <v>431</v>
      </c>
      <c r="C526" s="464" t="s">
        <v>534</v>
      </c>
      <c r="D526" s="464"/>
      <c r="E526" s="464" t="s">
        <v>535</v>
      </c>
      <c r="F526" s="464"/>
      <c r="G526" s="464" t="s">
        <v>60</v>
      </c>
      <c r="H526" s="464" t="s">
        <v>1649</v>
      </c>
      <c r="I526" s="465" t="s">
        <v>537</v>
      </c>
      <c r="J526" s="465" t="s">
        <v>537</v>
      </c>
      <c r="K526" s="466">
        <v>41990</v>
      </c>
      <c r="L526" s="465" t="s">
        <v>537</v>
      </c>
      <c r="M526" s="465" t="s">
        <v>537</v>
      </c>
      <c r="N526" s="466">
        <v>33060</v>
      </c>
      <c r="O526" s="463" t="s">
        <v>537</v>
      </c>
      <c r="P526" s="463" t="s">
        <v>537</v>
      </c>
      <c r="Q526" s="468">
        <v>8930</v>
      </c>
      <c r="R526" s="470">
        <v>241609</v>
      </c>
      <c r="S526" s="463" t="s">
        <v>1630</v>
      </c>
      <c r="T526" s="463">
        <v>5</v>
      </c>
      <c r="U526" s="463">
        <v>13</v>
      </c>
      <c r="V526" s="463">
        <v>13</v>
      </c>
      <c r="W526" s="463">
        <v>12</v>
      </c>
      <c r="X526" s="463">
        <v>35</v>
      </c>
      <c r="Y526" s="463">
        <v>6</v>
      </c>
      <c r="Z526" s="463">
        <v>88.21</v>
      </c>
      <c r="AA526" s="464"/>
      <c r="AB526" s="464"/>
      <c r="AC526" s="464"/>
      <c r="AD526" s="464"/>
      <c r="AE526" s="464"/>
      <c r="AF526" s="464"/>
      <c r="AG526" s="463" t="s">
        <v>376</v>
      </c>
      <c r="AH526" s="476"/>
      <c r="AI526" s="472" t="s">
        <v>1650</v>
      </c>
      <c r="AJ526" s="472" t="s">
        <v>792</v>
      </c>
    </row>
    <row r="527" spans="2:36" ht="24" hidden="1" customHeight="1">
      <c r="B527" s="463">
        <v>432</v>
      </c>
      <c r="C527" s="464" t="s">
        <v>534</v>
      </c>
      <c r="D527" s="464"/>
      <c r="E527" s="464" t="s">
        <v>535</v>
      </c>
      <c r="F527" s="464"/>
      <c r="G527" s="464" t="s">
        <v>60</v>
      </c>
      <c r="H527" s="464" t="s">
        <v>1651</v>
      </c>
      <c r="I527" s="466">
        <v>25000</v>
      </c>
      <c r="J527" s="465" t="s">
        <v>537</v>
      </c>
      <c r="K527" s="465" t="s">
        <v>537</v>
      </c>
      <c r="L527" s="466">
        <v>25000</v>
      </c>
      <c r="M527" s="465" t="s">
        <v>537</v>
      </c>
      <c r="N527" s="465" t="s">
        <v>537</v>
      </c>
      <c r="O527" s="463" t="s">
        <v>537</v>
      </c>
      <c r="P527" s="463" t="s">
        <v>537</v>
      </c>
      <c r="Q527" s="465">
        <v>0</v>
      </c>
      <c r="R527" s="470">
        <v>241487</v>
      </c>
      <c r="S527" s="463" t="s">
        <v>1652</v>
      </c>
      <c r="T527" s="463">
        <v>3</v>
      </c>
      <c r="U527" s="463">
        <v>1</v>
      </c>
      <c r="V527" s="463">
        <v>0</v>
      </c>
      <c r="W527" s="463">
        <v>3</v>
      </c>
      <c r="X527" s="463">
        <v>1</v>
      </c>
      <c r="Y527" s="463">
        <v>0</v>
      </c>
      <c r="Z527" s="463">
        <v>95</v>
      </c>
      <c r="AA527" s="472" t="s">
        <v>677</v>
      </c>
      <c r="AB527" s="463" t="s">
        <v>539</v>
      </c>
      <c r="AC527" s="463" t="s">
        <v>539</v>
      </c>
      <c r="AD527" s="472" t="s">
        <v>1653</v>
      </c>
      <c r="AE527" s="463" t="s">
        <v>539</v>
      </c>
      <c r="AF527" s="463" t="s">
        <v>539</v>
      </c>
      <c r="AG527" s="463" t="s">
        <v>375</v>
      </c>
      <c r="AH527" s="476"/>
      <c r="AI527" s="472" t="s">
        <v>1654</v>
      </c>
      <c r="AJ527" s="464"/>
    </row>
    <row r="528" spans="2:36" ht="24" hidden="1" customHeight="1">
      <c r="B528" s="463">
        <v>433</v>
      </c>
      <c r="C528" s="464" t="s">
        <v>534</v>
      </c>
      <c r="D528" s="464"/>
      <c r="E528" s="464" t="s">
        <v>535</v>
      </c>
      <c r="F528" s="464"/>
      <c r="G528" s="464" t="s">
        <v>60</v>
      </c>
      <c r="H528" s="464" t="s">
        <v>1655</v>
      </c>
      <c r="I528" s="466">
        <v>25000</v>
      </c>
      <c r="J528" s="465" t="s">
        <v>537</v>
      </c>
      <c r="K528" s="465" t="s">
        <v>537</v>
      </c>
      <c r="L528" s="466">
        <v>25000</v>
      </c>
      <c r="M528" s="465" t="s">
        <v>537</v>
      </c>
      <c r="N528" s="465" t="s">
        <v>537</v>
      </c>
      <c r="O528" s="463" t="s">
        <v>537</v>
      </c>
      <c r="P528" s="463" t="s">
        <v>537</v>
      </c>
      <c r="Q528" s="465">
        <v>0</v>
      </c>
      <c r="R528" s="470">
        <v>241487</v>
      </c>
      <c r="S528" s="463" t="s">
        <v>1652</v>
      </c>
      <c r="T528" s="463">
        <v>3</v>
      </c>
      <c r="U528" s="463">
        <v>1</v>
      </c>
      <c r="V528" s="463">
        <v>0</v>
      </c>
      <c r="W528" s="463">
        <v>3</v>
      </c>
      <c r="X528" s="463">
        <v>1</v>
      </c>
      <c r="Y528" s="463">
        <v>0</v>
      </c>
      <c r="Z528" s="463">
        <v>95</v>
      </c>
      <c r="AA528" s="472" t="s">
        <v>677</v>
      </c>
      <c r="AB528" s="463" t="s">
        <v>539</v>
      </c>
      <c r="AC528" s="463" t="s">
        <v>539</v>
      </c>
      <c r="AD528" s="472" t="s">
        <v>1653</v>
      </c>
      <c r="AE528" s="463" t="s">
        <v>539</v>
      </c>
      <c r="AF528" s="463" t="s">
        <v>539</v>
      </c>
      <c r="AG528" s="463" t="s">
        <v>375</v>
      </c>
      <c r="AH528" s="476"/>
      <c r="AI528" s="472" t="s">
        <v>1656</v>
      </c>
      <c r="AJ528" s="464"/>
    </row>
    <row r="529" spans="2:36" ht="24" hidden="1" customHeight="1">
      <c r="B529" s="463">
        <v>434</v>
      </c>
      <c r="C529" s="464" t="s">
        <v>534</v>
      </c>
      <c r="D529" s="464"/>
      <c r="E529" s="464" t="s">
        <v>535</v>
      </c>
      <c r="F529" s="464"/>
      <c r="G529" s="464" t="s">
        <v>60</v>
      </c>
      <c r="H529" s="464" t="s">
        <v>1657</v>
      </c>
      <c r="I529" s="466">
        <v>25000</v>
      </c>
      <c r="J529" s="465" t="s">
        <v>537</v>
      </c>
      <c r="K529" s="465" t="s">
        <v>537</v>
      </c>
      <c r="L529" s="466">
        <v>25000</v>
      </c>
      <c r="M529" s="465" t="s">
        <v>537</v>
      </c>
      <c r="N529" s="465" t="s">
        <v>537</v>
      </c>
      <c r="O529" s="463" t="s">
        <v>537</v>
      </c>
      <c r="P529" s="463" t="s">
        <v>537</v>
      </c>
      <c r="Q529" s="465">
        <v>0</v>
      </c>
      <c r="R529" s="470">
        <v>241487</v>
      </c>
      <c r="S529" s="463" t="s">
        <v>1652</v>
      </c>
      <c r="T529" s="463">
        <v>3</v>
      </c>
      <c r="U529" s="463">
        <v>1</v>
      </c>
      <c r="V529" s="463">
        <v>0</v>
      </c>
      <c r="W529" s="463">
        <v>4</v>
      </c>
      <c r="X529" s="463">
        <v>1</v>
      </c>
      <c r="Y529" s="463">
        <v>0</v>
      </c>
      <c r="Z529" s="463">
        <v>95</v>
      </c>
      <c r="AA529" s="472" t="s">
        <v>677</v>
      </c>
      <c r="AB529" s="463" t="s">
        <v>539</v>
      </c>
      <c r="AC529" s="463" t="s">
        <v>539</v>
      </c>
      <c r="AD529" s="472" t="s">
        <v>1653</v>
      </c>
      <c r="AE529" s="463" t="s">
        <v>539</v>
      </c>
      <c r="AF529" s="463" t="s">
        <v>539</v>
      </c>
      <c r="AG529" s="463" t="s">
        <v>375</v>
      </c>
      <c r="AH529" s="476"/>
      <c r="AI529" s="472" t="s">
        <v>1656</v>
      </c>
      <c r="AJ529" s="464"/>
    </row>
    <row r="530" spans="2:36" ht="24" hidden="1" customHeight="1">
      <c r="B530" s="463">
        <v>435</v>
      </c>
      <c r="C530" s="464" t="s">
        <v>534</v>
      </c>
      <c r="D530" s="464"/>
      <c r="E530" s="464" t="s">
        <v>535</v>
      </c>
      <c r="F530" s="464"/>
      <c r="G530" s="464" t="s">
        <v>60</v>
      </c>
      <c r="H530" s="464" t="s">
        <v>1658</v>
      </c>
      <c r="I530" s="466">
        <v>43320</v>
      </c>
      <c r="J530" s="465" t="s">
        <v>537</v>
      </c>
      <c r="K530" s="465" t="s">
        <v>537</v>
      </c>
      <c r="L530" s="466">
        <v>43320</v>
      </c>
      <c r="M530" s="465" t="s">
        <v>537</v>
      </c>
      <c r="N530" s="465" t="s">
        <v>537</v>
      </c>
      <c r="O530" s="463" t="s">
        <v>537</v>
      </c>
      <c r="P530" s="463" t="s">
        <v>537</v>
      </c>
      <c r="Q530" s="465">
        <v>0</v>
      </c>
      <c r="R530" s="463" t="s">
        <v>976</v>
      </c>
      <c r="S530" s="463" t="s">
        <v>1652</v>
      </c>
      <c r="T530" s="463">
        <v>2</v>
      </c>
      <c r="U530" s="463">
        <v>33</v>
      </c>
      <c r="V530" s="463">
        <v>0</v>
      </c>
      <c r="W530" s="463">
        <v>25</v>
      </c>
      <c r="X530" s="463">
        <v>8</v>
      </c>
      <c r="Y530" s="463">
        <v>0</v>
      </c>
      <c r="Z530" s="463">
        <v>95</v>
      </c>
      <c r="AA530" s="472" t="s">
        <v>1659</v>
      </c>
      <c r="AB530" s="463" t="s">
        <v>539</v>
      </c>
      <c r="AC530" s="463" t="s">
        <v>539</v>
      </c>
      <c r="AD530" s="472" t="s">
        <v>1660</v>
      </c>
      <c r="AE530" s="463" t="s">
        <v>539</v>
      </c>
      <c r="AF530" s="463" t="s">
        <v>539</v>
      </c>
      <c r="AG530" s="463" t="s">
        <v>375</v>
      </c>
      <c r="AH530" s="476"/>
      <c r="AI530" s="472" t="s">
        <v>1661</v>
      </c>
      <c r="AJ530" s="464"/>
    </row>
    <row r="531" spans="2:36" ht="24" hidden="1" customHeight="1">
      <c r="B531" s="463">
        <v>436</v>
      </c>
      <c r="C531" s="464" t="s">
        <v>534</v>
      </c>
      <c r="D531" s="464"/>
      <c r="E531" s="464" t="s">
        <v>535</v>
      </c>
      <c r="F531" s="464"/>
      <c r="G531" s="464" t="s">
        <v>60</v>
      </c>
      <c r="H531" s="464" t="s">
        <v>1662</v>
      </c>
      <c r="I531" s="466">
        <v>31680</v>
      </c>
      <c r="J531" s="465" t="s">
        <v>537</v>
      </c>
      <c r="K531" s="465" t="s">
        <v>537</v>
      </c>
      <c r="L531" s="466">
        <v>31680</v>
      </c>
      <c r="M531" s="465" t="s">
        <v>537</v>
      </c>
      <c r="N531" s="465" t="s">
        <v>537</v>
      </c>
      <c r="O531" s="463" t="s">
        <v>537</v>
      </c>
      <c r="P531" s="463" t="s">
        <v>537</v>
      </c>
      <c r="Q531" s="465">
        <v>0</v>
      </c>
      <c r="R531" s="463" t="s">
        <v>976</v>
      </c>
      <c r="S531" s="463" t="s">
        <v>1652</v>
      </c>
      <c r="T531" s="463">
        <v>3</v>
      </c>
      <c r="U531" s="463">
        <v>3</v>
      </c>
      <c r="V531" s="463">
        <v>0</v>
      </c>
      <c r="W531" s="463">
        <v>3</v>
      </c>
      <c r="X531" s="463">
        <v>3</v>
      </c>
      <c r="Y531" s="463">
        <v>0</v>
      </c>
      <c r="Z531" s="463">
        <v>95</v>
      </c>
      <c r="AA531" s="472" t="s">
        <v>1663</v>
      </c>
      <c r="AB531" s="463" t="s">
        <v>539</v>
      </c>
      <c r="AC531" s="463" t="s">
        <v>539</v>
      </c>
      <c r="AD531" s="472" t="s">
        <v>1664</v>
      </c>
      <c r="AE531" s="463" t="s">
        <v>539</v>
      </c>
      <c r="AF531" s="463" t="s">
        <v>539</v>
      </c>
      <c r="AG531" s="463" t="s">
        <v>375</v>
      </c>
      <c r="AH531" s="476"/>
      <c r="AI531" s="472" t="s">
        <v>1665</v>
      </c>
      <c r="AJ531" s="464"/>
    </row>
    <row r="532" spans="2:36" ht="24" hidden="1" customHeight="1">
      <c r="B532" s="463">
        <v>437</v>
      </c>
      <c r="C532" s="464" t="s">
        <v>534</v>
      </c>
      <c r="D532" s="464"/>
      <c r="E532" s="464" t="s">
        <v>535</v>
      </c>
      <c r="F532" s="464"/>
      <c r="G532" s="464" t="s">
        <v>60</v>
      </c>
      <c r="H532" s="464" t="s">
        <v>1666</v>
      </c>
      <c r="I532" s="466">
        <v>10000</v>
      </c>
      <c r="J532" s="465" t="s">
        <v>537</v>
      </c>
      <c r="K532" s="465" t="s">
        <v>537</v>
      </c>
      <c r="L532" s="466">
        <v>10000</v>
      </c>
      <c r="M532" s="465" t="s">
        <v>537</v>
      </c>
      <c r="N532" s="465" t="s">
        <v>537</v>
      </c>
      <c r="O532" s="463" t="s">
        <v>537</v>
      </c>
      <c r="P532" s="463" t="s">
        <v>537</v>
      </c>
      <c r="Q532" s="465">
        <v>0</v>
      </c>
      <c r="R532" s="470">
        <v>241487</v>
      </c>
      <c r="S532" s="463" t="s">
        <v>1652</v>
      </c>
      <c r="T532" s="463">
        <v>2</v>
      </c>
      <c r="U532" s="463">
        <v>1</v>
      </c>
      <c r="V532" s="463">
        <v>0</v>
      </c>
      <c r="W532" s="463">
        <v>2</v>
      </c>
      <c r="X532" s="463">
        <v>1</v>
      </c>
      <c r="Y532" s="463">
        <v>0</v>
      </c>
      <c r="Z532" s="463">
        <v>95</v>
      </c>
      <c r="AA532" s="472" t="s">
        <v>677</v>
      </c>
      <c r="AB532" s="463" t="s">
        <v>539</v>
      </c>
      <c r="AC532" s="463" t="s">
        <v>539</v>
      </c>
      <c r="AD532" s="472" t="s">
        <v>1653</v>
      </c>
      <c r="AE532" s="463" t="s">
        <v>539</v>
      </c>
      <c r="AF532" s="463" t="s">
        <v>539</v>
      </c>
      <c r="AG532" s="463" t="s">
        <v>375</v>
      </c>
      <c r="AH532" s="476"/>
      <c r="AI532" s="472" t="s">
        <v>1667</v>
      </c>
      <c r="AJ532" s="464"/>
    </row>
    <row r="533" spans="2:36" ht="24" hidden="1" customHeight="1">
      <c r="B533" s="463">
        <v>438</v>
      </c>
      <c r="C533" s="464" t="s">
        <v>534</v>
      </c>
      <c r="D533" s="464"/>
      <c r="E533" s="464" t="s">
        <v>535</v>
      </c>
      <c r="F533" s="464"/>
      <c r="G533" s="464" t="s">
        <v>60</v>
      </c>
      <c r="H533" s="464" t="s">
        <v>1668</v>
      </c>
      <c r="I533" s="466">
        <v>15000</v>
      </c>
      <c r="J533" s="465" t="s">
        <v>537</v>
      </c>
      <c r="K533" s="465" t="s">
        <v>537</v>
      </c>
      <c r="L533" s="466">
        <v>14910</v>
      </c>
      <c r="M533" s="465" t="s">
        <v>537</v>
      </c>
      <c r="N533" s="465" t="s">
        <v>537</v>
      </c>
      <c r="O533" s="463" t="s">
        <v>537</v>
      </c>
      <c r="P533" s="463" t="s">
        <v>537</v>
      </c>
      <c r="Q533" s="465">
        <v>90</v>
      </c>
      <c r="R533" s="470">
        <v>241487</v>
      </c>
      <c r="S533" s="463" t="s">
        <v>1652</v>
      </c>
      <c r="T533" s="463">
        <v>2</v>
      </c>
      <c r="U533" s="463">
        <v>1</v>
      </c>
      <c r="V533" s="463">
        <v>0</v>
      </c>
      <c r="W533" s="463">
        <v>2</v>
      </c>
      <c r="X533" s="463">
        <v>1</v>
      </c>
      <c r="Y533" s="463">
        <v>0</v>
      </c>
      <c r="Z533" s="463">
        <v>95</v>
      </c>
      <c r="AA533" s="472" t="s">
        <v>677</v>
      </c>
      <c r="AB533" s="463" t="s">
        <v>539</v>
      </c>
      <c r="AC533" s="463" t="s">
        <v>539</v>
      </c>
      <c r="AD533" s="472" t="s">
        <v>1653</v>
      </c>
      <c r="AE533" s="463" t="s">
        <v>539</v>
      </c>
      <c r="AF533" s="463" t="s">
        <v>539</v>
      </c>
      <c r="AG533" s="463" t="s">
        <v>375</v>
      </c>
      <c r="AH533" s="476"/>
      <c r="AI533" s="472" t="s">
        <v>1669</v>
      </c>
      <c r="AJ533" s="464"/>
    </row>
    <row r="534" spans="2:36" ht="24" hidden="1" customHeight="1">
      <c r="B534" s="463">
        <v>439</v>
      </c>
      <c r="C534" s="464" t="s">
        <v>534</v>
      </c>
      <c r="D534" s="464"/>
      <c r="E534" s="464" t="s">
        <v>535</v>
      </c>
      <c r="F534" s="464"/>
      <c r="G534" s="464" t="s">
        <v>60</v>
      </c>
      <c r="H534" s="464" t="s">
        <v>1670</v>
      </c>
      <c r="I534" s="466">
        <v>10000</v>
      </c>
      <c r="J534" s="465" t="s">
        <v>537</v>
      </c>
      <c r="K534" s="465" t="s">
        <v>537</v>
      </c>
      <c r="L534" s="466">
        <v>10000</v>
      </c>
      <c r="M534" s="465" t="s">
        <v>537</v>
      </c>
      <c r="N534" s="465" t="s">
        <v>537</v>
      </c>
      <c r="O534" s="463" t="s">
        <v>537</v>
      </c>
      <c r="P534" s="463" t="s">
        <v>537</v>
      </c>
      <c r="Q534" s="465">
        <v>0</v>
      </c>
      <c r="R534" s="470">
        <v>241487</v>
      </c>
      <c r="S534" s="463" t="s">
        <v>1652</v>
      </c>
      <c r="T534" s="463">
        <v>2</v>
      </c>
      <c r="U534" s="463">
        <v>1</v>
      </c>
      <c r="V534" s="463">
        <v>0</v>
      </c>
      <c r="W534" s="463">
        <v>2</v>
      </c>
      <c r="X534" s="463">
        <v>1</v>
      </c>
      <c r="Y534" s="463">
        <v>0</v>
      </c>
      <c r="Z534" s="463">
        <v>95</v>
      </c>
      <c r="AA534" s="472" t="s">
        <v>677</v>
      </c>
      <c r="AB534" s="463" t="s">
        <v>539</v>
      </c>
      <c r="AC534" s="463" t="s">
        <v>539</v>
      </c>
      <c r="AD534" s="472" t="s">
        <v>1653</v>
      </c>
      <c r="AE534" s="463" t="s">
        <v>539</v>
      </c>
      <c r="AF534" s="463" t="s">
        <v>539</v>
      </c>
      <c r="AG534" s="463" t="s">
        <v>375</v>
      </c>
      <c r="AH534" s="476"/>
      <c r="AI534" s="472" t="s">
        <v>1671</v>
      </c>
      <c r="AJ534" s="464"/>
    </row>
    <row r="535" spans="2:36" ht="24" hidden="1" customHeight="1">
      <c r="B535" s="463">
        <v>440</v>
      </c>
      <c r="C535" s="464" t="s">
        <v>534</v>
      </c>
      <c r="D535" s="464"/>
      <c r="E535" s="464" t="s">
        <v>535</v>
      </c>
      <c r="F535" s="464"/>
      <c r="G535" s="464" t="s">
        <v>60</v>
      </c>
      <c r="H535" s="464" t="s">
        <v>1672</v>
      </c>
      <c r="I535" s="466">
        <v>10000</v>
      </c>
      <c r="J535" s="465" t="s">
        <v>537</v>
      </c>
      <c r="K535" s="465" t="s">
        <v>537</v>
      </c>
      <c r="L535" s="466">
        <v>10000</v>
      </c>
      <c r="M535" s="465" t="s">
        <v>537</v>
      </c>
      <c r="N535" s="465" t="s">
        <v>537</v>
      </c>
      <c r="O535" s="463" t="s">
        <v>537</v>
      </c>
      <c r="P535" s="463" t="s">
        <v>537</v>
      </c>
      <c r="Q535" s="465">
        <v>0</v>
      </c>
      <c r="R535" s="470">
        <v>241487</v>
      </c>
      <c r="S535" s="463" t="s">
        <v>1652</v>
      </c>
      <c r="T535" s="463">
        <v>2</v>
      </c>
      <c r="U535" s="463">
        <v>1</v>
      </c>
      <c r="V535" s="463">
        <v>0</v>
      </c>
      <c r="W535" s="463">
        <v>2</v>
      </c>
      <c r="X535" s="463">
        <v>1</v>
      </c>
      <c r="Y535" s="463">
        <v>0</v>
      </c>
      <c r="Z535" s="463">
        <v>95</v>
      </c>
      <c r="AA535" s="472" t="s">
        <v>677</v>
      </c>
      <c r="AB535" s="463" t="s">
        <v>539</v>
      </c>
      <c r="AC535" s="463" t="s">
        <v>539</v>
      </c>
      <c r="AD535" s="472" t="s">
        <v>1653</v>
      </c>
      <c r="AE535" s="463" t="s">
        <v>539</v>
      </c>
      <c r="AF535" s="463" t="s">
        <v>539</v>
      </c>
      <c r="AG535" s="463" t="s">
        <v>375</v>
      </c>
      <c r="AH535" s="476"/>
      <c r="AI535" s="472" t="s">
        <v>1669</v>
      </c>
      <c r="AJ535" s="464"/>
    </row>
    <row r="536" spans="2:36" ht="24" hidden="1" customHeight="1">
      <c r="B536" s="463">
        <v>441</v>
      </c>
      <c r="C536" s="464" t="s">
        <v>534</v>
      </c>
      <c r="D536" s="464"/>
      <c r="E536" s="464" t="s">
        <v>535</v>
      </c>
      <c r="F536" s="464"/>
      <c r="G536" s="464" t="s">
        <v>60</v>
      </c>
      <c r="H536" s="464" t="s">
        <v>1673</v>
      </c>
      <c r="I536" s="466">
        <v>5000</v>
      </c>
      <c r="J536" s="465" t="s">
        <v>537</v>
      </c>
      <c r="K536" s="465" t="s">
        <v>537</v>
      </c>
      <c r="L536" s="466">
        <v>4884</v>
      </c>
      <c r="M536" s="465" t="s">
        <v>537</v>
      </c>
      <c r="N536" s="465" t="s">
        <v>537</v>
      </c>
      <c r="O536" s="463" t="s">
        <v>537</v>
      </c>
      <c r="P536" s="463" t="s">
        <v>537</v>
      </c>
      <c r="Q536" s="465">
        <v>116</v>
      </c>
      <c r="R536" s="470">
        <v>241487</v>
      </c>
      <c r="S536" s="463" t="s">
        <v>1652</v>
      </c>
      <c r="T536" s="463">
        <v>2</v>
      </c>
      <c r="U536" s="463">
        <v>1</v>
      </c>
      <c r="V536" s="463">
        <v>0</v>
      </c>
      <c r="W536" s="463">
        <v>2</v>
      </c>
      <c r="X536" s="463">
        <v>1</v>
      </c>
      <c r="Y536" s="463">
        <v>0</v>
      </c>
      <c r="Z536" s="463">
        <v>95</v>
      </c>
      <c r="AA536" s="472" t="s">
        <v>677</v>
      </c>
      <c r="AB536" s="463" t="s">
        <v>539</v>
      </c>
      <c r="AC536" s="463" t="s">
        <v>539</v>
      </c>
      <c r="AD536" s="472" t="s">
        <v>1653</v>
      </c>
      <c r="AE536" s="463" t="s">
        <v>539</v>
      </c>
      <c r="AF536" s="463" t="s">
        <v>539</v>
      </c>
      <c r="AG536" s="463" t="s">
        <v>375</v>
      </c>
      <c r="AH536" s="476"/>
      <c r="AI536" s="472" t="s">
        <v>1674</v>
      </c>
      <c r="AJ536" s="464"/>
    </row>
    <row r="537" spans="2:36" ht="24" hidden="1" customHeight="1">
      <c r="B537" s="463">
        <v>442</v>
      </c>
      <c r="C537" s="464" t="s">
        <v>534</v>
      </c>
      <c r="D537" s="464"/>
      <c r="E537" s="464" t="s">
        <v>535</v>
      </c>
      <c r="F537" s="464"/>
      <c r="G537" s="464" t="s">
        <v>60</v>
      </c>
      <c r="H537" s="464" t="s">
        <v>1675</v>
      </c>
      <c r="I537" s="466">
        <v>10000</v>
      </c>
      <c r="J537" s="465" t="s">
        <v>537</v>
      </c>
      <c r="K537" s="465" t="s">
        <v>537</v>
      </c>
      <c r="L537" s="466">
        <v>10000</v>
      </c>
      <c r="M537" s="465" t="s">
        <v>537</v>
      </c>
      <c r="N537" s="465" t="s">
        <v>537</v>
      </c>
      <c r="O537" s="463" t="s">
        <v>537</v>
      </c>
      <c r="P537" s="463" t="s">
        <v>537</v>
      </c>
      <c r="Q537" s="465">
        <v>0</v>
      </c>
      <c r="R537" s="470">
        <v>241487</v>
      </c>
      <c r="S537" s="463" t="s">
        <v>1652</v>
      </c>
      <c r="T537" s="463">
        <v>2</v>
      </c>
      <c r="U537" s="463">
        <v>1</v>
      </c>
      <c r="V537" s="463">
        <v>0</v>
      </c>
      <c r="W537" s="463">
        <v>2</v>
      </c>
      <c r="X537" s="463">
        <v>1</v>
      </c>
      <c r="Y537" s="463">
        <v>0</v>
      </c>
      <c r="Z537" s="463">
        <v>95</v>
      </c>
      <c r="AA537" s="472" t="s">
        <v>677</v>
      </c>
      <c r="AB537" s="463" t="s">
        <v>539</v>
      </c>
      <c r="AC537" s="463" t="s">
        <v>539</v>
      </c>
      <c r="AD537" s="472" t="s">
        <v>1653</v>
      </c>
      <c r="AE537" s="463" t="s">
        <v>539</v>
      </c>
      <c r="AF537" s="463" t="s">
        <v>539</v>
      </c>
      <c r="AG537" s="463" t="s">
        <v>375</v>
      </c>
      <c r="AH537" s="476"/>
      <c r="AI537" s="472" t="s">
        <v>1671</v>
      </c>
      <c r="AJ537" s="464"/>
    </row>
    <row r="538" spans="2:36" ht="24" hidden="1" customHeight="1">
      <c r="B538" s="463">
        <v>443</v>
      </c>
      <c r="C538" s="464" t="s">
        <v>534</v>
      </c>
      <c r="D538" s="464"/>
      <c r="E538" s="464" t="s">
        <v>535</v>
      </c>
      <c r="F538" s="464"/>
      <c r="G538" s="464" t="s">
        <v>60</v>
      </c>
      <c r="H538" s="464" t="s">
        <v>1676</v>
      </c>
      <c r="I538" s="466">
        <v>15000</v>
      </c>
      <c r="J538" s="465" t="s">
        <v>537</v>
      </c>
      <c r="K538" s="465" t="s">
        <v>537</v>
      </c>
      <c r="L538" s="466">
        <v>15000</v>
      </c>
      <c r="M538" s="465" t="s">
        <v>537</v>
      </c>
      <c r="N538" s="465" t="s">
        <v>537</v>
      </c>
      <c r="O538" s="463" t="s">
        <v>537</v>
      </c>
      <c r="P538" s="463" t="s">
        <v>537</v>
      </c>
      <c r="Q538" s="465">
        <v>0</v>
      </c>
      <c r="R538" s="470">
        <v>241487</v>
      </c>
      <c r="S538" s="463" t="s">
        <v>1652</v>
      </c>
      <c r="T538" s="463">
        <v>2</v>
      </c>
      <c r="U538" s="463">
        <v>1</v>
      </c>
      <c r="V538" s="463">
        <v>0</v>
      </c>
      <c r="W538" s="463">
        <v>2</v>
      </c>
      <c r="X538" s="463">
        <v>1</v>
      </c>
      <c r="Y538" s="463">
        <v>0</v>
      </c>
      <c r="Z538" s="463">
        <v>95</v>
      </c>
      <c r="AA538" s="472" t="s">
        <v>677</v>
      </c>
      <c r="AB538" s="463" t="s">
        <v>539</v>
      </c>
      <c r="AC538" s="463" t="s">
        <v>539</v>
      </c>
      <c r="AD538" s="472" t="s">
        <v>1653</v>
      </c>
      <c r="AE538" s="463" t="s">
        <v>539</v>
      </c>
      <c r="AF538" s="463" t="s">
        <v>539</v>
      </c>
      <c r="AG538" s="463" t="s">
        <v>375</v>
      </c>
      <c r="AH538" s="476"/>
      <c r="AI538" s="472" t="s">
        <v>1667</v>
      </c>
      <c r="AJ538" s="464"/>
    </row>
    <row r="539" spans="2:36" ht="24" hidden="1" customHeight="1">
      <c r="B539" s="463">
        <v>444</v>
      </c>
      <c r="C539" s="464" t="s">
        <v>534</v>
      </c>
      <c r="D539" s="464"/>
      <c r="E539" s="464" t="s">
        <v>535</v>
      </c>
      <c r="F539" s="464"/>
      <c r="G539" s="464" t="s">
        <v>60</v>
      </c>
      <c r="H539" s="464" t="s">
        <v>1677</v>
      </c>
      <c r="I539" s="466">
        <v>26500</v>
      </c>
      <c r="J539" s="465" t="s">
        <v>537</v>
      </c>
      <c r="K539" s="465" t="s">
        <v>537</v>
      </c>
      <c r="L539" s="466">
        <v>26500</v>
      </c>
      <c r="M539" s="465" t="s">
        <v>537</v>
      </c>
      <c r="N539" s="465" t="s">
        <v>537</v>
      </c>
      <c r="O539" s="463" t="s">
        <v>537</v>
      </c>
      <c r="P539" s="463" t="s">
        <v>537</v>
      </c>
      <c r="Q539" s="465">
        <v>0</v>
      </c>
      <c r="R539" s="463" t="s">
        <v>984</v>
      </c>
      <c r="S539" s="463" t="s">
        <v>1678</v>
      </c>
      <c r="T539" s="463">
        <v>50</v>
      </c>
      <c r="U539" s="463">
        <v>3</v>
      </c>
      <c r="V539" s="463">
        <v>0</v>
      </c>
      <c r="W539" s="463">
        <v>50</v>
      </c>
      <c r="X539" s="463">
        <v>0</v>
      </c>
      <c r="Y539" s="463">
        <v>0</v>
      </c>
      <c r="Z539" s="463">
        <v>97.44</v>
      </c>
      <c r="AA539" s="472" t="s">
        <v>677</v>
      </c>
      <c r="AB539" s="463" t="s">
        <v>539</v>
      </c>
      <c r="AC539" s="463" t="s">
        <v>539</v>
      </c>
      <c r="AD539" s="472" t="s">
        <v>548</v>
      </c>
      <c r="AE539" s="463">
        <v>80</v>
      </c>
      <c r="AF539" s="463">
        <v>97.44</v>
      </c>
      <c r="AG539" s="463" t="s">
        <v>375</v>
      </c>
      <c r="AH539" s="476"/>
      <c r="AI539" s="472" t="s">
        <v>1679</v>
      </c>
      <c r="AJ539" s="464"/>
    </row>
    <row r="540" spans="2:36" ht="24" hidden="1" customHeight="1">
      <c r="B540" s="463">
        <v>445</v>
      </c>
      <c r="C540" s="464" t="s">
        <v>534</v>
      </c>
      <c r="D540" s="464"/>
      <c r="E540" s="464" t="s">
        <v>535</v>
      </c>
      <c r="F540" s="464"/>
      <c r="G540" s="464" t="s">
        <v>60</v>
      </c>
      <c r="H540" s="464" t="s">
        <v>1680</v>
      </c>
      <c r="I540" s="466">
        <v>38500</v>
      </c>
      <c r="J540" s="465" t="s">
        <v>537</v>
      </c>
      <c r="K540" s="465" t="s">
        <v>537</v>
      </c>
      <c r="L540" s="466">
        <v>38500</v>
      </c>
      <c r="M540" s="465" t="s">
        <v>537</v>
      </c>
      <c r="N540" s="465" t="s">
        <v>537</v>
      </c>
      <c r="O540" s="463" t="s">
        <v>537</v>
      </c>
      <c r="P540" s="463" t="s">
        <v>537</v>
      </c>
      <c r="Q540" s="465">
        <v>0</v>
      </c>
      <c r="R540" s="463" t="s">
        <v>643</v>
      </c>
      <c r="S540" s="463" t="s">
        <v>1681</v>
      </c>
      <c r="T540" s="463">
        <v>10</v>
      </c>
      <c r="U540" s="463">
        <v>0</v>
      </c>
      <c r="V540" s="463">
        <v>0</v>
      </c>
      <c r="W540" s="463">
        <v>20</v>
      </c>
      <c r="X540" s="463">
        <v>0</v>
      </c>
      <c r="Y540" s="463">
        <v>0</v>
      </c>
      <c r="Z540" s="463">
        <v>82.65</v>
      </c>
      <c r="AA540" s="472" t="s">
        <v>677</v>
      </c>
      <c r="AB540" s="463" t="s">
        <v>539</v>
      </c>
      <c r="AC540" s="463" t="s">
        <v>539</v>
      </c>
      <c r="AD540" s="472" t="s">
        <v>548</v>
      </c>
      <c r="AE540" s="463">
        <v>80</v>
      </c>
      <c r="AF540" s="463">
        <v>82.65</v>
      </c>
      <c r="AG540" s="463" t="s">
        <v>375</v>
      </c>
      <c r="AH540" s="476"/>
      <c r="AI540" s="472" t="s">
        <v>1679</v>
      </c>
      <c r="AJ540" s="464"/>
    </row>
    <row r="541" spans="2:36" ht="24" hidden="1" customHeight="1">
      <c r="B541" s="463">
        <v>446</v>
      </c>
      <c r="C541" s="464" t="s">
        <v>534</v>
      </c>
      <c r="D541" s="464"/>
      <c r="E541" s="464" t="s">
        <v>535</v>
      </c>
      <c r="F541" s="464"/>
      <c r="G541" s="464" t="s">
        <v>60</v>
      </c>
      <c r="H541" s="464" t="s">
        <v>1682</v>
      </c>
      <c r="I541" s="466">
        <v>100000</v>
      </c>
      <c r="J541" s="465" t="s">
        <v>537</v>
      </c>
      <c r="K541" s="465" t="s">
        <v>537</v>
      </c>
      <c r="L541" s="466">
        <v>95950</v>
      </c>
      <c r="M541" s="465" t="s">
        <v>537</v>
      </c>
      <c r="N541" s="465" t="s">
        <v>537</v>
      </c>
      <c r="O541" s="463" t="s">
        <v>537</v>
      </c>
      <c r="P541" s="463" t="s">
        <v>537</v>
      </c>
      <c r="Q541" s="468">
        <v>4050</v>
      </c>
      <c r="R541" s="463" t="s">
        <v>643</v>
      </c>
      <c r="S541" s="463" t="s">
        <v>1683</v>
      </c>
      <c r="T541" s="463">
        <v>15</v>
      </c>
      <c r="U541" s="463">
        <v>15</v>
      </c>
      <c r="V541" s="463">
        <v>5</v>
      </c>
      <c r="W541" s="463">
        <v>15</v>
      </c>
      <c r="X541" s="463">
        <v>5</v>
      </c>
      <c r="Y541" s="463">
        <v>15</v>
      </c>
      <c r="Z541" s="463">
        <v>97.2</v>
      </c>
      <c r="AA541" s="472" t="s">
        <v>677</v>
      </c>
      <c r="AB541" s="463" t="s">
        <v>539</v>
      </c>
      <c r="AC541" s="463" t="s">
        <v>539</v>
      </c>
      <c r="AD541" s="472" t="s">
        <v>548</v>
      </c>
      <c r="AE541" s="463">
        <v>80</v>
      </c>
      <c r="AF541" s="463">
        <v>97.2</v>
      </c>
      <c r="AG541" s="463" t="s">
        <v>375</v>
      </c>
      <c r="AH541" s="476"/>
      <c r="AI541" s="472" t="s">
        <v>1679</v>
      </c>
      <c r="AJ541" s="464"/>
    </row>
    <row r="542" spans="2:36" ht="24" hidden="1" customHeight="1">
      <c r="B542" s="463">
        <v>447</v>
      </c>
      <c r="C542" s="464" t="s">
        <v>534</v>
      </c>
      <c r="D542" s="464"/>
      <c r="E542" s="464" t="s">
        <v>535</v>
      </c>
      <c r="F542" s="464"/>
      <c r="G542" s="464" t="s">
        <v>60</v>
      </c>
      <c r="H542" s="464" t="s">
        <v>1684</v>
      </c>
      <c r="I542" s="466">
        <v>20000</v>
      </c>
      <c r="J542" s="465" t="s">
        <v>537</v>
      </c>
      <c r="K542" s="465" t="s">
        <v>537</v>
      </c>
      <c r="L542" s="466">
        <v>16880</v>
      </c>
      <c r="M542" s="465" t="s">
        <v>537</v>
      </c>
      <c r="N542" s="465" t="s">
        <v>537</v>
      </c>
      <c r="O542" s="463" t="s">
        <v>537</v>
      </c>
      <c r="P542" s="463" t="s">
        <v>537</v>
      </c>
      <c r="Q542" s="468">
        <v>3120</v>
      </c>
      <c r="R542" s="470">
        <v>241397</v>
      </c>
      <c r="S542" s="463" t="s">
        <v>1685</v>
      </c>
      <c r="T542" s="463">
        <v>35</v>
      </c>
      <c r="U542" s="463">
        <v>5</v>
      </c>
      <c r="V542" s="463">
        <v>0</v>
      </c>
      <c r="W542" s="463">
        <v>28</v>
      </c>
      <c r="X542" s="463">
        <v>3</v>
      </c>
      <c r="Y542" s="463">
        <v>0</v>
      </c>
      <c r="Z542" s="463">
        <v>80.33</v>
      </c>
      <c r="AA542" s="472" t="s">
        <v>677</v>
      </c>
      <c r="AB542" s="463" t="s">
        <v>539</v>
      </c>
      <c r="AC542" s="463" t="s">
        <v>539</v>
      </c>
      <c r="AD542" s="472" t="s">
        <v>548</v>
      </c>
      <c r="AE542" s="463">
        <v>80</v>
      </c>
      <c r="AF542" s="463">
        <v>83.13</v>
      </c>
      <c r="AG542" s="463" t="s">
        <v>375</v>
      </c>
      <c r="AH542" s="476"/>
      <c r="AI542" s="472" t="s">
        <v>1686</v>
      </c>
      <c r="AJ542" s="464"/>
    </row>
    <row r="543" spans="2:36" ht="24" hidden="1" customHeight="1">
      <c r="B543" s="463">
        <v>448</v>
      </c>
      <c r="C543" s="464" t="s">
        <v>534</v>
      </c>
      <c r="D543" s="464"/>
      <c r="E543" s="464" t="s">
        <v>535</v>
      </c>
      <c r="F543" s="464"/>
      <c r="G543" s="464" t="s">
        <v>60</v>
      </c>
      <c r="H543" s="464" t="s">
        <v>1687</v>
      </c>
      <c r="I543" s="466">
        <v>25000</v>
      </c>
      <c r="J543" s="465" t="s">
        <v>537</v>
      </c>
      <c r="K543" s="465" t="s">
        <v>537</v>
      </c>
      <c r="L543" s="466">
        <v>25000</v>
      </c>
      <c r="M543" s="465" t="s">
        <v>537</v>
      </c>
      <c r="N543" s="465" t="s">
        <v>537</v>
      </c>
      <c r="O543" s="463" t="s">
        <v>537</v>
      </c>
      <c r="P543" s="463" t="s">
        <v>537</v>
      </c>
      <c r="Q543" s="465">
        <v>0</v>
      </c>
      <c r="R543" s="470">
        <v>241487</v>
      </c>
      <c r="S543" s="463" t="s">
        <v>1652</v>
      </c>
      <c r="T543" s="463">
        <v>3</v>
      </c>
      <c r="U543" s="463">
        <v>1</v>
      </c>
      <c r="V543" s="463">
        <v>0</v>
      </c>
      <c r="W543" s="463">
        <v>3</v>
      </c>
      <c r="X543" s="463">
        <v>1</v>
      </c>
      <c r="Y543" s="463">
        <v>0</v>
      </c>
      <c r="Z543" s="463">
        <v>95</v>
      </c>
      <c r="AA543" s="472" t="s">
        <v>677</v>
      </c>
      <c r="AB543" s="463" t="s">
        <v>539</v>
      </c>
      <c r="AC543" s="463" t="s">
        <v>539</v>
      </c>
      <c r="AD543" s="472" t="s">
        <v>1653</v>
      </c>
      <c r="AE543" s="463" t="s">
        <v>539</v>
      </c>
      <c r="AF543" s="463" t="s">
        <v>539</v>
      </c>
      <c r="AG543" s="463" t="s">
        <v>375</v>
      </c>
      <c r="AH543" s="476"/>
      <c r="AI543" s="472" t="s">
        <v>1654</v>
      </c>
      <c r="AJ543" s="464"/>
    </row>
    <row r="544" spans="2:36" ht="24" hidden="1" customHeight="1">
      <c r="B544" s="463">
        <v>449</v>
      </c>
      <c r="C544" s="464" t="s">
        <v>534</v>
      </c>
      <c r="D544" s="464"/>
      <c r="E544" s="464" t="s">
        <v>535</v>
      </c>
      <c r="F544" s="464"/>
      <c r="G544" s="464" t="s">
        <v>60</v>
      </c>
      <c r="H544" s="464" t="s">
        <v>1688</v>
      </c>
      <c r="I544" s="466">
        <v>60000</v>
      </c>
      <c r="J544" s="465" t="s">
        <v>537</v>
      </c>
      <c r="K544" s="465" t="s">
        <v>537</v>
      </c>
      <c r="L544" s="466">
        <v>55420</v>
      </c>
      <c r="M544" s="465" t="s">
        <v>537</v>
      </c>
      <c r="N544" s="465" t="s">
        <v>537</v>
      </c>
      <c r="O544" s="463" t="s">
        <v>537</v>
      </c>
      <c r="P544" s="463" t="s">
        <v>537</v>
      </c>
      <c r="Q544" s="468">
        <v>4580</v>
      </c>
      <c r="R544" s="463" t="s">
        <v>1342</v>
      </c>
      <c r="S544" s="463" t="s">
        <v>1689</v>
      </c>
      <c r="T544" s="463">
        <v>0</v>
      </c>
      <c r="U544" s="463">
        <v>2</v>
      </c>
      <c r="V544" s="463">
        <v>0</v>
      </c>
      <c r="W544" s="463">
        <v>0</v>
      </c>
      <c r="X544" s="463">
        <v>3</v>
      </c>
      <c r="Y544" s="463">
        <v>0</v>
      </c>
      <c r="Z544" s="463">
        <v>83</v>
      </c>
      <c r="AA544" s="472" t="s">
        <v>633</v>
      </c>
      <c r="AB544" s="463" t="s">
        <v>539</v>
      </c>
      <c r="AC544" s="463" t="s">
        <v>539</v>
      </c>
      <c r="AD544" s="472" t="s">
        <v>1690</v>
      </c>
      <c r="AE544" s="463" t="s">
        <v>539</v>
      </c>
      <c r="AF544" s="463" t="s">
        <v>539</v>
      </c>
      <c r="AG544" s="463" t="s">
        <v>375</v>
      </c>
      <c r="AH544" s="476"/>
      <c r="AI544" s="472" t="s">
        <v>1691</v>
      </c>
      <c r="AJ544" s="464"/>
    </row>
    <row r="545" spans="2:36" ht="24" hidden="1" customHeight="1">
      <c r="B545" s="463">
        <v>450</v>
      </c>
      <c r="C545" s="464" t="s">
        <v>534</v>
      </c>
      <c r="D545" s="464"/>
      <c r="E545" s="464" t="s">
        <v>535</v>
      </c>
      <c r="F545" s="464"/>
      <c r="G545" s="464" t="s">
        <v>60</v>
      </c>
      <c r="H545" s="464" t="s">
        <v>636</v>
      </c>
      <c r="I545" s="466">
        <v>200000</v>
      </c>
      <c r="J545" s="465" t="s">
        <v>537</v>
      </c>
      <c r="K545" s="465" t="s">
        <v>537</v>
      </c>
      <c r="L545" s="466">
        <v>149300</v>
      </c>
      <c r="M545" s="465" t="s">
        <v>537</v>
      </c>
      <c r="N545" s="465" t="s">
        <v>537</v>
      </c>
      <c r="O545" s="463" t="s">
        <v>537</v>
      </c>
      <c r="P545" s="463" t="s">
        <v>537</v>
      </c>
      <c r="Q545" s="468">
        <v>50700</v>
      </c>
      <c r="R545" s="470">
        <v>241609</v>
      </c>
      <c r="S545" s="463" t="s">
        <v>637</v>
      </c>
      <c r="T545" s="463">
        <v>110</v>
      </c>
      <c r="U545" s="463">
        <v>10</v>
      </c>
      <c r="V545" s="463">
        <v>0</v>
      </c>
      <c r="W545" s="463">
        <v>28</v>
      </c>
      <c r="X545" s="463">
        <v>108</v>
      </c>
      <c r="Y545" s="463">
        <v>0</v>
      </c>
      <c r="Z545" s="463">
        <v>82.68</v>
      </c>
      <c r="AA545" s="472" t="s">
        <v>728</v>
      </c>
      <c r="AB545" s="463">
        <v>1</v>
      </c>
      <c r="AC545" s="463">
        <v>14</v>
      </c>
      <c r="AD545" s="472" t="s">
        <v>651</v>
      </c>
      <c r="AE545" s="463">
        <v>1</v>
      </c>
      <c r="AF545" s="463">
        <v>1</v>
      </c>
      <c r="AG545" s="463" t="s">
        <v>375</v>
      </c>
      <c r="AH545" s="476"/>
      <c r="AI545" s="472" t="s">
        <v>1692</v>
      </c>
      <c r="AJ545" s="464"/>
    </row>
    <row r="546" spans="2:36" ht="24" hidden="1" customHeight="1">
      <c r="B546" s="463">
        <v>451</v>
      </c>
      <c r="C546" s="464" t="s">
        <v>165</v>
      </c>
      <c r="D546" s="464"/>
      <c r="E546" s="464" t="s">
        <v>535</v>
      </c>
      <c r="F546" s="464"/>
      <c r="G546" s="464" t="s">
        <v>60</v>
      </c>
      <c r="H546" s="464" t="s">
        <v>1693</v>
      </c>
      <c r="I546" s="466">
        <v>30000</v>
      </c>
      <c r="J546" s="465" t="s">
        <v>537</v>
      </c>
      <c r="K546" s="465" t="s">
        <v>537</v>
      </c>
      <c r="L546" s="466">
        <v>25400</v>
      </c>
      <c r="M546" s="465" t="s">
        <v>537</v>
      </c>
      <c r="N546" s="465" t="s">
        <v>537</v>
      </c>
      <c r="O546" s="463" t="s">
        <v>537</v>
      </c>
      <c r="P546" s="463" t="s">
        <v>537</v>
      </c>
      <c r="Q546" s="468">
        <v>4600</v>
      </c>
      <c r="R546" s="470">
        <v>241428</v>
      </c>
      <c r="S546" s="471">
        <v>22328</v>
      </c>
      <c r="T546" s="463">
        <v>35</v>
      </c>
      <c r="U546" s="463">
        <v>10</v>
      </c>
      <c r="V546" s="463">
        <v>10</v>
      </c>
      <c r="W546" s="463">
        <v>65</v>
      </c>
      <c r="X546" s="463">
        <v>0</v>
      </c>
      <c r="Y546" s="463">
        <v>0</v>
      </c>
      <c r="Z546" s="463">
        <v>80</v>
      </c>
      <c r="AA546" s="472" t="s">
        <v>954</v>
      </c>
      <c r="AB546" s="463" t="s">
        <v>539</v>
      </c>
      <c r="AC546" s="463" t="s">
        <v>539</v>
      </c>
      <c r="AD546" s="472" t="s">
        <v>565</v>
      </c>
      <c r="AE546" s="463">
        <v>80</v>
      </c>
      <c r="AF546" s="463">
        <v>80</v>
      </c>
      <c r="AG546" s="463" t="s">
        <v>375</v>
      </c>
      <c r="AH546" s="476"/>
      <c r="AI546" s="472" t="s">
        <v>1694</v>
      </c>
      <c r="AJ546" s="464"/>
    </row>
    <row r="547" spans="2:36" ht="24" hidden="1" customHeight="1">
      <c r="B547" s="463">
        <v>452</v>
      </c>
      <c r="C547" s="464" t="s">
        <v>165</v>
      </c>
      <c r="D547" s="464"/>
      <c r="E547" s="464" t="s">
        <v>535</v>
      </c>
      <c r="F547" s="464"/>
      <c r="G547" s="464" t="s">
        <v>60</v>
      </c>
      <c r="H547" s="464" t="s">
        <v>1695</v>
      </c>
      <c r="I547" s="466">
        <v>30000</v>
      </c>
      <c r="J547" s="465" t="s">
        <v>537</v>
      </c>
      <c r="K547" s="465" t="s">
        <v>537</v>
      </c>
      <c r="L547" s="466">
        <v>30000</v>
      </c>
      <c r="M547" s="465" t="s">
        <v>537</v>
      </c>
      <c r="N547" s="465" t="s">
        <v>537</v>
      </c>
      <c r="O547" s="463" t="s">
        <v>537</v>
      </c>
      <c r="P547" s="463" t="s">
        <v>537</v>
      </c>
      <c r="Q547" s="465">
        <v>0</v>
      </c>
      <c r="R547" s="470">
        <v>241579</v>
      </c>
      <c r="S547" s="471">
        <v>22462</v>
      </c>
      <c r="T547" s="463">
        <v>100</v>
      </c>
      <c r="U547" s="463">
        <v>9</v>
      </c>
      <c r="V547" s="463">
        <v>1</v>
      </c>
      <c r="W547" s="463">
        <v>102</v>
      </c>
      <c r="X547" s="463">
        <v>0</v>
      </c>
      <c r="Y547" s="463">
        <v>0</v>
      </c>
      <c r="Z547" s="463">
        <v>85.6</v>
      </c>
      <c r="AA547" s="472" t="s">
        <v>547</v>
      </c>
      <c r="AB547" s="463" t="s">
        <v>539</v>
      </c>
      <c r="AC547" s="463" t="s">
        <v>539</v>
      </c>
      <c r="AD547" s="472" t="s">
        <v>548</v>
      </c>
      <c r="AE547" s="463">
        <v>80</v>
      </c>
      <c r="AF547" s="463">
        <v>84.6</v>
      </c>
      <c r="AG547" s="463" t="s">
        <v>375</v>
      </c>
      <c r="AH547" s="476"/>
      <c r="AI547" s="472" t="s">
        <v>1696</v>
      </c>
      <c r="AJ547" s="472" t="s">
        <v>1696</v>
      </c>
    </row>
    <row r="548" spans="2:36" ht="24" hidden="1" customHeight="1">
      <c r="B548" s="463">
        <v>453</v>
      </c>
      <c r="C548" s="464" t="s">
        <v>165</v>
      </c>
      <c r="D548" s="464"/>
      <c r="E548" s="464" t="s">
        <v>535</v>
      </c>
      <c r="F548" s="464"/>
      <c r="G548" s="464" t="s">
        <v>60</v>
      </c>
      <c r="H548" s="464" t="s">
        <v>1697</v>
      </c>
      <c r="I548" s="466">
        <v>30000</v>
      </c>
      <c r="J548" s="465" t="s">
        <v>537</v>
      </c>
      <c r="K548" s="465" t="s">
        <v>537</v>
      </c>
      <c r="L548" s="466">
        <v>30000</v>
      </c>
      <c r="M548" s="465" t="s">
        <v>537</v>
      </c>
      <c r="N548" s="465" t="s">
        <v>537</v>
      </c>
      <c r="O548" s="463" t="s">
        <v>537</v>
      </c>
      <c r="P548" s="463" t="s">
        <v>537</v>
      </c>
      <c r="Q548" s="465">
        <v>0</v>
      </c>
      <c r="R548" s="470">
        <v>241459</v>
      </c>
      <c r="S548" s="463" t="s">
        <v>1698</v>
      </c>
      <c r="T548" s="463">
        <v>100</v>
      </c>
      <c r="U548" s="463">
        <v>8</v>
      </c>
      <c r="V548" s="463">
        <v>0</v>
      </c>
      <c r="W548" s="463">
        <v>100</v>
      </c>
      <c r="X548" s="463">
        <v>8</v>
      </c>
      <c r="Y548" s="463">
        <v>0</v>
      </c>
      <c r="Z548" s="463">
        <v>89</v>
      </c>
      <c r="AA548" s="472" t="s">
        <v>547</v>
      </c>
      <c r="AB548" s="463" t="s">
        <v>539</v>
      </c>
      <c r="AC548" s="463" t="s">
        <v>539</v>
      </c>
      <c r="AD548" s="472" t="s">
        <v>548</v>
      </c>
      <c r="AE548" s="463">
        <v>80</v>
      </c>
      <c r="AF548" s="463">
        <v>85</v>
      </c>
      <c r="AG548" s="463" t="s">
        <v>375</v>
      </c>
      <c r="AH548" s="476"/>
      <c r="AI548" s="472" t="s">
        <v>1699</v>
      </c>
      <c r="AJ548" s="464"/>
    </row>
    <row r="549" spans="2:36" ht="24" hidden="1" customHeight="1">
      <c r="B549" s="463">
        <v>454</v>
      </c>
      <c r="C549" s="464" t="s">
        <v>534</v>
      </c>
      <c r="D549" s="464"/>
      <c r="E549" s="464" t="s">
        <v>535</v>
      </c>
      <c r="F549" s="464"/>
      <c r="G549" s="464" t="s">
        <v>60</v>
      </c>
      <c r="H549" s="464" t="s">
        <v>1700</v>
      </c>
      <c r="I549" s="465" t="s">
        <v>537</v>
      </c>
      <c r="J549" s="465" t="s">
        <v>537</v>
      </c>
      <c r="K549" s="466">
        <v>50000</v>
      </c>
      <c r="L549" s="465" t="s">
        <v>537</v>
      </c>
      <c r="M549" s="465" t="s">
        <v>537</v>
      </c>
      <c r="N549" s="466">
        <v>50000</v>
      </c>
      <c r="O549" s="463" t="s">
        <v>537</v>
      </c>
      <c r="P549" s="463" t="s">
        <v>537</v>
      </c>
      <c r="Q549" s="465">
        <v>0</v>
      </c>
      <c r="R549" s="463" t="s">
        <v>646</v>
      </c>
      <c r="S549" s="463" t="s">
        <v>1701</v>
      </c>
      <c r="T549" s="463">
        <v>0</v>
      </c>
      <c r="U549" s="463">
        <v>0</v>
      </c>
      <c r="V549" s="463">
        <v>0</v>
      </c>
      <c r="W549" s="463">
        <v>0</v>
      </c>
      <c r="X549" s="463">
        <v>1</v>
      </c>
      <c r="Y549" s="463">
        <v>0</v>
      </c>
      <c r="Z549" s="463">
        <v>80</v>
      </c>
      <c r="AA549" s="472" t="s">
        <v>1702</v>
      </c>
      <c r="AB549" s="463" t="s">
        <v>539</v>
      </c>
      <c r="AC549" s="463" t="s">
        <v>539</v>
      </c>
      <c r="AD549" s="472" t="s">
        <v>1703</v>
      </c>
      <c r="AE549" s="463">
        <v>1</v>
      </c>
      <c r="AF549" s="463">
        <v>1</v>
      </c>
      <c r="AG549" s="463" t="s">
        <v>375</v>
      </c>
      <c r="AH549" s="476"/>
      <c r="AI549" s="472" t="s">
        <v>1704</v>
      </c>
      <c r="AJ549" s="472" t="s">
        <v>543</v>
      </c>
    </row>
    <row r="550" spans="2:36" ht="24" hidden="1" customHeight="1">
      <c r="B550" s="463">
        <v>455</v>
      </c>
      <c r="C550" s="464" t="s">
        <v>534</v>
      </c>
      <c r="D550" s="464"/>
      <c r="E550" s="464" t="s">
        <v>535</v>
      </c>
      <c r="F550" s="464"/>
      <c r="G550" s="464" t="s">
        <v>60</v>
      </c>
      <c r="H550" s="464" t="s">
        <v>1705</v>
      </c>
      <c r="I550" s="465" t="s">
        <v>537</v>
      </c>
      <c r="J550" s="465" t="s">
        <v>537</v>
      </c>
      <c r="K550" s="466">
        <v>100000</v>
      </c>
      <c r="L550" s="465" t="s">
        <v>537</v>
      </c>
      <c r="M550" s="465" t="s">
        <v>537</v>
      </c>
      <c r="N550" s="466">
        <v>96500</v>
      </c>
      <c r="O550" s="463" t="s">
        <v>537</v>
      </c>
      <c r="P550" s="463" t="s">
        <v>537</v>
      </c>
      <c r="Q550" s="468">
        <v>3500</v>
      </c>
      <c r="R550" s="470">
        <v>241428</v>
      </c>
      <c r="S550" s="463" t="s">
        <v>623</v>
      </c>
      <c r="T550" s="463">
        <v>20</v>
      </c>
      <c r="U550" s="463">
        <v>15</v>
      </c>
      <c r="V550" s="463">
        <v>0</v>
      </c>
      <c r="W550" s="463">
        <v>30</v>
      </c>
      <c r="X550" s="463">
        <v>5</v>
      </c>
      <c r="Y550" s="463">
        <v>0</v>
      </c>
      <c r="Z550" s="463">
        <v>97.48</v>
      </c>
      <c r="AA550" s="472" t="s">
        <v>624</v>
      </c>
      <c r="AB550" s="463" t="s">
        <v>539</v>
      </c>
      <c r="AC550" s="463" t="s">
        <v>539</v>
      </c>
      <c r="AD550" s="472" t="s">
        <v>675</v>
      </c>
      <c r="AE550" s="463">
        <v>80</v>
      </c>
      <c r="AF550" s="463">
        <v>94.48</v>
      </c>
      <c r="AG550" s="463" t="s">
        <v>375</v>
      </c>
      <c r="AH550" s="476"/>
      <c r="AI550" s="472" t="s">
        <v>1691</v>
      </c>
      <c r="AJ550" s="472" t="s">
        <v>543</v>
      </c>
    </row>
    <row r="551" spans="2:36" ht="24" hidden="1" customHeight="1">
      <c r="B551" s="463">
        <v>456</v>
      </c>
      <c r="C551" s="464" t="s">
        <v>534</v>
      </c>
      <c r="D551" s="464"/>
      <c r="E551" s="464" t="s">
        <v>535</v>
      </c>
      <c r="F551" s="464"/>
      <c r="G551" s="464" t="s">
        <v>60</v>
      </c>
      <c r="H551" s="464" t="s">
        <v>1706</v>
      </c>
      <c r="I551" s="465" t="s">
        <v>537</v>
      </c>
      <c r="J551" s="465" t="s">
        <v>537</v>
      </c>
      <c r="K551" s="466">
        <v>204280</v>
      </c>
      <c r="L551" s="465" t="s">
        <v>537</v>
      </c>
      <c r="M551" s="465" t="s">
        <v>537</v>
      </c>
      <c r="N551" s="466">
        <v>201798</v>
      </c>
      <c r="O551" s="463" t="s">
        <v>537</v>
      </c>
      <c r="P551" s="463" t="s">
        <v>537</v>
      </c>
      <c r="Q551" s="468">
        <v>2482</v>
      </c>
      <c r="R551" s="470">
        <v>241428</v>
      </c>
      <c r="S551" s="463" t="s">
        <v>919</v>
      </c>
      <c r="T551" s="463">
        <v>200</v>
      </c>
      <c r="U551" s="463">
        <v>50</v>
      </c>
      <c r="V551" s="463">
        <v>50</v>
      </c>
      <c r="W551" s="463">
        <v>200</v>
      </c>
      <c r="X551" s="463">
        <v>30</v>
      </c>
      <c r="Y551" s="463">
        <v>170</v>
      </c>
      <c r="Z551" s="463">
        <v>94.6</v>
      </c>
      <c r="AA551" s="472" t="s">
        <v>1304</v>
      </c>
      <c r="AB551" s="463" t="s">
        <v>539</v>
      </c>
      <c r="AC551" s="463" t="s">
        <v>539</v>
      </c>
      <c r="AD551" s="472" t="s">
        <v>1707</v>
      </c>
      <c r="AE551" s="463">
        <v>80</v>
      </c>
      <c r="AF551" s="463">
        <v>94.6</v>
      </c>
      <c r="AG551" s="463" t="s">
        <v>375</v>
      </c>
      <c r="AH551" s="476"/>
      <c r="AI551" s="472" t="s">
        <v>1691</v>
      </c>
      <c r="AJ551" s="472" t="s">
        <v>543</v>
      </c>
    </row>
    <row r="552" spans="2:36" ht="24" hidden="1" customHeight="1">
      <c r="B552" s="463">
        <v>457</v>
      </c>
      <c r="C552" s="464" t="s">
        <v>534</v>
      </c>
      <c r="D552" s="464"/>
      <c r="E552" s="464" t="s">
        <v>535</v>
      </c>
      <c r="F552" s="464"/>
      <c r="G552" s="464" t="s">
        <v>60</v>
      </c>
      <c r="H552" s="464" t="s">
        <v>1708</v>
      </c>
      <c r="I552" s="465" t="s">
        <v>537</v>
      </c>
      <c r="J552" s="465" t="s">
        <v>537</v>
      </c>
      <c r="K552" s="465">
        <v>0</v>
      </c>
      <c r="L552" s="465" t="s">
        <v>537</v>
      </c>
      <c r="M552" s="465" t="s">
        <v>537</v>
      </c>
      <c r="N552" s="465">
        <v>0</v>
      </c>
      <c r="O552" s="463" t="s">
        <v>537</v>
      </c>
      <c r="P552" s="463" t="s">
        <v>537</v>
      </c>
      <c r="Q552" s="465">
        <v>0</v>
      </c>
      <c r="R552" s="470">
        <v>241397</v>
      </c>
      <c r="S552" s="471">
        <v>22271</v>
      </c>
      <c r="T552" s="463">
        <v>0</v>
      </c>
      <c r="U552" s="463">
        <v>0</v>
      </c>
      <c r="V552" s="463">
        <v>0</v>
      </c>
      <c r="W552" s="463">
        <v>100</v>
      </c>
      <c r="X552" s="463">
        <v>20</v>
      </c>
      <c r="Y552" s="463">
        <v>0</v>
      </c>
      <c r="Z552" s="463">
        <v>98.83</v>
      </c>
      <c r="AA552" s="472" t="s">
        <v>547</v>
      </c>
      <c r="AB552" s="463" t="s">
        <v>539</v>
      </c>
      <c r="AC552" s="463" t="s">
        <v>539</v>
      </c>
      <c r="AD552" s="472" t="s">
        <v>548</v>
      </c>
      <c r="AE552" s="463">
        <v>80</v>
      </c>
      <c r="AF552" s="463">
        <v>98.83</v>
      </c>
      <c r="AG552" s="463" t="s">
        <v>375</v>
      </c>
      <c r="AH552" s="476"/>
      <c r="AI552" s="472" t="s">
        <v>1709</v>
      </c>
      <c r="AJ552" s="472" t="s">
        <v>543</v>
      </c>
    </row>
    <row r="553" spans="2:36" ht="24" hidden="1" customHeight="1">
      <c r="B553" s="463">
        <v>458</v>
      </c>
      <c r="C553" s="464" t="s">
        <v>534</v>
      </c>
      <c r="D553" s="464"/>
      <c r="E553" s="464" t="s">
        <v>535</v>
      </c>
      <c r="F553" s="464"/>
      <c r="G553" s="464" t="s">
        <v>60</v>
      </c>
      <c r="H553" s="464" t="s">
        <v>1710</v>
      </c>
      <c r="I553" s="465" t="s">
        <v>537</v>
      </c>
      <c r="J553" s="465" t="s">
        <v>537</v>
      </c>
      <c r="K553" s="465">
        <v>0</v>
      </c>
      <c r="L553" s="465" t="s">
        <v>537</v>
      </c>
      <c r="M553" s="465" t="s">
        <v>537</v>
      </c>
      <c r="N553" s="465">
        <v>0</v>
      </c>
      <c r="O553" s="463" t="s">
        <v>537</v>
      </c>
      <c r="P553" s="463" t="s">
        <v>537</v>
      </c>
      <c r="Q553" s="465">
        <v>0</v>
      </c>
      <c r="R553" s="470">
        <v>241428</v>
      </c>
      <c r="S553" s="463" t="s">
        <v>1711</v>
      </c>
      <c r="T553" s="463">
        <v>0</v>
      </c>
      <c r="U553" s="463">
        <v>0</v>
      </c>
      <c r="V553" s="463">
        <v>0</v>
      </c>
      <c r="W553" s="463">
        <v>120</v>
      </c>
      <c r="X553" s="463">
        <v>0</v>
      </c>
      <c r="Y553" s="463">
        <v>0</v>
      </c>
      <c r="Z553" s="463">
        <v>94.57</v>
      </c>
      <c r="AA553" s="472" t="s">
        <v>1712</v>
      </c>
      <c r="AB553" s="463" t="s">
        <v>539</v>
      </c>
      <c r="AC553" s="463" t="s">
        <v>539</v>
      </c>
      <c r="AD553" s="472" t="s">
        <v>1713</v>
      </c>
      <c r="AE553" s="463">
        <v>80</v>
      </c>
      <c r="AF553" s="463">
        <v>94.57</v>
      </c>
      <c r="AG553" s="463" t="s">
        <v>375</v>
      </c>
      <c r="AH553" s="476"/>
      <c r="AI553" s="472">
        <v>87285082</v>
      </c>
      <c r="AJ553" s="472" t="s">
        <v>543</v>
      </c>
    </row>
    <row r="554" spans="2:36" ht="24" hidden="1" customHeight="1">
      <c r="B554" s="463">
        <v>459</v>
      </c>
      <c r="C554" s="464" t="s">
        <v>534</v>
      </c>
      <c r="D554" s="464"/>
      <c r="E554" s="464" t="s">
        <v>535</v>
      </c>
      <c r="F554" s="464"/>
      <c r="G554" s="464" t="s">
        <v>60</v>
      </c>
      <c r="H554" s="464" t="s">
        <v>1714</v>
      </c>
      <c r="I554" s="465" t="s">
        <v>537</v>
      </c>
      <c r="J554" s="466">
        <v>60000</v>
      </c>
      <c r="K554" s="465" t="s">
        <v>537</v>
      </c>
      <c r="L554" s="465" t="s">
        <v>537</v>
      </c>
      <c r="M554" s="466">
        <v>43220</v>
      </c>
      <c r="N554" s="465" t="s">
        <v>537</v>
      </c>
      <c r="O554" s="463" t="s">
        <v>537</v>
      </c>
      <c r="P554" s="463" t="s">
        <v>537</v>
      </c>
      <c r="Q554" s="468">
        <v>16780</v>
      </c>
      <c r="R554" s="463" t="s">
        <v>552</v>
      </c>
      <c r="S554" s="463" t="s">
        <v>1715</v>
      </c>
      <c r="T554" s="463">
        <v>20</v>
      </c>
      <c r="U554" s="463">
        <v>5</v>
      </c>
      <c r="V554" s="463">
        <v>0</v>
      </c>
      <c r="W554" s="463">
        <v>21</v>
      </c>
      <c r="X554" s="463">
        <v>3</v>
      </c>
      <c r="Y554" s="463">
        <v>0</v>
      </c>
      <c r="Z554" s="463">
        <v>90</v>
      </c>
      <c r="AA554" s="472" t="s">
        <v>728</v>
      </c>
      <c r="AB554" s="463">
        <v>1</v>
      </c>
      <c r="AC554" s="463">
        <v>2</v>
      </c>
      <c r="AD554" s="472" t="s">
        <v>651</v>
      </c>
      <c r="AE554" s="463">
        <v>1</v>
      </c>
      <c r="AF554" s="463">
        <v>2</v>
      </c>
      <c r="AG554" s="463" t="s">
        <v>375</v>
      </c>
      <c r="AH554" s="476"/>
      <c r="AI554" s="472" t="s">
        <v>1716</v>
      </c>
      <c r="AJ554" s="464"/>
    </row>
    <row r="555" spans="2:36" ht="24" hidden="1" customHeight="1">
      <c r="B555" s="463">
        <v>460</v>
      </c>
      <c r="C555" s="464" t="s">
        <v>534</v>
      </c>
      <c r="D555" s="464"/>
      <c r="E555" s="464" t="s">
        <v>535</v>
      </c>
      <c r="F555" s="464"/>
      <c r="G555" s="464" t="s">
        <v>60</v>
      </c>
      <c r="H555" s="464" t="s">
        <v>1717</v>
      </c>
      <c r="I555" s="465" t="s">
        <v>537</v>
      </c>
      <c r="J555" s="466">
        <v>5000</v>
      </c>
      <c r="K555" s="465" t="s">
        <v>537</v>
      </c>
      <c r="L555" s="465" t="s">
        <v>537</v>
      </c>
      <c r="M555" s="466">
        <v>5000</v>
      </c>
      <c r="N555" s="465" t="s">
        <v>537</v>
      </c>
      <c r="O555" s="463" t="s">
        <v>537</v>
      </c>
      <c r="P555" s="463" t="s">
        <v>537</v>
      </c>
      <c r="Q555" s="465">
        <v>0</v>
      </c>
      <c r="R555" s="463" t="s">
        <v>643</v>
      </c>
      <c r="S555" s="463" t="s">
        <v>1718</v>
      </c>
      <c r="T555" s="463">
        <v>0</v>
      </c>
      <c r="U555" s="463">
        <v>20</v>
      </c>
      <c r="V555" s="463">
        <v>0</v>
      </c>
      <c r="W555" s="463">
        <v>0</v>
      </c>
      <c r="X555" s="463">
        <v>23</v>
      </c>
      <c r="Y555" s="463">
        <v>0</v>
      </c>
      <c r="Z555" s="463">
        <v>88</v>
      </c>
      <c r="AA555" s="472" t="s">
        <v>677</v>
      </c>
      <c r="AB555" s="463" t="s">
        <v>539</v>
      </c>
      <c r="AC555" s="463" t="s">
        <v>539</v>
      </c>
      <c r="AD555" s="472" t="s">
        <v>565</v>
      </c>
      <c r="AE555" s="463">
        <v>80</v>
      </c>
      <c r="AF555" s="463">
        <v>88</v>
      </c>
      <c r="AG555" s="463" t="s">
        <v>375</v>
      </c>
      <c r="AH555" s="476"/>
      <c r="AI555" s="472" t="s">
        <v>1719</v>
      </c>
      <c r="AJ555" s="464"/>
    </row>
    <row r="556" spans="2:36" ht="24" hidden="1" customHeight="1">
      <c r="B556" s="463">
        <v>461</v>
      </c>
      <c r="C556" s="464" t="s">
        <v>534</v>
      </c>
      <c r="D556" s="464"/>
      <c r="E556" s="464" t="s">
        <v>535</v>
      </c>
      <c r="F556" s="464"/>
      <c r="G556" s="464" t="s">
        <v>60</v>
      </c>
      <c r="H556" s="464" t="s">
        <v>667</v>
      </c>
      <c r="I556" s="465" t="s">
        <v>537</v>
      </c>
      <c r="J556" s="466">
        <v>30000</v>
      </c>
      <c r="K556" s="465" t="s">
        <v>537</v>
      </c>
      <c r="L556" s="465" t="s">
        <v>537</v>
      </c>
      <c r="M556" s="466">
        <v>30000</v>
      </c>
      <c r="N556" s="465" t="s">
        <v>537</v>
      </c>
      <c r="O556" s="463" t="s">
        <v>537</v>
      </c>
      <c r="P556" s="463" t="s">
        <v>537</v>
      </c>
      <c r="Q556" s="465">
        <v>0</v>
      </c>
      <c r="R556" s="470">
        <v>241579</v>
      </c>
      <c r="S556" s="471">
        <v>22450</v>
      </c>
      <c r="T556" s="463">
        <v>160</v>
      </c>
      <c r="U556" s="463">
        <v>40</v>
      </c>
      <c r="V556" s="463">
        <v>100</v>
      </c>
      <c r="W556" s="463">
        <v>150</v>
      </c>
      <c r="X556" s="463">
        <v>40</v>
      </c>
      <c r="Y556" s="463">
        <v>110</v>
      </c>
      <c r="Z556" s="464"/>
      <c r="AA556" s="472" t="s">
        <v>677</v>
      </c>
      <c r="AB556" s="463" t="s">
        <v>539</v>
      </c>
      <c r="AC556" s="463" t="s">
        <v>539</v>
      </c>
      <c r="AD556" s="472" t="s">
        <v>561</v>
      </c>
      <c r="AE556" s="463">
        <v>85</v>
      </c>
      <c r="AF556" s="463">
        <v>88</v>
      </c>
      <c r="AG556" s="463" t="s">
        <v>375</v>
      </c>
      <c r="AH556" s="476"/>
      <c r="AI556" s="472" t="s">
        <v>1720</v>
      </c>
      <c r="AJ556" s="464"/>
    </row>
    <row r="557" spans="2:36" ht="24" hidden="1" customHeight="1">
      <c r="B557" s="463">
        <v>462</v>
      </c>
      <c r="C557" s="464" t="s">
        <v>534</v>
      </c>
      <c r="D557" s="464"/>
      <c r="E557" s="464" t="s">
        <v>535</v>
      </c>
      <c r="F557" s="464"/>
      <c r="G557" s="464" t="s">
        <v>60</v>
      </c>
      <c r="H557" s="464" t="s">
        <v>1721</v>
      </c>
      <c r="I557" s="465" t="s">
        <v>537</v>
      </c>
      <c r="J557" s="466">
        <v>40000</v>
      </c>
      <c r="K557" s="465" t="s">
        <v>537</v>
      </c>
      <c r="L557" s="465" t="s">
        <v>537</v>
      </c>
      <c r="M557" s="466">
        <v>40000</v>
      </c>
      <c r="N557" s="465" t="s">
        <v>537</v>
      </c>
      <c r="O557" s="463" t="s">
        <v>537</v>
      </c>
      <c r="P557" s="463" t="s">
        <v>537</v>
      </c>
      <c r="Q557" s="465">
        <v>0</v>
      </c>
      <c r="R557" s="470">
        <v>241579</v>
      </c>
      <c r="S557" s="463" t="s">
        <v>1722</v>
      </c>
      <c r="T557" s="463">
        <v>150</v>
      </c>
      <c r="U557" s="463">
        <v>40</v>
      </c>
      <c r="V557" s="463">
        <v>0</v>
      </c>
      <c r="W557" s="463">
        <v>131</v>
      </c>
      <c r="X557" s="463">
        <v>40</v>
      </c>
      <c r="Y557" s="463">
        <v>100</v>
      </c>
      <c r="Z557" s="463">
        <v>77.599999999999994</v>
      </c>
      <c r="AA557" s="472" t="s">
        <v>677</v>
      </c>
      <c r="AB557" s="463" t="s">
        <v>539</v>
      </c>
      <c r="AC557" s="463" t="s">
        <v>539</v>
      </c>
      <c r="AD557" s="472" t="s">
        <v>571</v>
      </c>
      <c r="AE557" s="463">
        <v>80</v>
      </c>
      <c r="AF557" s="463">
        <v>77.599999999999994</v>
      </c>
      <c r="AG557" s="463" t="s">
        <v>376</v>
      </c>
      <c r="AH557" s="476"/>
      <c r="AI557" s="472" t="s">
        <v>1723</v>
      </c>
      <c r="AJ557" s="464"/>
    </row>
    <row r="558" spans="2:36" ht="24" hidden="1" customHeight="1">
      <c r="B558" s="463">
        <v>463</v>
      </c>
      <c r="C558" s="464" t="s">
        <v>534</v>
      </c>
      <c r="D558" s="464"/>
      <c r="E558" s="464" t="s">
        <v>535</v>
      </c>
      <c r="F558" s="464"/>
      <c r="G558" s="464" t="s">
        <v>60</v>
      </c>
      <c r="H558" s="464" t="s">
        <v>1724</v>
      </c>
      <c r="I558" s="465" t="s">
        <v>537</v>
      </c>
      <c r="J558" s="466">
        <v>3500</v>
      </c>
      <c r="K558" s="465" t="s">
        <v>537</v>
      </c>
      <c r="L558" s="465" t="s">
        <v>537</v>
      </c>
      <c r="M558" s="466">
        <v>2625</v>
      </c>
      <c r="N558" s="465" t="s">
        <v>537</v>
      </c>
      <c r="O558" s="463" t="s">
        <v>537</v>
      </c>
      <c r="P558" s="463" t="s">
        <v>537</v>
      </c>
      <c r="Q558" s="465">
        <v>875</v>
      </c>
      <c r="R558" s="463" t="s">
        <v>646</v>
      </c>
      <c r="S558" s="463" t="s">
        <v>1725</v>
      </c>
      <c r="T558" s="463">
        <v>50</v>
      </c>
      <c r="U558" s="463">
        <v>20</v>
      </c>
      <c r="V558" s="463">
        <v>50</v>
      </c>
      <c r="W558" s="463">
        <v>64</v>
      </c>
      <c r="X558" s="463">
        <v>10</v>
      </c>
      <c r="Y558" s="464"/>
      <c r="Z558" s="463">
        <v>98</v>
      </c>
      <c r="AA558" s="472" t="s">
        <v>1077</v>
      </c>
      <c r="AB558" s="463">
        <v>80</v>
      </c>
      <c r="AC558" s="463">
        <v>90.5</v>
      </c>
      <c r="AD558" s="472" t="s">
        <v>571</v>
      </c>
      <c r="AE558" s="463">
        <v>80</v>
      </c>
      <c r="AF558" s="463">
        <v>90.5</v>
      </c>
      <c r="AG558" s="463" t="s">
        <v>375</v>
      </c>
      <c r="AH558" s="476"/>
      <c r="AI558" s="464"/>
      <c r="AJ558" s="464"/>
    </row>
    <row r="559" spans="2:36" ht="24" hidden="1" customHeight="1">
      <c r="B559" s="463">
        <v>464</v>
      </c>
      <c r="C559" s="464" t="s">
        <v>534</v>
      </c>
      <c r="D559" s="464"/>
      <c r="E559" s="464" t="s">
        <v>535</v>
      </c>
      <c r="F559" s="464"/>
      <c r="G559" s="464" t="s">
        <v>60</v>
      </c>
      <c r="H559" s="464" t="s">
        <v>1726</v>
      </c>
      <c r="I559" s="465" t="s">
        <v>537</v>
      </c>
      <c r="J559" s="466">
        <v>3500</v>
      </c>
      <c r="K559" s="465" t="s">
        <v>537</v>
      </c>
      <c r="L559" s="465" t="s">
        <v>537</v>
      </c>
      <c r="M559" s="466">
        <v>1775</v>
      </c>
      <c r="N559" s="465" t="s">
        <v>537</v>
      </c>
      <c r="O559" s="463" t="s">
        <v>537</v>
      </c>
      <c r="P559" s="463" t="s">
        <v>537</v>
      </c>
      <c r="Q559" s="468">
        <v>1725</v>
      </c>
      <c r="R559" s="470">
        <v>241518</v>
      </c>
      <c r="S559" s="471">
        <v>22399</v>
      </c>
      <c r="T559" s="463">
        <v>50</v>
      </c>
      <c r="U559" s="463">
        <v>20</v>
      </c>
      <c r="V559" s="463">
        <v>50</v>
      </c>
      <c r="W559" s="463">
        <v>25</v>
      </c>
      <c r="X559" s="463">
        <v>21</v>
      </c>
      <c r="Y559" s="463">
        <v>25</v>
      </c>
      <c r="Z559" s="463">
        <v>87.5</v>
      </c>
      <c r="AA559" s="472" t="s">
        <v>899</v>
      </c>
      <c r="AB559" s="463">
        <v>80</v>
      </c>
      <c r="AC559" s="463">
        <v>87.5</v>
      </c>
      <c r="AD559" s="472" t="s">
        <v>571</v>
      </c>
      <c r="AE559" s="463">
        <v>80</v>
      </c>
      <c r="AF559" s="463">
        <v>87.5</v>
      </c>
      <c r="AG559" s="463" t="s">
        <v>375</v>
      </c>
      <c r="AH559" s="476"/>
      <c r="AI559" s="472" t="s">
        <v>1716</v>
      </c>
      <c r="AJ559" s="464"/>
    </row>
    <row r="560" spans="2:36" ht="24" hidden="1" customHeight="1">
      <c r="B560" s="463">
        <v>465</v>
      </c>
      <c r="C560" s="464" t="s">
        <v>534</v>
      </c>
      <c r="D560" s="464"/>
      <c r="E560" s="464" t="s">
        <v>535</v>
      </c>
      <c r="F560" s="464"/>
      <c r="G560" s="464" t="s">
        <v>60</v>
      </c>
      <c r="H560" s="464" t="s">
        <v>1727</v>
      </c>
      <c r="I560" s="465" t="s">
        <v>537</v>
      </c>
      <c r="J560" s="466">
        <v>10000</v>
      </c>
      <c r="K560" s="465" t="s">
        <v>537</v>
      </c>
      <c r="L560" s="465" t="s">
        <v>537</v>
      </c>
      <c r="M560" s="466">
        <v>9670</v>
      </c>
      <c r="N560" s="465" t="s">
        <v>537</v>
      </c>
      <c r="O560" s="463" t="s">
        <v>537</v>
      </c>
      <c r="P560" s="463" t="s">
        <v>537</v>
      </c>
      <c r="Q560" s="465">
        <v>330</v>
      </c>
      <c r="R560" s="470">
        <v>241609</v>
      </c>
      <c r="S560" s="463" t="s">
        <v>1728</v>
      </c>
      <c r="T560" s="463">
        <v>200</v>
      </c>
      <c r="U560" s="463">
        <v>0</v>
      </c>
      <c r="V560" s="463">
        <v>0</v>
      </c>
      <c r="W560" s="463">
        <v>189</v>
      </c>
      <c r="X560" s="463">
        <v>0</v>
      </c>
      <c r="Y560" s="463">
        <v>0</v>
      </c>
      <c r="Z560" s="463">
        <v>88.83</v>
      </c>
      <c r="AA560" s="472" t="s">
        <v>677</v>
      </c>
      <c r="AB560" s="463" t="s">
        <v>539</v>
      </c>
      <c r="AC560" s="463" t="s">
        <v>539</v>
      </c>
      <c r="AD560" s="472" t="s">
        <v>548</v>
      </c>
      <c r="AE560" s="463">
        <v>80</v>
      </c>
      <c r="AF560" s="463">
        <v>88.83</v>
      </c>
      <c r="AG560" s="463" t="s">
        <v>375</v>
      </c>
      <c r="AH560" s="476"/>
      <c r="AI560" s="472" t="s">
        <v>1729</v>
      </c>
      <c r="AJ560" s="464"/>
    </row>
    <row r="561" spans="1:36" ht="24" hidden="1" customHeight="1">
      <c r="B561" s="463">
        <v>466</v>
      </c>
      <c r="C561" s="464" t="s">
        <v>165</v>
      </c>
      <c r="D561" s="464" t="s">
        <v>544</v>
      </c>
      <c r="E561" s="464" t="s">
        <v>535</v>
      </c>
      <c r="F561" s="464"/>
      <c r="G561" s="464" t="s">
        <v>60</v>
      </c>
      <c r="H561" s="464" t="s">
        <v>1730</v>
      </c>
      <c r="I561" s="465" t="s">
        <v>537</v>
      </c>
      <c r="J561" s="466">
        <v>35000</v>
      </c>
      <c r="K561" s="465" t="s">
        <v>537</v>
      </c>
      <c r="L561" s="465" t="s">
        <v>537</v>
      </c>
      <c r="M561" s="466">
        <v>34840</v>
      </c>
      <c r="N561" s="465" t="s">
        <v>537</v>
      </c>
      <c r="O561" s="463" t="s">
        <v>537</v>
      </c>
      <c r="P561" s="463" t="s">
        <v>537</v>
      </c>
      <c r="Q561" s="465">
        <v>160</v>
      </c>
      <c r="R561" s="470">
        <v>241459</v>
      </c>
      <c r="S561" s="471">
        <v>22340</v>
      </c>
      <c r="T561" s="463">
        <v>100</v>
      </c>
      <c r="U561" s="463">
        <v>8</v>
      </c>
      <c r="V561" s="463">
        <v>6</v>
      </c>
      <c r="W561" s="463">
        <v>118</v>
      </c>
      <c r="X561" s="463">
        <v>0</v>
      </c>
      <c r="Y561" s="463">
        <v>0</v>
      </c>
      <c r="Z561" s="463">
        <v>89</v>
      </c>
      <c r="AA561" s="472" t="s">
        <v>547</v>
      </c>
      <c r="AB561" s="463" t="s">
        <v>539</v>
      </c>
      <c r="AC561" s="463" t="s">
        <v>539</v>
      </c>
      <c r="AD561" s="472" t="s">
        <v>548</v>
      </c>
      <c r="AE561" s="463">
        <v>80</v>
      </c>
      <c r="AF561" s="463">
        <v>89</v>
      </c>
      <c r="AG561" s="463" t="s">
        <v>375</v>
      </c>
      <c r="AH561" s="476"/>
      <c r="AI561" s="472">
        <v>945950009</v>
      </c>
      <c r="AJ561" s="464"/>
    </row>
    <row r="562" spans="1:36" ht="24" hidden="1" customHeight="1">
      <c r="B562" s="463">
        <v>467</v>
      </c>
      <c r="C562" s="464" t="s">
        <v>165</v>
      </c>
      <c r="D562" s="464" t="s">
        <v>544</v>
      </c>
      <c r="E562" s="464" t="s">
        <v>535</v>
      </c>
      <c r="F562" s="464"/>
      <c r="G562" s="464" t="s">
        <v>60</v>
      </c>
      <c r="H562" s="464" t="s">
        <v>1731</v>
      </c>
      <c r="I562" s="465" t="s">
        <v>537</v>
      </c>
      <c r="J562" s="466">
        <v>35000</v>
      </c>
      <c r="K562" s="465" t="s">
        <v>537</v>
      </c>
      <c r="L562" s="465" t="s">
        <v>537</v>
      </c>
      <c r="M562" s="466">
        <v>35000</v>
      </c>
      <c r="N562" s="465" t="s">
        <v>537</v>
      </c>
      <c r="O562" s="463" t="s">
        <v>537</v>
      </c>
      <c r="P562" s="463" t="s">
        <v>537</v>
      </c>
      <c r="Q562" s="465">
        <v>0</v>
      </c>
      <c r="R562" s="470">
        <v>241609</v>
      </c>
      <c r="S562" s="463" t="s">
        <v>1732</v>
      </c>
      <c r="T562" s="463">
        <v>45</v>
      </c>
      <c r="U562" s="463">
        <v>4</v>
      </c>
      <c r="V562" s="463">
        <v>0</v>
      </c>
      <c r="W562" s="463">
        <v>55</v>
      </c>
      <c r="X562" s="463">
        <v>0</v>
      </c>
      <c r="Y562" s="463">
        <v>0</v>
      </c>
      <c r="Z562" s="463">
        <v>85.6</v>
      </c>
      <c r="AA562" s="472" t="s">
        <v>547</v>
      </c>
      <c r="AB562" s="463" t="s">
        <v>539</v>
      </c>
      <c r="AC562" s="463" t="s">
        <v>539</v>
      </c>
      <c r="AD562" s="472" t="s">
        <v>548</v>
      </c>
      <c r="AE562" s="463">
        <v>80</v>
      </c>
      <c r="AF562" s="463">
        <v>85.6</v>
      </c>
      <c r="AG562" s="463" t="s">
        <v>375</v>
      </c>
      <c r="AH562" s="476"/>
      <c r="AI562" s="472" t="s">
        <v>1733</v>
      </c>
      <c r="AJ562" s="464"/>
    </row>
    <row r="563" spans="1:36" ht="24" hidden="1" customHeight="1">
      <c r="B563" s="463">
        <v>468</v>
      </c>
      <c r="C563" s="464" t="s">
        <v>165</v>
      </c>
      <c r="D563" s="464" t="s">
        <v>544</v>
      </c>
      <c r="E563" s="464" t="s">
        <v>535</v>
      </c>
      <c r="F563" s="464"/>
      <c r="G563" s="464" t="s">
        <v>60</v>
      </c>
      <c r="H563" s="464" t="s">
        <v>669</v>
      </c>
      <c r="I563" s="465" t="s">
        <v>537</v>
      </c>
      <c r="J563" s="466">
        <v>100000</v>
      </c>
      <c r="K563" s="465" t="s">
        <v>537</v>
      </c>
      <c r="L563" s="465" t="s">
        <v>537</v>
      </c>
      <c r="M563" s="466">
        <v>98800</v>
      </c>
      <c r="N563" s="465" t="s">
        <v>537</v>
      </c>
      <c r="O563" s="463" t="s">
        <v>537</v>
      </c>
      <c r="P563" s="463" t="s">
        <v>537</v>
      </c>
      <c r="Q563" s="468">
        <v>1200</v>
      </c>
      <c r="R563" s="470">
        <v>241609</v>
      </c>
      <c r="S563" s="471">
        <v>22498</v>
      </c>
      <c r="T563" s="463">
        <v>110</v>
      </c>
      <c r="U563" s="463">
        <v>10</v>
      </c>
      <c r="V563" s="463">
        <v>0</v>
      </c>
      <c r="W563" s="463">
        <v>112</v>
      </c>
      <c r="X563" s="463">
        <v>17</v>
      </c>
      <c r="Y563" s="463">
        <v>0</v>
      </c>
      <c r="Z563" s="463">
        <v>95.43</v>
      </c>
      <c r="AA563" s="472" t="s">
        <v>728</v>
      </c>
      <c r="AB563" s="463">
        <v>1</v>
      </c>
      <c r="AC563" s="463">
        <v>1</v>
      </c>
      <c r="AD563" s="472" t="s">
        <v>651</v>
      </c>
      <c r="AE563" s="463">
        <v>1</v>
      </c>
      <c r="AF563" s="463">
        <v>1</v>
      </c>
      <c r="AG563" s="463" t="s">
        <v>375</v>
      </c>
      <c r="AH563" s="476"/>
      <c r="AI563" s="472" t="s">
        <v>1734</v>
      </c>
      <c r="AJ563" s="464"/>
    </row>
    <row r="564" spans="1:36" ht="24" hidden="1" customHeight="1">
      <c r="B564" s="463">
        <v>469</v>
      </c>
      <c r="C564" s="464" t="s">
        <v>165</v>
      </c>
      <c r="D564" s="464" t="s">
        <v>544</v>
      </c>
      <c r="E564" s="464" t="s">
        <v>535</v>
      </c>
      <c r="F564" s="464"/>
      <c r="G564" s="464" t="s">
        <v>60</v>
      </c>
      <c r="H564" s="464" t="s">
        <v>1735</v>
      </c>
      <c r="I564" s="465" t="s">
        <v>537</v>
      </c>
      <c r="J564" s="466">
        <v>50000</v>
      </c>
      <c r="K564" s="465" t="s">
        <v>537</v>
      </c>
      <c r="L564" s="465" t="s">
        <v>537</v>
      </c>
      <c r="M564" s="466">
        <v>48410</v>
      </c>
      <c r="N564" s="465" t="s">
        <v>537</v>
      </c>
      <c r="O564" s="463" t="s">
        <v>537</v>
      </c>
      <c r="P564" s="463" t="s">
        <v>537</v>
      </c>
      <c r="Q564" s="468">
        <v>1590</v>
      </c>
      <c r="R564" s="470">
        <v>241459</v>
      </c>
      <c r="S564" s="471">
        <v>22342</v>
      </c>
      <c r="T564" s="463">
        <v>190</v>
      </c>
      <c r="U564" s="463">
        <v>10</v>
      </c>
      <c r="V564" s="463">
        <v>0</v>
      </c>
      <c r="W564" s="463">
        <v>177</v>
      </c>
      <c r="X564" s="463">
        <v>37</v>
      </c>
      <c r="Y564" s="463">
        <v>0</v>
      </c>
      <c r="Z564" s="463">
        <v>84.8</v>
      </c>
      <c r="AA564" s="472" t="s">
        <v>547</v>
      </c>
      <c r="AB564" s="463" t="s">
        <v>539</v>
      </c>
      <c r="AC564" s="463" t="s">
        <v>539</v>
      </c>
      <c r="AD564" s="472" t="s">
        <v>548</v>
      </c>
      <c r="AE564" s="463">
        <v>80</v>
      </c>
      <c r="AF564" s="463">
        <v>84.8</v>
      </c>
      <c r="AG564" s="463" t="s">
        <v>375</v>
      </c>
      <c r="AH564" s="476"/>
      <c r="AI564" s="472" t="s">
        <v>1736</v>
      </c>
      <c r="AJ564" s="464"/>
    </row>
    <row r="565" spans="1:36" ht="24" hidden="1" customHeight="1">
      <c r="B565" s="463">
        <v>470</v>
      </c>
      <c r="C565" s="464" t="s">
        <v>377</v>
      </c>
      <c r="D565" s="464"/>
      <c r="E565" s="464" t="s">
        <v>602</v>
      </c>
      <c r="F565" s="464"/>
      <c r="G565" s="464" t="s">
        <v>60</v>
      </c>
      <c r="H565" s="464" t="s">
        <v>617</v>
      </c>
      <c r="I565" s="465" t="s">
        <v>537</v>
      </c>
      <c r="J565" s="466">
        <v>120000</v>
      </c>
      <c r="K565" s="465" t="s">
        <v>537</v>
      </c>
      <c r="L565" s="465" t="s">
        <v>537</v>
      </c>
      <c r="M565" s="466">
        <v>117595</v>
      </c>
      <c r="N565" s="465" t="s">
        <v>537</v>
      </c>
      <c r="O565" s="463" t="s">
        <v>537</v>
      </c>
      <c r="P565" s="463" t="s">
        <v>537</v>
      </c>
      <c r="Q565" s="468">
        <v>2405</v>
      </c>
      <c r="R565" s="470">
        <v>241579</v>
      </c>
      <c r="S565" s="463" t="s">
        <v>972</v>
      </c>
      <c r="T565" s="463">
        <v>190</v>
      </c>
      <c r="U565" s="463">
        <v>10</v>
      </c>
      <c r="V565" s="463">
        <v>0</v>
      </c>
      <c r="W565" s="463">
        <v>203</v>
      </c>
      <c r="X565" s="463">
        <v>27</v>
      </c>
      <c r="Y565" s="463">
        <v>0</v>
      </c>
      <c r="Z565" s="463">
        <v>82.2</v>
      </c>
      <c r="AA565" s="472" t="s">
        <v>1737</v>
      </c>
      <c r="AB565" s="463" t="s">
        <v>539</v>
      </c>
      <c r="AC565" s="463" t="s">
        <v>539</v>
      </c>
      <c r="AD565" s="472" t="s">
        <v>565</v>
      </c>
      <c r="AE565" s="463">
        <v>80</v>
      </c>
      <c r="AF565" s="463">
        <v>82.2</v>
      </c>
      <c r="AG565" s="463" t="s">
        <v>375</v>
      </c>
      <c r="AH565" s="476"/>
      <c r="AI565" s="472" t="s">
        <v>1709</v>
      </c>
      <c r="AJ565" s="464"/>
    </row>
    <row r="566" spans="1:36" ht="24" hidden="1" customHeight="1">
      <c r="B566" s="463">
        <v>471</v>
      </c>
      <c r="C566" s="464" t="s">
        <v>377</v>
      </c>
      <c r="D566" s="464"/>
      <c r="E566" s="464" t="s">
        <v>602</v>
      </c>
      <c r="F566" s="464"/>
      <c r="G566" s="464" t="s">
        <v>60</v>
      </c>
      <c r="H566" s="464" t="s">
        <v>1738</v>
      </c>
      <c r="I566" s="466">
        <v>20000</v>
      </c>
      <c r="J566" s="465" t="s">
        <v>537</v>
      </c>
      <c r="K566" s="465" t="s">
        <v>537</v>
      </c>
      <c r="L566" s="466">
        <v>15500</v>
      </c>
      <c r="M566" s="465" t="s">
        <v>537</v>
      </c>
      <c r="N566" s="465" t="s">
        <v>537</v>
      </c>
      <c r="O566" s="463" t="s">
        <v>537</v>
      </c>
      <c r="P566" s="463" t="s">
        <v>537</v>
      </c>
      <c r="Q566" s="468">
        <v>4500</v>
      </c>
      <c r="R566" s="463" t="s">
        <v>643</v>
      </c>
      <c r="S566" s="463" t="s">
        <v>1739</v>
      </c>
      <c r="T566" s="463">
        <v>50</v>
      </c>
      <c r="U566" s="463">
        <v>20</v>
      </c>
      <c r="V566" s="463">
        <v>20</v>
      </c>
      <c r="W566" s="463">
        <v>34</v>
      </c>
      <c r="X566" s="463">
        <v>22</v>
      </c>
      <c r="Y566" s="463">
        <v>60</v>
      </c>
      <c r="Z566" s="463">
        <v>88.66</v>
      </c>
      <c r="AA566" s="472" t="s">
        <v>899</v>
      </c>
      <c r="AB566" s="463" t="s">
        <v>539</v>
      </c>
      <c r="AC566" s="463" t="s">
        <v>539</v>
      </c>
      <c r="AD566" s="472" t="s">
        <v>548</v>
      </c>
      <c r="AE566" s="463">
        <v>80</v>
      </c>
      <c r="AF566" s="463">
        <v>88.66</v>
      </c>
      <c r="AG566" s="463" t="s">
        <v>375</v>
      </c>
      <c r="AH566" s="476"/>
      <c r="AI566" s="472" t="s">
        <v>1740</v>
      </c>
      <c r="AJ566" s="464"/>
    </row>
    <row r="567" spans="1:36" ht="24" hidden="1" customHeight="1">
      <c r="B567" s="463">
        <v>472</v>
      </c>
      <c r="C567" s="464" t="s">
        <v>377</v>
      </c>
      <c r="D567" s="464"/>
      <c r="E567" s="464" t="s">
        <v>602</v>
      </c>
      <c r="F567" s="464"/>
      <c r="G567" s="464" t="s">
        <v>60</v>
      </c>
      <c r="H567" s="464" t="s">
        <v>1741</v>
      </c>
      <c r="I567" s="466">
        <v>20000</v>
      </c>
      <c r="J567" s="465" t="s">
        <v>537</v>
      </c>
      <c r="K567" s="465" t="s">
        <v>537</v>
      </c>
      <c r="L567" s="466">
        <v>17000</v>
      </c>
      <c r="M567" s="465" t="s">
        <v>537</v>
      </c>
      <c r="N567" s="465" t="s">
        <v>537</v>
      </c>
      <c r="O567" s="463" t="s">
        <v>537</v>
      </c>
      <c r="P567" s="463" t="s">
        <v>537</v>
      </c>
      <c r="Q567" s="468">
        <v>3000</v>
      </c>
      <c r="R567" s="470">
        <v>241609</v>
      </c>
      <c r="S567" s="471">
        <v>22480</v>
      </c>
      <c r="T567" s="463">
        <v>100</v>
      </c>
      <c r="U567" s="463">
        <v>20</v>
      </c>
      <c r="V567" s="463">
        <v>0</v>
      </c>
      <c r="W567" s="463">
        <v>122</v>
      </c>
      <c r="X567" s="463">
        <v>33</v>
      </c>
      <c r="Y567" s="463">
        <v>0</v>
      </c>
      <c r="Z567" s="463">
        <v>82.16</v>
      </c>
      <c r="AA567" s="472" t="s">
        <v>619</v>
      </c>
      <c r="AB567" s="463" t="s">
        <v>539</v>
      </c>
      <c r="AC567" s="463" t="s">
        <v>539</v>
      </c>
      <c r="AD567" s="472" t="s">
        <v>1742</v>
      </c>
      <c r="AE567" s="463" t="s">
        <v>539</v>
      </c>
      <c r="AF567" s="463" t="s">
        <v>539</v>
      </c>
      <c r="AG567" s="463" t="s">
        <v>375</v>
      </c>
      <c r="AH567" s="476"/>
      <c r="AI567" s="472" t="s">
        <v>1734</v>
      </c>
      <c r="AJ567" s="464"/>
    </row>
    <row r="568" spans="1:36" ht="24" hidden="1" customHeight="1">
      <c r="B568" s="463">
        <v>473</v>
      </c>
      <c r="C568" s="464" t="s">
        <v>377</v>
      </c>
      <c r="D568" s="464"/>
      <c r="E568" s="464" t="s">
        <v>602</v>
      </c>
      <c r="F568" s="464"/>
      <c r="G568" s="464" t="s">
        <v>60</v>
      </c>
      <c r="H568" s="464" t="s">
        <v>1743</v>
      </c>
      <c r="I568" s="465" t="s">
        <v>537</v>
      </c>
      <c r="J568" s="465" t="s">
        <v>537</v>
      </c>
      <c r="K568" s="466">
        <v>269010</v>
      </c>
      <c r="L568" s="465" t="s">
        <v>537</v>
      </c>
      <c r="M568" s="465" t="s">
        <v>537</v>
      </c>
      <c r="N568" s="466">
        <v>268853.8</v>
      </c>
      <c r="O568" s="463" t="s">
        <v>537</v>
      </c>
      <c r="P568" s="463" t="s">
        <v>537</v>
      </c>
      <c r="Q568" s="465">
        <v>156</v>
      </c>
      <c r="R568" s="470">
        <v>241671</v>
      </c>
      <c r="S568" s="463" t="s">
        <v>1744</v>
      </c>
      <c r="T568" s="463">
        <v>400</v>
      </c>
      <c r="U568" s="463">
        <v>40</v>
      </c>
      <c r="V568" s="463">
        <v>0</v>
      </c>
      <c r="W568" s="463">
        <v>0</v>
      </c>
      <c r="X568" s="463">
        <v>0</v>
      </c>
      <c r="Y568" s="463">
        <v>0</v>
      </c>
      <c r="Z568" s="463">
        <v>0</v>
      </c>
      <c r="AA568" s="472" t="s">
        <v>1745</v>
      </c>
      <c r="AB568" s="463" t="s">
        <v>539</v>
      </c>
      <c r="AC568" s="463" t="s">
        <v>539</v>
      </c>
      <c r="AD568" s="472" t="s">
        <v>1746</v>
      </c>
      <c r="AE568" s="463" t="s">
        <v>539</v>
      </c>
      <c r="AF568" s="463" t="s">
        <v>539</v>
      </c>
      <c r="AG568" s="463" t="s">
        <v>375</v>
      </c>
      <c r="AH568" s="476"/>
      <c r="AI568" s="472" t="s">
        <v>1747</v>
      </c>
      <c r="AJ568" s="472" t="s">
        <v>543</v>
      </c>
    </row>
    <row r="569" spans="1:36" ht="24" hidden="1" customHeight="1">
      <c r="B569" s="463">
        <v>474</v>
      </c>
      <c r="C569" s="464" t="s">
        <v>377</v>
      </c>
      <c r="D569" s="464"/>
      <c r="E569" s="464" t="s">
        <v>602</v>
      </c>
      <c r="F569" s="464"/>
      <c r="G569" s="464" t="s">
        <v>60</v>
      </c>
      <c r="H569" s="464" t="s">
        <v>1748</v>
      </c>
      <c r="I569" s="465" t="s">
        <v>537</v>
      </c>
      <c r="J569" s="465" t="s">
        <v>537</v>
      </c>
      <c r="K569" s="466">
        <v>200000</v>
      </c>
      <c r="L569" s="465" t="s">
        <v>537</v>
      </c>
      <c r="M569" s="465" t="s">
        <v>537</v>
      </c>
      <c r="N569" s="466">
        <v>200000</v>
      </c>
      <c r="O569" s="463" t="s">
        <v>537</v>
      </c>
      <c r="P569" s="463" t="s">
        <v>537</v>
      </c>
      <c r="Q569" s="465">
        <v>0</v>
      </c>
      <c r="R569" s="470">
        <v>241671</v>
      </c>
      <c r="S569" s="463" t="s">
        <v>1749</v>
      </c>
      <c r="T569" s="463">
        <v>30</v>
      </c>
      <c r="U569" s="463">
        <v>10</v>
      </c>
      <c r="V569" s="463">
        <v>0</v>
      </c>
      <c r="W569" s="463">
        <v>29</v>
      </c>
      <c r="X569" s="463">
        <v>13</v>
      </c>
      <c r="Y569" s="463">
        <v>0</v>
      </c>
      <c r="Z569" s="463">
        <v>86.97</v>
      </c>
      <c r="AA569" s="472" t="s">
        <v>605</v>
      </c>
      <c r="AB569" s="463" t="s">
        <v>539</v>
      </c>
      <c r="AC569" s="463" t="s">
        <v>539</v>
      </c>
      <c r="AD569" s="472" t="s">
        <v>1750</v>
      </c>
      <c r="AE569" s="463">
        <v>80</v>
      </c>
      <c r="AF569" s="463">
        <v>86.97</v>
      </c>
      <c r="AG569" s="463" t="s">
        <v>375</v>
      </c>
      <c r="AH569" s="476"/>
      <c r="AI569" s="472" t="s">
        <v>1751</v>
      </c>
      <c r="AJ569" s="472" t="s">
        <v>543</v>
      </c>
    </row>
    <row r="570" spans="1:36" ht="24" hidden="1" customHeight="1">
      <c r="B570" s="701">
        <v>475</v>
      </c>
      <c r="C570" s="699" t="s">
        <v>377</v>
      </c>
      <c r="D570" s="699"/>
      <c r="E570" s="699" t="s">
        <v>602</v>
      </c>
      <c r="F570" s="699"/>
      <c r="G570" s="699" t="s">
        <v>60</v>
      </c>
      <c r="H570" s="699" t="s">
        <v>1752</v>
      </c>
      <c r="I570" s="712">
        <v>100000</v>
      </c>
      <c r="J570" s="709" t="s">
        <v>537</v>
      </c>
      <c r="K570" s="709" t="s">
        <v>537</v>
      </c>
      <c r="L570" s="712">
        <v>70990</v>
      </c>
      <c r="M570" s="709" t="s">
        <v>537</v>
      </c>
      <c r="N570" s="709" t="s">
        <v>537</v>
      </c>
      <c r="O570" s="701" t="s">
        <v>537</v>
      </c>
      <c r="P570" s="701" t="s">
        <v>537</v>
      </c>
      <c r="Q570" s="705">
        <v>29010</v>
      </c>
      <c r="R570" s="701" t="s">
        <v>747</v>
      </c>
      <c r="S570" s="701" t="s">
        <v>919</v>
      </c>
      <c r="T570" s="701">
        <v>250</v>
      </c>
      <c r="U570" s="701">
        <v>20</v>
      </c>
      <c r="V570" s="701">
        <v>30</v>
      </c>
      <c r="W570" s="701">
        <v>250</v>
      </c>
      <c r="X570" s="701">
        <v>38</v>
      </c>
      <c r="Y570" s="701">
        <v>47</v>
      </c>
      <c r="Z570" s="701">
        <v>81.599999999999994</v>
      </c>
      <c r="AA570" s="697" t="s">
        <v>619</v>
      </c>
      <c r="AB570" s="701" t="s">
        <v>539</v>
      </c>
      <c r="AC570" s="701" t="s">
        <v>539</v>
      </c>
      <c r="AD570" s="458" t="s">
        <v>1753</v>
      </c>
      <c r="AE570" s="459">
        <v>80</v>
      </c>
      <c r="AF570" s="459">
        <v>81.599999999999994</v>
      </c>
      <c r="AG570" s="701" t="s">
        <v>375</v>
      </c>
      <c r="AH570" s="728"/>
      <c r="AI570" s="697" t="s">
        <v>1754</v>
      </c>
      <c r="AJ570" s="699"/>
    </row>
    <row r="571" spans="1:36" ht="24" hidden="1" customHeight="1">
      <c r="B571" s="702"/>
      <c r="C571" s="700"/>
      <c r="D571" s="700"/>
      <c r="E571" s="700"/>
      <c r="F571" s="700"/>
      <c r="G571" s="700"/>
      <c r="H571" s="700"/>
      <c r="I571" s="713"/>
      <c r="J571" s="710"/>
      <c r="K571" s="710"/>
      <c r="L571" s="713"/>
      <c r="M571" s="710"/>
      <c r="N571" s="710"/>
      <c r="O571" s="702"/>
      <c r="P571" s="702"/>
      <c r="Q571" s="706"/>
      <c r="R571" s="702"/>
      <c r="S571" s="702"/>
      <c r="T571" s="702"/>
      <c r="U571" s="702"/>
      <c r="V571" s="702"/>
      <c r="W571" s="702"/>
      <c r="X571" s="702"/>
      <c r="Y571" s="702"/>
      <c r="Z571" s="702"/>
      <c r="AA571" s="698"/>
      <c r="AB571" s="702"/>
      <c r="AC571" s="702"/>
      <c r="AD571" s="473" t="s">
        <v>1755</v>
      </c>
      <c r="AE571" s="474">
        <v>80</v>
      </c>
      <c r="AF571" s="474">
        <v>81.599999999999994</v>
      </c>
      <c r="AG571" s="702"/>
      <c r="AH571" s="729"/>
      <c r="AI571" s="698"/>
      <c r="AJ571" s="700"/>
    </row>
    <row r="572" spans="1:36" ht="24" hidden="1" customHeight="1">
      <c r="B572" s="463">
        <v>476</v>
      </c>
      <c r="C572" s="464" t="s">
        <v>377</v>
      </c>
      <c r="D572" s="464"/>
      <c r="E572" s="464" t="s">
        <v>602</v>
      </c>
      <c r="F572" s="464"/>
      <c r="G572" s="464" t="s">
        <v>60</v>
      </c>
      <c r="H572" s="464" t="s">
        <v>1756</v>
      </c>
      <c r="I572" s="466">
        <v>10000</v>
      </c>
      <c r="J572" s="465" t="s">
        <v>537</v>
      </c>
      <c r="K572" s="465" t="s">
        <v>537</v>
      </c>
      <c r="L572" s="466">
        <v>9800</v>
      </c>
      <c r="M572" s="465" t="s">
        <v>537</v>
      </c>
      <c r="N572" s="465" t="s">
        <v>537</v>
      </c>
      <c r="O572" s="463" t="s">
        <v>537</v>
      </c>
      <c r="P572" s="463" t="s">
        <v>537</v>
      </c>
      <c r="Q572" s="465">
        <v>200</v>
      </c>
      <c r="R572" s="470">
        <v>241518</v>
      </c>
      <c r="S572" s="471">
        <v>22372</v>
      </c>
      <c r="T572" s="463">
        <v>40</v>
      </c>
      <c r="U572" s="463">
        <v>5</v>
      </c>
      <c r="V572" s="463">
        <v>5</v>
      </c>
      <c r="W572" s="463">
        <v>39</v>
      </c>
      <c r="X572" s="463">
        <v>18</v>
      </c>
      <c r="Y572" s="463">
        <v>6</v>
      </c>
      <c r="Z572" s="463">
        <v>85.73</v>
      </c>
      <c r="AA572" s="472" t="s">
        <v>899</v>
      </c>
      <c r="AB572" s="463" t="s">
        <v>539</v>
      </c>
      <c r="AC572" s="463" t="s">
        <v>539</v>
      </c>
      <c r="AD572" s="472" t="s">
        <v>548</v>
      </c>
      <c r="AE572" s="463">
        <v>80</v>
      </c>
      <c r="AF572" s="463">
        <v>85.73</v>
      </c>
      <c r="AG572" s="463" t="s">
        <v>375</v>
      </c>
      <c r="AH572" s="476"/>
      <c r="AI572" s="472" t="s">
        <v>1740</v>
      </c>
      <c r="AJ572" s="464"/>
    </row>
    <row r="573" spans="1:36" ht="24" hidden="1" customHeight="1">
      <c r="B573" s="463">
        <v>477</v>
      </c>
      <c r="C573" s="464" t="s">
        <v>377</v>
      </c>
      <c r="D573" s="464"/>
      <c r="E573" s="464" t="s">
        <v>602</v>
      </c>
      <c r="F573" s="464"/>
      <c r="G573" s="464" t="s">
        <v>60</v>
      </c>
      <c r="H573" s="464" t="s">
        <v>1757</v>
      </c>
      <c r="I573" s="465" t="s">
        <v>537</v>
      </c>
      <c r="J573" s="465" t="s">
        <v>537</v>
      </c>
      <c r="K573" s="466">
        <v>20000</v>
      </c>
      <c r="L573" s="465" t="s">
        <v>537</v>
      </c>
      <c r="M573" s="465" t="s">
        <v>537</v>
      </c>
      <c r="N573" s="466">
        <v>19500</v>
      </c>
      <c r="O573" s="463" t="s">
        <v>537</v>
      </c>
      <c r="P573" s="463" t="s">
        <v>537</v>
      </c>
      <c r="Q573" s="465">
        <v>500</v>
      </c>
      <c r="R573" s="463" t="s">
        <v>643</v>
      </c>
      <c r="S573" s="463" t="s">
        <v>1758</v>
      </c>
      <c r="T573" s="463">
        <v>25</v>
      </c>
      <c r="U573" s="463">
        <v>0</v>
      </c>
      <c r="V573" s="463">
        <v>0</v>
      </c>
      <c r="W573" s="463">
        <v>20</v>
      </c>
      <c r="X573" s="463">
        <v>16</v>
      </c>
      <c r="Y573" s="463">
        <v>0</v>
      </c>
      <c r="Z573" s="463">
        <v>94.6</v>
      </c>
      <c r="AA573" s="472" t="s">
        <v>612</v>
      </c>
      <c r="AB573" s="463" t="s">
        <v>539</v>
      </c>
      <c r="AC573" s="463" t="s">
        <v>539</v>
      </c>
      <c r="AD573" s="472" t="s">
        <v>1759</v>
      </c>
      <c r="AE573" s="463" t="s">
        <v>539</v>
      </c>
      <c r="AF573" s="463" t="s">
        <v>539</v>
      </c>
      <c r="AG573" s="463" t="s">
        <v>375</v>
      </c>
      <c r="AH573" s="476"/>
      <c r="AI573" s="472" t="s">
        <v>1760</v>
      </c>
      <c r="AJ573" s="472" t="s">
        <v>543</v>
      </c>
    </row>
    <row r="574" spans="1:36" ht="24" customHeight="1">
      <c r="A574" s="452">
        <v>106</v>
      </c>
      <c r="B574" s="701">
        <v>478</v>
      </c>
      <c r="C574" s="699" t="s">
        <v>337</v>
      </c>
      <c r="D574" s="699"/>
      <c r="E574" s="699" t="s">
        <v>545</v>
      </c>
      <c r="F574" s="699"/>
      <c r="G574" s="699" t="s">
        <v>60</v>
      </c>
      <c r="H574" s="699" t="s">
        <v>1761</v>
      </c>
      <c r="I574" s="712">
        <v>15000</v>
      </c>
      <c r="J574" s="709" t="s">
        <v>537</v>
      </c>
      <c r="K574" s="709" t="s">
        <v>537</v>
      </c>
      <c r="L574" s="712">
        <v>15000</v>
      </c>
      <c r="M574" s="709" t="s">
        <v>537</v>
      </c>
      <c r="N574" s="709" t="s">
        <v>537</v>
      </c>
      <c r="O574" s="701" t="s">
        <v>537</v>
      </c>
      <c r="P574" s="701" t="s">
        <v>537</v>
      </c>
      <c r="Q574" s="709">
        <v>0</v>
      </c>
      <c r="R574" s="701" t="s">
        <v>1214</v>
      </c>
      <c r="S574" s="701" t="s">
        <v>1762</v>
      </c>
      <c r="T574" s="701">
        <v>3</v>
      </c>
      <c r="U574" s="701">
        <v>2</v>
      </c>
      <c r="V574" s="701">
        <v>25</v>
      </c>
      <c r="W574" s="701">
        <v>0</v>
      </c>
      <c r="X574" s="701">
        <v>5</v>
      </c>
      <c r="Y574" s="701">
        <v>25</v>
      </c>
      <c r="Z574" s="701">
        <v>91</v>
      </c>
      <c r="AA574" s="697" t="s">
        <v>1763</v>
      </c>
      <c r="AB574" s="701" t="s">
        <v>539</v>
      </c>
      <c r="AC574" s="701" t="s">
        <v>539</v>
      </c>
      <c r="AD574" s="458" t="s">
        <v>548</v>
      </c>
      <c r="AE574" s="459">
        <v>80</v>
      </c>
      <c r="AF574" s="459">
        <v>82</v>
      </c>
      <c r="AG574" s="701" t="s">
        <v>375</v>
      </c>
      <c r="AH574" s="728"/>
      <c r="AI574" s="697" t="s">
        <v>1760</v>
      </c>
      <c r="AJ574" s="699"/>
    </row>
    <row r="575" spans="1:36" ht="24" hidden="1" customHeight="1">
      <c r="B575" s="702"/>
      <c r="C575" s="700"/>
      <c r="D575" s="700"/>
      <c r="E575" s="700"/>
      <c r="F575" s="700"/>
      <c r="G575" s="700"/>
      <c r="H575" s="700"/>
      <c r="I575" s="713"/>
      <c r="J575" s="710"/>
      <c r="K575" s="710"/>
      <c r="L575" s="713"/>
      <c r="M575" s="710"/>
      <c r="N575" s="710"/>
      <c r="O575" s="702"/>
      <c r="P575" s="702"/>
      <c r="Q575" s="710"/>
      <c r="R575" s="702"/>
      <c r="S575" s="702"/>
      <c r="T575" s="702"/>
      <c r="U575" s="702"/>
      <c r="V575" s="702"/>
      <c r="W575" s="702"/>
      <c r="X575" s="702"/>
      <c r="Y575" s="702"/>
      <c r="Z575" s="702"/>
      <c r="AA575" s="698"/>
      <c r="AB575" s="702"/>
      <c r="AC575" s="702"/>
      <c r="AD575" s="473" t="s">
        <v>1764</v>
      </c>
      <c r="AE575" s="474">
        <v>1</v>
      </c>
      <c r="AF575" s="474">
        <v>1</v>
      </c>
      <c r="AG575" s="702"/>
      <c r="AH575" s="729"/>
      <c r="AI575" s="698"/>
      <c r="AJ575" s="700"/>
    </row>
    <row r="576" spans="1:36" ht="24" customHeight="1">
      <c r="A576" s="452">
        <v>107</v>
      </c>
      <c r="B576" s="701">
        <v>479</v>
      </c>
      <c r="C576" s="699" t="s">
        <v>337</v>
      </c>
      <c r="D576" s="699"/>
      <c r="E576" s="699" t="s">
        <v>545</v>
      </c>
      <c r="F576" s="699"/>
      <c r="G576" s="699" t="s">
        <v>60</v>
      </c>
      <c r="H576" s="699" t="s">
        <v>1765</v>
      </c>
      <c r="I576" s="712">
        <v>20000</v>
      </c>
      <c r="J576" s="709" t="s">
        <v>537</v>
      </c>
      <c r="K576" s="709" t="s">
        <v>537</v>
      </c>
      <c r="L576" s="712">
        <v>20000</v>
      </c>
      <c r="M576" s="709" t="s">
        <v>537</v>
      </c>
      <c r="N576" s="709" t="s">
        <v>537</v>
      </c>
      <c r="O576" s="701" t="s">
        <v>537</v>
      </c>
      <c r="P576" s="701" t="s">
        <v>537</v>
      </c>
      <c r="Q576" s="709">
        <v>0</v>
      </c>
      <c r="R576" s="701" t="s">
        <v>1214</v>
      </c>
      <c r="S576" s="701" t="s">
        <v>1766</v>
      </c>
      <c r="T576" s="701">
        <v>3</v>
      </c>
      <c r="U576" s="701">
        <v>2</v>
      </c>
      <c r="V576" s="701">
        <v>25</v>
      </c>
      <c r="W576" s="699"/>
      <c r="X576" s="701">
        <v>2</v>
      </c>
      <c r="Y576" s="701">
        <v>25</v>
      </c>
      <c r="Z576" s="701">
        <v>100</v>
      </c>
      <c r="AA576" s="458" t="s">
        <v>547</v>
      </c>
      <c r="AB576" s="459" t="s">
        <v>539</v>
      </c>
      <c r="AC576" s="459" t="s">
        <v>539</v>
      </c>
      <c r="AD576" s="458" t="s">
        <v>548</v>
      </c>
      <c r="AE576" s="459">
        <v>80</v>
      </c>
      <c r="AF576" s="459">
        <v>100</v>
      </c>
      <c r="AG576" s="701" t="s">
        <v>375</v>
      </c>
      <c r="AH576" s="728"/>
      <c r="AI576" s="697" t="s">
        <v>1767</v>
      </c>
      <c r="AJ576" s="699"/>
    </row>
    <row r="577" spans="1:36" ht="24" hidden="1" customHeight="1">
      <c r="B577" s="702"/>
      <c r="C577" s="700"/>
      <c r="D577" s="700"/>
      <c r="E577" s="700"/>
      <c r="F577" s="700"/>
      <c r="G577" s="700"/>
      <c r="H577" s="700"/>
      <c r="I577" s="713"/>
      <c r="J577" s="710"/>
      <c r="K577" s="710"/>
      <c r="L577" s="713"/>
      <c r="M577" s="710"/>
      <c r="N577" s="710"/>
      <c r="O577" s="702"/>
      <c r="P577" s="702"/>
      <c r="Q577" s="710"/>
      <c r="R577" s="702"/>
      <c r="S577" s="702"/>
      <c r="T577" s="702"/>
      <c r="U577" s="702"/>
      <c r="V577" s="702"/>
      <c r="W577" s="700"/>
      <c r="X577" s="702"/>
      <c r="Y577" s="702"/>
      <c r="Z577" s="702"/>
      <c r="AA577" s="473" t="s">
        <v>1768</v>
      </c>
      <c r="AB577" s="474" t="s">
        <v>539</v>
      </c>
      <c r="AC577" s="474" t="s">
        <v>539</v>
      </c>
      <c r="AD577" s="473" t="s">
        <v>1769</v>
      </c>
      <c r="AE577" s="474">
        <v>1</v>
      </c>
      <c r="AF577" s="474">
        <v>1</v>
      </c>
      <c r="AG577" s="702"/>
      <c r="AH577" s="729"/>
      <c r="AI577" s="698"/>
      <c r="AJ577" s="700"/>
    </row>
    <row r="578" spans="1:36" ht="24" hidden="1" customHeight="1">
      <c r="B578" s="463">
        <v>480</v>
      </c>
      <c r="C578" s="464" t="s">
        <v>534</v>
      </c>
      <c r="D578" s="464"/>
      <c r="E578" s="464" t="s">
        <v>577</v>
      </c>
      <c r="F578" s="464"/>
      <c r="G578" s="464" t="s">
        <v>60</v>
      </c>
      <c r="H578" s="464" t="s">
        <v>1770</v>
      </c>
      <c r="I578" s="465" t="s">
        <v>537</v>
      </c>
      <c r="J578" s="465" t="s">
        <v>537</v>
      </c>
      <c r="K578" s="466">
        <v>35000</v>
      </c>
      <c r="L578" s="465" t="s">
        <v>537</v>
      </c>
      <c r="M578" s="465" t="s">
        <v>537</v>
      </c>
      <c r="N578" s="466">
        <v>35000</v>
      </c>
      <c r="O578" s="463" t="s">
        <v>537</v>
      </c>
      <c r="P578" s="463" t="s">
        <v>537</v>
      </c>
      <c r="Q578" s="465">
        <v>0</v>
      </c>
      <c r="R578" s="463" t="s">
        <v>771</v>
      </c>
      <c r="S578" s="471">
        <v>22361</v>
      </c>
      <c r="T578" s="463">
        <v>0</v>
      </c>
      <c r="U578" s="463">
        <v>0</v>
      </c>
      <c r="V578" s="463">
        <v>0</v>
      </c>
      <c r="W578" s="463">
        <v>0</v>
      </c>
      <c r="X578" s="463">
        <v>0</v>
      </c>
      <c r="Y578" s="463">
        <v>0</v>
      </c>
      <c r="Z578" s="463">
        <v>100</v>
      </c>
      <c r="AA578" s="472" t="s">
        <v>1771</v>
      </c>
      <c r="AB578" s="463">
        <v>10</v>
      </c>
      <c r="AC578" s="463">
        <v>10</v>
      </c>
      <c r="AD578" s="472" t="s">
        <v>1772</v>
      </c>
      <c r="AE578" s="463">
        <v>3</v>
      </c>
      <c r="AF578" s="463">
        <v>3</v>
      </c>
      <c r="AG578" s="463" t="s">
        <v>375</v>
      </c>
      <c r="AH578" s="476"/>
      <c r="AI578" s="472" t="s">
        <v>1773</v>
      </c>
      <c r="AJ578" s="472" t="s">
        <v>543</v>
      </c>
    </row>
    <row r="579" spans="1:36" ht="24" hidden="1" customHeight="1">
      <c r="B579" s="463">
        <v>481</v>
      </c>
      <c r="C579" s="464" t="s">
        <v>534</v>
      </c>
      <c r="D579" s="464"/>
      <c r="E579" s="464" t="s">
        <v>577</v>
      </c>
      <c r="F579" s="464"/>
      <c r="G579" s="464" t="s">
        <v>60</v>
      </c>
      <c r="H579" s="464" t="s">
        <v>1774</v>
      </c>
      <c r="I579" s="465" t="s">
        <v>537</v>
      </c>
      <c r="J579" s="465" t="s">
        <v>537</v>
      </c>
      <c r="K579" s="466">
        <v>40000</v>
      </c>
      <c r="L579" s="465" t="s">
        <v>537</v>
      </c>
      <c r="M579" s="465" t="s">
        <v>537</v>
      </c>
      <c r="N579" s="466">
        <v>40000</v>
      </c>
      <c r="O579" s="463" t="s">
        <v>537</v>
      </c>
      <c r="P579" s="463" t="s">
        <v>537</v>
      </c>
      <c r="Q579" s="465">
        <v>0</v>
      </c>
      <c r="R579" s="463" t="s">
        <v>771</v>
      </c>
      <c r="S579" s="463" t="s">
        <v>1325</v>
      </c>
      <c r="T579" s="463">
        <v>0</v>
      </c>
      <c r="U579" s="463">
        <v>0</v>
      </c>
      <c r="V579" s="463">
        <v>0</v>
      </c>
      <c r="W579" s="463">
        <v>0</v>
      </c>
      <c r="X579" s="463">
        <v>0</v>
      </c>
      <c r="Y579" s="463">
        <v>0</v>
      </c>
      <c r="Z579" s="463">
        <v>100</v>
      </c>
      <c r="AA579" s="472" t="s">
        <v>1775</v>
      </c>
      <c r="AB579" s="463" t="s">
        <v>539</v>
      </c>
      <c r="AC579" s="463" t="s">
        <v>539</v>
      </c>
      <c r="AD579" s="472" t="s">
        <v>1776</v>
      </c>
      <c r="AE579" s="463" t="s">
        <v>539</v>
      </c>
      <c r="AF579" s="463" t="s">
        <v>539</v>
      </c>
      <c r="AG579" s="463" t="s">
        <v>375</v>
      </c>
      <c r="AH579" s="476"/>
      <c r="AI579" s="472" t="s">
        <v>1777</v>
      </c>
      <c r="AJ579" s="472" t="s">
        <v>543</v>
      </c>
    </row>
    <row r="580" spans="1:36" ht="24" hidden="1" customHeight="1">
      <c r="B580" s="463">
        <v>482</v>
      </c>
      <c r="C580" s="464" t="s">
        <v>534</v>
      </c>
      <c r="D580" s="464"/>
      <c r="E580" s="464" t="s">
        <v>577</v>
      </c>
      <c r="F580" s="464"/>
      <c r="G580" s="464" t="s">
        <v>60</v>
      </c>
      <c r="H580" s="464" t="s">
        <v>1778</v>
      </c>
      <c r="I580" s="465" t="s">
        <v>537</v>
      </c>
      <c r="J580" s="465" t="s">
        <v>537</v>
      </c>
      <c r="K580" s="466">
        <v>30000</v>
      </c>
      <c r="L580" s="465" t="s">
        <v>537</v>
      </c>
      <c r="M580" s="465" t="s">
        <v>537</v>
      </c>
      <c r="N580" s="466">
        <v>30000</v>
      </c>
      <c r="O580" s="463" t="s">
        <v>537</v>
      </c>
      <c r="P580" s="463" t="s">
        <v>537</v>
      </c>
      <c r="Q580" s="465">
        <v>0</v>
      </c>
      <c r="R580" s="470">
        <v>241487</v>
      </c>
      <c r="S580" s="463" t="s">
        <v>1779</v>
      </c>
      <c r="T580" s="463">
        <v>0</v>
      </c>
      <c r="U580" s="463">
        <v>0</v>
      </c>
      <c r="V580" s="463">
        <v>0</v>
      </c>
      <c r="W580" s="463">
        <v>17</v>
      </c>
      <c r="X580" s="463">
        <v>9</v>
      </c>
      <c r="Y580" s="463">
        <v>4</v>
      </c>
      <c r="Z580" s="463">
        <v>82</v>
      </c>
      <c r="AA580" s="472" t="s">
        <v>1780</v>
      </c>
      <c r="AB580" s="463" t="s">
        <v>539</v>
      </c>
      <c r="AC580" s="463" t="s">
        <v>539</v>
      </c>
      <c r="AD580" s="472" t="s">
        <v>1781</v>
      </c>
      <c r="AE580" s="463">
        <v>10</v>
      </c>
      <c r="AF580" s="463">
        <v>10</v>
      </c>
      <c r="AG580" s="463" t="s">
        <v>375</v>
      </c>
      <c r="AH580" s="476"/>
      <c r="AI580" s="472">
        <v>899161467</v>
      </c>
      <c r="AJ580" s="472" t="s">
        <v>543</v>
      </c>
    </row>
    <row r="581" spans="1:36" ht="24" hidden="1" customHeight="1">
      <c r="B581" s="463">
        <v>483</v>
      </c>
      <c r="C581" s="464" t="s">
        <v>534</v>
      </c>
      <c r="D581" s="464"/>
      <c r="E581" s="464" t="s">
        <v>577</v>
      </c>
      <c r="F581" s="464"/>
      <c r="G581" s="464" t="s">
        <v>60</v>
      </c>
      <c r="H581" s="464" t="s">
        <v>1782</v>
      </c>
      <c r="I581" s="465" t="s">
        <v>537</v>
      </c>
      <c r="J581" s="465" t="s">
        <v>537</v>
      </c>
      <c r="K581" s="466">
        <v>50000</v>
      </c>
      <c r="L581" s="465" t="s">
        <v>537</v>
      </c>
      <c r="M581" s="465" t="s">
        <v>537</v>
      </c>
      <c r="N581" s="466">
        <v>50000</v>
      </c>
      <c r="O581" s="463" t="s">
        <v>537</v>
      </c>
      <c r="P581" s="463" t="s">
        <v>537</v>
      </c>
      <c r="Q581" s="465">
        <v>0</v>
      </c>
      <c r="R581" s="470">
        <v>241579</v>
      </c>
      <c r="S581" s="463" t="s">
        <v>1783</v>
      </c>
      <c r="T581" s="463">
        <v>0</v>
      </c>
      <c r="U581" s="463">
        <v>0</v>
      </c>
      <c r="V581" s="463">
        <v>0</v>
      </c>
      <c r="W581" s="463">
        <v>0</v>
      </c>
      <c r="X581" s="463">
        <v>3</v>
      </c>
      <c r="Y581" s="463">
        <v>0</v>
      </c>
      <c r="Z581" s="463">
        <v>81.7</v>
      </c>
      <c r="AA581" s="472" t="s">
        <v>1784</v>
      </c>
      <c r="AB581" s="463" t="s">
        <v>539</v>
      </c>
      <c r="AC581" s="463" t="s">
        <v>539</v>
      </c>
      <c r="AD581" s="472" t="s">
        <v>1785</v>
      </c>
      <c r="AE581" s="463" t="s">
        <v>539</v>
      </c>
      <c r="AF581" s="463" t="s">
        <v>539</v>
      </c>
      <c r="AG581" s="463" t="s">
        <v>375</v>
      </c>
      <c r="AH581" s="476"/>
      <c r="AI581" s="472" t="s">
        <v>1760</v>
      </c>
      <c r="AJ581" s="472" t="s">
        <v>543</v>
      </c>
    </row>
    <row r="582" spans="1:36" ht="24" hidden="1" customHeight="1">
      <c r="B582" s="701">
        <v>484</v>
      </c>
      <c r="C582" s="699" t="s">
        <v>534</v>
      </c>
      <c r="D582" s="699"/>
      <c r="E582" s="699" t="s">
        <v>577</v>
      </c>
      <c r="F582" s="699"/>
      <c r="G582" s="699" t="s">
        <v>60</v>
      </c>
      <c r="H582" s="699" t="s">
        <v>1786</v>
      </c>
      <c r="I582" s="709" t="s">
        <v>537</v>
      </c>
      <c r="J582" s="709" t="s">
        <v>537</v>
      </c>
      <c r="K582" s="712">
        <v>80000</v>
      </c>
      <c r="L582" s="709" t="s">
        <v>537</v>
      </c>
      <c r="M582" s="709" t="s">
        <v>537</v>
      </c>
      <c r="N582" s="712">
        <v>80000</v>
      </c>
      <c r="O582" s="701" t="s">
        <v>537</v>
      </c>
      <c r="P582" s="701" t="s">
        <v>537</v>
      </c>
      <c r="Q582" s="709">
        <v>0</v>
      </c>
      <c r="R582" s="701" t="s">
        <v>727</v>
      </c>
      <c r="S582" s="701" t="s">
        <v>1787</v>
      </c>
      <c r="T582" s="701">
        <v>0</v>
      </c>
      <c r="U582" s="701">
        <v>0</v>
      </c>
      <c r="V582" s="701">
        <v>0</v>
      </c>
      <c r="W582" s="701">
        <v>0</v>
      </c>
      <c r="X582" s="701">
        <v>0</v>
      </c>
      <c r="Y582" s="701">
        <v>0</v>
      </c>
      <c r="Z582" s="701">
        <v>0</v>
      </c>
      <c r="AA582" s="697" t="s">
        <v>1788</v>
      </c>
      <c r="AB582" s="701" t="s">
        <v>539</v>
      </c>
      <c r="AC582" s="701" t="s">
        <v>539</v>
      </c>
      <c r="AD582" s="458" t="s">
        <v>1789</v>
      </c>
      <c r="AE582" s="459" t="s">
        <v>539</v>
      </c>
      <c r="AF582" s="459" t="s">
        <v>539</v>
      </c>
      <c r="AG582" s="701" t="s">
        <v>375</v>
      </c>
      <c r="AH582" s="728"/>
      <c r="AI582" s="697" t="s">
        <v>1691</v>
      </c>
      <c r="AJ582" s="697" t="s">
        <v>543</v>
      </c>
    </row>
    <row r="583" spans="1:36" ht="24" hidden="1" customHeight="1">
      <c r="B583" s="702"/>
      <c r="C583" s="700"/>
      <c r="D583" s="700"/>
      <c r="E583" s="700"/>
      <c r="F583" s="700"/>
      <c r="G583" s="700"/>
      <c r="H583" s="700"/>
      <c r="I583" s="710"/>
      <c r="J583" s="710"/>
      <c r="K583" s="713"/>
      <c r="L583" s="710"/>
      <c r="M583" s="710"/>
      <c r="N583" s="713"/>
      <c r="O583" s="702"/>
      <c r="P583" s="702"/>
      <c r="Q583" s="710"/>
      <c r="R583" s="702"/>
      <c r="S583" s="702"/>
      <c r="T583" s="702"/>
      <c r="U583" s="702"/>
      <c r="V583" s="702"/>
      <c r="W583" s="702"/>
      <c r="X583" s="702"/>
      <c r="Y583" s="702"/>
      <c r="Z583" s="702"/>
      <c r="AA583" s="698"/>
      <c r="AB583" s="702"/>
      <c r="AC583" s="702"/>
      <c r="AD583" s="473" t="s">
        <v>1790</v>
      </c>
      <c r="AE583" s="474" t="s">
        <v>539</v>
      </c>
      <c r="AF583" s="474" t="s">
        <v>539</v>
      </c>
      <c r="AG583" s="702"/>
      <c r="AH583" s="729"/>
      <c r="AI583" s="698"/>
      <c r="AJ583" s="698"/>
    </row>
    <row r="584" spans="1:36" ht="24" customHeight="1">
      <c r="A584" s="452">
        <v>108</v>
      </c>
      <c r="B584" s="463">
        <v>485</v>
      </c>
      <c r="C584" s="464" t="s">
        <v>337</v>
      </c>
      <c r="D584" s="464"/>
      <c r="E584" s="464" t="s">
        <v>545</v>
      </c>
      <c r="F584" s="464"/>
      <c r="G584" s="464" t="s">
        <v>60</v>
      </c>
      <c r="H584" s="464" t="s">
        <v>1791</v>
      </c>
      <c r="I584" s="466">
        <v>30000</v>
      </c>
      <c r="J584" s="465" t="s">
        <v>537</v>
      </c>
      <c r="K584" s="465" t="s">
        <v>537</v>
      </c>
      <c r="L584" s="466">
        <v>30000</v>
      </c>
      <c r="M584" s="465" t="s">
        <v>537</v>
      </c>
      <c r="N584" s="465" t="s">
        <v>537</v>
      </c>
      <c r="O584" s="463" t="s">
        <v>537</v>
      </c>
      <c r="P584" s="463" t="s">
        <v>537</v>
      </c>
      <c r="Q584" s="465">
        <v>0</v>
      </c>
      <c r="R584" s="463" t="s">
        <v>1214</v>
      </c>
      <c r="S584" s="463" t="s">
        <v>1766</v>
      </c>
      <c r="T584" s="463">
        <v>4</v>
      </c>
      <c r="U584" s="463">
        <v>1</v>
      </c>
      <c r="V584" s="463">
        <v>5</v>
      </c>
      <c r="W584" s="463">
        <v>0</v>
      </c>
      <c r="X584" s="463">
        <v>2</v>
      </c>
      <c r="Y584" s="463">
        <v>30</v>
      </c>
      <c r="Z584" s="463">
        <v>100</v>
      </c>
      <c r="AA584" s="472" t="s">
        <v>1792</v>
      </c>
      <c r="AB584" s="463" t="s">
        <v>539</v>
      </c>
      <c r="AC584" s="463" t="s">
        <v>539</v>
      </c>
      <c r="AD584" s="472" t="s">
        <v>1793</v>
      </c>
      <c r="AE584" s="463">
        <v>1</v>
      </c>
      <c r="AF584" s="463">
        <v>1</v>
      </c>
      <c r="AG584" s="463" t="s">
        <v>375</v>
      </c>
      <c r="AH584" s="476"/>
      <c r="AI584" s="472" t="s">
        <v>1794</v>
      </c>
      <c r="AJ584" s="464"/>
    </row>
    <row r="585" spans="1:36" ht="24" customHeight="1">
      <c r="A585" s="452">
        <v>109</v>
      </c>
      <c r="B585" s="463">
        <v>486</v>
      </c>
      <c r="C585" s="464" t="s">
        <v>337</v>
      </c>
      <c r="D585" s="464"/>
      <c r="E585" s="464" t="s">
        <v>545</v>
      </c>
      <c r="F585" s="464"/>
      <c r="G585" s="464" t="s">
        <v>60</v>
      </c>
      <c r="H585" s="464" t="s">
        <v>1795</v>
      </c>
      <c r="I585" s="465">
        <v>0</v>
      </c>
      <c r="J585" s="465" t="s">
        <v>537</v>
      </c>
      <c r="K585" s="465" t="s">
        <v>537</v>
      </c>
      <c r="L585" s="465">
        <v>0</v>
      </c>
      <c r="M585" s="465" t="s">
        <v>537</v>
      </c>
      <c r="N585" s="465" t="s">
        <v>537</v>
      </c>
      <c r="O585" s="463" t="s">
        <v>537</v>
      </c>
      <c r="P585" s="463" t="s">
        <v>537</v>
      </c>
      <c r="Q585" s="465">
        <v>0</v>
      </c>
      <c r="R585" s="463" t="s">
        <v>1796</v>
      </c>
      <c r="S585" s="471">
        <v>22466</v>
      </c>
      <c r="T585" s="463">
        <v>4</v>
      </c>
      <c r="U585" s="463">
        <v>6</v>
      </c>
      <c r="V585" s="463">
        <v>60</v>
      </c>
      <c r="W585" s="463">
        <v>60</v>
      </c>
      <c r="X585" s="463">
        <v>5</v>
      </c>
      <c r="Y585" s="463">
        <v>65</v>
      </c>
      <c r="Z585" s="463">
        <v>98</v>
      </c>
      <c r="AA585" s="472" t="s">
        <v>547</v>
      </c>
      <c r="AB585" s="463" t="s">
        <v>539</v>
      </c>
      <c r="AC585" s="463" t="s">
        <v>539</v>
      </c>
      <c r="AD585" s="472" t="s">
        <v>925</v>
      </c>
      <c r="AE585" s="463">
        <v>80</v>
      </c>
      <c r="AF585" s="463">
        <v>98</v>
      </c>
      <c r="AG585" s="463" t="s">
        <v>375</v>
      </c>
      <c r="AH585" s="476"/>
      <c r="AI585" s="472" t="s">
        <v>1716</v>
      </c>
      <c r="AJ585" s="464"/>
    </row>
    <row r="586" spans="1:36" ht="24" customHeight="1">
      <c r="A586" s="452">
        <v>110</v>
      </c>
      <c r="B586" s="463">
        <v>487</v>
      </c>
      <c r="C586" s="464" t="s">
        <v>337</v>
      </c>
      <c r="D586" s="464"/>
      <c r="E586" s="464" t="s">
        <v>545</v>
      </c>
      <c r="F586" s="464"/>
      <c r="G586" s="464" t="s">
        <v>60</v>
      </c>
      <c r="H586" s="464" t="s">
        <v>1797</v>
      </c>
      <c r="I586" s="465" t="s">
        <v>537</v>
      </c>
      <c r="J586" s="465" t="s">
        <v>537</v>
      </c>
      <c r="K586" s="466">
        <v>20000</v>
      </c>
      <c r="L586" s="465" t="s">
        <v>537</v>
      </c>
      <c r="M586" s="465" t="s">
        <v>537</v>
      </c>
      <c r="N586" s="466">
        <v>7700</v>
      </c>
      <c r="O586" s="463" t="s">
        <v>537</v>
      </c>
      <c r="P586" s="463" t="s">
        <v>537</v>
      </c>
      <c r="Q586" s="468">
        <v>12300</v>
      </c>
      <c r="R586" s="470">
        <v>241487</v>
      </c>
      <c r="S586" s="463" t="s">
        <v>1798</v>
      </c>
      <c r="T586" s="463">
        <v>2</v>
      </c>
      <c r="U586" s="463">
        <v>5</v>
      </c>
      <c r="V586" s="463">
        <v>38</v>
      </c>
      <c r="W586" s="463">
        <v>0</v>
      </c>
      <c r="X586" s="463">
        <v>4</v>
      </c>
      <c r="Y586" s="463">
        <v>41</v>
      </c>
      <c r="Z586" s="463">
        <v>87</v>
      </c>
      <c r="AA586" s="472" t="s">
        <v>547</v>
      </c>
      <c r="AB586" s="463" t="s">
        <v>539</v>
      </c>
      <c r="AC586" s="463" t="s">
        <v>539</v>
      </c>
      <c r="AD586" s="472" t="s">
        <v>1799</v>
      </c>
      <c r="AE586" s="463" t="s">
        <v>539</v>
      </c>
      <c r="AF586" s="463" t="s">
        <v>539</v>
      </c>
      <c r="AG586" s="463" t="s">
        <v>375</v>
      </c>
      <c r="AH586" s="476"/>
      <c r="AI586" s="472" t="s">
        <v>1777</v>
      </c>
      <c r="AJ586" s="472" t="s">
        <v>543</v>
      </c>
    </row>
    <row r="587" spans="1:36" ht="24" hidden="1" customHeight="1">
      <c r="B587" s="463">
        <v>488</v>
      </c>
      <c r="C587" s="464" t="s">
        <v>10</v>
      </c>
      <c r="D587" s="464"/>
      <c r="E587" s="464" t="s">
        <v>558</v>
      </c>
      <c r="F587" s="464"/>
      <c r="G587" s="464" t="s">
        <v>60</v>
      </c>
      <c r="H587" s="464" t="s">
        <v>1800</v>
      </c>
      <c r="I587" s="465" t="s">
        <v>537</v>
      </c>
      <c r="J587" s="465" t="s">
        <v>537</v>
      </c>
      <c r="K587" s="466">
        <v>6000</v>
      </c>
      <c r="L587" s="465" t="s">
        <v>537</v>
      </c>
      <c r="M587" s="465" t="s">
        <v>537</v>
      </c>
      <c r="N587" s="466">
        <v>4700</v>
      </c>
      <c r="O587" s="463" t="s">
        <v>537</v>
      </c>
      <c r="P587" s="463" t="s">
        <v>537</v>
      </c>
      <c r="Q587" s="468">
        <v>1300</v>
      </c>
      <c r="R587" s="470">
        <v>241487</v>
      </c>
      <c r="S587" s="471">
        <v>22366</v>
      </c>
      <c r="T587" s="463">
        <v>27</v>
      </c>
      <c r="U587" s="463">
        <v>3</v>
      </c>
      <c r="V587" s="463">
        <v>0</v>
      </c>
      <c r="W587" s="463">
        <v>24</v>
      </c>
      <c r="X587" s="463">
        <v>6</v>
      </c>
      <c r="Y587" s="463">
        <v>0</v>
      </c>
      <c r="Z587" s="463">
        <v>95.5</v>
      </c>
      <c r="AA587" s="472" t="s">
        <v>1801</v>
      </c>
      <c r="AB587" s="463" t="s">
        <v>539</v>
      </c>
      <c r="AC587" s="463" t="s">
        <v>539</v>
      </c>
      <c r="AD587" s="472" t="s">
        <v>1802</v>
      </c>
      <c r="AE587" s="463" t="s">
        <v>539</v>
      </c>
      <c r="AF587" s="463" t="s">
        <v>539</v>
      </c>
      <c r="AG587" s="463" t="s">
        <v>375</v>
      </c>
      <c r="AH587" s="476"/>
      <c r="AI587" s="472" t="s">
        <v>1667</v>
      </c>
      <c r="AJ587" s="472" t="s">
        <v>562</v>
      </c>
    </row>
    <row r="588" spans="1:36" ht="24" hidden="1" customHeight="1">
      <c r="B588" s="463">
        <v>489</v>
      </c>
      <c r="C588" s="464" t="s">
        <v>10</v>
      </c>
      <c r="D588" s="464"/>
      <c r="E588" s="464" t="s">
        <v>558</v>
      </c>
      <c r="F588" s="464"/>
      <c r="G588" s="464" t="s">
        <v>60</v>
      </c>
      <c r="H588" s="464" t="s">
        <v>1803</v>
      </c>
      <c r="I588" s="465" t="s">
        <v>537</v>
      </c>
      <c r="J588" s="465" t="s">
        <v>537</v>
      </c>
      <c r="K588" s="466">
        <v>6000</v>
      </c>
      <c r="L588" s="465" t="s">
        <v>537</v>
      </c>
      <c r="M588" s="465" t="s">
        <v>537</v>
      </c>
      <c r="N588" s="465">
        <v>0</v>
      </c>
      <c r="O588" s="463" t="s">
        <v>537</v>
      </c>
      <c r="P588" s="463" t="s">
        <v>537</v>
      </c>
      <c r="Q588" s="468">
        <v>6000</v>
      </c>
      <c r="R588" s="470">
        <v>241487</v>
      </c>
      <c r="S588" s="463" t="s">
        <v>1495</v>
      </c>
      <c r="T588" s="463">
        <v>26</v>
      </c>
      <c r="U588" s="463">
        <v>4</v>
      </c>
      <c r="V588" s="463">
        <v>0</v>
      </c>
      <c r="W588" s="463">
        <v>19</v>
      </c>
      <c r="X588" s="463">
        <v>4</v>
      </c>
      <c r="Y588" s="463">
        <v>0</v>
      </c>
      <c r="Z588" s="463">
        <v>85.13</v>
      </c>
      <c r="AA588" s="472" t="s">
        <v>633</v>
      </c>
      <c r="AB588" s="463" t="s">
        <v>539</v>
      </c>
      <c r="AC588" s="463" t="s">
        <v>539</v>
      </c>
      <c r="AD588" s="472" t="s">
        <v>635</v>
      </c>
      <c r="AE588" s="463" t="s">
        <v>539</v>
      </c>
      <c r="AF588" s="463" t="s">
        <v>539</v>
      </c>
      <c r="AG588" s="463" t="s">
        <v>375</v>
      </c>
      <c r="AH588" s="476"/>
      <c r="AI588" s="472" t="s">
        <v>1686</v>
      </c>
      <c r="AJ588" s="472" t="s">
        <v>562</v>
      </c>
    </row>
    <row r="589" spans="1:36" ht="24" hidden="1" customHeight="1">
      <c r="B589" s="463">
        <v>490</v>
      </c>
      <c r="C589" s="464" t="s">
        <v>10</v>
      </c>
      <c r="D589" s="464"/>
      <c r="E589" s="464" t="s">
        <v>558</v>
      </c>
      <c r="F589" s="464"/>
      <c r="G589" s="464" t="s">
        <v>60</v>
      </c>
      <c r="H589" s="464" t="s">
        <v>1804</v>
      </c>
      <c r="I589" s="465" t="s">
        <v>537</v>
      </c>
      <c r="J589" s="465" t="s">
        <v>537</v>
      </c>
      <c r="K589" s="466">
        <v>6000</v>
      </c>
      <c r="L589" s="465" t="s">
        <v>537</v>
      </c>
      <c r="M589" s="465" t="s">
        <v>537</v>
      </c>
      <c r="N589" s="466">
        <v>5000</v>
      </c>
      <c r="O589" s="463" t="s">
        <v>537</v>
      </c>
      <c r="P589" s="463" t="s">
        <v>537</v>
      </c>
      <c r="Q589" s="468">
        <v>1000</v>
      </c>
      <c r="R589" s="470">
        <v>241487</v>
      </c>
      <c r="S589" s="463" t="s">
        <v>1466</v>
      </c>
      <c r="T589" s="463">
        <v>34</v>
      </c>
      <c r="U589" s="463">
        <v>2</v>
      </c>
      <c r="V589" s="463">
        <v>0</v>
      </c>
      <c r="W589" s="463">
        <v>33</v>
      </c>
      <c r="X589" s="463">
        <v>3</v>
      </c>
      <c r="Y589" s="463">
        <v>0</v>
      </c>
      <c r="Z589" s="463">
        <v>97</v>
      </c>
      <c r="AA589" s="472" t="s">
        <v>633</v>
      </c>
      <c r="AB589" s="463" t="s">
        <v>539</v>
      </c>
      <c r="AC589" s="463" t="s">
        <v>539</v>
      </c>
      <c r="AD589" s="472" t="s">
        <v>635</v>
      </c>
      <c r="AE589" s="463" t="s">
        <v>539</v>
      </c>
      <c r="AF589" s="463" t="s">
        <v>539</v>
      </c>
      <c r="AG589" s="463" t="s">
        <v>375</v>
      </c>
      <c r="AH589" s="476"/>
      <c r="AI589" s="472" t="s">
        <v>1654</v>
      </c>
      <c r="AJ589" s="472" t="s">
        <v>562</v>
      </c>
    </row>
    <row r="590" spans="1:36" ht="24" hidden="1" customHeight="1">
      <c r="B590" s="463">
        <v>491</v>
      </c>
      <c r="C590" s="464" t="s">
        <v>10</v>
      </c>
      <c r="D590" s="464"/>
      <c r="E590" s="464" t="s">
        <v>558</v>
      </c>
      <c r="F590" s="464"/>
      <c r="G590" s="464" t="s">
        <v>60</v>
      </c>
      <c r="H590" s="464" t="s">
        <v>1805</v>
      </c>
      <c r="I590" s="465" t="s">
        <v>537</v>
      </c>
      <c r="J590" s="465" t="s">
        <v>537</v>
      </c>
      <c r="K590" s="466">
        <v>6000</v>
      </c>
      <c r="L590" s="465" t="s">
        <v>537</v>
      </c>
      <c r="M590" s="465" t="s">
        <v>537</v>
      </c>
      <c r="N590" s="465">
        <v>0</v>
      </c>
      <c r="O590" s="463" t="s">
        <v>537</v>
      </c>
      <c r="P590" s="463" t="s">
        <v>537</v>
      </c>
      <c r="Q590" s="468">
        <v>6000</v>
      </c>
      <c r="R590" s="470">
        <v>241518</v>
      </c>
      <c r="S590" s="471">
        <v>22391</v>
      </c>
      <c r="T590" s="463">
        <v>30</v>
      </c>
      <c r="U590" s="463">
        <v>5</v>
      </c>
      <c r="V590" s="463">
        <v>0</v>
      </c>
      <c r="W590" s="463">
        <v>35</v>
      </c>
      <c r="X590" s="463">
        <v>0</v>
      </c>
      <c r="Y590" s="463">
        <v>0</v>
      </c>
      <c r="Z590" s="463">
        <v>94</v>
      </c>
      <c r="AA590" s="472" t="s">
        <v>1806</v>
      </c>
      <c r="AB590" s="463" t="s">
        <v>539</v>
      </c>
      <c r="AC590" s="463" t="s">
        <v>539</v>
      </c>
      <c r="AD590" s="472" t="s">
        <v>635</v>
      </c>
      <c r="AE590" s="463" t="s">
        <v>539</v>
      </c>
      <c r="AF590" s="463" t="s">
        <v>539</v>
      </c>
      <c r="AG590" s="463" t="s">
        <v>375</v>
      </c>
      <c r="AH590" s="476"/>
      <c r="AI590" s="472" t="s">
        <v>1720</v>
      </c>
      <c r="AJ590" s="472" t="s">
        <v>562</v>
      </c>
    </row>
    <row r="591" spans="1:36" ht="24" hidden="1" customHeight="1">
      <c r="B591" s="463">
        <v>492</v>
      </c>
      <c r="C591" s="464" t="s">
        <v>10</v>
      </c>
      <c r="D591" s="464"/>
      <c r="E591" s="464" t="s">
        <v>558</v>
      </c>
      <c r="F591" s="464"/>
      <c r="G591" s="464" t="s">
        <v>60</v>
      </c>
      <c r="H591" s="464" t="s">
        <v>1807</v>
      </c>
      <c r="I591" s="465" t="s">
        <v>537</v>
      </c>
      <c r="J591" s="465" t="s">
        <v>537</v>
      </c>
      <c r="K591" s="466">
        <v>6000</v>
      </c>
      <c r="L591" s="465" t="s">
        <v>537</v>
      </c>
      <c r="M591" s="465" t="s">
        <v>537</v>
      </c>
      <c r="N591" s="465">
        <v>0</v>
      </c>
      <c r="O591" s="463" t="s">
        <v>537</v>
      </c>
      <c r="P591" s="463" t="s">
        <v>537</v>
      </c>
      <c r="Q591" s="468">
        <v>6000</v>
      </c>
      <c r="R591" s="470">
        <v>241487</v>
      </c>
      <c r="S591" s="463" t="s">
        <v>1262</v>
      </c>
      <c r="T591" s="463">
        <v>25</v>
      </c>
      <c r="U591" s="463">
        <v>5</v>
      </c>
      <c r="V591" s="463">
        <v>0</v>
      </c>
      <c r="W591" s="463">
        <v>30</v>
      </c>
      <c r="X591" s="463">
        <v>2</v>
      </c>
      <c r="Y591" s="463">
        <v>0</v>
      </c>
      <c r="Z591" s="464"/>
      <c r="AA591" s="472" t="s">
        <v>633</v>
      </c>
      <c r="AB591" s="463" t="s">
        <v>539</v>
      </c>
      <c r="AC591" s="463" t="s">
        <v>539</v>
      </c>
      <c r="AD591" s="472" t="s">
        <v>635</v>
      </c>
      <c r="AE591" s="463" t="s">
        <v>539</v>
      </c>
      <c r="AF591" s="463" t="s">
        <v>539</v>
      </c>
      <c r="AG591" s="463" t="s">
        <v>375</v>
      </c>
      <c r="AH591" s="476"/>
      <c r="AI591" s="464"/>
      <c r="AJ591" s="472" t="s">
        <v>562</v>
      </c>
    </row>
    <row r="592" spans="1:36" ht="24" hidden="1" customHeight="1">
      <c r="B592" s="463">
        <v>493</v>
      </c>
      <c r="C592" s="464" t="s">
        <v>534</v>
      </c>
      <c r="D592" s="464"/>
      <c r="E592" s="464" t="s">
        <v>577</v>
      </c>
      <c r="F592" s="464"/>
      <c r="G592" s="464" t="s">
        <v>281</v>
      </c>
      <c r="H592" s="464" t="s">
        <v>1808</v>
      </c>
      <c r="I592" s="465" t="s">
        <v>537</v>
      </c>
      <c r="J592" s="465" t="s">
        <v>537</v>
      </c>
      <c r="K592" s="466">
        <v>40000</v>
      </c>
      <c r="L592" s="465" t="s">
        <v>537</v>
      </c>
      <c r="M592" s="465" t="s">
        <v>537</v>
      </c>
      <c r="N592" s="466">
        <v>40000</v>
      </c>
      <c r="O592" s="463" t="s">
        <v>537</v>
      </c>
      <c r="P592" s="463" t="s">
        <v>537</v>
      </c>
      <c r="Q592" s="465">
        <v>0</v>
      </c>
      <c r="R592" s="470">
        <v>241518</v>
      </c>
      <c r="S592" s="463" t="s">
        <v>1809</v>
      </c>
      <c r="T592" s="463">
        <v>0</v>
      </c>
      <c r="U592" s="463">
        <v>0</v>
      </c>
      <c r="V592" s="463">
        <v>0</v>
      </c>
      <c r="W592" s="464"/>
      <c r="X592" s="463">
        <v>2</v>
      </c>
      <c r="Y592" s="464"/>
      <c r="Z592" s="463">
        <v>82.5</v>
      </c>
      <c r="AA592" s="472" t="s">
        <v>1810</v>
      </c>
      <c r="AB592" s="463" t="s">
        <v>539</v>
      </c>
      <c r="AC592" s="463" t="s">
        <v>539</v>
      </c>
      <c r="AD592" s="472" t="s">
        <v>1811</v>
      </c>
      <c r="AE592" s="463" t="s">
        <v>539</v>
      </c>
      <c r="AF592" s="463" t="s">
        <v>539</v>
      </c>
      <c r="AG592" s="463" t="s">
        <v>375</v>
      </c>
      <c r="AH592" s="476"/>
      <c r="AI592" s="472">
        <v>818934374</v>
      </c>
      <c r="AJ592" s="472" t="s">
        <v>543</v>
      </c>
    </row>
    <row r="593" spans="2:36" ht="24" hidden="1" customHeight="1">
      <c r="B593" s="463">
        <v>494</v>
      </c>
      <c r="C593" s="464" t="s">
        <v>534</v>
      </c>
      <c r="D593" s="464"/>
      <c r="E593" s="464" t="s">
        <v>577</v>
      </c>
      <c r="F593" s="464"/>
      <c r="G593" s="464" t="s">
        <v>281</v>
      </c>
      <c r="H593" s="464" t="s">
        <v>1812</v>
      </c>
      <c r="I593" s="465" t="s">
        <v>537</v>
      </c>
      <c r="J593" s="465" t="s">
        <v>537</v>
      </c>
      <c r="K593" s="466">
        <v>125000</v>
      </c>
      <c r="L593" s="465" t="s">
        <v>537</v>
      </c>
      <c r="M593" s="465" t="s">
        <v>537</v>
      </c>
      <c r="N593" s="466">
        <v>125000</v>
      </c>
      <c r="O593" s="463" t="s">
        <v>537</v>
      </c>
      <c r="P593" s="463" t="s">
        <v>537</v>
      </c>
      <c r="Q593" s="465">
        <v>0</v>
      </c>
      <c r="R593" s="470">
        <v>241518</v>
      </c>
      <c r="S593" s="463" t="s">
        <v>1813</v>
      </c>
      <c r="T593" s="463">
        <v>0</v>
      </c>
      <c r="U593" s="463">
        <v>0</v>
      </c>
      <c r="V593" s="463">
        <v>0</v>
      </c>
      <c r="W593" s="464"/>
      <c r="X593" s="463">
        <v>2</v>
      </c>
      <c r="Y593" s="464"/>
      <c r="Z593" s="463">
        <v>84</v>
      </c>
      <c r="AA593" s="472" t="s">
        <v>1814</v>
      </c>
      <c r="AB593" s="463" t="s">
        <v>539</v>
      </c>
      <c r="AC593" s="463" t="s">
        <v>539</v>
      </c>
      <c r="AD593" s="472" t="s">
        <v>1815</v>
      </c>
      <c r="AE593" s="463">
        <v>10</v>
      </c>
      <c r="AF593" s="463">
        <v>50</v>
      </c>
      <c r="AG593" s="463" t="s">
        <v>375</v>
      </c>
      <c r="AH593" s="476"/>
      <c r="AI593" s="472">
        <v>818934374</v>
      </c>
      <c r="AJ593" s="472" t="s">
        <v>1105</v>
      </c>
    </row>
    <row r="594" spans="2:36" ht="24" hidden="1" customHeight="1">
      <c r="B594" s="701">
        <v>495</v>
      </c>
      <c r="C594" s="699" t="s">
        <v>534</v>
      </c>
      <c r="D594" s="699"/>
      <c r="E594" s="699" t="s">
        <v>577</v>
      </c>
      <c r="F594" s="699"/>
      <c r="G594" s="699" t="s">
        <v>281</v>
      </c>
      <c r="H594" s="699" t="s">
        <v>1816</v>
      </c>
      <c r="I594" s="709" t="s">
        <v>537</v>
      </c>
      <c r="J594" s="709" t="s">
        <v>537</v>
      </c>
      <c r="K594" s="712">
        <v>600000</v>
      </c>
      <c r="L594" s="709" t="s">
        <v>537</v>
      </c>
      <c r="M594" s="709" t="s">
        <v>537</v>
      </c>
      <c r="N594" s="712">
        <v>514210</v>
      </c>
      <c r="O594" s="701" t="s">
        <v>537</v>
      </c>
      <c r="P594" s="701" t="s">
        <v>537</v>
      </c>
      <c r="Q594" s="705">
        <v>85790</v>
      </c>
      <c r="R594" s="701" t="s">
        <v>552</v>
      </c>
      <c r="S594" s="701" t="s">
        <v>1118</v>
      </c>
      <c r="T594" s="701">
        <v>0</v>
      </c>
      <c r="U594" s="701">
        <v>0</v>
      </c>
      <c r="V594" s="701">
        <v>0</v>
      </c>
      <c r="W594" s="701">
        <v>120</v>
      </c>
      <c r="X594" s="701">
        <v>30</v>
      </c>
      <c r="Y594" s="701">
        <v>90</v>
      </c>
      <c r="Z594" s="701">
        <v>84</v>
      </c>
      <c r="AA594" s="697" t="s">
        <v>1817</v>
      </c>
      <c r="AB594" s="701" t="s">
        <v>539</v>
      </c>
      <c r="AC594" s="701" t="s">
        <v>539</v>
      </c>
      <c r="AD594" s="458" t="s">
        <v>1818</v>
      </c>
      <c r="AE594" s="459">
        <v>85</v>
      </c>
      <c r="AF594" s="459">
        <v>90</v>
      </c>
      <c r="AG594" s="701" t="s">
        <v>375</v>
      </c>
      <c r="AH594" s="728"/>
      <c r="AI594" s="697">
        <v>818934374</v>
      </c>
      <c r="AJ594" s="697" t="s">
        <v>543</v>
      </c>
    </row>
    <row r="595" spans="2:36" ht="24" hidden="1" customHeight="1">
      <c r="B595" s="702"/>
      <c r="C595" s="700"/>
      <c r="D595" s="700"/>
      <c r="E595" s="700"/>
      <c r="F595" s="700"/>
      <c r="G595" s="700"/>
      <c r="H595" s="700"/>
      <c r="I595" s="710"/>
      <c r="J595" s="710"/>
      <c r="K595" s="713"/>
      <c r="L595" s="710"/>
      <c r="M595" s="710"/>
      <c r="N595" s="713"/>
      <c r="O595" s="702"/>
      <c r="P595" s="702"/>
      <c r="Q595" s="706"/>
      <c r="R595" s="702"/>
      <c r="S595" s="702"/>
      <c r="T595" s="702"/>
      <c r="U595" s="702"/>
      <c r="V595" s="702"/>
      <c r="W595" s="702"/>
      <c r="X595" s="702"/>
      <c r="Y595" s="702"/>
      <c r="Z595" s="702"/>
      <c r="AA595" s="698"/>
      <c r="AB595" s="702"/>
      <c r="AC595" s="702"/>
      <c r="AD595" s="473" t="s">
        <v>1819</v>
      </c>
      <c r="AE595" s="474">
        <v>1</v>
      </c>
      <c r="AF595" s="474">
        <v>1</v>
      </c>
      <c r="AG595" s="702"/>
      <c r="AH595" s="729"/>
      <c r="AI595" s="698"/>
      <c r="AJ595" s="698"/>
    </row>
    <row r="596" spans="2:36" ht="24" hidden="1" customHeight="1">
      <c r="B596" s="701">
        <v>496</v>
      </c>
      <c r="C596" s="699" t="s">
        <v>534</v>
      </c>
      <c r="D596" s="699"/>
      <c r="E596" s="699" t="s">
        <v>577</v>
      </c>
      <c r="F596" s="699"/>
      <c r="G596" s="699" t="s">
        <v>281</v>
      </c>
      <c r="H596" s="699" t="s">
        <v>1820</v>
      </c>
      <c r="I596" s="709" t="s">
        <v>537</v>
      </c>
      <c r="J596" s="709" t="s">
        <v>537</v>
      </c>
      <c r="K596" s="712">
        <v>250000</v>
      </c>
      <c r="L596" s="709" t="s">
        <v>537</v>
      </c>
      <c r="M596" s="709" t="s">
        <v>537</v>
      </c>
      <c r="N596" s="712">
        <v>257345</v>
      </c>
      <c r="O596" s="701" t="s">
        <v>537</v>
      </c>
      <c r="P596" s="701" t="s">
        <v>537</v>
      </c>
      <c r="Q596" s="705">
        <v>-7345</v>
      </c>
      <c r="R596" s="707">
        <v>241397</v>
      </c>
      <c r="S596" s="701" t="s">
        <v>1821</v>
      </c>
      <c r="T596" s="701">
        <v>0</v>
      </c>
      <c r="U596" s="701">
        <v>14</v>
      </c>
      <c r="V596" s="701">
        <v>0</v>
      </c>
      <c r="W596" s="699"/>
      <c r="X596" s="701">
        <v>14</v>
      </c>
      <c r="Y596" s="701">
        <v>1000</v>
      </c>
      <c r="Z596" s="701">
        <v>97</v>
      </c>
      <c r="AA596" s="697" t="s">
        <v>1822</v>
      </c>
      <c r="AB596" s="701" t="s">
        <v>539</v>
      </c>
      <c r="AC596" s="701" t="s">
        <v>539</v>
      </c>
      <c r="AD596" s="458" t="s">
        <v>1823</v>
      </c>
      <c r="AE596" s="459">
        <v>1</v>
      </c>
      <c r="AF596" s="459">
        <v>4</v>
      </c>
      <c r="AG596" s="701" t="s">
        <v>375</v>
      </c>
      <c r="AH596" s="728"/>
      <c r="AI596" s="697">
        <v>818934374</v>
      </c>
      <c r="AJ596" s="697" t="s">
        <v>543</v>
      </c>
    </row>
    <row r="597" spans="2:36" ht="24" hidden="1" customHeight="1">
      <c r="B597" s="702"/>
      <c r="C597" s="700"/>
      <c r="D597" s="700"/>
      <c r="E597" s="700"/>
      <c r="F597" s="700"/>
      <c r="G597" s="700"/>
      <c r="H597" s="700"/>
      <c r="I597" s="710"/>
      <c r="J597" s="710"/>
      <c r="K597" s="713"/>
      <c r="L597" s="710"/>
      <c r="M597" s="710"/>
      <c r="N597" s="713"/>
      <c r="O597" s="702"/>
      <c r="P597" s="702"/>
      <c r="Q597" s="706"/>
      <c r="R597" s="708"/>
      <c r="S597" s="702"/>
      <c r="T597" s="702"/>
      <c r="U597" s="702"/>
      <c r="V597" s="702"/>
      <c r="W597" s="700"/>
      <c r="X597" s="702"/>
      <c r="Y597" s="702"/>
      <c r="Z597" s="702"/>
      <c r="AA597" s="698"/>
      <c r="AB597" s="702"/>
      <c r="AC597" s="702"/>
      <c r="AD597" s="473" t="s">
        <v>1824</v>
      </c>
      <c r="AE597" s="474">
        <v>85</v>
      </c>
      <c r="AF597" s="474">
        <v>100</v>
      </c>
      <c r="AG597" s="702"/>
      <c r="AH597" s="729"/>
      <c r="AI597" s="698"/>
      <c r="AJ597" s="698"/>
    </row>
    <row r="598" spans="2:36" ht="24" hidden="1" customHeight="1">
      <c r="B598" s="701">
        <v>497</v>
      </c>
      <c r="C598" s="699" t="s">
        <v>534</v>
      </c>
      <c r="D598" s="699"/>
      <c r="E598" s="699" t="s">
        <v>535</v>
      </c>
      <c r="F598" s="699"/>
      <c r="G598" s="699" t="s">
        <v>281</v>
      </c>
      <c r="H598" s="699" t="s">
        <v>1825</v>
      </c>
      <c r="I598" s="709" t="s">
        <v>537</v>
      </c>
      <c r="J598" s="712">
        <v>50000</v>
      </c>
      <c r="K598" s="709" t="s">
        <v>537</v>
      </c>
      <c r="L598" s="709" t="s">
        <v>537</v>
      </c>
      <c r="M598" s="712">
        <v>39679</v>
      </c>
      <c r="N598" s="709" t="s">
        <v>537</v>
      </c>
      <c r="O598" s="701" t="s">
        <v>537</v>
      </c>
      <c r="P598" s="701" t="s">
        <v>537</v>
      </c>
      <c r="Q598" s="705">
        <v>10321</v>
      </c>
      <c r="R598" s="701" t="s">
        <v>552</v>
      </c>
      <c r="S598" s="701" t="s">
        <v>1826</v>
      </c>
      <c r="T598" s="701">
        <v>0</v>
      </c>
      <c r="U598" s="701">
        <v>10</v>
      </c>
      <c r="V598" s="701">
        <v>0</v>
      </c>
      <c r="W598" s="701">
        <v>0</v>
      </c>
      <c r="X598" s="701">
        <v>13</v>
      </c>
      <c r="Y598" s="701">
        <v>3</v>
      </c>
      <c r="Z598" s="701">
        <v>90</v>
      </c>
      <c r="AA598" s="697" t="s">
        <v>547</v>
      </c>
      <c r="AB598" s="701" t="s">
        <v>539</v>
      </c>
      <c r="AC598" s="701" t="s">
        <v>539</v>
      </c>
      <c r="AD598" s="458" t="s">
        <v>733</v>
      </c>
      <c r="AE598" s="459">
        <v>1</v>
      </c>
      <c r="AF598" s="459">
        <v>1</v>
      </c>
      <c r="AG598" s="701" t="s">
        <v>375</v>
      </c>
      <c r="AH598" s="728"/>
      <c r="AI598" s="697">
        <v>906377587</v>
      </c>
      <c r="AJ598" s="699"/>
    </row>
    <row r="599" spans="2:36" ht="24" hidden="1" customHeight="1">
      <c r="B599" s="702"/>
      <c r="C599" s="700"/>
      <c r="D599" s="700"/>
      <c r="E599" s="700"/>
      <c r="F599" s="700"/>
      <c r="G599" s="700"/>
      <c r="H599" s="700"/>
      <c r="I599" s="710"/>
      <c r="J599" s="713"/>
      <c r="K599" s="710"/>
      <c r="L599" s="710"/>
      <c r="M599" s="713"/>
      <c r="N599" s="710"/>
      <c r="O599" s="702"/>
      <c r="P599" s="702"/>
      <c r="Q599" s="706"/>
      <c r="R599" s="702"/>
      <c r="S599" s="702"/>
      <c r="T599" s="702"/>
      <c r="U599" s="702"/>
      <c r="V599" s="702"/>
      <c r="W599" s="702"/>
      <c r="X599" s="702"/>
      <c r="Y599" s="702"/>
      <c r="Z599" s="702"/>
      <c r="AA599" s="698"/>
      <c r="AB599" s="702"/>
      <c r="AC599" s="702"/>
      <c r="AD599" s="473" t="s">
        <v>1827</v>
      </c>
      <c r="AE599" s="474">
        <v>1</v>
      </c>
      <c r="AF599" s="474">
        <v>1</v>
      </c>
      <c r="AG599" s="702"/>
      <c r="AH599" s="729"/>
      <c r="AI599" s="698"/>
      <c r="AJ599" s="700"/>
    </row>
    <row r="600" spans="2:36" ht="24" hidden="1" customHeight="1">
      <c r="B600" s="701">
        <v>498</v>
      </c>
      <c r="C600" s="699" t="s">
        <v>534</v>
      </c>
      <c r="D600" s="699"/>
      <c r="E600" s="699" t="s">
        <v>535</v>
      </c>
      <c r="F600" s="699"/>
      <c r="G600" s="699" t="s">
        <v>281</v>
      </c>
      <c r="H600" s="699" t="s">
        <v>1828</v>
      </c>
      <c r="I600" s="712">
        <v>100000</v>
      </c>
      <c r="J600" s="709" t="s">
        <v>537</v>
      </c>
      <c r="K600" s="709" t="s">
        <v>537</v>
      </c>
      <c r="L600" s="712">
        <v>85650</v>
      </c>
      <c r="M600" s="709" t="s">
        <v>537</v>
      </c>
      <c r="N600" s="709" t="s">
        <v>537</v>
      </c>
      <c r="O600" s="701" t="s">
        <v>537</v>
      </c>
      <c r="P600" s="701" t="s">
        <v>537</v>
      </c>
      <c r="Q600" s="705">
        <v>14350</v>
      </c>
      <c r="R600" s="707">
        <v>241487</v>
      </c>
      <c r="S600" s="701" t="s">
        <v>1829</v>
      </c>
      <c r="T600" s="701">
        <v>0</v>
      </c>
      <c r="U600" s="701">
        <v>50</v>
      </c>
      <c r="V600" s="701">
        <v>0</v>
      </c>
      <c r="W600" s="699"/>
      <c r="X600" s="701">
        <v>41</v>
      </c>
      <c r="Y600" s="699"/>
      <c r="Z600" s="699"/>
      <c r="AA600" s="697" t="s">
        <v>547</v>
      </c>
      <c r="AB600" s="701" t="s">
        <v>539</v>
      </c>
      <c r="AC600" s="701" t="s">
        <v>539</v>
      </c>
      <c r="AD600" s="458" t="s">
        <v>548</v>
      </c>
      <c r="AE600" s="459">
        <v>80</v>
      </c>
      <c r="AF600" s="459">
        <v>82</v>
      </c>
      <c r="AG600" s="701" t="s">
        <v>376</v>
      </c>
      <c r="AH600" s="728"/>
      <c r="AI600" s="697">
        <v>811850782</v>
      </c>
      <c r="AJ600" s="699"/>
    </row>
    <row r="601" spans="2:36" ht="24" hidden="1" customHeight="1">
      <c r="B601" s="702"/>
      <c r="C601" s="700"/>
      <c r="D601" s="700"/>
      <c r="E601" s="700"/>
      <c r="F601" s="700"/>
      <c r="G601" s="700"/>
      <c r="H601" s="700"/>
      <c r="I601" s="713"/>
      <c r="J601" s="710"/>
      <c r="K601" s="710"/>
      <c r="L601" s="713"/>
      <c r="M601" s="710"/>
      <c r="N601" s="710"/>
      <c r="O601" s="702"/>
      <c r="P601" s="702"/>
      <c r="Q601" s="706"/>
      <c r="R601" s="708"/>
      <c r="S601" s="702"/>
      <c r="T601" s="702"/>
      <c r="U601" s="702"/>
      <c r="V601" s="702"/>
      <c r="W601" s="700"/>
      <c r="X601" s="702"/>
      <c r="Y601" s="700"/>
      <c r="Z601" s="700"/>
      <c r="AA601" s="698"/>
      <c r="AB601" s="702"/>
      <c r="AC601" s="702"/>
      <c r="AD601" s="473" t="s">
        <v>1830</v>
      </c>
      <c r="AE601" s="474">
        <v>40</v>
      </c>
      <c r="AF601" s="474">
        <v>35</v>
      </c>
      <c r="AG601" s="702"/>
      <c r="AH601" s="729"/>
      <c r="AI601" s="698"/>
      <c r="AJ601" s="700"/>
    </row>
    <row r="602" spans="2:36" ht="24" hidden="1" customHeight="1">
      <c r="B602" s="701">
        <v>499</v>
      </c>
      <c r="C602" s="699" t="s">
        <v>534</v>
      </c>
      <c r="D602" s="699"/>
      <c r="E602" s="699" t="s">
        <v>535</v>
      </c>
      <c r="F602" s="699"/>
      <c r="G602" s="699" t="s">
        <v>281</v>
      </c>
      <c r="H602" s="699" t="s">
        <v>1831</v>
      </c>
      <c r="I602" s="712">
        <v>100000</v>
      </c>
      <c r="J602" s="709" t="s">
        <v>537</v>
      </c>
      <c r="K602" s="709" t="s">
        <v>537</v>
      </c>
      <c r="L602" s="712">
        <v>58810</v>
      </c>
      <c r="M602" s="709" t="s">
        <v>537</v>
      </c>
      <c r="N602" s="709" t="s">
        <v>537</v>
      </c>
      <c r="O602" s="723">
        <v>41190</v>
      </c>
      <c r="P602" s="701" t="s">
        <v>537</v>
      </c>
      <c r="Q602" s="709">
        <v>0</v>
      </c>
      <c r="R602" s="707">
        <v>241518</v>
      </c>
      <c r="S602" s="701" t="s">
        <v>1832</v>
      </c>
      <c r="T602" s="701">
        <v>0</v>
      </c>
      <c r="U602" s="701">
        <v>30</v>
      </c>
      <c r="V602" s="701">
        <v>0</v>
      </c>
      <c r="W602" s="701">
        <v>0</v>
      </c>
      <c r="X602" s="701">
        <v>20</v>
      </c>
      <c r="Y602" s="701">
        <v>0</v>
      </c>
      <c r="Z602" s="701">
        <v>93</v>
      </c>
      <c r="AA602" s="697" t="s">
        <v>547</v>
      </c>
      <c r="AB602" s="701" t="s">
        <v>539</v>
      </c>
      <c r="AC602" s="701" t="s">
        <v>539</v>
      </c>
      <c r="AD602" s="458" t="s">
        <v>733</v>
      </c>
      <c r="AE602" s="459">
        <v>1</v>
      </c>
      <c r="AF602" s="459">
        <v>1</v>
      </c>
      <c r="AG602" s="701" t="s">
        <v>375</v>
      </c>
      <c r="AH602" s="728"/>
      <c r="AI602" s="697">
        <v>906377587</v>
      </c>
      <c r="AJ602" s="699"/>
    </row>
    <row r="603" spans="2:36" ht="24" hidden="1" customHeight="1">
      <c r="B603" s="702"/>
      <c r="C603" s="700"/>
      <c r="D603" s="700"/>
      <c r="E603" s="700"/>
      <c r="F603" s="700"/>
      <c r="G603" s="700"/>
      <c r="H603" s="700"/>
      <c r="I603" s="713"/>
      <c r="J603" s="710"/>
      <c r="K603" s="710"/>
      <c r="L603" s="713"/>
      <c r="M603" s="710"/>
      <c r="N603" s="710"/>
      <c r="O603" s="724"/>
      <c r="P603" s="702"/>
      <c r="Q603" s="710"/>
      <c r="R603" s="708"/>
      <c r="S603" s="702"/>
      <c r="T603" s="702"/>
      <c r="U603" s="702"/>
      <c r="V603" s="702"/>
      <c r="W603" s="702"/>
      <c r="X603" s="702"/>
      <c r="Y603" s="702"/>
      <c r="Z603" s="702"/>
      <c r="AA603" s="698"/>
      <c r="AB603" s="702"/>
      <c r="AC603" s="702"/>
      <c r="AD603" s="473" t="s">
        <v>1833</v>
      </c>
      <c r="AE603" s="474">
        <v>20</v>
      </c>
      <c r="AF603" s="474">
        <v>20</v>
      </c>
      <c r="AG603" s="702"/>
      <c r="AH603" s="729"/>
      <c r="AI603" s="698"/>
      <c r="AJ603" s="700"/>
    </row>
    <row r="604" spans="2:36" ht="24" hidden="1" customHeight="1">
      <c r="B604" s="463">
        <v>500</v>
      </c>
      <c r="C604" s="464" t="s">
        <v>534</v>
      </c>
      <c r="D604" s="464"/>
      <c r="E604" s="464" t="s">
        <v>535</v>
      </c>
      <c r="F604" s="464"/>
      <c r="G604" s="464" t="s">
        <v>281</v>
      </c>
      <c r="H604" s="464" t="s">
        <v>1834</v>
      </c>
      <c r="I604" s="466">
        <v>40000</v>
      </c>
      <c r="J604" s="465" t="s">
        <v>537</v>
      </c>
      <c r="K604" s="465" t="s">
        <v>537</v>
      </c>
      <c r="L604" s="466">
        <v>27820</v>
      </c>
      <c r="M604" s="465" t="s">
        <v>537</v>
      </c>
      <c r="N604" s="465" t="s">
        <v>537</v>
      </c>
      <c r="O604" s="463" t="s">
        <v>537</v>
      </c>
      <c r="P604" s="463" t="s">
        <v>537</v>
      </c>
      <c r="Q604" s="468">
        <v>12180</v>
      </c>
      <c r="R604" s="470">
        <v>241459</v>
      </c>
      <c r="S604" s="471">
        <v>22334</v>
      </c>
      <c r="T604" s="463">
        <v>0</v>
      </c>
      <c r="U604" s="463">
        <v>80</v>
      </c>
      <c r="V604" s="463">
        <v>5</v>
      </c>
      <c r="W604" s="463">
        <v>0</v>
      </c>
      <c r="X604" s="463">
        <v>54</v>
      </c>
      <c r="Y604" s="463">
        <v>0</v>
      </c>
      <c r="Z604" s="463">
        <v>90</v>
      </c>
      <c r="AA604" s="472" t="s">
        <v>547</v>
      </c>
      <c r="AB604" s="463" t="s">
        <v>539</v>
      </c>
      <c r="AC604" s="463" t="s">
        <v>539</v>
      </c>
      <c r="AD604" s="472" t="s">
        <v>548</v>
      </c>
      <c r="AE604" s="463">
        <v>80</v>
      </c>
      <c r="AF604" s="463">
        <v>90</v>
      </c>
      <c r="AG604" s="463" t="s">
        <v>375</v>
      </c>
      <c r="AH604" s="476"/>
      <c r="AI604" s="472">
        <v>824239998</v>
      </c>
      <c r="AJ604" s="464"/>
    </row>
    <row r="605" spans="2:36" ht="24" hidden="1" customHeight="1">
      <c r="B605" s="701">
        <v>501</v>
      </c>
      <c r="C605" s="699" t="s">
        <v>534</v>
      </c>
      <c r="D605" s="699"/>
      <c r="E605" s="699" t="s">
        <v>535</v>
      </c>
      <c r="F605" s="699"/>
      <c r="G605" s="699" t="s">
        <v>281</v>
      </c>
      <c r="H605" s="699" t="s">
        <v>1835</v>
      </c>
      <c r="I605" s="712">
        <v>500000</v>
      </c>
      <c r="J605" s="709" t="s">
        <v>537</v>
      </c>
      <c r="K605" s="709" t="s">
        <v>537</v>
      </c>
      <c r="L605" s="712">
        <v>341940</v>
      </c>
      <c r="M605" s="709" t="s">
        <v>537</v>
      </c>
      <c r="N605" s="709" t="s">
        <v>537</v>
      </c>
      <c r="O605" s="701" t="s">
        <v>537</v>
      </c>
      <c r="P605" s="701" t="s">
        <v>537</v>
      </c>
      <c r="Q605" s="705">
        <v>158060</v>
      </c>
      <c r="R605" s="707">
        <v>241640</v>
      </c>
      <c r="S605" s="701" t="s">
        <v>1836</v>
      </c>
      <c r="T605" s="701">
        <v>200</v>
      </c>
      <c r="U605" s="701">
        <v>100</v>
      </c>
      <c r="V605" s="701">
        <v>150</v>
      </c>
      <c r="W605" s="701">
        <v>0</v>
      </c>
      <c r="X605" s="701">
        <v>0</v>
      </c>
      <c r="Y605" s="701">
        <v>0</v>
      </c>
      <c r="Z605" s="701">
        <v>89</v>
      </c>
      <c r="AA605" s="458" t="s">
        <v>547</v>
      </c>
      <c r="AB605" s="459" t="s">
        <v>539</v>
      </c>
      <c r="AC605" s="459" t="s">
        <v>539</v>
      </c>
      <c r="AD605" s="458" t="s">
        <v>548</v>
      </c>
      <c r="AE605" s="459">
        <v>80</v>
      </c>
      <c r="AF605" s="459">
        <v>89</v>
      </c>
      <c r="AG605" s="701" t="s">
        <v>375</v>
      </c>
      <c r="AH605" s="728"/>
      <c r="AI605" s="697" t="s">
        <v>566</v>
      </c>
      <c r="AJ605" s="699"/>
    </row>
    <row r="606" spans="2:36" ht="24" hidden="1" customHeight="1">
      <c r="B606" s="702"/>
      <c r="C606" s="700"/>
      <c r="D606" s="700"/>
      <c r="E606" s="700"/>
      <c r="F606" s="700"/>
      <c r="G606" s="700"/>
      <c r="H606" s="700"/>
      <c r="I606" s="713"/>
      <c r="J606" s="710"/>
      <c r="K606" s="710"/>
      <c r="L606" s="713"/>
      <c r="M606" s="710"/>
      <c r="N606" s="710"/>
      <c r="O606" s="702"/>
      <c r="P606" s="702"/>
      <c r="Q606" s="706"/>
      <c r="R606" s="708"/>
      <c r="S606" s="702"/>
      <c r="T606" s="702"/>
      <c r="U606" s="702"/>
      <c r="V606" s="702"/>
      <c r="W606" s="702"/>
      <c r="X606" s="702"/>
      <c r="Y606" s="702"/>
      <c r="Z606" s="702"/>
      <c r="AA606" s="473" t="s">
        <v>1837</v>
      </c>
      <c r="AB606" s="474">
        <v>200</v>
      </c>
      <c r="AC606" s="474" t="s">
        <v>539</v>
      </c>
      <c r="AD606" s="473" t="s">
        <v>1838</v>
      </c>
      <c r="AE606" s="474">
        <v>200</v>
      </c>
      <c r="AF606" s="474" t="s">
        <v>539</v>
      </c>
      <c r="AG606" s="702"/>
      <c r="AH606" s="729"/>
      <c r="AI606" s="698"/>
      <c r="AJ606" s="700"/>
    </row>
    <row r="607" spans="2:36" ht="24" hidden="1" customHeight="1">
      <c r="B607" s="701">
        <v>502</v>
      </c>
      <c r="C607" s="699" t="s">
        <v>534</v>
      </c>
      <c r="D607" s="699"/>
      <c r="E607" s="699" t="s">
        <v>535</v>
      </c>
      <c r="F607" s="699"/>
      <c r="G607" s="699" t="s">
        <v>281</v>
      </c>
      <c r="H607" s="699" t="s">
        <v>1839</v>
      </c>
      <c r="I607" s="712">
        <v>200000</v>
      </c>
      <c r="J607" s="709" t="s">
        <v>537</v>
      </c>
      <c r="K607" s="709" t="s">
        <v>537</v>
      </c>
      <c r="L607" s="712">
        <v>168809</v>
      </c>
      <c r="M607" s="709" t="s">
        <v>537</v>
      </c>
      <c r="N607" s="709" t="s">
        <v>537</v>
      </c>
      <c r="O607" s="701" t="s">
        <v>537</v>
      </c>
      <c r="P607" s="701" t="s">
        <v>537</v>
      </c>
      <c r="Q607" s="705">
        <v>31191</v>
      </c>
      <c r="R607" s="701" t="s">
        <v>552</v>
      </c>
      <c r="S607" s="701" t="s">
        <v>1064</v>
      </c>
      <c r="T607" s="701">
        <v>0</v>
      </c>
      <c r="U607" s="701">
        <v>20</v>
      </c>
      <c r="V607" s="701">
        <v>0</v>
      </c>
      <c r="W607" s="701">
        <v>0</v>
      </c>
      <c r="X607" s="701">
        <v>10</v>
      </c>
      <c r="Y607" s="701">
        <v>6</v>
      </c>
      <c r="Z607" s="701">
        <v>82</v>
      </c>
      <c r="AA607" s="697" t="s">
        <v>1181</v>
      </c>
      <c r="AB607" s="701" t="s">
        <v>539</v>
      </c>
      <c r="AC607" s="701" t="s">
        <v>539</v>
      </c>
      <c r="AD607" s="458" t="s">
        <v>1016</v>
      </c>
      <c r="AE607" s="459">
        <v>80</v>
      </c>
      <c r="AF607" s="459">
        <v>82</v>
      </c>
      <c r="AG607" s="701" t="s">
        <v>375</v>
      </c>
      <c r="AH607" s="728"/>
      <c r="AI607" s="697">
        <v>811850782</v>
      </c>
      <c r="AJ607" s="699"/>
    </row>
    <row r="608" spans="2:36" ht="24" hidden="1" customHeight="1">
      <c r="B608" s="702"/>
      <c r="C608" s="700"/>
      <c r="D608" s="700"/>
      <c r="E608" s="700"/>
      <c r="F608" s="700"/>
      <c r="G608" s="700"/>
      <c r="H608" s="700"/>
      <c r="I608" s="713"/>
      <c r="J608" s="710"/>
      <c r="K608" s="710"/>
      <c r="L608" s="713"/>
      <c r="M608" s="710"/>
      <c r="N608" s="710"/>
      <c r="O608" s="702"/>
      <c r="P608" s="702"/>
      <c r="Q608" s="706"/>
      <c r="R608" s="702"/>
      <c r="S608" s="702"/>
      <c r="T608" s="702"/>
      <c r="U608" s="702"/>
      <c r="V608" s="702"/>
      <c r="W608" s="702"/>
      <c r="X608" s="702"/>
      <c r="Y608" s="702"/>
      <c r="Z608" s="702"/>
      <c r="AA608" s="698"/>
      <c r="AB608" s="702"/>
      <c r="AC608" s="702"/>
      <c r="AD608" s="473" t="s">
        <v>1840</v>
      </c>
      <c r="AE608" s="474">
        <v>25</v>
      </c>
      <c r="AF608" s="474">
        <v>37</v>
      </c>
      <c r="AG608" s="702"/>
      <c r="AH608" s="729"/>
      <c r="AI608" s="698"/>
      <c r="AJ608" s="700"/>
    </row>
    <row r="609" spans="1:36" ht="24" hidden="1" customHeight="1">
      <c r="B609" s="463">
        <v>503</v>
      </c>
      <c r="C609" s="464" t="s">
        <v>534</v>
      </c>
      <c r="D609" s="464"/>
      <c r="E609" s="464" t="s">
        <v>535</v>
      </c>
      <c r="F609" s="464"/>
      <c r="G609" s="464" t="s">
        <v>281</v>
      </c>
      <c r="H609" s="464" t="s">
        <v>1841</v>
      </c>
      <c r="I609" s="466">
        <v>200000</v>
      </c>
      <c r="J609" s="465" t="s">
        <v>537</v>
      </c>
      <c r="K609" s="465" t="s">
        <v>537</v>
      </c>
      <c r="L609" s="466">
        <v>117846</v>
      </c>
      <c r="M609" s="465" t="s">
        <v>537</v>
      </c>
      <c r="N609" s="465" t="s">
        <v>537</v>
      </c>
      <c r="O609" s="463" t="s">
        <v>537</v>
      </c>
      <c r="P609" s="463" t="s">
        <v>537</v>
      </c>
      <c r="Q609" s="468">
        <v>82154</v>
      </c>
      <c r="R609" s="470">
        <v>241459</v>
      </c>
      <c r="S609" s="463" t="s">
        <v>1842</v>
      </c>
      <c r="T609" s="463">
        <v>0</v>
      </c>
      <c r="U609" s="463">
        <v>100</v>
      </c>
      <c r="V609" s="463">
        <v>0</v>
      </c>
      <c r="W609" s="463">
        <v>0</v>
      </c>
      <c r="X609" s="463">
        <v>7</v>
      </c>
      <c r="Y609" s="463">
        <v>0</v>
      </c>
      <c r="Z609" s="464"/>
      <c r="AA609" s="472" t="s">
        <v>547</v>
      </c>
      <c r="AB609" s="463" t="s">
        <v>539</v>
      </c>
      <c r="AC609" s="463" t="s">
        <v>539</v>
      </c>
      <c r="AD609" s="472" t="s">
        <v>1843</v>
      </c>
      <c r="AE609" s="463">
        <v>80</v>
      </c>
      <c r="AF609" s="463">
        <v>95</v>
      </c>
      <c r="AG609" s="463" t="s">
        <v>375</v>
      </c>
      <c r="AH609" s="476"/>
      <c r="AI609" s="472">
        <v>847456887</v>
      </c>
      <c r="AJ609" s="464"/>
    </row>
    <row r="610" spans="1:36" ht="24" hidden="1" customHeight="1">
      <c r="B610" s="701">
        <v>504</v>
      </c>
      <c r="C610" s="699" t="s">
        <v>534</v>
      </c>
      <c r="D610" s="699"/>
      <c r="E610" s="699" t="s">
        <v>535</v>
      </c>
      <c r="F610" s="699"/>
      <c r="G610" s="699" t="s">
        <v>281</v>
      </c>
      <c r="H610" s="699" t="s">
        <v>1844</v>
      </c>
      <c r="I610" s="712">
        <v>100000</v>
      </c>
      <c r="J610" s="709" t="s">
        <v>537</v>
      </c>
      <c r="K610" s="709" t="s">
        <v>537</v>
      </c>
      <c r="L610" s="712">
        <v>100000</v>
      </c>
      <c r="M610" s="709" t="s">
        <v>537</v>
      </c>
      <c r="N610" s="709" t="s">
        <v>537</v>
      </c>
      <c r="O610" s="701" t="s">
        <v>537</v>
      </c>
      <c r="P610" s="701" t="s">
        <v>537</v>
      </c>
      <c r="Q610" s="709">
        <v>0</v>
      </c>
      <c r="R610" s="707">
        <v>241640</v>
      </c>
      <c r="S610" s="701" t="s">
        <v>1845</v>
      </c>
      <c r="T610" s="701">
        <v>0</v>
      </c>
      <c r="U610" s="701">
        <v>100</v>
      </c>
      <c r="V610" s="701">
        <v>0</v>
      </c>
      <c r="W610" s="699"/>
      <c r="X610" s="701">
        <v>7</v>
      </c>
      <c r="Y610" s="701">
        <v>200</v>
      </c>
      <c r="Z610" s="701">
        <v>85</v>
      </c>
      <c r="AA610" s="697" t="s">
        <v>547</v>
      </c>
      <c r="AB610" s="701" t="s">
        <v>539</v>
      </c>
      <c r="AC610" s="701" t="s">
        <v>539</v>
      </c>
      <c r="AD610" s="458" t="s">
        <v>1843</v>
      </c>
      <c r="AE610" s="459">
        <v>80</v>
      </c>
      <c r="AF610" s="459">
        <v>85</v>
      </c>
      <c r="AG610" s="701" t="s">
        <v>375</v>
      </c>
      <c r="AH610" s="728"/>
      <c r="AI610" s="697">
        <v>847456887</v>
      </c>
      <c r="AJ610" s="699"/>
    </row>
    <row r="611" spans="1:36" ht="24" hidden="1" customHeight="1">
      <c r="B611" s="702"/>
      <c r="C611" s="700"/>
      <c r="D611" s="700"/>
      <c r="E611" s="700"/>
      <c r="F611" s="700"/>
      <c r="G611" s="700"/>
      <c r="H611" s="700"/>
      <c r="I611" s="713"/>
      <c r="J611" s="710"/>
      <c r="K611" s="710"/>
      <c r="L611" s="713"/>
      <c r="M611" s="710"/>
      <c r="N611" s="710"/>
      <c r="O611" s="702"/>
      <c r="P611" s="702"/>
      <c r="Q611" s="710"/>
      <c r="R611" s="708"/>
      <c r="S611" s="702"/>
      <c r="T611" s="702"/>
      <c r="U611" s="702"/>
      <c r="V611" s="702"/>
      <c r="W611" s="700"/>
      <c r="X611" s="702"/>
      <c r="Y611" s="702"/>
      <c r="Z611" s="702"/>
      <c r="AA611" s="698"/>
      <c r="AB611" s="702"/>
      <c r="AC611" s="702"/>
      <c r="AD611" s="473" t="s">
        <v>1846</v>
      </c>
      <c r="AE611" s="474">
        <v>1</v>
      </c>
      <c r="AF611" s="474">
        <v>2</v>
      </c>
      <c r="AG611" s="702"/>
      <c r="AH611" s="729"/>
      <c r="AI611" s="698"/>
      <c r="AJ611" s="700"/>
    </row>
    <row r="612" spans="1:36" ht="24" hidden="1" customHeight="1">
      <c r="B612" s="463">
        <v>505</v>
      </c>
      <c r="C612" s="464" t="s">
        <v>534</v>
      </c>
      <c r="D612" s="464"/>
      <c r="E612" s="464" t="s">
        <v>535</v>
      </c>
      <c r="F612" s="464"/>
      <c r="G612" s="464" t="s">
        <v>281</v>
      </c>
      <c r="H612" s="464" t="s">
        <v>1847</v>
      </c>
      <c r="I612" s="465" t="s">
        <v>537</v>
      </c>
      <c r="J612" s="465" t="s">
        <v>537</v>
      </c>
      <c r="K612" s="466">
        <v>225500</v>
      </c>
      <c r="L612" s="465" t="s">
        <v>537</v>
      </c>
      <c r="M612" s="465" t="s">
        <v>537</v>
      </c>
      <c r="N612" s="466">
        <v>213480</v>
      </c>
      <c r="O612" s="463" t="s">
        <v>537</v>
      </c>
      <c r="P612" s="463" t="s">
        <v>537</v>
      </c>
      <c r="Q612" s="468">
        <v>12020</v>
      </c>
      <c r="R612" s="470">
        <v>241428</v>
      </c>
      <c r="S612" s="463" t="s">
        <v>623</v>
      </c>
      <c r="T612" s="463">
        <v>0</v>
      </c>
      <c r="U612" s="463">
        <v>0</v>
      </c>
      <c r="V612" s="463">
        <v>0</v>
      </c>
      <c r="W612" s="463">
        <v>200</v>
      </c>
      <c r="X612" s="463">
        <v>13</v>
      </c>
      <c r="Y612" s="464"/>
      <c r="Z612" s="463">
        <v>98</v>
      </c>
      <c r="AA612" s="472" t="s">
        <v>1848</v>
      </c>
      <c r="AB612" s="463">
        <v>30</v>
      </c>
      <c r="AC612" s="463">
        <v>84</v>
      </c>
      <c r="AD612" s="472" t="s">
        <v>1849</v>
      </c>
      <c r="AE612" s="463" t="s">
        <v>539</v>
      </c>
      <c r="AF612" s="463" t="s">
        <v>539</v>
      </c>
      <c r="AG612" s="463" t="s">
        <v>375</v>
      </c>
      <c r="AH612" s="476"/>
      <c r="AI612" s="472">
        <v>803929493</v>
      </c>
      <c r="AJ612" s="472" t="s">
        <v>543</v>
      </c>
    </row>
    <row r="613" spans="1:36" ht="24" hidden="1" customHeight="1">
      <c r="B613" s="463">
        <v>506</v>
      </c>
      <c r="C613" s="464" t="s">
        <v>534</v>
      </c>
      <c r="D613" s="464"/>
      <c r="E613" s="464" t="s">
        <v>535</v>
      </c>
      <c r="F613" s="464"/>
      <c r="G613" s="464" t="s">
        <v>281</v>
      </c>
      <c r="H613" s="464" t="s">
        <v>1850</v>
      </c>
      <c r="I613" s="465" t="s">
        <v>537</v>
      </c>
      <c r="J613" s="465" t="s">
        <v>537</v>
      </c>
      <c r="K613" s="466">
        <v>357000</v>
      </c>
      <c r="L613" s="465" t="s">
        <v>537</v>
      </c>
      <c r="M613" s="465" t="s">
        <v>537</v>
      </c>
      <c r="N613" s="466">
        <v>341000</v>
      </c>
      <c r="O613" s="463" t="s">
        <v>537</v>
      </c>
      <c r="P613" s="463" t="s">
        <v>537</v>
      </c>
      <c r="Q613" s="468">
        <v>16000</v>
      </c>
      <c r="R613" s="470">
        <v>241428</v>
      </c>
      <c r="S613" s="463" t="s">
        <v>623</v>
      </c>
      <c r="T613" s="463">
        <v>0</v>
      </c>
      <c r="U613" s="463">
        <v>0</v>
      </c>
      <c r="V613" s="463">
        <v>0</v>
      </c>
      <c r="W613" s="463">
        <v>200</v>
      </c>
      <c r="X613" s="463">
        <v>13</v>
      </c>
      <c r="Y613" s="464"/>
      <c r="Z613" s="463">
        <v>98</v>
      </c>
      <c r="AA613" s="472" t="s">
        <v>1851</v>
      </c>
      <c r="AB613" s="463">
        <v>30</v>
      </c>
      <c r="AC613" s="463">
        <v>89</v>
      </c>
      <c r="AD613" s="472" t="s">
        <v>1852</v>
      </c>
      <c r="AE613" s="463" t="s">
        <v>539</v>
      </c>
      <c r="AF613" s="463" t="s">
        <v>539</v>
      </c>
      <c r="AG613" s="463" t="s">
        <v>375</v>
      </c>
      <c r="AH613" s="476"/>
      <c r="AI613" s="472">
        <v>803929493</v>
      </c>
      <c r="AJ613" s="472" t="s">
        <v>543</v>
      </c>
    </row>
    <row r="614" spans="1:36" ht="24" hidden="1" customHeight="1">
      <c r="B614" s="463">
        <v>507</v>
      </c>
      <c r="C614" s="464" t="s">
        <v>534</v>
      </c>
      <c r="D614" s="464"/>
      <c r="E614" s="464" t="s">
        <v>535</v>
      </c>
      <c r="F614" s="464"/>
      <c r="G614" s="464" t="s">
        <v>281</v>
      </c>
      <c r="H614" s="464" t="s">
        <v>1853</v>
      </c>
      <c r="I614" s="465" t="s">
        <v>537</v>
      </c>
      <c r="J614" s="465" t="s">
        <v>537</v>
      </c>
      <c r="K614" s="466">
        <v>117500</v>
      </c>
      <c r="L614" s="465" t="s">
        <v>537</v>
      </c>
      <c r="M614" s="465" t="s">
        <v>537</v>
      </c>
      <c r="N614" s="466">
        <v>112436.56</v>
      </c>
      <c r="O614" s="463" t="s">
        <v>537</v>
      </c>
      <c r="P614" s="463" t="s">
        <v>537</v>
      </c>
      <c r="Q614" s="468">
        <v>5063</v>
      </c>
      <c r="R614" s="470">
        <v>241428</v>
      </c>
      <c r="S614" s="463" t="s">
        <v>623</v>
      </c>
      <c r="T614" s="463">
        <v>0</v>
      </c>
      <c r="U614" s="463">
        <v>0</v>
      </c>
      <c r="V614" s="463">
        <v>0</v>
      </c>
      <c r="W614" s="464"/>
      <c r="X614" s="463">
        <v>13</v>
      </c>
      <c r="Y614" s="464"/>
      <c r="Z614" s="463">
        <v>98</v>
      </c>
      <c r="AA614" s="472" t="s">
        <v>1854</v>
      </c>
      <c r="AB614" s="463">
        <v>15</v>
      </c>
      <c r="AC614" s="463">
        <v>15</v>
      </c>
      <c r="AD614" s="472" t="s">
        <v>1855</v>
      </c>
      <c r="AE614" s="463" t="s">
        <v>539</v>
      </c>
      <c r="AF614" s="463" t="s">
        <v>539</v>
      </c>
      <c r="AG614" s="463" t="s">
        <v>375</v>
      </c>
      <c r="AH614" s="476"/>
      <c r="AI614" s="472">
        <v>803929493</v>
      </c>
      <c r="AJ614" s="472" t="s">
        <v>543</v>
      </c>
    </row>
    <row r="615" spans="1:36" ht="24" hidden="1" customHeight="1">
      <c r="B615" s="463">
        <v>508</v>
      </c>
      <c r="C615" s="464" t="s">
        <v>534</v>
      </c>
      <c r="D615" s="464"/>
      <c r="E615" s="464" t="s">
        <v>535</v>
      </c>
      <c r="F615" s="464"/>
      <c r="G615" s="464" t="s">
        <v>281</v>
      </c>
      <c r="H615" s="464" t="s">
        <v>1856</v>
      </c>
      <c r="I615" s="466">
        <v>60000</v>
      </c>
      <c r="J615" s="465" t="s">
        <v>537</v>
      </c>
      <c r="K615" s="465" t="s">
        <v>537</v>
      </c>
      <c r="L615" s="466">
        <v>58000</v>
      </c>
      <c r="M615" s="465" t="s">
        <v>537</v>
      </c>
      <c r="N615" s="465" t="s">
        <v>537</v>
      </c>
      <c r="O615" s="463" t="s">
        <v>537</v>
      </c>
      <c r="P615" s="463" t="s">
        <v>537</v>
      </c>
      <c r="Q615" s="468">
        <v>2000</v>
      </c>
      <c r="R615" s="470">
        <v>241487</v>
      </c>
      <c r="S615" s="463" t="s">
        <v>732</v>
      </c>
      <c r="T615" s="463">
        <v>0</v>
      </c>
      <c r="U615" s="463">
        <v>25</v>
      </c>
      <c r="V615" s="463">
        <v>25</v>
      </c>
      <c r="W615" s="463">
        <v>50</v>
      </c>
      <c r="X615" s="463">
        <v>30</v>
      </c>
      <c r="Y615" s="463">
        <v>20</v>
      </c>
      <c r="Z615" s="463">
        <v>85</v>
      </c>
      <c r="AA615" s="472" t="s">
        <v>547</v>
      </c>
      <c r="AB615" s="463" t="s">
        <v>539</v>
      </c>
      <c r="AC615" s="463" t="s">
        <v>539</v>
      </c>
      <c r="AD615" s="472" t="s">
        <v>548</v>
      </c>
      <c r="AE615" s="463">
        <v>80</v>
      </c>
      <c r="AF615" s="463">
        <v>85</v>
      </c>
      <c r="AG615" s="463" t="s">
        <v>375</v>
      </c>
      <c r="AH615" s="476"/>
      <c r="AI615" s="472">
        <v>824239998</v>
      </c>
      <c r="AJ615" s="464"/>
    </row>
    <row r="616" spans="1:36" ht="24" hidden="1" customHeight="1">
      <c r="B616" s="463">
        <v>509</v>
      </c>
      <c r="C616" s="464" t="s">
        <v>534</v>
      </c>
      <c r="D616" s="464"/>
      <c r="E616" s="464" t="s">
        <v>535</v>
      </c>
      <c r="F616" s="464"/>
      <c r="G616" s="464" t="s">
        <v>281</v>
      </c>
      <c r="H616" s="464" t="s">
        <v>1857</v>
      </c>
      <c r="I616" s="465" t="s">
        <v>537</v>
      </c>
      <c r="J616" s="465" t="s">
        <v>537</v>
      </c>
      <c r="K616" s="466">
        <v>95000</v>
      </c>
      <c r="L616" s="465" t="s">
        <v>537</v>
      </c>
      <c r="M616" s="465" t="s">
        <v>537</v>
      </c>
      <c r="N616" s="466">
        <v>94904</v>
      </c>
      <c r="O616" s="463" t="s">
        <v>537</v>
      </c>
      <c r="P616" s="463" t="s">
        <v>537</v>
      </c>
      <c r="Q616" s="465">
        <v>96</v>
      </c>
      <c r="R616" s="470">
        <v>241518</v>
      </c>
      <c r="S616" s="463" t="s">
        <v>1542</v>
      </c>
      <c r="T616" s="463">
        <v>0</v>
      </c>
      <c r="U616" s="463">
        <v>100</v>
      </c>
      <c r="V616" s="463">
        <v>0</v>
      </c>
      <c r="W616" s="463">
        <v>0</v>
      </c>
      <c r="X616" s="463">
        <v>105</v>
      </c>
      <c r="Y616" s="463">
        <v>0</v>
      </c>
      <c r="Z616" s="463">
        <v>92</v>
      </c>
      <c r="AA616" s="472" t="s">
        <v>547</v>
      </c>
      <c r="AB616" s="463" t="s">
        <v>539</v>
      </c>
      <c r="AC616" s="463" t="s">
        <v>539</v>
      </c>
      <c r="AD616" s="472" t="s">
        <v>548</v>
      </c>
      <c r="AE616" s="463" t="s">
        <v>539</v>
      </c>
      <c r="AF616" s="463" t="s">
        <v>539</v>
      </c>
      <c r="AG616" s="463" t="s">
        <v>375</v>
      </c>
      <c r="AH616" s="476"/>
      <c r="AI616" s="472">
        <v>824155926</v>
      </c>
      <c r="AJ616" s="472" t="s">
        <v>543</v>
      </c>
    </row>
    <row r="617" spans="1:36" ht="24" hidden="1" customHeight="1">
      <c r="B617" s="463">
        <v>510</v>
      </c>
      <c r="C617" s="464" t="s">
        <v>534</v>
      </c>
      <c r="D617" s="464"/>
      <c r="E617" s="464" t="s">
        <v>535</v>
      </c>
      <c r="F617" s="464"/>
      <c r="G617" s="464" t="s">
        <v>281</v>
      </c>
      <c r="H617" s="464" t="s">
        <v>1858</v>
      </c>
      <c r="I617" s="465" t="s">
        <v>537</v>
      </c>
      <c r="J617" s="465" t="s">
        <v>537</v>
      </c>
      <c r="K617" s="466">
        <v>111700</v>
      </c>
      <c r="L617" s="465" t="s">
        <v>537</v>
      </c>
      <c r="M617" s="465" t="s">
        <v>537</v>
      </c>
      <c r="N617" s="466">
        <v>47120</v>
      </c>
      <c r="O617" s="463" t="s">
        <v>537</v>
      </c>
      <c r="P617" s="463" t="s">
        <v>537</v>
      </c>
      <c r="Q617" s="468">
        <v>64580</v>
      </c>
      <c r="R617" s="470">
        <v>241609</v>
      </c>
      <c r="S617" s="463" t="s">
        <v>1859</v>
      </c>
      <c r="T617" s="463">
        <v>0</v>
      </c>
      <c r="U617" s="463">
        <v>115</v>
      </c>
      <c r="V617" s="463">
        <v>0</v>
      </c>
      <c r="W617" s="463">
        <v>0</v>
      </c>
      <c r="X617" s="463">
        <v>80</v>
      </c>
      <c r="Y617" s="463">
        <v>0</v>
      </c>
      <c r="Z617" s="463">
        <v>83</v>
      </c>
      <c r="AA617" s="472" t="s">
        <v>1860</v>
      </c>
      <c r="AB617" s="463" t="s">
        <v>539</v>
      </c>
      <c r="AC617" s="463" t="s">
        <v>539</v>
      </c>
      <c r="AD617" s="472" t="s">
        <v>1861</v>
      </c>
      <c r="AE617" s="463">
        <v>80</v>
      </c>
      <c r="AF617" s="463">
        <v>83</v>
      </c>
      <c r="AG617" s="463" t="s">
        <v>375</v>
      </c>
      <c r="AH617" s="476"/>
      <c r="AI617" s="472">
        <v>811850782</v>
      </c>
      <c r="AJ617" s="472" t="s">
        <v>543</v>
      </c>
    </row>
    <row r="618" spans="1:36" ht="24" customHeight="1">
      <c r="A618" s="452">
        <v>111</v>
      </c>
      <c r="B618" s="701">
        <v>511</v>
      </c>
      <c r="C618" s="699" t="s">
        <v>337</v>
      </c>
      <c r="D618" s="699"/>
      <c r="E618" s="699" t="s">
        <v>545</v>
      </c>
      <c r="F618" s="699"/>
      <c r="G618" s="699" t="s">
        <v>281</v>
      </c>
      <c r="H618" s="699" t="s">
        <v>1862</v>
      </c>
      <c r="I618" s="712">
        <v>150000</v>
      </c>
      <c r="J618" s="709" t="s">
        <v>537</v>
      </c>
      <c r="K618" s="709" t="s">
        <v>537</v>
      </c>
      <c r="L618" s="712">
        <v>58254</v>
      </c>
      <c r="M618" s="709" t="s">
        <v>537</v>
      </c>
      <c r="N618" s="709" t="s">
        <v>537</v>
      </c>
      <c r="O618" s="701" t="s">
        <v>537</v>
      </c>
      <c r="P618" s="701" t="s">
        <v>537</v>
      </c>
      <c r="Q618" s="705">
        <v>91746</v>
      </c>
      <c r="R618" s="701" t="s">
        <v>552</v>
      </c>
      <c r="S618" s="701" t="s">
        <v>1863</v>
      </c>
      <c r="T618" s="701">
        <v>0</v>
      </c>
      <c r="U618" s="701">
        <v>20</v>
      </c>
      <c r="V618" s="701">
        <v>0</v>
      </c>
      <c r="W618" s="701">
        <v>0</v>
      </c>
      <c r="X618" s="701">
        <v>50</v>
      </c>
      <c r="Y618" s="701">
        <v>0</v>
      </c>
      <c r="Z618" s="701">
        <v>95</v>
      </c>
      <c r="AA618" s="697" t="s">
        <v>1864</v>
      </c>
      <c r="AB618" s="701">
        <v>20</v>
      </c>
      <c r="AC618" s="701">
        <v>9</v>
      </c>
      <c r="AD618" s="458" t="s">
        <v>1865</v>
      </c>
      <c r="AE618" s="459">
        <v>80</v>
      </c>
      <c r="AF618" s="459">
        <v>85</v>
      </c>
      <c r="AG618" s="701" t="s">
        <v>376</v>
      </c>
      <c r="AH618" s="728"/>
      <c r="AI618" s="697">
        <v>815361286</v>
      </c>
      <c r="AJ618" s="699"/>
    </row>
    <row r="619" spans="1:36" ht="24" hidden="1" customHeight="1">
      <c r="B619" s="702"/>
      <c r="C619" s="700"/>
      <c r="D619" s="700"/>
      <c r="E619" s="700"/>
      <c r="F619" s="700"/>
      <c r="G619" s="700"/>
      <c r="H619" s="700"/>
      <c r="I619" s="713"/>
      <c r="J619" s="710"/>
      <c r="K619" s="710"/>
      <c r="L619" s="713"/>
      <c r="M619" s="710"/>
      <c r="N619" s="710"/>
      <c r="O619" s="702"/>
      <c r="P619" s="702"/>
      <c r="Q619" s="706"/>
      <c r="R619" s="702"/>
      <c r="S619" s="702"/>
      <c r="T619" s="702"/>
      <c r="U619" s="702"/>
      <c r="V619" s="702"/>
      <c r="W619" s="702"/>
      <c r="X619" s="702"/>
      <c r="Y619" s="702"/>
      <c r="Z619" s="702"/>
      <c r="AA619" s="698"/>
      <c r="AB619" s="702"/>
      <c r="AC619" s="702"/>
      <c r="AD619" s="473" t="s">
        <v>1866</v>
      </c>
      <c r="AE619" s="474">
        <v>20</v>
      </c>
      <c r="AF619" s="474">
        <v>9</v>
      </c>
      <c r="AG619" s="702"/>
      <c r="AH619" s="729"/>
      <c r="AI619" s="698"/>
      <c r="AJ619" s="700"/>
    </row>
    <row r="620" spans="1:36" ht="24" hidden="1" customHeight="1">
      <c r="B620" s="463">
        <v>512</v>
      </c>
      <c r="C620" s="464" t="s">
        <v>534</v>
      </c>
      <c r="D620" s="464"/>
      <c r="E620" s="464" t="s">
        <v>535</v>
      </c>
      <c r="F620" s="464"/>
      <c r="G620" s="464" t="s">
        <v>194</v>
      </c>
      <c r="H620" s="464" t="s">
        <v>1867</v>
      </c>
      <c r="I620" s="466">
        <v>100000</v>
      </c>
      <c r="J620" s="465" t="s">
        <v>537</v>
      </c>
      <c r="K620" s="465" t="s">
        <v>537</v>
      </c>
      <c r="L620" s="466">
        <v>63390</v>
      </c>
      <c r="M620" s="465" t="s">
        <v>537</v>
      </c>
      <c r="N620" s="465" t="s">
        <v>537</v>
      </c>
      <c r="O620" s="463" t="s">
        <v>537</v>
      </c>
      <c r="P620" s="463" t="s">
        <v>537</v>
      </c>
      <c r="Q620" s="468">
        <v>36610</v>
      </c>
      <c r="R620" s="470">
        <v>241487</v>
      </c>
      <c r="S620" s="463" t="s">
        <v>1798</v>
      </c>
      <c r="T620" s="463">
        <v>0</v>
      </c>
      <c r="U620" s="463">
        <v>30</v>
      </c>
      <c r="V620" s="463">
        <v>0</v>
      </c>
      <c r="W620" s="463">
        <v>0</v>
      </c>
      <c r="X620" s="463">
        <v>33</v>
      </c>
      <c r="Y620" s="463">
        <v>0</v>
      </c>
      <c r="Z620" s="463">
        <v>86.53</v>
      </c>
      <c r="AA620" s="472" t="s">
        <v>1868</v>
      </c>
      <c r="AB620" s="463" t="s">
        <v>539</v>
      </c>
      <c r="AC620" s="463">
        <v>90.91</v>
      </c>
      <c r="AD620" s="472" t="s">
        <v>1869</v>
      </c>
      <c r="AE620" s="463">
        <v>80</v>
      </c>
      <c r="AF620" s="463">
        <v>81.81</v>
      </c>
      <c r="AG620" s="463" t="s">
        <v>375</v>
      </c>
      <c r="AH620" s="476"/>
      <c r="AI620" s="472">
        <v>866960166</v>
      </c>
      <c r="AJ620" s="464"/>
    </row>
    <row r="621" spans="1:36" ht="24" hidden="1" customHeight="1">
      <c r="B621" s="463">
        <v>513</v>
      </c>
      <c r="C621" s="464" t="s">
        <v>534</v>
      </c>
      <c r="D621" s="464"/>
      <c r="E621" s="464" t="s">
        <v>535</v>
      </c>
      <c r="F621" s="464"/>
      <c r="G621" s="464" t="s">
        <v>194</v>
      </c>
      <c r="H621" s="464" t="s">
        <v>1870</v>
      </c>
      <c r="I621" s="465" t="s">
        <v>537</v>
      </c>
      <c r="J621" s="466">
        <v>50000</v>
      </c>
      <c r="K621" s="465" t="s">
        <v>537</v>
      </c>
      <c r="L621" s="465" t="s">
        <v>537</v>
      </c>
      <c r="M621" s="466">
        <v>49200</v>
      </c>
      <c r="N621" s="465" t="s">
        <v>537</v>
      </c>
      <c r="O621" s="463" t="s">
        <v>537</v>
      </c>
      <c r="P621" s="463" t="s">
        <v>537</v>
      </c>
      <c r="Q621" s="465">
        <v>800</v>
      </c>
      <c r="R621" s="470">
        <v>241518</v>
      </c>
      <c r="S621" s="463" t="s">
        <v>1871</v>
      </c>
      <c r="T621" s="463">
        <v>0</v>
      </c>
      <c r="U621" s="463">
        <v>20</v>
      </c>
      <c r="V621" s="463">
        <v>0</v>
      </c>
      <c r="W621" s="463">
        <v>0</v>
      </c>
      <c r="X621" s="463">
        <v>35</v>
      </c>
      <c r="Y621" s="463">
        <v>0</v>
      </c>
      <c r="Z621" s="463">
        <v>90.04</v>
      </c>
      <c r="AA621" s="472" t="s">
        <v>547</v>
      </c>
      <c r="AB621" s="463" t="s">
        <v>539</v>
      </c>
      <c r="AC621" s="463" t="s">
        <v>539</v>
      </c>
      <c r="AD621" s="472" t="s">
        <v>548</v>
      </c>
      <c r="AE621" s="463">
        <v>80</v>
      </c>
      <c r="AF621" s="463">
        <v>88.6</v>
      </c>
      <c r="AG621" s="463" t="s">
        <v>375</v>
      </c>
      <c r="AH621" s="476"/>
      <c r="AI621" s="472">
        <v>869640647</v>
      </c>
      <c r="AJ621" s="464"/>
    </row>
    <row r="622" spans="1:36" ht="24" hidden="1" customHeight="1">
      <c r="B622" s="463">
        <v>514</v>
      </c>
      <c r="C622" s="464" t="s">
        <v>534</v>
      </c>
      <c r="D622" s="464"/>
      <c r="E622" s="464" t="s">
        <v>535</v>
      </c>
      <c r="F622" s="464"/>
      <c r="G622" s="464" t="s">
        <v>198</v>
      </c>
      <c r="H622" s="464" t="s">
        <v>1872</v>
      </c>
      <c r="I622" s="465" t="s">
        <v>537</v>
      </c>
      <c r="J622" s="465" t="s">
        <v>537</v>
      </c>
      <c r="K622" s="466">
        <v>100000</v>
      </c>
      <c r="L622" s="465" t="s">
        <v>537</v>
      </c>
      <c r="M622" s="465" t="s">
        <v>537</v>
      </c>
      <c r="N622" s="466">
        <v>100000</v>
      </c>
      <c r="O622" s="463" t="s">
        <v>537</v>
      </c>
      <c r="P622" s="463" t="s">
        <v>537</v>
      </c>
      <c r="Q622" s="465">
        <v>0</v>
      </c>
      <c r="R622" s="470">
        <v>241397</v>
      </c>
      <c r="S622" s="471">
        <v>22276</v>
      </c>
      <c r="T622" s="463">
        <v>0</v>
      </c>
      <c r="U622" s="463">
        <v>250</v>
      </c>
      <c r="V622" s="463">
        <v>0</v>
      </c>
      <c r="W622" s="463">
        <v>0</v>
      </c>
      <c r="X622" s="463">
        <v>250</v>
      </c>
      <c r="Y622" s="463">
        <v>0</v>
      </c>
      <c r="Z622" s="463">
        <v>86.7</v>
      </c>
      <c r="AA622" s="472" t="s">
        <v>630</v>
      </c>
      <c r="AB622" s="463" t="s">
        <v>539</v>
      </c>
      <c r="AC622" s="463" t="s">
        <v>539</v>
      </c>
      <c r="AD622" s="472" t="s">
        <v>548</v>
      </c>
      <c r="AE622" s="463">
        <v>80</v>
      </c>
      <c r="AF622" s="463">
        <v>85.2</v>
      </c>
      <c r="AG622" s="463" t="s">
        <v>375</v>
      </c>
      <c r="AH622" s="476"/>
      <c r="AI622" s="472">
        <v>848587719</v>
      </c>
      <c r="AJ622" s="472" t="s">
        <v>543</v>
      </c>
    </row>
    <row r="623" spans="1:36" ht="24" hidden="1" customHeight="1">
      <c r="B623" s="463">
        <v>515</v>
      </c>
      <c r="C623" s="464" t="s">
        <v>534</v>
      </c>
      <c r="D623" s="464"/>
      <c r="E623" s="464" t="s">
        <v>535</v>
      </c>
      <c r="F623" s="464"/>
      <c r="G623" s="464" t="s">
        <v>198</v>
      </c>
      <c r="H623" s="464" t="s">
        <v>1873</v>
      </c>
      <c r="I623" s="465" t="s">
        <v>537</v>
      </c>
      <c r="J623" s="465" t="s">
        <v>537</v>
      </c>
      <c r="K623" s="466">
        <v>99600</v>
      </c>
      <c r="L623" s="465" t="s">
        <v>537</v>
      </c>
      <c r="M623" s="465" t="s">
        <v>537</v>
      </c>
      <c r="N623" s="466">
        <v>76560</v>
      </c>
      <c r="O623" s="463" t="s">
        <v>537</v>
      </c>
      <c r="P623" s="463" t="s">
        <v>537</v>
      </c>
      <c r="Q623" s="468">
        <v>23040</v>
      </c>
      <c r="R623" s="470">
        <v>241640</v>
      </c>
      <c r="S623" s="463" t="s">
        <v>1874</v>
      </c>
      <c r="T623" s="463">
        <v>0</v>
      </c>
      <c r="U623" s="463">
        <v>150</v>
      </c>
      <c r="V623" s="463">
        <v>0</v>
      </c>
      <c r="W623" s="463">
        <v>19</v>
      </c>
      <c r="X623" s="463">
        <v>25</v>
      </c>
      <c r="Y623" s="463">
        <v>74</v>
      </c>
      <c r="Z623" s="463">
        <v>97.4</v>
      </c>
      <c r="AA623" s="472" t="s">
        <v>1875</v>
      </c>
      <c r="AB623" s="463" t="s">
        <v>539</v>
      </c>
      <c r="AC623" s="463" t="s">
        <v>539</v>
      </c>
      <c r="AD623" s="472" t="s">
        <v>1016</v>
      </c>
      <c r="AE623" s="463">
        <v>80</v>
      </c>
      <c r="AF623" s="463">
        <v>97.4</v>
      </c>
      <c r="AG623" s="463" t="s">
        <v>375</v>
      </c>
      <c r="AH623" s="476"/>
      <c r="AI623" s="472">
        <v>819703793</v>
      </c>
      <c r="AJ623" s="472" t="s">
        <v>543</v>
      </c>
    </row>
    <row r="624" spans="1:36" ht="24" hidden="1" customHeight="1">
      <c r="B624" s="463">
        <v>516</v>
      </c>
      <c r="C624" s="464" t="s">
        <v>534</v>
      </c>
      <c r="D624" s="464"/>
      <c r="E624" s="464" t="s">
        <v>535</v>
      </c>
      <c r="F624" s="464"/>
      <c r="G624" s="464" t="s">
        <v>198</v>
      </c>
      <c r="H624" s="464" t="s">
        <v>1876</v>
      </c>
      <c r="I624" s="465" t="s">
        <v>537</v>
      </c>
      <c r="J624" s="465" t="s">
        <v>537</v>
      </c>
      <c r="K624" s="466">
        <v>7200</v>
      </c>
      <c r="L624" s="465" t="s">
        <v>537</v>
      </c>
      <c r="M624" s="465" t="s">
        <v>537</v>
      </c>
      <c r="N624" s="466">
        <v>4122</v>
      </c>
      <c r="O624" s="467">
        <v>3000</v>
      </c>
      <c r="P624" s="463" t="s">
        <v>537</v>
      </c>
      <c r="Q624" s="465">
        <v>78</v>
      </c>
      <c r="R624" s="470">
        <v>241487</v>
      </c>
      <c r="S624" s="463" t="s">
        <v>1877</v>
      </c>
      <c r="T624" s="463">
        <v>322</v>
      </c>
      <c r="U624" s="463">
        <v>15</v>
      </c>
      <c r="V624" s="463">
        <v>0</v>
      </c>
      <c r="W624" s="463">
        <v>312</v>
      </c>
      <c r="X624" s="463">
        <v>15</v>
      </c>
      <c r="Y624" s="463">
        <v>0</v>
      </c>
      <c r="Z624" s="463">
        <v>84.48</v>
      </c>
      <c r="AA624" s="472" t="s">
        <v>547</v>
      </c>
      <c r="AB624" s="463" t="s">
        <v>539</v>
      </c>
      <c r="AC624" s="463" t="s">
        <v>539</v>
      </c>
      <c r="AD624" s="472" t="s">
        <v>548</v>
      </c>
      <c r="AE624" s="463">
        <v>80</v>
      </c>
      <c r="AF624" s="463">
        <v>84.48</v>
      </c>
      <c r="AG624" s="463" t="s">
        <v>375</v>
      </c>
      <c r="AH624" s="476"/>
      <c r="AI624" s="472">
        <v>817376037</v>
      </c>
      <c r="AJ624" s="472" t="s">
        <v>543</v>
      </c>
    </row>
    <row r="625" spans="2:36" ht="24" hidden="1" customHeight="1">
      <c r="B625" s="701">
        <v>517</v>
      </c>
      <c r="C625" s="699" t="s">
        <v>534</v>
      </c>
      <c r="D625" s="699"/>
      <c r="E625" s="699" t="s">
        <v>535</v>
      </c>
      <c r="F625" s="699"/>
      <c r="G625" s="699" t="s">
        <v>198</v>
      </c>
      <c r="H625" s="699" t="s">
        <v>1878</v>
      </c>
      <c r="I625" s="712">
        <v>35310</v>
      </c>
      <c r="J625" s="709" t="s">
        <v>537</v>
      </c>
      <c r="K625" s="709" t="s">
        <v>537</v>
      </c>
      <c r="L625" s="712">
        <v>32100</v>
      </c>
      <c r="M625" s="709" t="s">
        <v>537</v>
      </c>
      <c r="N625" s="709" t="s">
        <v>537</v>
      </c>
      <c r="O625" s="701" t="s">
        <v>537</v>
      </c>
      <c r="P625" s="701" t="s">
        <v>537</v>
      </c>
      <c r="Q625" s="705">
        <v>3210</v>
      </c>
      <c r="R625" s="701" t="s">
        <v>1022</v>
      </c>
      <c r="S625" s="701" t="s">
        <v>1879</v>
      </c>
      <c r="T625" s="701">
        <v>0</v>
      </c>
      <c r="U625" s="701">
        <v>0</v>
      </c>
      <c r="V625" s="701">
        <v>0</v>
      </c>
      <c r="W625" s="701">
        <v>0</v>
      </c>
      <c r="X625" s="701">
        <v>0</v>
      </c>
      <c r="Y625" s="701">
        <v>0</v>
      </c>
      <c r="Z625" s="701">
        <v>82</v>
      </c>
      <c r="AA625" s="697" t="s">
        <v>1880</v>
      </c>
      <c r="AB625" s="701" t="s">
        <v>539</v>
      </c>
      <c r="AC625" s="701" t="s">
        <v>539</v>
      </c>
      <c r="AD625" s="458" t="s">
        <v>1016</v>
      </c>
      <c r="AE625" s="459">
        <v>80</v>
      </c>
      <c r="AF625" s="459">
        <v>82</v>
      </c>
      <c r="AG625" s="701" t="s">
        <v>375</v>
      </c>
      <c r="AH625" s="728"/>
      <c r="AI625" s="697">
        <v>828125532</v>
      </c>
      <c r="AJ625" s="699"/>
    </row>
    <row r="626" spans="2:36" ht="24" hidden="1" customHeight="1">
      <c r="B626" s="702"/>
      <c r="C626" s="700"/>
      <c r="D626" s="700"/>
      <c r="E626" s="700"/>
      <c r="F626" s="700"/>
      <c r="G626" s="700"/>
      <c r="H626" s="700"/>
      <c r="I626" s="713"/>
      <c r="J626" s="710"/>
      <c r="K626" s="710"/>
      <c r="L626" s="713"/>
      <c r="M626" s="710"/>
      <c r="N626" s="710"/>
      <c r="O626" s="702"/>
      <c r="P626" s="702"/>
      <c r="Q626" s="706"/>
      <c r="R626" s="702"/>
      <c r="S626" s="702"/>
      <c r="T626" s="702"/>
      <c r="U626" s="702"/>
      <c r="V626" s="702"/>
      <c r="W626" s="702"/>
      <c r="X626" s="702"/>
      <c r="Y626" s="702"/>
      <c r="Z626" s="702"/>
      <c r="AA626" s="698"/>
      <c r="AB626" s="702"/>
      <c r="AC626" s="702"/>
      <c r="AD626" s="473" t="s">
        <v>1881</v>
      </c>
      <c r="AE626" s="474">
        <v>45</v>
      </c>
      <c r="AF626" s="474">
        <v>45</v>
      </c>
      <c r="AG626" s="702"/>
      <c r="AH626" s="729"/>
      <c r="AI626" s="698"/>
      <c r="AJ626" s="700"/>
    </row>
    <row r="627" spans="2:36" ht="24" hidden="1" customHeight="1">
      <c r="B627" s="701">
        <v>518</v>
      </c>
      <c r="C627" s="699" t="s">
        <v>534</v>
      </c>
      <c r="D627" s="699"/>
      <c r="E627" s="699" t="s">
        <v>535</v>
      </c>
      <c r="F627" s="699"/>
      <c r="G627" s="699" t="s">
        <v>198</v>
      </c>
      <c r="H627" s="699" t="s">
        <v>1882</v>
      </c>
      <c r="I627" s="712">
        <v>50000</v>
      </c>
      <c r="J627" s="709" t="s">
        <v>537</v>
      </c>
      <c r="K627" s="709" t="s">
        <v>537</v>
      </c>
      <c r="L627" s="712">
        <v>50000</v>
      </c>
      <c r="M627" s="709" t="s">
        <v>537</v>
      </c>
      <c r="N627" s="709" t="s">
        <v>537</v>
      </c>
      <c r="O627" s="701" t="s">
        <v>537</v>
      </c>
      <c r="P627" s="701" t="s">
        <v>537</v>
      </c>
      <c r="Q627" s="709">
        <v>0</v>
      </c>
      <c r="R627" s="701" t="s">
        <v>1022</v>
      </c>
      <c r="S627" s="701" t="s">
        <v>1879</v>
      </c>
      <c r="T627" s="701">
        <v>0</v>
      </c>
      <c r="U627" s="701">
        <v>0</v>
      </c>
      <c r="V627" s="701">
        <v>0</v>
      </c>
      <c r="W627" s="701">
        <v>0</v>
      </c>
      <c r="X627" s="701">
        <v>0</v>
      </c>
      <c r="Y627" s="701">
        <v>0</v>
      </c>
      <c r="Z627" s="701">
        <v>83</v>
      </c>
      <c r="AA627" s="697" t="s">
        <v>1402</v>
      </c>
      <c r="AB627" s="701" t="s">
        <v>539</v>
      </c>
      <c r="AC627" s="701" t="s">
        <v>539</v>
      </c>
      <c r="AD627" s="458" t="s">
        <v>1016</v>
      </c>
      <c r="AE627" s="459">
        <v>80</v>
      </c>
      <c r="AF627" s="459">
        <v>83</v>
      </c>
      <c r="AG627" s="701" t="s">
        <v>375</v>
      </c>
      <c r="AH627" s="728"/>
      <c r="AI627" s="697">
        <v>828125532</v>
      </c>
      <c r="AJ627" s="699"/>
    </row>
    <row r="628" spans="2:36" ht="24" hidden="1" customHeight="1">
      <c r="B628" s="702"/>
      <c r="C628" s="700"/>
      <c r="D628" s="700"/>
      <c r="E628" s="700"/>
      <c r="F628" s="700"/>
      <c r="G628" s="700"/>
      <c r="H628" s="700"/>
      <c r="I628" s="713"/>
      <c r="J628" s="710"/>
      <c r="K628" s="710"/>
      <c r="L628" s="713"/>
      <c r="M628" s="710"/>
      <c r="N628" s="710"/>
      <c r="O628" s="702"/>
      <c r="P628" s="702"/>
      <c r="Q628" s="710"/>
      <c r="R628" s="702"/>
      <c r="S628" s="702"/>
      <c r="T628" s="702"/>
      <c r="U628" s="702"/>
      <c r="V628" s="702"/>
      <c r="W628" s="702"/>
      <c r="X628" s="702"/>
      <c r="Y628" s="702"/>
      <c r="Z628" s="702"/>
      <c r="AA628" s="698"/>
      <c r="AB628" s="702"/>
      <c r="AC628" s="702"/>
      <c r="AD628" s="473" t="s">
        <v>1883</v>
      </c>
      <c r="AE628" s="474">
        <v>10</v>
      </c>
      <c r="AF628" s="474">
        <v>10</v>
      </c>
      <c r="AG628" s="702"/>
      <c r="AH628" s="729"/>
      <c r="AI628" s="698"/>
      <c r="AJ628" s="700"/>
    </row>
    <row r="629" spans="2:36" ht="24" hidden="1" customHeight="1">
      <c r="B629" s="701">
        <v>519</v>
      </c>
      <c r="C629" s="699" t="s">
        <v>534</v>
      </c>
      <c r="D629" s="699"/>
      <c r="E629" s="699" t="s">
        <v>535</v>
      </c>
      <c r="F629" s="699"/>
      <c r="G629" s="699" t="s">
        <v>198</v>
      </c>
      <c r="H629" s="699" t="s">
        <v>1884</v>
      </c>
      <c r="I629" s="712">
        <v>14690</v>
      </c>
      <c r="J629" s="709" t="s">
        <v>537</v>
      </c>
      <c r="K629" s="709" t="s">
        <v>537</v>
      </c>
      <c r="L629" s="712">
        <v>14688</v>
      </c>
      <c r="M629" s="709" t="s">
        <v>537</v>
      </c>
      <c r="N629" s="709" t="s">
        <v>537</v>
      </c>
      <c r="O629" s="701" t="s">
        <v>537</v>
      </c>
      <c r="P629" s="701" t="s">
        <v>537</v>
      </c>
      <c r="Q629" s="709">
        <v>2</v>
      </c>
      <c r="R629" s="707">
        <v>241518</v>
      </c>
      <c r="S629" s="701" t="s">
        <v>1885</v>
      </c>
      <c r="T629" s="701">
        <v>0</v>
      </c>
      <c r="U629" s="701">
        <v>0</v>
      </c>
      <c r="V629" s="701">
        <v>0</v>
      </c>
      <c r="W629" s="701">
        <v>0</v>
      </c>
      <c r="X629" s="701">
        <v>0</v>
      </c>
      <c r="Y629" s="701">
        <v>0</v>
      </c>
      <c r="Z629" s="701">
        <v>82</v>
      </c>
      <c r="AA629" s="697" t="s">
        <v>1402</v>
      </c>
      <c r="AB629" s="701" t="s">
        <v>539</v>
      </c>
      <c r="AC629" s="701" t="s">
        <v>539</v>
      </c>
      <c r="AD629" s="458" t="s">
        <v>1016</v>
      </c>
      <c r="AE629" s="459">
        <v>80</v>
      </c>
      <c r="AF629" s="459">
        <v>82</v>
      </c>
      <c r="AG629" s="701" t="s">
        <v>375</v>
      </c>
      <c r="AH629" s="728"/>
      <c r="AI629" s="697">
        <v>828135532</v>
      </c>
      <c r="AJ629" s="699"/>
    </row>
    <row r="630" spans="2:36" ht="24" hidden="1" customHeight="1">
      <c r="B630" s="702"/>
      <c r="C630" s="700"/>
      <c r="D630" s="700"/>
      <c r="E630" s="700"/>
      <c r="F630" s="700"/>
      <c r="G630" s="700"/>
      <c r="H630" s="700"/>
      <c r="I630" s="713"/>
      <c r="J630" s="710"/>
      <c r="K630" s="710"/>
      <c r="L630" s="713"/>
      <c r="M630" s="710"/>
      <c r="N630" s="710"/>
      <c r="O630" s="702"/>
      <c r="P630" s="702"/>
      <c r="Q630" s="710"/>
      <c r="R630" s="708"/>
      <c r="S630" s="702"/>
      <c r="T630" s="702"/>
      <c r="U630" s="702"/>
      <c r="V630" s="702"/>
      <c r="W630" s="702"/>
      <c r="X630" s="702"/>
      <c r="Y630" s="702"/>
      <c r="Z630" s="702"/>
      <c r="AA630" s="698"/>
      <c r="AB630" s="702"/>
      <c r="AC630" s="702"/>
      <c r="AD630" s="473" t="s">
        <v>1886</v>
      </c>
      <c r="AE630" s="474">
        <v>8000</v>
      </c>
      <c r="AF630" s="474">
        <v>8000</v>
      </c>
      <c r="AG630" s="702"/>
      <c r="AH630" s="729"/>
      <c r="AI630" s="698"/>
      <c r="AJ630" s="700"/>
    </row>
    <row r="631" spans="2:36" ht="24" hidden="1" customHeight="1">
      <c r="B631" s="701">
        <v>520</v>
      </c>
      <c r="C631" s="699" t="s">
        <v>534</v>
      </c>
      <c r="D631" s="699"/>
      <c r="E631" s="699" t="s">
        <v>535</v>
      </c>
      <c r="F631" s="699"/>
      <c r="G631" s="699" t="s">
        <v>198</v>
      </c>
      <c r="H631" s="699" t="s">
        <v>1887</v>
      </c>
      <c r="I631" s="709">
        <v>0</v>
      </c>
      <c r="J631" s="709" t="s">
        <v>537</v>
      </c>
      <c r="K631" s="709" t="s">
        <v>537</v>
      </c>
      <c r="L631" s="709">
        <v>0</v>
      </c>
      <c r="M631" s="709" t="s">
        <v>537</v>
      </c>
      <c r="N631" s="709" t="s">
        <v>537</v>
      </c>
      <c r="O631" s="701" t="s">
        <v>537</v>
      </c>
      <c r="P631" s="701" t="s">
        <v>537</v>
      </c>
      <c r="Q631" s="709">
        <v>0</v>
      </c>
      <c r="R631" s="701" t="s">
        <v>1645</v>
      </c>
      <c r="S631" s="701" t="s">
        <v>1888</v>
      </c>
      <c r="T631" s="701">
        <v>0</v>
      </c>
      <c r="U631" s="701">
        <v>0</v>
      </c>
      <c r="V631" s="701">
        <v>0</v>
      </c>
      <c r="W631" s="701">
        <v>0</v>
      </c>
      <c r="X631" s="701">
        <v>0</v>
      </c>
      <c r="Y631" s="701">
        <v>0</v>
      </c>
      <c r="Z631" s="701">
        <v>85</v>
      </c>
      <c r="AA631" s="697" t="s">
        <v>1402</v>
      </c>
      <c r="AB631" s="701" t="s">
        <v>539</v>
      </c>
      <c r="AC631" s="701" t="s">
        <v>539</v>
      </c>
      <c r="AD631" s="458" t="s">
        <v>1016</v>
      </c>
      <c r="AE631" s="459">
        <v>80</v>
      </c>
      <c r="AF631" s="459" t="s">
        <v>537</v>
      </c>
      <c r="AG631" s="701" t="s">
        <v>376</v>
      </c>
      <c r="AH631" s="728"/>
      <c r="AI631" s="697">
        <v>828135532</v>
      </c>
      <c r="AJ631" s="699"/>
    </row>
    <row r="632" spans="2:36" ht="24" hidden="1" customHeight="1">
      <c r="B632" s="702"/>
      <c r="C632" s="700"/>
      <c r="D632" s="700"/>
      <c r="E632" s="700"/>
      <c r="F632" s="700"/>
      <c r="G632" s="700"/>
      <c r="H632" s="700"/>
      <c r="I632" s="710"/>
      <c r="J632" s="710"/>
      <c r="K632" s="710"/>
      <c r="L632" s="710"/>
      <c r="M632" s="710"/>
      <c r="N632" s="710"/>
      <c r="O632" s="702"/>
      <c r="P632" s="702"/>
      <c r="Q632" s="710"/>
      <c r="R632" s="702"/>
      <c r="S632" s="702"/>
      <c r="T632" s="702"/>
      <c r="U632" s="702"/>
      <c r="V632" s="702"/>
      <c r="W632" s="702"/>
      <c r="X632" s="702"/>
      <c r="Y632" s="702"/>
      <c r="Z632" s="702"/>
      <c r="AA632" s="698"/>
      <c r="AB632" s="702"/>
      <c r="AC632" s="702"/>
      <c r="AD632" s="473" t="s">
        <v>1889</v>
      </c>
      <c r="AE632" s="474">
        <v>3</v>
      </c>
      <c r="AF632" s="474">
        <v>3</v>
      </c>
      <c r="AG632" s="702"/>
      <c r="AH632" s="729"/>
      <c r="AI632" s="698"/>
      <c r="AJ632" s="700"/>
    </row>
    <row r="633" spans="2:36" ht="24" hidden="1" customHeight="1">
      <c r="B633" s="701">
        <v>521</v>
      </c>
      <c r="C633" s="699" t="s">
        <v>534</v>
      </c>
      <c r="D633" s="699"/>
      <c r="E633" s="699" t="s">
        <v>535</v>
      </c>
      <c r="F633" s="699"/>
      <c r="G633" s="699" t="s">
        <v>198</v>
      </c>
      <c r="H633" s="699" t="s">
        <v>1890</v>
      </c>
      <c r="I633" s="712">
        <v>100000</v>
      </c>
      <c r="J633" s="709" t="s">
        <v>537</v>
      </c>
      <c r="K633" s="709" t="s">
        <v>537</v>
      </c>
      <c r="L633" s="712">
        <v>99990</v>
      </c>
      <c r="M633" s="709" t="s">
        <v>537</v>
      </c>
      <c r="N633" s="709" t="s">
        <v>537</v>
      </c>
      <c r="O633" s="701">
        <v>10</v>
      </c>
      <c r="P633" s="701" t="s">
        <v>537</v>
      </c>
      <c r="Q633" s="709">
        <v>0</v>
      </c>
      <c r="R633" s="701" t="s">
        <v>1457</v>
      </c>
      <c r="S633" s="701" t="s">
        <v>1891</v>
      </c>
      <c r="T633" s="701">
        <v>150</v>
      </c>
      <c r="U633" s="701">
        <v>50</v>
      </c>
      <c r="V633" s="701">
        <v>0</v>
      </c>
      <c r="W633" s="701">
        <v>80</v>
      </c>
      <c r="X633" s="701">
        <v>20</v>
      </c>
      <c r="Y633" s="701">
        <v>0</v>
      </c>
      <c r="Z633" s="701">
        <v>83.8</v>
      </c>
      <c r="AA633" s="697" t="s">
        <v>612</v>
      </c>
      <c r="AB633" s="701" t="s">
        <v>539</v>
      </c>
      <c r="AC633" s="701" t="s">
        <v>539</v>
      </c>
      <c r="AD633" s="458" t="s">
        <v>565</v>
      </c>
      <c r="AE633" s="459">
        <v>80</v>
      </c>
      <c r="AF633" s="459">
        <v>83.8</v>
      </c>
      <c r="AG633" s="701" t="s">
        <v>376</v>
      </c>
      <c r="AH633" s="728"/>
      <c r="AI633" s="697">
        <v>872844804</v>
      </c>
      <c r="AJ633" s="699"/>
    </row>
    <row r="634" spans="2:36" ht="24" hidden="1" customHeight="1">
      <c r="B634" s="702"/>
      <c r="C634" s="700"/>
      <c r="D634" s="700"/>
      <c r="E634" s="700"/>
      <c r="F634" s="700"/>
      <c r="G634" s="700"/>
      <c r="H634" s="700"/>
      <c r="I634" s="713"/>
      <c r="J634" s="710"/>
      <c r="K634" s="710"/>
      <c r="L634" s="713"/>
      <c r="M634" s="710"/>
      <c r="N634" s="710"/>
      <c r="O634" s="702"/>
      <c r="P634" s="702"/>
      <c r="Q634" s="710"/>
      <c r="R634" s="702"/>
      <c r="S634" s="702"/>
      <c r="T634" s="702"/>
      <c r="U634" s="702"/>
      <c r="V634" s="702"/>
      <c r="W634" s="702"/>
      <c r="X634" s="702"/>
      <c r="Y634" s="702"/>
      <c r="Z634" s="702"/>
      <c r="AA634" s="698"/>
      <c r="AB634" s="702"/>
      <c r="AC634" s="702"/>
      <c r="AD634" s="473" t="s">
        <v>1892</v>
      </c>
      <c r="AE634" s="474">
        <v>2</v>
      </c>
      <c r="AF634" s="474">
        <v>1</v>
      </c>
      <c r="AG634" s="702"/>
      <c r="AH634" s="729"/>
      <c r="AI634" s="698"/>
      <c r="AJ634" s="700"/>
    </row>
    <row r="635" spans="2:36" ht="24" hidden="1" customHeight="1">
      <c r="B635" s="463">
        <v>522</v>
      </c>
      <c r="C635" s="464" t="s">
        <v>534</v>
      </c>
      <c r="D635" s="464"/>
      <c r="E635" s="464" t="s">
        <v>535</v>
      </c>
      <c r="F635" s="464"/>
      <c r="G635" s="464" t="s">
        <v>198</v>
      </c>
      <c r="H635" s="464" t="s">
        <v>1893</v>
      </c>
      <c r="I635" s="466">
        <v>80000</v>
      </c>
      <c r="J635" s="465" t="s">
        <v>537</v>
      </c>
      <c r="K635" s="465" t="s">
        <v>537</v>
      </c>
      <c r="L635" s="466">
        <v>60200.04</v>
      </c>
      <c r="M635" s="465" t="s">
        <v>537</v>
      </c>
      <c r="N635" s="465" t="s">
        <v>537</v>
      </c>
      <c r="O635" s="467">
        <v>19799.96</v>
      </c>
      <c r="P635" s="463" t="s">
        <v>537</v>
      </c>
      <c r="Q635" s="465">
        <v>0</v>
      </c>
      <c r="R635" s="470">
        <v>241428</v>
      </c>
      <c r="S635" s="463" t="s">
        <v>1894</v>
      </c>
      <c r="T635" s="463">
        <v>0</v>
      </c>
      <c r="U635" s="463">
        <v>50</v>
      </c>
      <c r="V635" s="463">
        <v>0</v>
      </c>
      <c r="W635" s="463">
        <v>0</v>
      </c>
      <c r="X635" s="463">
        <v>37</v>
      </c>
      <c r="Y635" s="463">
        <v>0</v>
      </c>
      <c r="Z635" s="463">
        <v>87.42</v>
      </c>
      <c r="AA635" s="472" t="s">
        <v>547</v>
      </c>
      <c r="AB635" s="463" t="s">
        <v>539</v>
      </c>
      <c r="AC635" s="463" t="s">
        <v>539</v>
      </c>
      <c r="AD635" s="472" t="s">
        <v>548</v>
      </c>
      <c r="AE635" s="463">
        <v>80</v>
      </c>
      <c r="AF635" s="463">
        <v>87.42</v>
      </c>
      <c r="AG635" s="463" t="s">
        <v>375</v>
      </c>
      <c r="AH635" s="476"/>
      <c r="AI635" s="472">
        <v>890699867</v>
      </c>
      <c r="AJ635" s="464"/>
    </row>
    <row r="636" spans="2:36" ht="24" hidden="1" customHeight="1">
      <c r="B636" s="463">
        <v>523</v>
      </c>
      <c r="C636" s="464" t="s">
        <v>534</v>
      </c>
      <c r="D636" s="464"/>
      <c r="E636" s="464" t="s">
        <v>535</v>
      </c>
      <c r="F636" s="464"/>
      <c r="G636" s="464" t="s">
        <v>198</v>
      </c>
      <c r="H636" s="464" t="s">
        <v>1895</v>
      </c>
      <c r="I636" s="466">
        <v>28700</v>
      </c>
      <c r="J636" s="465" t="s">
        <v>537</v>
      </c>
      <c r="K636" s="465" t="s">
        <v>537</v>
      </c>
      <c r="L636" s="466">
        <v>28700</v>
      </c>
      <c r="M636" s="465" t="s">
        <v>537</v>
      </c>
      <c r="N636" s="465" t="s">
        <v>537</v>
      </c>
      <c r="O636" s="463" t="s">
        <v>537</v>
      </c>
      <c r="P636" s="463" t="s">
        <v>537</v>
      </c>
      <c r="Q636" s="465">
        <v>0</v>
      </c>
      <c r="R636" s="463" t="s">
        <v>646</v>
      </c>
      <c r="S636" s="463" t="s">
        <v>1193</v>
      </c>
      <c r="T636" s="463">
        <v>45</v>
      </c>
      <c r="U636" s="463">
        <v>5</v>
      </c>
      <c r="V636" s="463">
        <v>0</v>
      </c>
      <c r="W636" s="463">
        <v>45</v>
      </c>
      <c r="X636" s="463">
        <v>5</v>
      </c>
      <c r="Y636" s="463">
        <v>0</v>
      </c>
      <c r="Z636" s="463">
        <v>90.4</v>
      </c>
      <c r="AA636" s="472" t="s">
        <v>1896</v>
      </c>
      <c r="AB636" s="463" t="s">
        <v>539</v>
      </c>
      <c r="AC636" s="463" t="s">
        <v>539</v>
      </c>
      <c r="AD636" s="472" t="s">
        <v>606</v>
      </c>
      <c r="AE636" s="463">
        <v>80</v>
      </c>
      <c r="AF636" s="463">
        <v>90.4</v>
      </c>
      <c r="AG636" s="463" t="s">
        <v>375</v>
      </c>
      <c r="AH636" s="476"/>
      <c r="AI636" s="472">
        <v>936437896</v>
      </c>
      <c r="AJ636" s="464"/>
    </row>
    <row r="637" spans="2:36" ht="24" hidden="1" customHeight="1">
      <c r="B637" s="463">
        <v>524</v>
      </c>
      <c r="C637" s="464" t="s">
        <v>534</v>
      </c>
      <c r="D637" s="464"/>
      <c r="E637" s="464" t="s">
        <v>535</v>
      </c>
      <c r="F637" s="464"/>
      <c r="G637" s="464" t="s">
        <v>198</v>
      </c>
      <c r="H637" s="464" t="s">
        <v>1897</v>
      </c>
      <c r="I637" s="466">
        <v>32400</v>
      </c>
      <c r="J637" s="465" t="s">
        <v>537</v>
      </c>
      <c r="K637" s="465" t="s">
        <v>537</v>
      </c>
      <c r="L637" s="466">
        <v>20400</v>
      </c>
      <c r="M637" s="465" t="s">
        <v>537</v>
      </c>
      <c r="N637" s="465" t="s">
        <v>537</v>
      </c>
      <c r="O637" s="467">
        <v>12000</v>
      </c>
      <c r="P637" s="463" t="s">
        <v>537</v>
      </c>
      <c r="Q637" s="465">
        <v>0</v>
      </c>
      <c r="R637" s="463" t="s">
        <v>1898</v>
      </c>
      <c r="S637" s="463" t="s">
        <v>1899</v>
      </c>
      <c r="T637" s="463">
        <v>200</v>
      </c>
      <c r="U637" s="463">
        <v>50</v>
      </c>
      <c r="V637" s="463">
        <v>0</v>
      </c>
      <c r="W637" s="463">
        <v>150</v>
      </c>
      <c r="X637" s="463">
        <v>30</v>
      </c>
      <c r="Y637" s="463">
        <v>0</v>
      </c>
      <c r="Z637" s="463">
        <v>91.6</v>
      </c>
      <c r="AA637" s="472" t="s">
        <v>1896</v>
      </c>
      <c r="AB637" s="463" t="s">
        <v>539</v>
      </c>
      <c r="AC637" s="463" t="s">
        <v>539</v>
      </c>
      <c r="AD637" s="472" t="s">
        <v>606</v>
      </c>
      <c r="AE637" s="463">
        <v>80</v>
      </c>
      <c r="AF637" s="463">
        <v>91.6</v>
      </c>
      <c r="AG637" s="463" t="s">
        <v>375</v>
      </c>
      <c r="AH637" s="476"/>
      <c r="AI637" s="472">
        <v>936437896</v>
      </c>
      <c r="AJ637" s="464"/>
    </row>
    <row r="638" spans="2:36" ht="24" hidden="1" customHeight="1">
      <c r="B638" s="463">
        <v>525</v>
      </c>
      <c r="C638" s="464" t="s">
        <v>534</v>
      </c>
      <c r="D638" s="464"/>
      <c r="E638" s="464" t="s">
        <v>535</v>
      </c>
      <c r="F638" s="464"/>
      <c r="G638" s="464" t="s">
        <v>198</v>
      </c>
      <c r="H638" s="464" t="s">
        <v>1900</v>
      </c>
      <c r="I638" s="466">
        <v>24300</v>
      </c>
      <c r="J638" s="465" t="s">
        <v>537</v>
      </c>
      <c r="K638" s="465" t="s">
        <v>537</v>
      </c>
      <c r="L638" s="466">
        <v>24300</v>
      </c>
      <c r="M638" s="465" t="s">
        <v>537</v>
      </c>
      <c r="N638" s="465" t="s">
        <v>537</v>
      </c>
      <c r="O638" s="463" t="s">
        <v>537</v>
      </c>
      <c r="P638" s="463" t="s">
        <v>537</v>
      </c>
      <c r="Q638" s="465">
        <v>0</v>
      </c>
      <c r="R638" s="470">
        <v>241428</v>
      </c>
      <c r="S638" s="463" t="s">
        <v>1901</v>
      </c>
      <c r="T638" s="463">
        <v>80</v>
      </c>
      <c r="U638" s="463">
        <v>20</v>
      </c>
      <c r="V638" s="463">
        <v>0</v>
      </c>
      <c r="W638" s="463">
        <v>100</v>
      </c>
      <c r="X638" s="463">
        <v>20</v>
      </c>
      <c r="Y638" s="463">
        <v>0</v>
      </c>
      <c r="Z638" s="463">
        <v>92.86</v>
      </c>
      <c r="AA638" s="472" t="s">
        <v>1896</v>
      </c>
      <c r="AB638" s="463" t="s">
        <v>539</v>
      </c>
      <c r="AC638" s="463" t="s">
        <v>539</v>
      </c>
      <c r="AD638" s="472" t="s">
        <v>606</v>
      </c>
      <c r="AE638" s="463">
        <v>80</v>
      </c>
      <c r="AF638" s="463">
        <v>92.86</v>
      </c>
      <c r="AG638" s="463" t="s">
        <v>375</v>
      </c>
      <c r="AH638" s="476"/>
      <c r="AI638" s="472">
        <v>936437896</v>
      </c>
      <c r="AJ638" s="464"/>
    </row>
    <row r="639" spans="2:36" ht="24" hidden="1" customHeight="1">
      <c r="B639" s="463">
        <v>526</v>
      </c>
      <c r="C639" s="464" t="s">
        <v>534</v>
      </c>
      <c r="D639" s="464"/>
      <c r="E639" s="464" t="s">
        <v>535</v>
      </c>
      <c r="F639" s="464"/>
      <c r="G639" s="464" t="s">
        <v>198</v>
      </c>
      <c r="H639" s="464" t="s">
        <v>1902</v>
      </c>
      <c r="I639" s="466">
        <v>54600</v>
      </c>
      <c r="J639" s="465" t="s">
        <v>537</v>
      </c>
      <c r="K639" s="465" t="s">
        <v>537</v>
      </c>
      <c r="L639" s="466">
        <v>54420</v>
      </c>
      <c r="M639" s="465" t="s">
        <v>537</v>
      </c>
      <c r="N639" s="465" t="s">
        <v>537</v>
      </c>
      <c r="O639" s="463">
        <v>180</v>
      </c>
      <c r="P639" s="463" t="s">
        <v>537</v>
      </c>
      <c r="Q639" s="465">
        <v>0</v>
      </c>
      <c r="R639" s="470">
        <v>241459</v>
      </c>
      <c r="S639" s="463" t="s">
        <v>1903</v>
      </c>
      <c r="T639" s="463">
        <v>50</v>
      </c>
      <c r="U639" s="463">
        <v>10</v>
      </c>
      <c r="V639" s="463">
        <v>100</v>
      </c>
      <c r="W639" s="463">
        <v>100</v>
      </c>
      <c r="X639" s="463">
        <v>25</v>
      </c>
      <c r="Y639" s="463">
        <v>55</v>
      </c>
      <c r="Z639" s="463">
        <v>92.32</v>
      </c>
      <c r="AA639" s="472" t="s">
        <v>1896</v>
      </c>
      <c r="AB639" s="463" t="s">
        <v>539</v>
      </c>
      <c r="AC639" s="463" t="s">
        <v>539</v>
      </c>
      <c r="AD639" s="472" t="s">
        <v>606</v>
      </c>
      <c r="AE639" s="463">
        <v>80</v>
      </c>
      <c r="AF639" s="463">
        <v>92.32</v>
      </c>
      <c r="AG639" s="463" t="s">
        <v>375</v>
      </c>
      <c r="AH639" s="476"/>
      <c r="AI639" s="472">
        <v>936437896</v>
      </c>
      <c r="AJ639" s="464"/>
    </row>
    <row r="640" spans="2:36" ht="24" hidden="1" customHeight="1">
      <c r="B640" s="463">
        <v>527</v>
      </c>
      <c r="C640" s="464" t="s">
        <v>534</v>
      </c>
      <c r="D640" s="464"/>
      <c r="E640" s="464" t="s">
        <v>535</v>
      </c>
      <c r="F640" s="464"/>
      <c r="G640" s="464" t="s">
        <v>198</v>
      </c>
      <c r="H640" s="464" t="s">
        <v>1904</v>
      </c>
      <c r="I640" s="466">
        <v>120000</v>
      </c>
      <c r="J640" s="465" t="s">
        <v>537</v>
      </c>
      <c r="K640" s="465" t="s">
        <v>537</v>
      </c>
      <c r="L640" s="466">
        <v>119380</v>
      </c>
      <c r="M640" s="465" t="s">
        <v>537</v>
      </c>
      <c r="N640" s="465" t="s">
        <v>537</v>
      </c>
      <c r="O640" s="463">
        <v>620</v>
      </c>
      <c r="P640" s="463" t="s">
        <v>537</v>
      </c>
      <c r="Q640" s="465">
        <v>0</v>
      </c>
      <c r="R640" s="470">
        <v>241459</v>
      </c>
      <c r="S640" s="463" t="s">
        <v>736</v>
      </c>
      <c r="T640" s="463">
        <v>160</v>
      </c>
      <c r="U640" s="463">
        <v>40</v>
      </c>
      <c r="V640" s="463">
        <v>600</v>
      </c>
      <c r="W640" s="463">
        <v>180</v>
      </c>
      <c r="X640" s="463">
        <v>50</v>
      </c>
      <c r="Y640" s="463">
        <v>600</v>
      </c>
      <c r="Z640" s="463">
        <v>89.8</v>
      </c>
      <c r="AA640" s="472" t="s">
        <v>1896</v>
      </c>
      <c r="AB640" s="463" t="s">
        <v>539</v>
      </c>
      <c r="AC640" s="463" t="s">
        <v>539</v>
      </c>
      <c r="AD640" s="472" t="s">
        <v>606</v>
      </c>
      <c r="AE640" s="463">
        <v>80</v>
      </c>
      <c r="AF640" s="463">
        <v>89.8</v>
      </c>
      <c r="AG640" s="463" t="s">
        <v>375</v>
      </c>
      <c r="AH640" s="476"/>
      <c r="AI640" s="472">
        <v>936437896</v>
      </c>
      <c r="AJ640" s="464"/>
    </row>
    <row r="641" spans="2:36" ht="24" hidden="1" customHeight="1">
      <c r="B641" s="463">
        <v>528</v>
      </c>
      <c r="C641" s="464" t="s">
        <v>534</v>
      </c>
      <c r="D641" s="464"/>
      <c r="E641" s="464" t="s">
        <v>535</v>
      </c>
      <c r="F641" s="464"/>
      <c r="G641" s="464" t="s">
        <v>198</v>
      </c>
      <c r="H641" s="464" t="s">
        <v>1905</v>
      </c>
      <c r="I641" s="466">
        <v>21000</v>
      </c>
      <c r="J641" s="465" t="s">
        <v>537</v>
      </c>
      <c r="K641" s="465" t="s">
        <v>537</v>
      </c>
      <c r="L641" s="466">
        <v>21000</v>
      </c>
      <c r="M641" s="465" t="s">
        <v>537</v>
      </c>
      <c r="N641" s="465" t="s">
        <v>537</v>
      </c>
      <c r="O641" s="463" t="s">
        <v>537</v>
      </c>
      <c r="P641" s="463" t="s">
        <v>537</v>
      </c>
      <c r="Q641" s="465">
        <v>0</v>
      </c>
      <c r="R641" s="470">
        <v>241459</v>
      </c>
      <c r="S641" s="463" t="s">
        <v>1906</v>
      </c>
      <c r="T641" s="463">
        <v>0</v>
      </c>
      <c r="U641" s="463">
        <v>30</v>
      </c>
      <c r="V641" s="463">
        <v>0</v>
      </c>
      <c r="W641" s="463">
        <v>5</v>
      </c>
      <c r="X641" s="463">
        <v>30</v>
      </c>
      <c r="Y641" s="463">
        <v>0</v>
      </c>
      <c r="Z641" s="463">
        <v>82.57</v>
      </c>
      <c r="AA641" s="472" t="s">
        <v>1907</v>
      </c>
      <c r="AB641" s="463" t="s">
        <v>539</v>
      </c>
      <c r="AC641" s="463" t="s">
        <v>539</v>
      </c>
      <c r="AD641" s="472" t="s">
        <v>606</v>
      </c>
      <c r="AE641" s="463">
        <v>80</v>
      </c>
      <c r="AF641" s="463">
        <v>82.57</v>
      </c>
      <c r="AG641" s="463" t="s">
        <v>375</v>
      </c>
      <c r="AH641" s="476"/>
      <c r="AI641" s="472">
        <v>817376037</v>
      </c>
      <c r="AJ641" s="464"/>
    </row>
    <row r="642" spans="2:36" ht="24" hidden="1" customHeight="1">
      <c r="B642" s="463">
        <v>529</v>
      </c>
      <c r="C642" s="464" t="s">
        <v>534</v>
      </c>
      <c r="D642" s="464"/>
      <c r="E642" s="464" t="s">
        <v>535</v>
      </c>
      <c r="F642" s="464"/>
      <c r="G642" s="464" t="s">
        <v>198</v>
      </c>
      <c r="H642" s="464" t="s">
        <v>1908</v>
      </c>
      <c r="I642" s="466">
        <v>82000</v>
      </c>
      <c r="J642" s="465" t="s">
        <v>537</v>
      </c>
      <c r="K642" s="465" t="s">
        <v>537</v>
      </c>
      <c r="L642" s="466">
        <v>50200</v>
      </c>
      <c r="M642" s="465" t="s">
        <v>537</v>
      </c>
      <c r="N642" s="465" t="s">
        <v>537</v>
      </c>
      <c r="O642" s="467">
        <v>24600</v>
      </c>
      <c r="P642" s="463" t="s">
        <v>537</v>
      </c>
      <c r="Q642" s="468">
        <v>7200</v>
      </c>
      <c r="R642" s="463" t="s">
        <v>1072</v>
      </c>
      <c r="S642" s="463" t="s">
        <v>1909</v>
      </c>
      <c r="T642" s="463">
        <v>300</v>
      </c>
      <c r="U642" s="463">
        <v>0</v>
      </c>
      <c r="V642" s="463">
        <v>0</v>
      </c>
      <c r="W642" s="463">
        <v>144</v>
      </c>
      <c r="X642" s="463">
        <v>0</v>
      </c>
      <c r="Y642" s="463">
        <v>0</v>
      </c>
      <c r="Z642" s="463">
        <v>80.52</v>
      </c>
      <c r="AA642" s="472" t="s">
        <v>1907</v>
      </c>
      <c r="AB642" s="463" t="s">
        <v>634</v>
      </c>
      <c r="AC642" s="463" t="s">
        <v>539</v>
      </c>
      <c r="AD642" s="472" t="s">
        <v>606</v>
      </c>
      <c r="AE642" s="463">
        <v>80</v>
      </c>
      <c r="AF642" s="463">
        <v>80.52</v>
      </c>
      <c r="AG642" s="463" t="s">
        <v>375</v>
      </c>
      <c r="AH642" s="476"/>
      <c r="AI642" s="472">
        <v>817376037</v>
      </c>
      <c r="AJ642" s="464"/>
    </row>
    <row r="643" spans="2:36" ht="24" hidden="1" customHeight="1">
      <c r="B643" s="463">
        <v>530</v>
      </c>
      <c r="C643" s="464" t="s">
        <v>534</v>
      </c>
      <c r="D643" s="464"/>
      <c r="E643" s="464" t="s">
        <v>535</v>
      </c>
      <c r="F643" s="464"/>
      <c r="G643" s="464" t="s">
        <v>198</v>
      </c>
      <c r="H643" s="464" t="s">
        <v>1910</v>
      </c>
      <c r="I643" s="466">
        <v>22600</v>
      </c>
      <c r="J643" s="465" t="s">
        <v>537</v>
      </c>
      <c r="K643" s="465" t="s">
        <v>537</v>
      </c>
      <c r="L643" s="466">
        <v>9600</v>
      </c>
      <c r="M643" s="465" t="s">
        <v>537</v>
      </c>
      <c r="N643" s="465" t="s">
        <v>537</v>
      </c>
      <c r="O643" s="467">
        <v>13000</v>
      </c>
      <c r="P643" s="463" t="s">
        <v>537</v>
      </c>
      <c r="Q643" s="465">
        <v>0</v>
      </c>
      <c r="R643" s="463" t="s">
        <v>1346</v>
      </c>
      <c r="S643" s="463" t="s">
        <v>1877</v>
      </c>
      <c r="T643" s="463">
        <v>300</v>
      </c>
      <c r="U643" s="463">
        <v>0</v>
      </c>
      <c r="V643" s="463">
        <v>0</v>
      </c>
      <c r="W643" s="463">
        <v>300</v>
      </c>
      <c r="X643" s="463">
        <v>3</v>
      </c>
      <c r="Y643" s="463">
        <v>0</v>
      </c>
      <c r="Z643" s="463">
        <v>84.48</v>
      </c>
      <c r="AA643" s="472" t="s">
        <v>1907</v>
      </c>
      <c r="AB643" s="463" t="s">
        <v>539</v>
      </c>
      <c r="AC643" s="463" t="s">
        <v>539</v>
      </c>
      <c r="AD643" s="472" t="s">
        <v>606</v>
      </c>
      <c r="AE643" s="463">
        <v>80</v>
      </c>
      <c r="AF643" s="463">
        <v>84.48</v>
      </c>
      <c r="AG643" s="463" t="s">
        <v>375</v>
      </c>
      <c r="AH643" s="476"/>
      <c r="AI643" s="472">
        <v>817376037</v>
      </c>
      <c r="AJ643" s="464"/>
    </row>
    <row r="644" spans="2:36" ht="24" hidden="1" customHeight="1">
      <c r="B644" s="463">
        <v>531</v>
      </c>
      <c r="C644" s="464" t="s">
        <v>534</v>
      </c>
      <c r="D644" s="464"/>
      <c r="E644" s="464" t="s">
        <v>535</v>
      </c>
      <c r="F644" s="464"/>
      <c r="G644" s="464" t="s">
        <v>198</v>
      </c>
      <c r="H644" s="464" t="s">
        <v>1911</v>
      </c>
      <c r="I644" s="466">
        <v>174400</v>
      </c>
      <c r="J644" s="465" t="s">
        <v>537</v>
      </c>
      <c r="K644" s="465" t="s">
        <v>537</v>
      </c>
      <c r="L644" s="466">
        <v>215000</v>
      </c>
      <c r="M644" s="465" t="s">
        <v>537</v>
      </c>
      <c r="N644" s="465" t="s">
        <v>537</v>
      </c>
      <c r="O644" s="463" t="s">
        <v>537</v>
      </c>
      <c r="P644" s="467">
        <v>40600</v>
      </c>
      <c r="Q644" s="465">
        <v>0</v>
      </c>
      <c r="R644" s="470">
        <v>241640</v>
      </c>
      <c r="S644" s="463" t="s">
        <v>1912</v>
      </c>
      <c r="T644" s="463">
        <v>500</v>
      </c>
      <c r="U644" s="463">
        <v>0</v>
      </c>
      <c r="V644" s="463">
        <v>0</v>
      </c>
      <c r="W644" s="463">
        <v>510</v>
      </c>
      <c r="X644" s="463">
        <v>13</v>
      </c>
      <c r="Y644" s="463">
        <v>0</v>
      </c>
      <c r="Z644" s="463">
        <v>84.89</v>
      </c>
      <c r="AA644" s="472" t="s">
        <v>1907</v>
      </c>
      <c r="AB644" s="463" t="s">
        <v>539</v>
      </c>
      <c r="AC644" s="463" t="s">
        <v>539</v>
      </c>
      <c r="AD644" s="472" t="s">
        <v>606</v>
      </c>
      <c r="AE644" s="463">
        <v>80</v>
      </c>
      <c r="AF644" s="463">
        <v>84.89</v>
      </c>
      <c r="AG644" s="463" t="s">
        <v>375</v>
      </c>
      <c r="AH644" s="476"/>
      <c r="AI644" s="472">
        <v>817376037</v>
      </c>
      <c r="AJ644" s="464"/>
    </row>
    <row r="645" spans="2:36" ht="24" hidden="1" customHeight="1">
      <c r="B645" s="463">
        <v>532</v>
      </c>
      <c r="C645" s="464" t="s">
        <v>534</v>
      </c>
      <c r="D645" s="464"/>
      <c r="E645" s="464" t="s">
        <v>535</v>
      </c>
      <c r="F645" s="464"/>
      <c r="G645" s="464" t="s">
        <v>198</v>
      </c>
      <c r="H645" s="464" t="s">
        <v>1913</v>
      </c>
      <c r="I645" s="465" t="s">
        <v>537</v>
      </c>
      <c r="J645" s="466">
        <v>80000</v>
      </c>
      <c r="K645" s="465" t="s">
        <v>537</v>
      </c>
      <c r="L645" s="465" t="s">
        <v>537</v>
      </c>
      <c r="M645" s="466">
        <v>43924</v>
      </c>
      <c r="N645" s="465" t="s">
        <v>537</v>
      </c>
      <c r="O645" s="463" t="s">
        <v>537</v>
      </c>
      <c r="P645" s="463" t="s">
        <v>537</v>
      </c>
      <c r="Q645" s="468">
        <v>36076</v>
      </c>
      <c r="R645" s="470">
        <v>241671</v>
      </c>
      <c r="S645" s="463" t="s">
        <v>1299</v>
      </c>
      <c r="T645" s="463">
        <v>25</v>
      </c>
      <c r="U645" s="463">
        <v>75</v>
      </c>
      <c r="V645" s="463">
        <v>400</v>
      </c>
      <c r="W645" s="463">
        <v>25</v>
      </c>
      <c r="X645" s="463">
        <v>75</v>
      </c>
      <c r="Y645" s="463">
        <v>400</v>
      </c>
      <c r="Z645" s="463">
        <v>81.400000000000006</v>
      </c>
      <c r="AA645" s="472" t="s">
        <v>547</v>
      </c>
      <c r="AB645" s="463" t="s">
        <v>539</v>
      </c>
      <c r="AC645" s="463" t="s">
        <v>539</v>
      </c>
      <c r="AD645" s="472" t="s">
        <v>606</v>
      </c>
      <c r="AE645" s="463">
        <v>80</v>
      </c>
      <c r="AF645" s="463">
        <v>81.400000000000006</v>
      </c>
      <c r="AG645" s="463" t="s">
        <v>375</v>
      </c>
      <c r="AH645" s="476"/>
      <c r="AI645" s="472">
        <v>853804424</v>
      </c>
      <c r="AJ645" s="464"/>
    </row>
    <row r="646" spans="2:36" ht="24" hidden="1" customHeight="1">
      <c r="B646" s="463">
        <v>533</v>
      </c>
      <c r="C646" s="464" t="s">
        <v>377</v>
      </c>
      <c r="D646" s="464"/>
      <c r="E646" s="464" t="s">
        <v>602</v>
      </c>
      <c r="F646" s="464"/>
      <c r="G646" s="464" t="s">
        <v>198</v>
      </c>
      <c r="H646" s="464" t="s">
        <v>1914</v>
      </c>
      <c r="I646" s="466">
        <v>70000</v>
      </c>
      <c r="J646" s="465" t="s">
        <v>537</v>
      </c>
      <c r="K646" s="465" t="s">
        <v>537</v>
      </c>
      <c r="L646" s="466">
        <v>66110</v>
      </c>
      <c r="M646" s="465" t="s">
        <v>537</v>
      </c>
      <c r="N646" s="465" t="s">
        <v>537</v>
      </c>
      <c r="O646" s="463" t="s">
        <v>537</v>
      </c>
      <c r="P646" s="463" t="s">
        <v>537</v>
      </c>
      <c r="Q646" s="468">
        <v>3890</v>
      </c>
      <c r="R646" s="470">
        <v>241428</v>
      </c>
      <c r="S646" s="463" t="s">
        <v>1915</v>
      </c>
      <c r="T646" s="463">
        <v>35</v>
      </c>
      <c r="U646" s="463">
        <v>5</v>
      </c>
      <c r="V646" s="463">
        <v>40</v>
      </c>
      <c r="W646" s="463">
        <v>35</v>
      </c>
      <c r="X646" s="463">
        <v>3</v>
      </c>
      <c r="Y646" s="463">
        <v>40</v>
      </c>
      <c r="Z646" s="463">
        <v>90.6</v>
      </c>
      <c r="AA646" s="472" t="s">
        <v>612</v>
      </c>
      <c r="AB646" s="463" t="s">
        <v>539</v>
      </c>
      <c r="AC646" s="463" t="s">
        <v>539</v>
      </c>
      <c r="AD646" s="472" t="s">
        <v>565</v>
      </c>
      <c r="AE646" s="463">
        <v>80</v>
      </c>
      <c r="AF646" s="463">
        <v>90.6</v>
      </c>
      <c r="AG646" s="463" t="s">
        <v>375</v>
      </c>
      <c r="AH646" s="476"/>
      <c r="AI646" s="472">
        <v>894697612</v>
      </c>
      <c r="AJ646" s="464"/>
    </row>
    <row r="647" spans="2:36" ht="24" hidden="1" customHeight="1">
      <c r="B647" s="463">
        <v>534</v>
      </c>
      <c r="C647" s="464" t="s">
        <v>377</v>
      </c>
      <c r="D647" s="464"/>
      <c r="E647" s="464" t="s">
        <v>602</v>
      </c>
      <c r="F647" s="464"/>
      <c r="G647" s="464" t="s">
        <v>198</v>
      </c>
      <c r="H647" s="464" t="s">
        <v>1916</v>
      </c>
      <c r="I647" s="466">
        <v>100000</v>
      </c>
      <c r="J647" s="465" t="s">
        <v>537</v>
      </c>
      <c r="K647" s="465" t="s">
        <v>537</v>
      </c>
      <c r="L647" s="466">
        <v>96780</v>
      </c>
      <c r="M647" s="465" t="s">
        <v>537</v>
      </c>
      <c r="N647" s="465" t="s">
        <v>537</v>
      </c>
      <c r="O647" s="463" t="s">
        <v>537</v>
      </c>
      <c r="P647" s="463" t="s">
        <v>537</v>
      </c>
      <c r="Q647" s="468">
        <v>3220</v>
      </c>
      <c r="R647" s="470">
        <v>241459</v>
      </c>
      <c r="S647" s="471">
        <v>22319</v>
      </c>
      <c r="T647" s="463">
        <v>400</v>
      </c>
      <c r="U647" s="463">
        <v>40</v>
      </c>
      <c r="V647" s="463">
        <v>250</v>
      </c>
      <c r="W647" s="463">
        <v>450</v>
      </c>
      <c r="X647" s="463">
        <v>40</v>
      </c>
      <c r="Y647" s="463">
        <v>200</v>
      </c>
      <c r="Z647" s="463">
        <v>83.2</v>
      </c>
      <c r="AA647" s="472" t="s">
        <v>612</v>
      </c>
      <c r="AB647" s="463" t="s">
        <v>539</v>
      </c>
      <c r="AC647" s="463" t="s">
        <v>539</v>
      </c>
      <c r="AD647" s="472" t="s">
        <v>565</v>
      </c>
      <c r="AE647" s="463">
        <v>80</v>
      </c>
      <c r="AF647" s="463">
        <v>83.2</v>
      </c>
      <c r="AG647" s="463" t="s">
        <v>375</v>
      </c>
      <c r="AH647" s="476"/>
      <c r="AI647" s="472">
        <v>894697612</v>
      </c>
      <c r="AJ647" s="464"/>
    </row>
    <row r="648" spans="2:36" ht="24" hidden="1" customHeight="1">
      <c r="B648" s="463">
        <v>535</v>
      </c>
      <c r="C648" s="464" t="s">
        <v>377</v>
      </c>
      <c r="D648" s="464"/>
      <c r="E648" s="464" t="s">
        <v>602</v>
      </c>
      <c r="F648" s="464"/>
      <c r="G648" s="464" t="s">
        <v>198</v>
      </c>
      <c r="H648" s="464" t="s">
        <v>1917</v>
      </c>
      <c r="I648" s="466">
        <v>20000</v>
      </c>
      <c r="J648" s="465" t="s">
        <v>537</v>
      </c>
      <c r="K648" s="465" t="s">
        <v>537</v>
      </c>
      <c r="L648" s="466">
        <v>18215</v>
      </c>
      <c r="M648" s="465" t="s">
        <v>537</v>
      </c>
      <c r="N648" s="465" t="s">
        <v>537</v>
      </c>
      <c r="O648" s="463" t="s">
        <v>537</v>
      </c>
      <c r="P648" s="463" t="s">
        <v>537</v>
      </c>
      <c r="Q648" s="468">
        <v>1785</v>
      </c>
      <c r="R648" s="470">
        <v>241640</v>
      </c>
      <c r="S648" s="471">
        <v>22536</v>
      </c>
      <c r="T648" s="463">
        <v>200</v>
      </c>
      <c r="U648" s="463">
        <v>20</v>
      </c>
      <c r="V648" s="463">
        <v>0</v>
      </c>
      <c r="W648" s="463">
        <v>200</v>
      </c>
      <c r="X648" s="463">
        <v>20</v>
      </c>
      <c r="Y648" s="463">
        <v>0</v>
      </c>
      <c r="Z648" s="463">
        <v>87.6</v>
      </c>
      <c r="AA648" s="472" t="s">
        <v>612</v>
      </c>
      <c r="AB648" s="463" t="s">
        <v>539</v>
      </c>
      <c r="AC648" s="463" t="s">
        <v>539</v>
      </c>
      <c r="AD648" s="472" t="s">
        <v>565</v>
      </c>
      <c r="AE648" s="463">
        <v>80</v>
      </c>
      <c r="AF648" s="463">
        <v>87.6</v>
      </c>
      <c r="AG648" s="463" t="s">
        <v>375</v>
      </c>
      <c r="AH648" s="476"/>
      <c r="AI648" s="472">
        <v>894697612</v>
      </c>
      <c r="AJ648" s="464"/>
    </row>
    <row r="649" spans="2:36" ht="24" hidden="1" customHeight="1">
      <c r="B649" s="463">
        <v>536</v>
      </c>
      <c r="C649" s="464" t="s">
        <v>377</v>
      </c>
      <c r="D649" s="464"/>
      <c r="E649" s="464" t="s">
        <v>602</v>
      </c>
      <c r="F649" s="464"/>
      <c r="G649" s="464" t="s">
        <v>198</v>
      </c>
      <c r="H649" s="464" t="s">
        <v>1918</v>
      </c>
      <c r="I649" s="466">
        <v>18200</v>
      </c>
      <c r="J649" s="465" t="s">
        <v>537</v>
      </c>
      <c r="K649" s="465" t="s">
        <v>537</v>
      </c>
      <c r="L649" s="466">
        <v>18200</v>
      </c>
      <c r="M649" s="465" t="s">
        <v>537</v>
      </c>
      <c r="N649" s="465" t="s">
        <v>537</v>
      </c>
      <c r="O649" s="463" t="s">
        <v>537</v>
      </c>
      <c r="P649" s="463" t="s">
        <v>537</v>
      </c>
      <c r="Q649" s="465">
        <v>0</v>
      </c>
      <c r="R649" s="463" t="s">
        <v>646</v>
      </c>
      <c r="S649" s="463" t="s">
        <v>1725</v>
      </c>
      <c r="T649" s="463">
        <v>70</v>
      </c>
      <c r="U649" s="463">
        <v>10</v>
      </c>
      <c r="V649" s="463">
        <v>40</v>
      </c>
      <c r="W649" s="463">
        <v>100</v>
      </c>
      <c r="X649" s="463">
        <v>10</v>
      </c>
      <c r="Y649" s="463">
        <v>65</v>
      </c>
      <c r="Z649" s="463">
        <v>93</v>
      </c>
      <c r="AA649" s="472" t="s">
        <v>1919</v>
      </c>
      <c r="AB649" s="463" t="s">
        <v>539</v>
      </c>
      <c r="AC649" s="463" t="s">
        <v>539</v>
      </c>
      <c r="AD649" s="472" t="s">
        <v>565</v>
      </c>
      <c r="AE649" s="463">
        <v>80</v>
      </c>
      <c r="AF649" s="463">
        <v>93</v>
      </c>
      <c r="AG649" s="463" t="s">
        <v>375</v>
      </c>
      <c r="AH649" s="476"/>
      <c r="AI649" s="472">
        <v>894697612</v>
      </c>
      <c r="AJ649" s="464"/>
    </row>
    <row r="650" spans="2:36" ht="24" hidden="1" customHeight="1">
      <c r="B650" s="463">
        <v>537</v>
      </c>
      <c r="C650" s="464" t="s">
        <v>377</v>
      </c>
      <c r="D650" s="464"/>
      <c r="E650" s="464" t="s">
        <v>602</v>
      </c>
      <c r="F650" s="464"/>
      <c r="G650" s="464" t="s">
        <v>198</v>
      </c>
      <c r="H650" s="464" t="s">
        <v>1920</v>
      </c>
      <c r="I650" s="466">
        <v>31800</v>
      </c>
      <c r="J650" s="465" t="s">
        <v>537</v>
      </c>
      <c r="K650" s="465" t="s">
        <v>537</v>
      </c>
      <c r="L650" s="466">
        <v>31800</v>
      </c>
      <c r="M650" s="465" t="s">
        <v>537</v>
      </c>
      <c r="N650" s="465" t="s">
        <v>537</v>
      </c>
      <c r="O650" s="463" t="s">
        <v>537</v>
      </c>
      <c r="P650" s="463" t="s">
        <v>537</v>
      </c>
      <c r="Q650" s="465">
        <v>0</v>
      </c>
      <c r="R650" s="470">
        <v>241609</v>
      </c>
      <c r="S650" s="463" t="s">
        <v>1921</v>
      </c>
      <c r="T650" s="463">
        <v>200</v>
      </c>
      <c r="U650" s="463">
        <v>20</v>
      </c>
      <c r="V650" s="463">
        <v>0</v>
      </c>
      <c r="W650" s="463">
        <v>200</v>
      </c>
      <c r="X650" s="463">
        <v>20</v>
      </c>
      <c r="Y650" s="463">
        <v>0</v>
      </c>
      <c r="Z650" s="463">
        <v>93.6</v>
      </c>
      <c r="AA650" s="472" t="s">
        <v>612</v>
      </c>
      <c r="AB650" s="463" t="s">
        <v>539</v>
      </c>
      <c r="AC650" s="463" t="s">
        <v>539</v>
      </c>
      <c r="AD650" s="472" t="s">
        <v>565</v>
      </c>
      <c r="AE650" s="463">
        <v>80</v>
      </c>
      <c r="AF650" s="463">
        <v>93.6</v>
      </c>
      <c r="AG650" s="463" t="s">
        <v>375</v>
      </c>
      <c r="AH650" s="476"/>
      <c r="AI650" s="472">
        <v>894697612</v>
      </c>
      <c r="AJ650" s="464"/>
    </row>
    <row r="651" spans="2:36" ht="24" hidden="1" customHeight="1">
      <c r="B651" s="463">
        <v>538</v>
      </c>
      <c r="C651" s="464" t="s">
        <v>377</v>
      </c>
      <c r="D651" s="464"/>
      <c r="E651" s="464" t="s">
        <v>602</v>
      </c>
      <c r="F651" s="464"/>
      <c r="G651" s="464" t="s">
        <v>198</v>
      </c>
      <c r="H651" s="464" t="s">
        <v>1628</v>
      </c>
      <c r="I651" s="466">
        <v>50000</v>
      </c>
      <c r="J651" s="465" t="s">
        <v>537</v>
      </c>
      <c r="K651" s="465" t="s">
        <v>537</v>
      </c>
      <c r="L651" s="466">
        <v>46880</v>
      </c>
      <c r="M651" s="465" t="s">
        <v>537</v>
      </c>
      <c r="N651" s="465" t="s">
        <v>537</v>
      </c>
      <c r="O651" s="463" t="s">
        <v>537</v>
      </c>
      <c r="P651" s="463" t="s">
        <v>537</v>
      </c>
      <c r="Q651" s="468">
        <v>3120</v>
      </c>
      <c r="R651" s="470">
        <v>241609</v>
      </c>
      <c r="S651" s="471">
        <v>22467</v>
      </c>
      <c r="T651" s="463">
        <v>420</v>
      </c>
      <c r="U651" s="463">
        <v>100</v>
      </c>
      <c r="V651" s="463">
        <v>0</v>
      </c>
      <c r="W651" s="463">
        <v>520</v>
      </c>
      <c r="X651" s="463">
        <v>100</v>
      </c>
      <c r="Y651" s="463">
        <v>0</v>
      </c>
      <c r="Z651" s="463">
        <v>92.4</v>
      </c>
      <c r="AA651" s="472" t="s">
        <v>612</v>
      </c>
      <c r="AB651" s="463" t="s">
        <v>539</v>
      </c>
      <c r="AC651" s="463" t="s">
        <v>539</v>
      </c>
      <c r="AD651" s="472" t="s">
        <v>565</v>
      </c>
      <c r="AE651" s="463">
        <v>80</v>
      </c>
      <c r="AF651" s="463">
        <v>92.4</v>
      </c>
      <c r="AG651" s="463" t="s">
        <v>375</v>
      </c>
      <c r="AH651" s="476"/>
      <c r="AI651" s="472">
        <v>894697612</v>
      </c>
      <c r="AJ651" s="464"/>
    </row>
    <row r="652" spans="2:36" ht="24" hidden="1" customHeight="1">
      <c r="B652" s="463">
        <v>539</v>
      </c>
      <c r="C652" s="464" t="s">
        <v>377</v>
      </c>
      <c r="D652" s="464"/>
      <c r="E652" s="464" t="s">
        <v>602</v>
      </c>
      <c r="F652" s="464"/>
      <c r="G652" s="464" t="s">
        <v>198</v>
      </c>
      <c r="H652" s="464" t="s">
        <v>1922</v>
      </c>
      <c r="I652" s="465">
        <v>0</v>
      </c>
      <c r="J652" s="465" t="s">
        <v>537</v>
      </c>
      <c r="K652" s="465" t="s">
        <v>537</v>
      </c>
      <c r="L652" s="465">
        <v>0</v>
      </c>
      <c r="M652" s="465" t="s">
        <v>537</v>
      </c>
      <c r="N652" s="465" t="s">
        <v>537</v>
      </c>
      <c r="O652" s="463" t="s">
        <v>537</v>
      </c>
      <c r="P652" s="463" t="s">
        <v>537</v>
      </c>
      <c r="Q652" s="465">
        <v>0</v>
      </c>
      <c r="R652" s="463" t="s">
        <v>646</v>
      </c>
      <c r="S652" s="463" t="s">
        <v>1923</v>
      </c>
      <c r="T652" s="463">
        <v>0</v>
      </c>
      <c r="U652" s="463">
        <v>42</v>
      </c>
      <c r="V652" s="463">
        <v>0</v>
      </c>
      <c r="W652" s="463">
        <v>0</v>
      </c>
      <c r="X652" s="463">
        <v>32</v>
      </c>
      <c r="Y652" s="463">
        <v>0</v>
      </c>
      <c r="Z652" s="463">
        <v>90.8</v>
      </c>
      <c r="AA652" s="472" t="s">
        <v>1924</v>
      </c>
      <c r="AB652" s="463" t="s">
        <v>539</v>
      </c>
      <c r="AC652" s="463" t="s">
        <v>539</v>
      </c>
      <c r="AD652" s="472" t="s">
        <v>565</v>
      </c>
      <c r="AE652" s="463">
        <v>80</v>
      </c>
      <c r="AF652" s="463">
        <v>90.8</v>
      </c>
      <c r="AG652" s="463" t="s">
        <v>375</v>
      </c>
      <c r="AH652" s="476"/>
      <c r="AI652" s="472">
        <v>894697612</v>
      </c>
      <c r="AJ652" s="464"/>
    </row>
    <row r="653" spans="2:36" ht="24" hidden="1" customHeight="1">
      <c r="B653" s="463">
        <v>540</v>
      </c>
      <c r="C653" s="464" t="s">
        <v>377</v>
      </c>
      <c r="D653" s="464"/>
      <c r="E653" s="464" t="s">
        <v>602</v>
      </c>
      <c r="F653" s="464"/>
      <c r="G653" s="464" t="s">
        <v>198</v>
      </c>
      <c r="H653" s="464" t="s">
        <v>1925</v>
      </c>
      <c r="I653" s="465" t="s">
        <v>537</v>
      </c>
      <c r="J653" s="465" t="s">
        <v>537</v>
      </c>
      <c r="K653" s="466">
        <v>200000</v>
      </c>
      <c r="L653" s="465" t="s">
        <v>537</v>
      </c>
      <c r="M653" s="465" t="s">
        <v>537</v>
      </c>
      <c r="N653" s="466">
        <v>196600</v>
      </c>
      <c r="O653" s="463" t="s">
        <v>537</v>
      </c>
      <c r="P653" s="463" t="s">
        <v>537</v>
      </c>
      <c r="Q653" s="468">
        <v>3400</v>
      </c>
      <c r="R653" s="470">
        <v>241671</v>
      </c>
      <c r="S653" s="471">
        <v>22543</v>
      </c>
      <c r="T653" s="463">
        <v>0</v>
      </c>
      <c r="U653" s="463">
        <v>0</v>
      </c>
      <c r="V653" s="463">
        <v>0</v>
      </c>
      <c r="W653" s="463">
        <v>300</v>
      </c>
      <c r="X653" s="463">
        <v>0</v>
      </c>
      <c r="Y653" s="463">
        <v>0</v>
      </c>
      <c r="Z653" s="463">
        <v>81.14</v>
      </c>
      <c r="AA653" s="472" t="s">
        <v>1926</v>
      </c>
      <c r="AB653" s="463" t="s">
        <v>539</v>
      </c>
      <c r="AC653" s="463" t="s">
        <v>539</v>
      </c>
      <c r="AD653" s="472" t="s">
        <v>606</v>
      </c>
      <c r="AE653" s="463">
        <v>80</v>
      </c>
      <c r="AF653" s="463">
        <v>81.14</v>
      </c>
      <c r="AG653" s="463" t="s">
        <v>375</v>
      </c>
      <c r="AH653" s="476"/>
      <c r="AI653" s="472">
        <v>894697612</v>
      </c>
      <c r="AJ653" s="472" t="s">
        <v>543</v>
      </c>
    </row>
    <row r="654" spans="2:36" ht="24" hidden="1" customHeight="1">
      <c r="B654" s="463">
        <v>541</v>
      </c>
      <c r="C654" s="464" t="s">
        <v>377</v>
      </c>
      <c r="D654" s="464"/>
      <c r="E654" s="464" t="s">
        <v>602</v>
      </c>
      <c r="F654" s="464"/>
      <c r="G654" s="464" t="s">
        <v>283</v>
      </c>
      <c r="H654" s="464" t="s">
        <v>1927</v>
      </c>
      <c r="I654" s="466">
        <v>4000</v>
      </c>
      <c r="J654" s="465" t="s">
        <v>537</v>
      </c>
      <c r="K654" s="465" t="s">
        <v>537</v>
      </c>
      <c r="L654" s="466">
        <v>4000</v>
      </c>
      <c r="M654" s="465" t="s">
        <v>537</v>
      </c>
      <c r="N654" s="465" t="s">
        <v>537</v>
      </c>
      <c r="O654" s="463" t="s">
        <v>537</v>
      </c>
      <c r="P654" s="463" t="s">
        <v>537</v>
      </c>
      <c r="Q654" s="465">
        <v>0</v>
      </c>
      <c r="R654" s="463" t="s">
        <v>984</v>
      </c>
      <c r="S654" s="463" t="s">
        <v>1928</v>
      </c>
      <c r="T654" s="463">
        <v>8</v>
      </c>
      <c r="U654" s="463">
        <v>7</v>
      </c>
      <c r="V654" s="463">
        <v>0</v>
      </c>
      <c r="W654" s="463">
        <v>8</v>
      </c>
      <c r="X654" s="463">
        <v>14</v>
      </c>
      <c r="Y654" s="463">
        <v>0</v>
      </c>
      <c r="Z654" s="463">
        <v>91.67</v>
      </c>
      <c r="AA654" s="472" t="s">
        <v>619</v>
      </c>
      <c r="AB654" s="463" t="s">
        <v>539</v>
      </c>
      <c r="AC654" s="463">
        <v>91.67</v>
      </c>
      <c r="AD654" s="472" t="s">
        <v>565</v>
      </c>
      <c r="AE654" s="463">
        <v>80</v>
      </c>
      <c r="AF654" s="463">
        <v>91.67</v>
      </c>
      <c r="AG654" s="463" t="s">
        <v>375</v>
      </c>
      <c r="AH654" s="476"/>
      <c r="AI654" s="472">
        <v>840561256</v>
      </c>
      <c r="AJ654" s="464"/>
    </row>
    <row r="655" spans="2:36" ht="24" hidden="1" customHeight="1">
      <c r="B655" s="463">
        <v>542</v>
      </c>
      <c r="C655" s="464" t="s">
        <v>377</v>
      </c>
      <c r="D655" s="464"/>
      <c r="E655" s="464" t="s">
        <v>602</v>
      </c>
      <c r="F655" s="464"/>
      <c r="G655" s="464" t="s">
        <v>283</v>
      </c>
      <c r="H655" s="464" t="s">
        <v>1929</v>
      </c>
      <c r="I655" s="466">
        <v>5000</v>
      </c>
      <c r="J655" s="465" t="s">
        <v>537</v>
      </c>
      <c r="K655" s="465" t="s">
        <v>537</v>
      </c>
      <c r="L655" s="466">
        <v>5000</v>
      </c>
      <c r="M655" s="465" t="s">
        <v>537</v>
      </c>
      <c r="N655" s="465" t="s">
        <v>537</v>
      </c>
      <c r="O655" s="463" t="s">
        <v>537</v>
      </c>
      <c r="P655" s="463" t="s">
        <v>537</v>
      </c>
      <c r="Q655" s="465">
        <v>0</v>
      </c>
      <c r="R655" s="470">
        <v>241459</v>
      </c>
      <c r="S655" s="463" t="s">
        <v>1930</v>
      </c>
      <c r="T655" s="463">
        <v>10</v>
      </c>
      <c r="U655" s="463">
        <v>20</v>
      </c>
      <c r="V655" s="463">
        <v>0</v>
      </c>
      <c r="W655" s="463">
        <v>7</v>
      </c>
      <c r="X655" s="463">
        <v>16</v>
      </c>
      <c r="Y655" s="463">
        <v>20</v>
      </c>
      <c r="Z655" s="463">
        <v>91.2</v>
      </c>
      <c r="AA655" s="472" t="s">
        <v>619</v>
      </c>
      <c r="AB655" s="463" t="s">
        <v>539</v>
      </c>
      <c r="AC655" s="463" t="s">
        <v>539</v>
      </c>
      <c r="AD655" s="472" t="s">
        <v>565</v>
      </c>
      <c r="AE655" s="463">
        <v>80</v>
      </c>
      <c r="AF655" s="463">
        <v>91.2</v>
      </c>
      <c r="AG655" s="463" t="s">
        <v>375</v>
      </c>
      <c r="AH655" s="476"/>
      <c r="AI655" s="472" t="s">
        <v>1931</v>
      </c>
      <c r="AJ655" s="464"/>
    </row>
    <row r="656" spans="2:36" ht="24" hidden="1" customHeight="1">
      <c r="B656" s="463">
        <v>543</v>
      </c>
      <c r="C656" s="464" t="s">
        <v>377</v>
      </c>
      <c r="D656" s="464"/>
      <c r="E656" s="464" t="s">
        <v>602</v>
      </c>
      <c r="F656" s="464"/>
      <c r="G656" s="464" t="s">
        <v>283</v>
      </c>
      <c r="H656" s="464" t="s">
        <v>1932</v>
      </c>
      <c r="I656" s="466">
        <v>50000</v>
      </c>
      <c r="J656" s="465" t="s">
        <v>537</v>
      </c>
      <c r="K656" s="465" t="s">
        <v>537</v>
      </c>
      <c r="L656" s="466">
        <v>43500</v>
      </c>
      <c r="M656" s="465" t="s">
        <v>537</v>
      </c>
      <c r="N656" s="465" t="s">
        <v>537</v>
      </c>
      <c r="O656" s="463" t="s">
        <v>537</v>
      </c>
      <c r="P656" s="463" t="s">
        <v>537</v>
      </c>
      <c r="Q656" s="468">
        <v>6500</v>
      </c>
      <c r="R656" s="470">
        <v>241609</v>
      </c>
      <c r="S656" s="471">
        <v>22474</v>
      </c>
      <c r="T656" s="463">
        <v>200</v>
      </c>
      <c r="U656" s="463">
        <v>50</v>
      </c>
      <c r="V656" s="463">
        <v>0</v>
      </c>
      <c r="W656" s="463">
        <v>366</v>
      </c>
      <c r="X656" s="463">
        <v>58</v>
      </c>
      <c r="Y656" s="464"/>
      <c r="Z656" s="463">
        <v>98.12</v>
      </c>
      <c r="AA656" s="472" t="s">
        <v>619</v>
      </c>
      <c r="AB656" s="463" t="s">
        <v>539</v>
      </c>
      <c r="AC656" s="463" t="s">
        <v>539</v>
      </c>
      <c r="AD656" s="472" t="s">
        <v>565</v>
      </c>
      <c r="AE656" s="463" t="s">
        <v>620</v>
      </c>
      <c r="AF656" s="463">
        <v>98.12</v>
      </c>
      <c r="AG656" s="463" t="s">
        <v>376</v>
      </c>
      <c r="AH656" s="476"/>
      <c r="AI656" s="472">
        <v>884907677</v>
      </c>
      <c r="AJ656" s="464"/>
    </row>
    <row r="657" spans="2:36" ht="24" hidden="1" customHeight="1">
      <c r="B657" s="463">
        <v>544</v>
      </c>
      <c r="C657" s="464" t="s">
        <v>377</v>
      </c>
      <c r="D657" s="464"/>
      <c r="E657" s="464" t="s">
        <v>602</v>
      </c>
      <c r="F657" s="464"/>
      <c r="G657" s="464" t="s">
        <v>283</v>
      </c>
      <c r="H657" s="464" t="s">
        <v>1932</v>
      </c>
      <c r="I657" s="466">
        <v>40000</v>
      </c>
      <c r="J657" s="465" t="s">
        <v>537</v>
      </c>
      <c r="K657" s="465" t="s">
        <v>537</v>
      </c>
      <c r="L657" s="466">
        <v>40000</v>
      </c>
      <c r="M657" s="465" t="s">
        <v>537</v>
      </c>
      <c r="N657" s="465" t="s">
        <v>537</v>
      </c>
      <c r="O657" s="463" t="s">
        <v>537</v>
      </c>
      <c r="P657" s="463" t="s">
        <v>537</v>
      </c>
      <c r="Q657" s="465">
        <v>0</v>
      </c>
      <c r="R657" s="470">
        <v>241609</v>
      </c>
      <c r="S657" s="471">
        <v>22474</v>
      </c>
      <c r="T657" s="463">
        <v>400</v>
      </c>
      <c r="U657" s="463">
        <v>100</v>
      </c>
      <c r="V657" s="463">
        <v>0</v>
      </c>
      <c r="W657" s="463">
        <v>400</v>
      </c>
      <c r="X657" s="463">
        <v>100</v>
      </c>
      <c r="Y657" s="464"/>
      <c r="Z657" s="463">
        <v>88.41</v>
      </c>
      <c r="AA657" s="472" t="s">
        <v>619</v>
      </c>
      <c r="AB657" s="463" t="s">
        <v>539</v>
      </c>
      <c r="AC657" s="463" t="s">
        <v>539</v>
      </c>
      <c r="AD657" s="472" t="s">
        <v>565</v>
      </c>
      <c r="AE657" s="463" t="s">
        <v>620</v>
      </c>
      <c r="AF657" s="463">
        <v>87.99</v>
      </c>
      <c r="AG657" s="463" t="s">
        <v>376</v>
      </c>
      <c r="AH657" s="476"/>
      <c r="AI657" s="472" t="s">
        <v>1933</v>
      </c>
      <c r="AJ657" s="464"/>
    </row>
    <row r="658" spans="2:36" ht="24" hidden="1" customHeight="1">
      <c r="B658" s="463">
        <v>545</v>
      </c>
      <c r="C658" s="464" t="s">
        <v>377</v>
      </c>
      <c r="D658" s="464"/>
      <c r="E658" s="464" t="s">
        <v>602</v>
      </c>
      <c r="F658" s="464"/>
      <c r="G658" s="464" t="s">
        <v>283</v>
      </c>
      <c r="H658" s="464" t="s">
        <v>1934</v>
      </c>
      <c r="I658" s="466">
        <v>30000</v>
      </c>
      <c r="J658" s="465" t="s">
        <v>537</v>
      </c>
      <c r="K658" s="465" t="s">
        <v>537</v>
      </c>
      <c r="L658" s="466">
        <v>30000</v>
      </c>
      <c r="M658" s="465" t="s">
        <v>537</v>
      </c>
      <c r="N658" s="465" t="s">
        <v>537</v>
      </c>
      <c r="O658" s="463" t="s">
        <v>537</v>
      </c>
      <c r="P658" s="463" t="s">
        <v>537</v>
      </c>
      <c r="Q658" s="465">
        <v>0</v>
      </c>
      <c r="R658" s="470">
        <v>241397</v>
      </c>
      <c r="S658" s="471">
        <v>22273</v>
      </c>
      <c r="T658" s="463">
        <v>130</v>
      </c>
      <c r="U658" s="463">
        <v>20</v>
      </c>
      <c r="V658" s="463">
        <v>0</v>
      </c>
      <c r="W658" s="463">
        <v>130</v>
      </c>
      <c r="X658" s="463">
        <v>20</v>
      </c>
      <c r="Y658" s="463">
        <v>0</v>
      </c>
      <c r="Z658" s="463">
        <v>94.3</v>
      </c>
      <c r="AA658" s="472" t="s">
        <v>612</v>
      </c>
      <c r="AB658" s="463" t="s">
        <v>539</v>
      </c>
      <c r="AC658" s="463" t="s">
        <v>539</v>
      </c>
      <c r="AD658" s="472" t="s">
        <v>565</v>
      </c>
      <c r="AE658" s="463">
        <v>80</v>
      </c>
      <c r="AF658" s="463">
        <v>94.3</v>
      </c>
      <c r="AG658" s="463" t="s">
        <v>375</v>
      </c>
      <c r="AH658" s="476"/>
      <c r="AI658" s="472" t="s">
        <v>1933</v>
      </c>
      <c r="AJ658" s="464"/>
    </row>
    <row r="659" spans="2:36" ht="24" hidden="1" customHeight="1">
      <c r="B659" s="463">
        <v>546</v>
      </c>
      <c r="C659" s="464" t="s">
        <v>377</v>
      </c>
      <c r="D659" s="464"/>
      <c r="E659" s="464" t="s">
        <v>602</v>
      </c>
      <c r="F659" s="464"/>
      <c r="G659" s="464" t="s">
        <v>283</v>
      </c>
      <c r="H659" s="464" t="s">
        <v>1935</v>
      </c>
      <c r="I659" s="466">
        <v>40000</v>
      </c>
      <c r="J659" s="465" t="s">
        <v>537</v>
      </c>
      <c r="K659" s="465" t="s">
        <v>537</v>
      </c>
      <c r="L659" s="466">
        <v>40000</v>
      </c>
      <c r="M659" s="465" t="s">
        <v>537</v>
      </c>
      <c r="N659" s="465" t="s">
        <v>537</v>
      </c>
      <c r="O659" s="463" t="s">
        <v>537</v>
      </c>
      <c r="P659" s="463" t="s">
        <v>537</v>
      </c>
      <c r="Q659" s="465">
        <v>0</v>
      </c>
      <c r="R659" s="470">
        <v>241459</v>
      </c>
      <c r="S659" s="471">
        <v>22352</v>
      </c>
      <c r="T659" s="463">
        <v>135</v>
      </c>
      <c r="U659" s="463">
        <v>15</v>
      </c>
      <c r="V659" s="463">
        <v>0</v>
      </c>
      <c r="W659" s="463">
        <v>135</v>
      </c>
      <c r="X659" s="463">
        <v>15</v>
      </c>
      <c r="Y659" s="463">
        <v>0</v>
      </c>
      <c r="Z659" s="463">
        <v>93.33</v>
      </c>
      <c r="AA659" s="472" t="s">
        <v>612</v>
      </c>
      <c r="AB659" s="463" t="s">
        <v>539</v>
      </c>
      <c r="AC659" s="463" t="s">
        <v>539</v>
      </c>
      <c r="AD659" s="472" t="s">
        <v>565</v>
      </c>
      <c r="AE659" s="463">
        <v>80</v>
      </c>
      <c r="AF659" s="463">
        <v>92.3</v>
      </c>
      <c r="AG659" s="463" t="s">
        <v>375</v>
      </c>
      <c r="AH659" s="476"/>
      <c r="AI659" s="472" t="s">
        <v>1933</v>
      </c>
      <c r="AJ659" s="464"/>
    </row>
    <row r="660" spans="2:36" ht="24" hidden="1" customHeight="1">
      <c r="B660" s="463">
        <v>547</v>
      </c>
      <c r="C660" s="464" t="s">
        <v>377</v>
      </c>
      <c r="D660" s="464"/>
      <c r="E660" s="464" t="s">
        <v>602</v>
      </c>
      <c r="F660" s="464"/>
      <c r="G660" s="464" t="s">
        <v>283</v>
      </c>
      <c r="H660" s="464" t="s">
        <v>1936</v>
      </c>
      <c r="I660" s="466">
        <v>20000</v>
      </c>
      <c r="J660" s="465" t="s">
        <v>537</v>
      </c>
      <c r="K660" s="465" t="s">
        <v>537</v>
      </c>
      <c r="L660" s="466">
        <v>20000</v>
      </c>
      <c r="M660" s="465" t="s">
        <v>537</v>
      </c>
      <c r="N660" s="465" t="s">
        <v>537</v>
      </c>
      <c r="O660" s="463" t="s">
        <v>537</v>
      </c>
      <c r="P660" s="463" t="s">
        <v>537</v>
      </c>
      <c r="Q660" s="465">
        <v>0</v>
      </c>
      <c r="R660" s="470">
        <v>241518</v>
      </c>
      <c r="S660" s="471">
        <v>22373</v>
      </c>
      <c r="T660" s="463">
        <v>120</v>
      </c>
      <c r="U660" s="463">
        <v>15</v>
      </c>
      <c r="V660" s="463">
        <v>0</v>
      </c>
      <c r="W660" s="463">
        <v>120</v>
      </c>
      <c r="X660" s="463">
        <v>30</v>
      </c>
      <c r="Y660" s="463">
        <v>0</v>
      </c>
      <c r="Z660" s="463">
        <v>89.38</v>
      </c>
      <c r="AA660" s="472" t="s">
        <v>612</v>
      </c>
      <c r="AB660" s="463" t="s">
        <v>539</v>
      </c>
      <c r="AC660" s="463" t="s">
        <v>539</v>
      </c>
      <c r="AD660" s="472" t="s">
        <v>565</v>
      </c>
      <c r="AE660" s="463">
        <v>80</v>
      </c>
      <c r="AF660" s="463">
        <v>85.88</v>
      </c>
      <c r="AG660" s="463" t="s">
        <v>375</v>
      </c>
      <c r="AH660" s="476"/>
      <c r="AI660" s="472" t="s">
        <v>1933</v>
      </c>
      <c r="AJ660" s="464"/>
    </row>
    <row r="661" spans="2:36" ht="24" hidden="1" customHeight="1">
      <c r="B661" s="463">
        <v>548</v>
      </c>
      <c r="C661" s="464" t="s">
        <v>377</v>
      </c>
      <c r="D661" s="464"/>
      <c r="E661" s="464" t="s">
        <v>602</v>
      </c>
      <c r="F661" s="464"/>
      <c r="G661" s="464" t="s">
        <v>283</v>
      </c>
      <c r="H661" s="464" t="s">
        <v>1937</v>
      </c>
      <c r="I661" s="466">
        <v>20000</v>
      </c>
      <c r="J661" s="465" t="s">
        <v>537</v>
      </c>
      <c r="K661" s="465" t="s">
        <v>537</v>
      </c>
      <c r="L661" s="466">
        <v>20000</v>
      </c>
      <c r="M661" s="465" t="s">
        <v>537</v>
      </c>
      <c r="N661" s="465" t="s">
        <v>537</v>
      </c>
      <c r="O661" s="463" t="s">
        <v>537</v>
      </c>
      <c r="P661" s="463" t="s">
        <v>537</v>
      </c>
      <c r="Q661" s="465">
        <v>0</v>
      </c>
      <c r="R661" s="470">
        <v>241609</v>
      </c>
      <c r="S661" s="471">
        <v>22487</v>
      </c>
      <c r="T661" s="463">
        <v>120</v>
      </c>
      <c r="U661" s="463">
        <v>30</v>
      </c>
      <c r="V661" s="463">
        <v>0</v>
      </c>
      <c r="W661" s="463">
        <v>120</v>
      </c>
      <c r="X661" s="463">
        <v>30</v>
      </c>
      <c r="Y661" s="463">
        <v>0</v>
      </c>
      <c r="Z661" s="463">
        <v>83.41</v>
      </c>
      <c r="AA661" s="472" t="s">
        <v>612</v>
      </c>
      <c r="AB661" s="463" t="s">
        <v>539</v>
      </c>
      <c r="AC661" s="463" t="s">
        <v>539</v>
      </c>
      <c r="AD661" s="472" t="s">
        <v>565</v>
      </c>
      <c r="AE661" s="463">
        <v>80</v>
      </c>
      <c r="AF661" s="463">
        <v>85.41</v>
      </c>
      <c r="AG661" s="463" t="s">
        <v>375</v>
      </c>
      <c r="AH661" s="476"/>
      <c r="AI661" s="472" t="s">
        <v>1933</v>
      </c>
      <c r="AJ661" s="464"/>
    </row>
    <row r="662" spans="2:36" ht="24" hidden="1" customHeight="1">
      <c r="B662" s="463">
        <v>549</v>
      </c>
      <c r="C662" s="464" t="s">
        <v>377</v>
      </c>
      <c r="D662" s="464"/>
      <c r="E662" s="464" t="s">
        <v>602</v>
      </c>
      <c r="F662" s="464"/>
      <c r="G662" s="464" t="s">
        <v>283</v>
      </c>
      <c r="H662" s="464" t="s">
        <v>1938</v>
      </c>
      <c r="I662" s="466">
        <v>30000</v>
      </c>
      <c r="J662" s="465" t="s">
        <v>537</v>
      </c>
      <c r="K662" s="465" t="s">
        <v>537</v>
      </c>
      <c r="L662" s="466">
        <v>30000</v>
      </c>
      <c r="M662" s="465" t="s">
        <v>537</v>
      </c>
      <c r="N662" s="465" t="s">
        <v>537</v>
      </c>
      <c r="O662" s="463" t="s">
        <v>537</v>
      </c>
      <c r="P662" s="463" t="s">
        <v>537</v>
      </c>
      <c r="Q662" s="465">
        <v>0</v>
      </c>
      <c r="R662" s="470">
        <v>241609</v>
      </c>
      <c r="S662" s="471">
        <v>22482</v>
      </c>
      <c r="T662" s="463">
        <v>120</v>
      </c>
      <c r="U662" s="463">
        <v>30</v>
      </c>
      <c r="V662" s="463">
        <v>0</v>
      </c>
      <c r="W662" s="463">
        <v>120</v>
      </c>
      <c r="X662" s="463">
        <v>30</v>
      </c>
      <c r="Y662" s="463">
        <v>0</v>
      </c>
      <c r="Z662" s="463">
        <v>91.24</v>
      </c>
      <c r="AA662" s="472" t="s">
        <v>612</v>
      </c>
      <c r="AB662" s="463" t="s">
        <v>539</v>
      </c>
      <c r="AC662" s="463" t="s">
        <v>539</v>
      </c>
      <c r="AD662" s="472" t="s">
        <v>565</v>
      </c>
      <c r="AE662" s="463">
        <v>80</v>
      </c>
      <c r="AF662" s="463">
        <v>89.5</v>
      </c>
      <c r="AG662" s="463" t="s">
        <v>375</v>
      </c>
      <c r="AH662" s="476"/>
      <c r="AI662" s="472" t="s">
        <v>1933</v>
      </c>
      <c r="AJ662" s="464"/>
    </row>
    <row r="663" spans="2:36" ht="24" hidden="1" customHeight="1">
      <c r="B663" s="463">
        <v>550</v>
      </c>
      <c r="C663" s="464" t="s">
        <v>377</v>
      </c>
      <c r="D663" s="464"/>
      <c r="E663" s="464" t="s">
        <v>602</v>
      </c>
      <c r="F663" s="464"/>
      <c r="G663" s="464" t="s">
        <v>283</v>
      </c>
      <c r="H663" s="464" t="s">
        <v>1939</v>
      </c>
      <c r="I663" s="466">
        <v>10000</v>
      </c>
      <c r="J663" s="465" t="s">
        <v>537</v>
      </c>
      <c r="K663" s="465" t="s">
        <v>537</v>
      </c>
      <c r="L663" s="466">
        <v>4000</v>
      </c>
      <c r="M663" s="465" t="s">
        <v>537</v>
      </c>
      <c r="N663" s="465" t="s">
        <v>537</v>
      </c>
      <c r="O663" s="463" t="s">
        <v>537</v>
      </c>
      <c r="P663" s="463" t="s">
        <v>537</v>
      </c>
      <c r="Q663" s="468">
        <v>6000</v>
      </c>
      <c r="R663" s="470">
        <v>241640</v>
      </c>
      <c r="S663" s="471">
        <v>22501</v>
      </c>
      <c r="T663" s="463">
        <v>120</v>
      </c>
      <c r="U663" s="463">
        <v>30</v>
      </c>
      <c r="V663" s="463">
        <v>0</v>
      </c>
      <c r="W663" s="463">
        <v>120</v>
      </c>
      <c r="X663" s="463">
        <v>30</v>
      </c>
      <c r="Y663" s="463">
        <v>0</v>
      </c>
      <c r="Z663" s="463">
        <v>88.48</v>
      </c>
      <c r="AA663" s="472" t="s">
        <v>612</v>
      </c>
      <c r="AB663" s="463" t="s">
        <v>539</v>
      </c>
      <c r="AC663" s="463" t="s">
        <v>539</v>
      </c>
      <c r="AD663" s="472" t="s">
        <v>565</v>
      </c>
      <c r="AE663" s="463">
        <v>80</v>
      </c>
      <c r="AF663" s="463">
        <v>88.41</v>
      </c>
      <c r="AG663" s="463" t="s">
        <v>375</v>
      </c>
      <c r="AH663" s="476"/>
      <c r="AI663" s="472" t="s">
        <v>1933</v>
      </c>
      <c r="AJ663" s="464"/>
    </row>
    <row r="664" spans="2:36" ht="24" hidden="1" customHeight="1">
      <c r="B664" s="463">
        <v>551</v>
      </c>
      <c r="C664" s="464" t="s">
        <v>377</v>
      </c>
      <c r="D664" s="464"/>
      <c r="E664" s="464" t="s">
        <v>602</v>
      </c>
      <c r="F664" s="464"/>
      <c r="G664" s="464" t="s">
        <v>283</v>
      </c>
      <c r="H664" s="464" t="s">
        <v>1940</v>
      </c>
      <c r="I664" s="466">
        <v>50000</v>
      </c>
      <c r="J664" s="465" t="s">
        <v>537</v>
      </c>
      <c r="K664" s="465" t="s">
        <v>537</v>
      </c>
      <c r="L664" s="466">
        <v>49990</v>
      </c>
      <c r="M664" s="465" t="s">
        <v>537</v>
      </c>
      <c r="N664" s="465" t="s">
        <v>537</v>
      </c>
      <c r="O664" s="463" t="s">
        <v>537</v>
      </c>
      <c r="P664" s="463" t="s">
        <v>537</v>
      </c>
      <c r="Q664" s="465">
        <v>10</v>
      </c>
      <c r="R664" s="470">
        <v>241428</v>
      </c>
      <c r="S664" s="471">
        <v>22298</v>
      </c>
      <c r="T664" s="463">
        <v>170</v>
      </c>
      <c r="U664" s="463">
        <v>30</v>
      </c>
      <c r="V664" s="463">
        <v>100</v>
      </c>
      <c r="W664" s="463">
        <v>170</v>
      </c>
      <c r="X664" s="463">
        <v>30</v>
      </c>
      <c r="Y664" s="463">
        <v>100</v>
      </c>
      <c r="Z664" s="463">
        <v>89.5</v>
      </c>
      <c r="AA664" s="472" t="s">
        <v>612</v>
      </c>
      <c r="AB664" s="463" t="s">
        <v>539</v>
      </c>
      <c r="AC664" s="463" t="s">
        <v>539</v>
      </c>
      <c r="AD664" s="472" t="s">
        <v>565</v>
      </c>
      <c r="AE664" s="463">
        <v>80</v>
      </c>
      <c r="AF664" s="463">
        <v>89.5</v>
      </c>
      <c r="AG664" s="463" t="s">
        <v>375</v>
      </c>
      <c r="AH664" s="476"/>
      <c r="AI664" s="472" t="s">
        <v>1933</v>
      </c>
      <c r="AJ664" s="464"/>
    </row>
    <row r="665" spans="2:36" ht="24" hidden="1" customHeight="1">
      <c r="B665" s="463">
        <v>552</v>
      </c>
      <c r="C665" s="464" t="s">
        <v>377</v>
      </c>
      <c r="D665" s="464"/>
      <c r="E665" s="464" t="s">
        <v>602</v>
      </c>
      <c r="F665" s="464"/>
      <c r="G665" s="464" t="s">
        <v>283</v>
      </c>
      <c r="H665" s="464" t="s">
        <v>1941</v>
      </c>
      <c r="I665" s="466">
        <v>50000</v>
      </c>
      <c r="J665" s="465" t="s">
        <v>537</v>
      </c>
      <c r="K665" s="465" t="s">
        <v>537</v>
      </c>
      <c r="L665" s="466">
        <v>47000</v>
      </c>
      <c r="M665" s="465" t="s">
        <v>537</v>
      </c>
      <c r="N665" s="465" t="s">
        <v>537</v>
      </c>
      <c r="O665" s="463" t="s">
        <v>537</v>
      </c>
      <c r="P665" s="463" t="s">
        <v>537</v>
      </c>
      <c r="Q665" s="468">
        <v>3000</v>
      </c>
      <c r="R665" s="470">
        <v>241518</v>
      </c>
      <c r="S665" s="471">
        <v>22381</v>
      </c>
      <c r="T665" s="463">
        <v>30</v>
      </c>
      <c r="U665" s="463">
        <v>60</v>
      </c>
      <c r="V665" s="463">
        <v>10</v>
      </c>
      <c r="W665" s="463">
        <v>60</v>
      </c>
      <c r="X665" s="463">
        <v>30</v>
      </c>
      <c r="Y665" s="463">
        <v>30</v>
      </c>
      <c r="Z665" s="463">
        <v>95.3</v>
      </c>
      <c r="AA665" s="472" t="s">
        <v>612</v>
      </c>
      <c r="AB665" s="463" t="s">
        <v>539</v>
      </c>
      <c r="AC665" s="463" t="s">
        <v>539</v>
      </c>
      <c r="AD665" s="472" t="s">
        <v>565</v>
      </c>
      <c r="AE665" s="463">
        <v>80</v>
      </c>
      <c r="AF665" s="463">
        <v>95.75</v>
      </c>
      <c r="AG665" s="463" t="s">
        <v>375</v>
      </c>
      <c r="AH665" s="476"/>
      <c r="AI665" s="472" t="s">
        <v>1933</v>
      </c>
      <c r="AJ665" s="464"/>
    </row>
    <row r="666" spans="2:36" ht="24" hidden="1" customHeight="1">
      <c r="B666" s="463">
        <v>553</v>
      </c>
      <c r="C666" s="464" t="s">
        <v>377</v>
      </c>
      <c r="D666" s="464"/>
      <c r="E666" s="464" t="s">
        <v>602</v>
      </c>
      <c r="F666" s="464"/>
      <c r="G666" s="464" t="s">
        <v>283</v>
      </c>
      <c r="H666" s="464" t="s">
        <v>1942</v>
      </c>
      <c r="I666" s="466">
        <v>10000</v>
      </c>
      <c r="J666" s="465" t="s">
        <v>537</v>
      </c>
      <c r="K666" s="465" t="s">
        <v>537</v>
      </c>
      <c r="L666" s="466">
        <v>10000</v>
      </c>
      <c r="M666" s="465" t="s">
        <v>537</v>
      </c>
      <c r="N666" s="465" t="s">
        <v>537</v>
      </c>
      <c r="O666" s="463" t="s">
        <v>537</v>
      </c>
      <c r="P666" s="463" t="s">
        <v>537</v>
      </c>
      <c r="Q666" s="465">
        <v>0</v>
      </c>
      <c r="R666" s="470">
        <v>241487</v>
      </c>
      <c r="S666" s="471">
        <v>22341</v>
      </c>
      <c r="T666" s="463">
        <v>70</v>
      </c>
      <c r="U666" s="463">
        <v>30</v>
      </c>
      <c r="V666" s="463">
        <v>0</v>
      </c>
      <c r="W666" s="463">
        <v>70</v>
      </c>
      <c r="X666" s="463">
        <v>30</v>
      </c>
      <c r="Y666" s="463">
        <v>0</v>
      </c>
      <c r="Z666" s="463">
        <v>91.2</v>
      </c>
      <c r="AA666" s="472" t="s">
        <v>612</v>
      </c>
      <c r="AB666" s="463" t="s">
        <v>539</v>
      </c>
      <c r="AC666" s="463" t="s">
        <v>539</v>
      </c>
      <c r="AD666" s="472" t="s">
        <v>565</v>
      </c>
      <c r="AE666" s="463">
        <v>80</v>
      </c>
      <c r="AF666" s="463">
        <v>90.5</v>
      </c>
      <c r="AG666" s="463" t="s">
        <v>375</v>
      </c>
      <c r="AH666" s="476"/>
      <c r="AI666" s="472" t="s">
        <v>1933</v>
      </c>
      <c r="AJ666" s="464"/>
    </row>
    <row r="667" spans="2:36" ht="24" hidden="1" customHeight="1">
      <c r="B667" s="463">
        <v>554</v>
      </c>
      <c r="C667" s="464" t="s">
        <v>377</v>
      </c>
      <c r="D667" s="464"/>
      <c r="E667" s="464" t="s">
        <v>602</v>
      </c>
      <c r="F667" s="464"/>
      <c r="G667" s="464" t="s">
        <v>283</v>
      </c>
      <c r="H667" s="464" t="s">
        <v>1943</v>
      </c>
      <c r="I667" s="466">
        <v>60000</v>
      </c>
      <c r="J667" s="465" t="s">
        <v>537</v>
      </c>
      <c r="K667" s="465" t="s">
        <v>537</v>
      </c>
      <c r="L667" s="466">
        <v>57000</v>
      </c>
      <c r="M667" s="465" t="s">
        <v>537</v>
      </c>
      <c r="N667" s="465" t="s">
        <v>537</v>
      </c>
      <c r="O667" s="463" t="s">
        <v>537</v>
      </c>
      <c r="P667" s="463" t="s">
        <v>537</v>
      </c>
      <c r="Q667" s="468">
        <v>3000</v>
      </c>
      <c r="R667" s="470">
        <v>241671</v>
      </c>
      <c r="S667" s="471">
        <v>22536</v>
      </c>
      <c r="T667" s="463">
        <v>120</v>
      </c>
      <c r="U667" s="463">
        <v>30</v>
      </c>
      <c r="V667" s="463">
        <v>0</v>
      </c>
      <c r="W667" s="463">
        <v>253</v>
      </c>
      <c r="X667" s="463">
        <v>87</v>
      </c>
      <c r="Y667" s="463">
        <v>3</v>
      </c>
      <c r="Z667" s="463">
        <v>94.32</v>
      </c>
      <c r="AA667" s="472" t="s">
        <v>612</v>
      </c>
      <c r="AB667" s="463" t="s">
        <v>539</v>
      </c>
      <c r="AC667" s="463" t="s">
        <v>539</v>
      </c>
      <c r="AD667" s="472" t="s">
        <v>565</v>
      </c>
      <c r="AE667" s="463">
        <v>80</v>
      </c>
      <c r="AF667" s="463">
        <v>95.66</v>
      </c>
      <c r="AG667" s="463" t="s">
        <v>375</v>
      </c>
      <c r="AH667" s="476"/>
      <c r="AI667" s="472" t="s">
        <v>1933</v>
      </c>
      <c r="AJ667" s="464"/>
    </row>
    <row r="668" spans="2:36" ht="24" hidden="1" customHeight="1">
      <c r="B668" s="463">
        <v>555</v>
      </c>
      <c r="C668" s="464" t="s">
        <v>377</v>
      </c>
      <c r="D668" s="464"/>
      <c r="E668" s="464" t="s">
        <v>602</v>
      </c>
      <c r="F668" s="464"/>
      <c r="G668" s="464" t="s">
        <v>283</v>
      </c>
      <c r="H668" s="464" t="s">
        <v>1944</v>
      </c>
      <c r="I668" s="466">
        <v>30000</v>
      </c>
      <c r="J668" s="465" t="s">
        <v>537</v>
      </c>
      <c r="K668" s="465" t="s">
        <v>537</v>
      </c>
      <c r="L668" s="466">
        <v>30000</v>
      </c>
      <c r="M668" s="465" t="s">
        <v>537</v>
      </c>
      <c r="N668" s="465" t="s">
        <v>537</v>
      </c>
      <c r="O668" s="463" t="s">
        <v>537</v>
      </c>
      <c r="P668" s="463" t="s">
        <v>537</v>
      </c>
      <c r="Q668" s="465">
        <v>0</v>
      </c>
      <c r="R668" s="470">
        <v>241428</v>
      </c>
      <c r="S668" s="471">
        <v>22312</v>
      </c>
      <c r="T668" s="463">
        <v>10</v>
      </c>
      <c r="U668" s="463">
        <v>40</v>
      </c>
      <c r="V668" s="463">
        <v>0</v>
      </c>
      <c r="W668" s="463">
        <v>100</v>
      </c>
      <c r="X668" s="463">
        <v>6</v>
      </c>
      <c r="Y668" s="463">
        <v>0</v>
      </c>
      <c r="Z668" s="463">
        <v>89.63</v>
      </c>
      <c r="AA668" s="472" t="s">
        <v>619</v>
      </c>
      <c r="AB668" s="463" t="s">
        <v>539</v>
      </c>
      <c r="AC668" s="463">
        <v>89.63</v>
      </c>
      <c r="AD668" s="472" t="s">
        <v>565</v>
      </c>
      <c r="AE668" s="463">
        <v>80</v>
      </c>
      <c r="AF668" s="463">
        <v>89.63</v>
      </c>
      <c r="AG668" s="463" t="s">
        <v>375</v>
      </c>
      <c r="AH668" s="476"/>
      <c r="AI668" s="472">
        <v>840561256</v>
      </c>
      <c r="AJ668" s="464"/>
    </row>
    <row r="669" spans="2:36" ht="24" hidden="1" customHeight="1">
      <c r="B669" s="463">
        <v>556</v>
      </c>
      <c r="C669" s="464" t="s">
        <v>377</v>
      </c>
      <c r="D669" s="464"/>
      <c r="E669" s="464" t="s">
        <v>602</v>
      </c>
      <c r="F669" s="464"/>
      <c r="G669" s="464" t="s">
        <v>283</v>
      </c>
      <c r="H669" s="464" t="s">
        <v>1945</v>
      </c>
      <c r="I669" s="466">
        <v>9000</v>
      </c>
      <c r="J669" s="465" t="s">
        <v>537</v>
      </c>
      <c r="K669" s="465" t="s">
        <v>537</v>
      </c>
      <c r="L669" s="466">
        <v>7200</v>
      </c>
      <c r="M669" s="465" t="s">
        <v>537</v>
      </c>
      <c r="N669" s="465" t="s">
        <v>537</v>
      </c>
      <c r="O669" s="463" t="s">
        <v>537</v>
      </c>
      <c r="P669" s="463" t="s">
        <v>537</v>
      </c>
      <c r="Q669" s="468">
        <v>1800</v>
      </c>
      <c r="R669" s="470">
        <v>241428</v>
      </c>
      <c r="S669" s="471">
        <v>22324</v>
      </c>
      <c r="T669" s="463">
        <v>30</v>
      </c>
      <c r="U669" s="463">
        <v>5</v>
      </c>
      <c r="V669" s="463">
        <v>40</v>
      </c>
      <c r="W669" s="463">
        <v>30</v>
      </c>
      <c r="X669" s="463">
        <v>6</v>
      </c>
      <c r="Y669" s="463">
        <v>7</v>
      </c>
      <c r="Z669" s="463">
        <v>89.83</v>
      </c>
      <c r="AA669" s="472" t="s">
        <v>619</v>
      </c>
      <c r="AB669" s="463" t="s">
        <v>539</v>
      </c>
      <c r="AC669" s="463">
        <v>89.83</v>
      </c>
      <c r="AD669" s="472" t="s">
        <v>565</v>
      </c>
      <c r="AE669" s="463">
        <v>80</v>
      </c>
      <c r="AF669" s="463">
        <v>89.83</v>
      </c>
      <c r="AG669" s="463" t="s">
        <v>375</v>
      </c>
      <c r="AH669" s="476"/>
      <c r="AI669" s="472">
        <v>840561256</v>
      </c>
      <c r="AJ669" s="464"/>
    </row>
    <row r="670" spans="2:36" ht="24" hidden="1" customHeight="1">
      <c r="B670" s="463">
        <v>557</v>
      </c>
      <c r="C670" s="464" t="s">
        <v>377</v>
      </c>
      <c r="D670" s="464"/>
      <c r="E670" s="464" t="s">
        <v>602</v>
      </c>
      <c r="F670" s="464"/>
      <c r="G670" s="464" t="s">
        <v>283</v>
      </c>
      <c r="H670" s="464" t="s">
        <v>1946</v>
      </c>
      <c r="I670" s="466">
        <v>12000</v>
      </c>
      <c r="J670" s="465" t="s">
        <v>537</v>
      </c>
      <c r="K670" s="465" t="s">
        <v>537</v>
      </c>
      <c r="L670" s="466">
        <v>11880</v>
      </c>
      <c r="M670" s="465" t="s">
        <v>537</v>
      </c>
      <c r="N670" s="465" t="s">
        <v>537</v>
      </c>
      <c r="O670" s="463" t="s">
        <v>537</v>
      </c>
      <c r="P670" s="463" t="s">
        <v>537</v>
      </c>
      <c r="Q670" s="465">
        <v>120</v>
      </c>
      <c r="R670" s="470">
        <v>241459</v>
      </c>
      <c r="S670" s="471">
        <v>22340</v>
      </c>
      <c r="T670" s="463">
        <v>10</v>
      </c>
      <c r="U670" s="463">
        <v>30</v>
      </c>
      <c r="V670" s="463">
        <v>0</v>
      </c>
      <c r="W670" s="463">
        <v>83</v>
      </c>
      <c r="X670" s="463">
        <v>21</v>
      </c>
      <c r="Y670" s="463">
        <v>0</v>
      </c>
      <c r="Z670" s="463">
        <v>95.83</v>
      </c>
      <c r="AA670" s="472" t="s">
        <v>619</v>
      </c>
      <c r="AB670" s="463" t="s">
        <v>539</v>
      </c>
      <c r="AC670" s="463">
        <v>95.83</v>
      </c>
      <c r="AD670" s="472" t="s">
        <v>565</v>
      </c>
      <c r="AE670" s="463">
        <v>80</v>
      </c>
      <c r="AF670" s="463">
        <v>95.83</v>
      </c>
      <c r="AG670" s="463" t="s">
        <v>375</v>
      </c>
      <c r="AH670" s="476"/>
      <c r="AI670" s="472" t="s">
        <v>1947</v>
      </c>
      <c r="AJ670" s="464"/>
    </row>
    <row r="671" spans="2:36" ht="24" hidden="1" customHeight="1">
      <c r="B671" s="463">
        <v>558</v>
      </c>
      <c r="C671" s="464" t="s">
        <v>377</v>
      </c>
      <c r="D671" s="464"/>
      <c r="E671" s="464" t="s">
        <v>602</v>
      </c>
      <c r="F671" s="464"/>
      <c r="G671" s="464" t="s">
        <v>283</v>
      </c>
      <c r="H671" s="464" t="s">
        <v>1948</v>
      </c>
      <c r="I671" s="466">
        <v>48000</v>
      </c>
      <c r="J671" s="465" t="s">
        <v>537</v>
      </c>
      <c r="K671" s="465" t="s">
        <v>537</v>
      </c>
      <c r="L671" s="466">
        <v>48000</v>
      </c>
      <c r="M671" s="465" t="s">
        <v>537</v>
      </c>
      <c r="N671" s="465" t="s">
        <v>537</v>
      </c>
      <c r="O671" s="463" t="s">
        <v>537</v>
      </c>
      <c r="P671" s="463" t="s">
        <v>537</v>
      </c>
      <c r="Q671" s="465">
        <v>0</v>
      </c>
      <c r="R671" s="470">
        <v>241609</v>
      </c>
      <c r="S671" s="471">
        <v>22487</v>
      </c>
      <c r="T671" s="463">
        <v>80</v>
      </c>
      <c r="U671" s="463">
        <v>70</v>
      </c>
      <c r="V671" s="463">
        <v>0</v>
      </c>
      <c r="W671" s="463">
        <v>218</v>
      </c>
      <c r="X671" s="463">
        <v>80</v>
      </c>
      <c r="Y671" s="463">
        <v>0</v>
      </c>
      <c r="Z671" s="463">
        <v>94.7</v>
      </c>
      <c r="AA671" s="472" t="s">
        <v>619</v>
      </c>
      <c r="AB671" s="463" t="s">
        <v>539</v>
      </c>
      <c r="AC671" s="463">
        <v>94.7</v>
      </c>
      <c r="AD671" s="472" t="s">
        <v>565</v>
      </c>
      <c r="AE671" s="463">
        <v>80</v>
      </c>
      <c r="AF671" s="463">
        <v>94.7</v>
      </c>
      <c r="AG671" s="463" t="s">
        <v>375</v>
      </c>
      <c r="AH671" s="476"/>
      <c r="AI671" s="472">
        <v>840561256</v>
      </c>
      <c r="AJ671" s="464"/>
    </row>
    <row r="672" spans="2:36" ht="24" hidden="1" customHeight="1">
      <c r="B672" s="463">
        <v>559</v>
      </c>
      <c r="C672" s="464" t="s">
        <v>377</v>
      </c>
      <c r="D672" s="464"/>
      <c r="E672" s="464" t="s">
        <v>602</v>
      </c>
      <c r="F672" s="464"/>
      <c r="G672" s="464" t="s">
        <v>283</v>
      </c>
      <c r="H672" s="464" t="s">
        <v>1949</v>
      </c>
      <c r="I672" s="466">
        <v>17000</v>
      </c>
      <c r="J672" s="465" t="s">
        <v>537</v>
      </c>
      <c r="K672" s="465" t="s">
        <v>537</v>
      </c>
      <c r="L672" s="466">
        <v>17000</v>
      </c>
      <c r="M672" s="465" t="s">
        <v>537</v>
      </c>
      <c r="N672" s="465" t="s">
        <v>537</v>
      </c>
      <c r="O672" s="463" t="s">
        <v>537</v>
      </c>
      <c r="P672" s="463" t="s">
        <v>537</v>
      </c>
      <c r="Q672" s="465">
        <v>0</v>
      </c>
      <c r="R672" s="470">
        <v>241609</v>
      </c>
      <c r="S672" s="463" t="s">
        <v>1950</v>
      </c>
      <c r="T672" s="463">
        <v>60</v>
      </c>
      <c r="U672" s="463">
        <v>30</v>
      </c>
      <c r="V672" s="463">
        <v>10</v>
      </c>
      <c r="W672" s="463">
        <v>193</v>
      </c>
      <c r="X672" s="463">
        <v>34</v>
      </c>
      <c r="Y672" s="463">
        <v>0</v>
      </c>
      <c r="Z672" s="463">
        <v>95.27</v>
      </c>
      <c r="AA672" s="472" t="s">
        <v>619</v>
      </c>
      <c r="AB672" s="463" t="s">
        <v>539</v>
      </c>
      <c r="AC672" s="463">
        <v>95.27</v>
      </c>
      <c r="AD672" s="472" t="s">
        <v>565</v>
      </c>
      <c r="AE672" s="463">
        <v>80</v>
      </c>
      <c r="AF672" s="463">
        <v>95.27</v>
      </c>
      <c r="AG672" s="463" t="s">
        <v>375</v>
      </c>
      <c r="AH672" s="476"/>
      <c r="AI672" s="472">
        <v>840561256</v>
      </c>
      <c r="AJ672" s="464"/>
    </row>
    <row r="673" spans="2:36" ht="24" hidden="1" customHeight="1">
      <c r="B673" s="463">
        <v>560</v>
      </c>
      <c r="C673" s="464" t="s">
        <v>377</v>
      </c>
      <c r="D673" s="464"/>
      <c r="E673" s="464" t="s">
        <v>602</v>
      </c>
      <c r="F673" s="464"/>
      <c r="G673" s="464" t="s">
        <v>283</v>
      </c>
      <c r="H673" s="464" t="s">
        <v>1951</v>
      </c>
      <c r="I673" s="466">
        <v>30000</v>
      </c>
      <c r="J673" s="465" t="s">
        <v>537</v>
      </c>
      <c r="K673" s="465" t="s">
        <v>537</v>
      </c>
      <c r="L673" s="466">
        <v>30000</v>
      </c>
      <c r="M673" s="465" t="s">
        <v>537</v>
      </c>
      <c r="N673" s="465" t="s">
        <v>537</v>
      </c>
      <c r="O673" s="463" t="s">
        <v>537</v>
      </c>
      <c r="P673" s="463" t="s">
        <v>537</v>
      </c>
      <c r="Q673" s="465">
        <v>0</v>
      </c>
      <c r="R673" s="470">
        <v>241640</v>
      </c>
      <c r="S673" s="471">
        <v>22502</v>
      </c>
      <c r="T673" s="463">
        <v>80</v>
      </c>
      <c r="U673" s="463">
        <v>70</v>
      </c>
      <c r="V673" s="463">
        <v>0</v>
      </c>
      <c r="W673" s="463">
        <v>25</v>
      </c>
      <c r="X673" s="463">
        <v>82</v>
      </c>
      <c r="Y673" s="463">
        <v>54</v>
      </c>
      <c r="Z673" s="463">
        <v>93.68</v>
      </c>
      <c r="AA673" s="472" t="s">
        <v>619</v>
      </c>
      <c r="AB673" s="463" t="s">
        <v>539</v>
      </c>
      <c r="AC673" s="463">
        <v>93.68</v>
      </c>
      <c r="AD673" s="472" t="s">
        <v>565</v>
      </c>
      <c r="AE673" s="463">
        <v>80</v>
      </c>
      <c r="AF673" s="463">
        <v>93.68</v>
      </c>
      <c r="AG673" s="463" t="s">
        <v>375</v>
      </c>
      <c r="AH673" s="476"/>
      <c r="AI673" s="472" t="s">
        <v>1947</v>
      </c>
      <c r="AJ673" s="464"/>
    </row>
    <row r="674" spans="2:36" ht="24" hidden="1" customHeight="1">
      <c r="B674" s="463">
        <v>561</v>
      </c>
      <c r="C674" s="464" t="s">
        <v>377</v>
      </c>
      <c r="D674" s="464"/>
      <c r="E674" s="464" t="s">
        <v>602</v>
      </c>
      <c r="F674" s="464"/>
      <c r="G674" s="464" t="s">
        <v>283</v>
      </c>
      <c r="H674" s="464" t="s">
        <v>1952</v>
      </c>
      <c r="I674" s="466">
        <v>45000</v>
      </c>
      <c r="J674" s="465" t="s">
        <v>537</v>
      </c>
      <c r="K674" s="465" t="s">
        <v>537</v>
      </c>
      <c r="L674" s="466">
        <v>45000</v>
      </c>
      <c r="M674" s="465" t="s">
        <v>537</v>
      </c>
      <c r="N674" s="465" t="s">
        <v>537</v>
      </c>
      <c r="O674" s="463" t="s">
        <v>537</v>
      </c>
      <c r="P674" s="463" t="s">
        <v>537</v>
      </c>
      <c r="Q674" s="465">
        <v>0</v>
      </c>
      <c r="R674" s="470">
        <v>241518</v>
      </c>
      <c r="S674" s="463" t="s">
        <v>1953</v>
      </c>
      <c r="T674" s="463">
        <v>10</v>
      </c>
      <c r="U674" s="463">
        <v>40</v>
      </c>
      <c r="V674" s="463">
        <v>50</v>
      </c>
      <c r="W674" s="463">
        <v>0</v>
      </c>
      <c r="X674" s="463">
        <v>73</v>
      </c>
      <c r="Y674" s="463">
        <v>53</v>
      </c>
      <c r="Z674" s="463">
        <v>94.35</v>
      </c>
      <c r="AA674" s="472" t="s">
        <v>619</v>
      </c>
      <c r="AB674" s="463" t="s">
        <v>539</v>
      </c>
      <c r="AC674" s="463" t="s">
        <v>539</v>
      </c>
      <c r="AD674" s="472" t="s">
        <v>565</v>
      </c>
      <c r="AE674" s="463">
        <v>80</v>
      </c>
      <c r="AF674" s="463">
        <v>94.35</v>
      </c>
      <c r="AG674" s="463" t="s">
        <v>375</v>
      </c>
      <c r="AH674" s="476"/>
      <c r="AI674" s="472" t="s">
        <v>1931</v>
      </c>
      <c r="AJ674" s="464"/>
    </row>
    <row r="675" spans="2:36" ht="24" hidden="1" customHeight="1">
      <c r="B675" s="463">
        <v>562</v>
      </c>
      <c r="C675" s="464" t="s">
        <v>377</v>
      </c>
      <c r="D675" s="464"/>
      <c r="E675" s="464" t="s">
        <v>602</v>
      </c>
      <c r="F675" s="464"/>
      <c r="G675" s="464" t="s">
        <v>283</v>
      </c>
      <c r="H675" s="464" t="s">
        <v>1954</v>
      </c>
      <c r="I675" s="466">
        <v>50000</v>
      </c>
      <c r="J675" s="465" t="s">
        <v>537</v>
      </c>
      <c r="K675" s="465" t="s">
        <v>537</v>
      </c>
      <c r="L675" s="466">
        <v>50000</v>
      </c>
      <c r="M675" s="465" t="s">
        <v>537</v>
      </c>
      <c r="N675" s="465" t="s">
        <v>537</v>
      </c>
      <c r="O675" s="463" t="s">
        <v>537</v>
      </c>
      <c r="P675" s="463" t="s">
        <v>537</v>
      </c>
      <c r="Q675" s="465">
        <v>0</v>
      </c>
      <c r="R675" s="470">
        <v>241579</v>
      </c>
      <c r="S675" s="463" t="s">
        <v>1955</v>
      </c>
      <c r="T675" s="463">
        <v>50</v>
      </c>
      <c r="U675" s="463">
        <v>20</v>
      </c>
      <c r="V675" s="463">
        <v>0</v>
      </c>
      <c r="W675" s="463">
        <v>50</v>
      </c>
      <c r="X675" s="463">
        <v>20</v>
      </c>
      <c r="Y675" s="463">
        <v>0</v>
      </c>
      <c r="Z675" s="463">
        <v>84.51</v>
      </c>
      <c r="AA675" s="472" t="s">
        <v>619</v>
      </c>
      <c r="AB675" s="463" t="s">
        <v>539</v>
      </c>
      <c r="AC675" s="463" t="s">
        <v>539</v>
      </c>
      <c r="AD675" s="472" t="s">
        <v>565</v>
      </c>
      <c r="AE675" s="463">
        <v>80</v>
      </c>
      <c r="AF675" s="463">
        <v>84.51</v>
      </c>
      <c r="AG675" s="463" t="s">
        <v>375</v>
      </c>
      <c r="AH675" s="476"/>
      <c r="AI675" s="472" t="s">
        <v>1931</v>
      </c>
      <c r="AJ675" s="464"/>
    </row>
    <row r="676" spans="2:36" ht="24" hidden="1" customHeight="1">
      <c r="B676" s="463">
        <v>563</v>
      </c>
      <c r="C676" s="464" t="s">
        <v>377</v>
      </c>
      <c r="D676" s="464"/>
      <c r="E676" s="464" t="s">
        <v>602</v>
      </c>
      <c r="F676" s="464"/>
      <c r="G676" s="464" t="s">
        <v>283</v>
      </c>
      <c r="H676" s="464" t="s">
        <v>1956</v>
      </c>
      <c r="I676" s="465" t="s">
        <v>537</v>
      </c>
      <c r="J676" s="465" t="s">
        <v>537</v>
      </c>
      <c r="K676" s="466">
        <v>150000</v>
      </c>
      <c r="L676" s="465" t="s">
        <v>537</v>
      </c>
      <c r="M676" s="465" t="s">
        <v>537</v>
      </c>
      <c r="N676" s="466">
        <v>150000</v>
      </c>
      <c r="O676" s="463" t="s">
        <v>537</v>
      </c>
      <c r="P676" s="463" t="s">
        <v>537</v>
      </c>
      <c r="Q676" s="465">
        <v>0</v>
      </c>
      <c r="R676" s="470">
        <v>241671</v>
      </c>
      <c r="S676" s="471">
        <v>22544</v>
      </c>
      <c r="T676" s="463">
        <v>0</v>
      </c>
      <c r="U676" s="463">
        <v>0</v>
      </c>
      <c r="V676" s="463">
        <v>0</v>
      </c>
      <c r="W676" s="463">
        <v>114</v>
      </c>
      <c r="X676" s="463">
        <v>52</v>
      </c>
      <c r="Y676" s="463">
        <v>0</v>
      </c>
      <c r="Z676" s="463">
        <v>97.16</v>
      </c>
      <c r="AA676" s="472" t="s">
        <v>1957</v>
      </c>
      <c r="AB676" s="463" t="s">
        <v>539</v>
      </c>
      <c r="AC676" s="463" t="s">
        <v>539</v>
      </c>
      <c r="AD676" s="472" t="s">
        <v>1958</v>
      </c>
      <c r="AE676" s="463" t="s">
        <v>539</v>
      </c>
      <c r="AF676" s="463" t="s">
        <v>539</v>
      </c>
      <c r="AG676" s="463" t="s">
        <v>375</v>
      </c>
      <c r="AH676" s="476"/>
      <c r="AI676" s="472" t="s">
        <v>1933</v>
      </c>
      <c r="AJ676" s="472" t="s">
        <v>543</v>
      </c>
    </row>
    <row r="677" spans="2:36" ht="24" hidden="1" customHeight="1">
      <c r="B677" s="463">
        <v>564</v>
      </c>
      <c r="C677" s="464" t="s">
        <v>377</v>
      </c>
      <c r="D677" s="464"/>
      <c r="E677" s="464" t="s">
        <v>602</v>
      </c>
      <c r="F677" s="464"/>
      <c r="G677" s="464" t="s">
        <v>283</v>
      </c>
      <c r="H677" s="464" t="s">
        <v>1959</v>
      </c>
      <c r="I677" s="465" t="s">
        <v>537</v>
      </c>
      <c r="J677" s="465" t="s">
        <v>537</v>
      </c>
      <c r="K677" s="466">
        <v>150000</v>
      </c>
      <c r="L677" s="465" t="s">
        <v>537</v>
      </c>
      <c r="M677" s="465" t="s">
        <v>537</v>
      </c>
      <c r="N677" s="466">
        <v>147750</v>
      </c>
      <c r="O677" s="463" t="s">
        <v>537</v>
      </c>
      <c r="P677" s="463" t="s">
        <v>537</v>
      </c>
      <c r="Q677" s="468">
        <v>2250</v>
      </c>
      <c r="R677" s="470">
        <v>241671</v>
      </c>
      <c r="S677" s="463" t="s">
        <v>1960</v>
      </c>
      <c r="T677" s="463">
        <v>0</v>
      </c>
      <c r="U677" s="463">
        <v>0</v>
      </c>
      <c r="V677" s="463">
        <v>0</v>
      </c>
      <c r="W677" s="463">
        <v>300</v>
      </c>
      <c r="X677" s="463">
        <v>100</v>
      </c>
      <c r="Y677" s="463">
        <v>0</v>
      </c>
      <c r="Z677" s="463">
        <v>90</v>
      </c>
      <c r="AA677" s="472" t="s">
        <v>1961</v>
      </c>
      <c r="AB677" s="463">
        <v>80</v>
      </c>
      <c r="AC677" s="463">
        <v>90</v>
      </c>
      <c r="AD677" s="472" t="s">
        <v>1962</v>
      </c>
      <c r="AE677" s="463" t="s">
        <v>539</v>
      </c>
      <c r="AF677" s="463" t="s">
        <v>539</v>
      </c>
      <c r="AG677" s="463" t="s">
        <v>375</v>
      </c>
      <c r="AH677" s="476"/>
      <c r="AI677" s="472" t="s">
        <v>1963</v>
      </c>
      <c r="AJ677" s="472" t="s">
        <v>543</v>
      </c>
    </row>
    <row r="678" spans="2:36" ht="24" hidden="1" customHeight="1">
      <c r="B678" s="463">
        <v>565</v>
      </c>
      <c r="C678" s="464" t="s">
        <v>534</v>
      </c>
      <c r="D678" s="464" t="s">
        <v>544</v>
      </c>
      <c r="E678" s="464" t="s">
        <v>535</v>
      </c>
      <c r="F678" s="464"/>
      <c r="G678" s="464" t="s">
        <v>283</v>
      </c>
      <c r="H678" s="464" t="s">
        <v>1964</v>
      </c>
      <c r="I678" s="465" t="s">
        <v>537</v>
      </c>
      <c r="J678" s="466">
        <v>60000</v>
      </c>
      <c r="K678" s="465" t="s">
        <v>537</v>
      </c>
      <c r="L678" s="465" t="s">
        <v>537</v>
      </c>
      <c r="M678" s="466">
        <v>60000</v>
      </c>
      <c r="N678" s="465" t="s">
        <v>537</v>
      </c>
      <c r="O678" s="463" t="s">
        <v>537</v>
      </c>
      <c r="P678" s="463" t="s">
        <v>537</v>
      </c>
      <c r="Q678" s="465">
        <v>0</v>
      </c>
      <c r="R678" s="470">
        <v>241671</v>
      </c>
      <c r="S678" s="463" t="s">
        <v>1965</v>
      </c>
      <c r="T678" s="463">
        <v>0</v>
      </c>
      <c r="U678" s="463">
        <v>100</v>
      </c>
      <c r="V678" s="463">
        <v>0</v>
      </c>
      <c r="W678" s="463">
        <v>0</v>
      </c>
      <c r="X678" s="463">
        <v>91</v>
      </c>
      <c r="Y678" s="463">
        <v>0</v>
      </c>
      <c r="Z678" s="463">
        <v>86.67</v>
      </c>
      <c r="AA678" s="472" t="s">
        <v>547</v>
      </c>
      <c r="AB678" s="463" t="s">
        <v>539</v>
      </c>
      <c r="AC678" s="463" t="s">
        <v>539</v>
      </c>
      <c r="AD678" s="472" t="s">
        <v>548</v>
      </c>
      <c r="AE678" s="463">
        <v>80</v>
      </c>
      <c r="AF678" s="463">
        <v>85.29</v>
      </c>
      <c r="AG678" s="463" t="s">
        <v>375</v>
      </c>
      <c r="AH678" s="476"/>
      <c r="AI678" s="472" t="s">
        <v>1966</v>
      </c>
      <c r="AJ678" s="464"/>
    </row>
    <row r="679" spans="2:36" ht="24" hidden="1" customHeight="1">
      <c r="B679" s="463">
        <v>566</v>
      </c>
      <c r="C679" s="464" t="s">
        <v>165</v>
      </c>
      <c r="D679" s="464" t="s">
        <v>544</v>
      </c>
      <c r="E679" s="464" t="s">
        <v>535</v>
      </c>
      <c r="F679" s="464"/>
      <c r="G679" s="464" t="s">
        <v>283</v>
      </c>
      <c r="H679" s="464" t="s">
        <v>1967</v>
      </c>
      <c r="I679" s="465" t="s">
        <v>537</v>
      </c>
      <c r="J679" s="466">
        <v>20000</v>
      </c>
      <c r="K679" s="465" t="s">
        <v>537</v>
      </c>
      <c r="L679" s="465" t="s">
        <v>537</v>
      </c>
      <c r="M679" s="466">
        <v>20000</v>
      </c>
      <c r="N679" s="465" t="s">
        <v>537</v>
      </c>
      <c r="O679" s="463" t="s">
        <v>537</v>
      </c>
      <c r="P679" s="463" t="s">
        <v>537</v>
      </c>
      <c r="Q679" s="465">
        <v>0</v>
      </c>
      <c r="R679" s="470">
        <v>241397</v>
      </c>
      <c r="S679" s="471">
        <v>22254</v>
      </c>
      <c r="T679" s="463">
        <v>0</v>
      </c>
      <c r="U679" s="463">
        <v>100</v>
      </c>
      <c r="V679" s="463">
        <v>0</v>
      </c>
      <c r="W679" s="463">
        <v>0</v>
      </c>
      <c r="X679" s="463">
        <v>150</v>
      </c>
      <c r="Y679" s="463">
        <v>0</v>
      </c>
      <c r="Z679" s="463">
        <v>85</v>
      </c>
      <c r="AA679" s="472" t="s">
        <v>547</v>
      </c>
      <c r="AB679" s="463" t="s">
        <v>539</v>
      </c>
      <c r="AC679" s="463" t="s">
        <v>539</v>
      </c>
      <c r="AD679" s="472" t="s">
        <v>548</v>
      </c>
      <c r="AE679" s="463">
        <v>80</v>
      </c>
      <c r="AF679" s="463">
        <v>85</v>
      </c>
      <c r="AG679" s="463" t="s">
        <v>375</v>
      </c>
      <c r="AH679" s="476"/>
      <c r="AI679" s="472" t="s">
        <v>1968</v>
      </c>
      <c r="AJ679" s="464"/>
    </row>
    <row r="680" spans="2:36" ht="24" hidden="1" customHeight="1">
      <c r="B680" s="463">
        <v>567</v>
      </c>
      <c r="C680" s="464" t="s">
        <v>165</v>
      </c>
      <c r="D680" s="464" t="s">
        <v>544</v>
      </c>
      <c r="E680" s="464" t="s">
        <v>535</v>
      </c>
      <c r="F680" s="464"/>
      <c r="G680" s="464" t="s">
        <v>283</v>
      </c>
      <c r="H680" s="464" t="s">
        <v>1969</v>
      </c>
      <c r="I680" s="465" t="s">
        <v>537</v>
      </c>
      <c r="J680" s="466">
        <v>100000</v>
      </c>
      <c r="K680" s="465" t="s">
        <v>537</v>
      </c>
      <c r="L680" s="465" t="s">
        <v>537</v>
      </c>
      <c r="M680" s="466">
        <v>100000</v>
      </c>
      <c r="N680" s="465" t="s">
        <v>537</v>
      </c>
      <c r="O680" s="463" t="s">
        <v>537</v>
      </c>
      <c r="P680" s="463" t="s">
        <v>537</v>
      </c>
      <c r="Q680" s="465">
        <v>0</v>
      </c>
      <c r="R680" s="470">
        <v>241671</v>
      </c>
      <c r="S680" s="471">
        <v>22548</v>
      </c>
      <c r="T680" s="463">
        <v>100</v>
      </c>
      <c r="U680" s="463">
        <v>50</v>
      </c>
      <c r="V680" s="463">
        <v>100</v>
      </c>
      <c r="W680" s="463">
        <v>979</v>
      </c>
      <c r="X680" s="463">
        <v>136</v>
      </c>
      <c r="Y680" s="463">
        <v>314</v>
      </c>
      <c r="Z680" s="464"/>
      <c r="AA680" s="472" t="s">
        <v>547</v>
      </c>
      <c r="AB680" s="463" t="s">
        <v>539</v>
      </c>
      <c r="AC680" s="463" t="s">
        <v>539</v>
      </c>
      <c r="AD680" s="472" t="s">
        <v>548</v>
      </c>
      <c r="AE680" s="463" t="s">
        <v>620</v>
      </c>
      <c r="AF680" s="463">
        <v>97.85</v>
      </c>
      <c r="AG680" s="463" t="s">
        <v>376</v>
      </c>
      <c r="AH680" s="476"/>
      <c r="AI680" s="472" t="s">
        <v>1970</v>
      </c>
      <c r="AJ680" s="464"/>
    </row>
    <row r="681" spans="2:36" ht="24" hidden="1" customHeight="1">
      <c r="B681" s="463">
        <v>568</v>
      </c>
      <c r="C681" s="464" t="s">
        <v>165</v>
      </c>
      <c r="D681" s="464" t="s">
        <v>544</v>
      </c>
      <c r="E681" s="464" t="s">
        <v>535</v>
      </c>
      <c r="F681" s="464"/>
      <c r="G681" s="464" t="s">
        <v>283</v>
      </c>
      <c r="H681" s="464" t="s">
        <v>1971</v>
      </c>
      <c r="I681" s="465" t="s">
        <v>537</v>
      </c>
      <c r="J681" s="466">
        <v>10000</v>
      </c>
      <c r="K681" s="465" t="s">
        <v>537</v>
      </c>
      <c r="L681" s="465" t="s">
        <v>537</v>
      </c>
      <c r="M681" s="466">
        <v>10000</v>
      </c>
      <c r="N681" s="465" t="s">
        <v>537</v>
      </c>
      <c r="O681" s="463" t="s">
        <v>537</v>
      </c>
      <c r="P681" s="463" t="s">
        <v>537</v>
      </c>
      <c r="Q681" s="465">
        <v>0</v>
      </c>
      <c r="R681" s="470">
        <v>241579</v>
      </c>
      <c r="S681" s="471">
        <v>22452</v>
      </c>
      <c r="T681" s="463">
        <v>900</v>
      </c>
      <c r="U681" s="463">
        <v>100</v>
      </c>
      <c r="V681" s="463">
        <v>0</v>
      </c>
      <c r="W681" s="463">
        <v>900</v>
      </c>
      <c r="X681" s="463">
        <v>100</v>
      </c>
      <c r="Y681" s="464"/>
      <c r="Z681" s="463">
        <v>84.87</v>
      </c>
      <c r="AA681" s="472" t="s">
        <v>547</v>
      </c>
      <c r="AB681" s="463" t="s">
        <v>539</v>
      </c>
      <c r="AC681" s="463" t="s">
        <v>539</v>
      </c>
      <c r="AD681" s="472" t="s">
        <v>548</v>
      </c>
      <c r="AE681" s="463" t="s">
        <v>620</v>
      </c>
      <c r="AF681" s="463">
        <v>85.45</v>
      </c>
      <c r="AG681" s="463" t="s">
        <v>376</v>
      </c>
      <c r="AH681" s="476"/>
      <c r="AI681" s="472" t="s">
        <v>1933</v>
      </c>
      <c r="AJ681" s="464"/>
    </row>
    <row r="682" spans="2:36" ht="24" hidden="1" customHeight="1">
      <c r="B682" s="463">
        <v>569</v>
      </c>
      <c r="C682" s="464" t="s">
        <v>165</v>
      </c>
      <c r="D682" s="464" t="s">
        <v>544</v>
      </c>
      <c r="E682" s="464" t="s">
        <v>535</v>
      </c>
      <c r="F682" s="464"/>
      <c r="G682" s="464" t="s">
        <v>283</v>
      </c>
      <c r="H682" s="464" t="s">
        <v>1972</v>
      </c>
      <c r="I682" s="465" t="s">
        <v>537</v>
      </c>
      <c r="J682" s="466">
        <v>80000</v>
      </c>
      <c r="K682" s="465" t="s">
        <v>537</v>
      </c>
      <c r="L682" s="465" t="s">
        <v>537</v>
      </c>
      <c r="M682" s="466">
        <v>80000</v>
      </c>
      <c r="N682" s="465" t="s">
        <v>537</v>
      </c>
      <c r="O682" s="463" t="s">
        <v>537</v>
      </c>
      <c r="P682" s="463" t="s">
        <v>537</v>
      </c>
      <c r="Q682" s="465">
        <v>0</v>
      </c>
      <c r="R682" s="470">
        <v>241397</v>
      </c>
      <c r="S682" s="471">
        <v>22277</v>
      </c>
      <c r="T682" s="463">
        <v>0</v>
      </c>
      <c r="U682" s="463">
        <v>240</v>
      </c>
      <c r="V682" s="463">
        <v>0</v>
      </c>
      <c r="W682" s="463">
        <v>0</v>
      </c>
      <c r="X682" s="463">
        <v>240</v>
      </c>
      <c r="Y682" s="463">
        <v>0</v>
      </c>
      <c r="Z682" s="463">
        <v>93.9</v>
      </c>
      <c r="AA682" s="472" t="s">
        <v>547</v>
      </c>
      <c r="AB682" s="463" t="s">
        <v>539</v>
      </c>
      <c r="AC682" s="463" t="s">
        <v>539</v>
      </c>
      <c r="AD682" s="472" t="s">
        <v>548</v>
      </c>
      <c r="AE682" s="463">
        <v>80</v>
      </c>
      <c r="AF682" s="463">
        <v>93.9</v>
      </c>
      <c r="AG682" s="463" t="s">
        <v>375</v>
      </c>
      <c r="AH682" s="476"/>
      <c r="AI682" s="472" t="s">
        <v>1933</v>
      </c>
      <c r="AJ682" s="464"/>
    </row>
    <row r="683" spans="2:36" ht="24" hidden="1" customHeight="1">
      <c r="B683" s="463">
        <v>570</v>
      </c>
      <c r="C683" s="464" t="s">
        <v>165</v>
      </c>
      <c r="D683" s="464" t="s">
        <v>544</v>
      </c>
      <c r="E683" s="464" t="s">
        <v>535</v>
      </c>
      <c r="F683" s="464"/>
      <c r="G683" s="464" t="s">
        <v>283</v>
      </c>
      <c r="H683" s="464" t="s">
        <v>1973</v>
      </c>
      <c r="I683" s="465" t="s">
        <v>537</v>
      </c>
      <c r="J683" s="466">
        <v>68000</v>
      </c>
      <c r="K683" s="465" t="s">
        <v>537</v>
      </c>
      <c r="L683" s="465" t="s">
        <v>537</v>
      </c>
      <c r="M683" s="466">
        <v>68000</v>
      </c>
      <c r="N683" s="465" t="s">
        <v>537</v>
      </c>
      <c r="O683" s="463" t="s">
        <v>537</v>
      </c>
      <c r="P683" s="463" t="s">
        <v>537</v>
      </c>
      <c r="Q683" s="465">
        <v>0</v>
      </c>
      <c r="R683" s="470">
        <v>241459</v>
      </c>
      <c r="S683" s="463" t="s">
        <v>732</v>
      </c>
      <c r="T683" s="463">
        <v>0</v>
      </c>
      <c r="U683" s="463">
        <v>45</v>
      </c>
      <c r="V683" s="463">
        <v>0</v>
      </c>
      <c r="W683" s="463">
        <v>0</v>
      </c>
      <c r="X683" s="463">
        <v>45</v>
      </c>
      <c r="Y683" s="463">
        <v>0</v>
      </c>
      <c r="Z683" s="463">
        <v>91.11</v>
      </c>
      <c r="AA683" s="472" t="s">
        <v>547</v>
      </c>
      <c r="AB683" s="463" t="s">
        <v>539</v>
      </c>
      <c r="AC683" s="463" t="s">
        <v>539</v>
      </c>
      <c r="AD683" s="472" t="s">
        <v>548</v>
      </c>
      <c r="AE683" s="463">
        <v>80</v>
      </c>
      <c r="AF683" s="463">
        <v>91.39</v>
      </c>
      <c r="AG683" s="463" t="s">
        <v>375</v>
      </c>
      <c r="AH683" s="476"/>
      <c r="AI683" s="472" t="s">
        <v>1933</v>
      </c>
      <c r="AJ683" s="464"/>
    </row>
    <row r="684" spans="2:36" ht="24" hidden="1" customHeight="1">
      <c r="B684" s="463">
        <v>571</v>
      </c>
      <c r="C684" s="464" t="s">
        <v>165</v>
      </c>
      <c r="D684" s="464" t="s">
        <v>544</v>
      </c>
      <c r="E684" s="464" t="s">
        <v>535</v>
      </c>
      <c r="F684" s="464"/>
      <c r="G684" s="464" t="s">
        <v>283</v>
      </c>
      <c r="H684" s="464" t="s">
        <v>1974</v>
      </c>
      <c r="I684" s="465" t="s">
        <v>537</v>
      </c>
      <c r="J684" s="466">
        <v>60000</v>
      </c>
      <c r="K684" s="465" t="s">
        <v>537</v>
      </c>
      <c r="L684" s="465" t="s">
        <v>537</v>
      </c>
      <c r="M684" s="466">
        <v>60000</v>
      </c>
      <c r="N684" s="465" t="s">
        <v>537</v>
      </c>
      <c r="O684" s="463" t="s">
        <v>537</v>
      </c>
      <c r="P684" s="463" t="s">
        <v>537</v>
      </c>
      <c r="Q684" s="465">
        <v>0</v>
      </c>
      <c r="R684" s="470">
        <v>241671</v>
      </c>
      <c r="S684" s="471">
        <v>22541</v>
      </c>
      <c r="T684" s="463">
        <v>0</v>
      </c>
      <c r="U684" s="463">
        <v>100</v>
      </c>
      <c r="V684" s="463">
        <v>0</v>
      </c>
      <c r="W684" s="463">
        <v>0</v>
      </c>
      <c r="X684" s="463">
        <v>121</v>
      </c>
      <c r="Y684" s="463">
        <v>0</v>
      </c>
      <c r="Z684" s="463">
        <v>92.55</v>
      </c>
      <c r="AA684" s="472" t="s">
        <v>547</v>
      </c>
      <c r="AB684" s="463" t="s">
        <v>539</v>
      </c>
      <c r="AC684" s="463" t="s">
        <v>539</v>
      </c>
      <c r="AD684" s="472" t="s">
        <v>548</v>
      </c>
      <c r="AE684" s="463">
        <v>80</v>
      </c>
      <c r="AF684" s="463">
        <v>95.84</v>
      </c>
      <c r="AG684" s="463" t="s">
        <v>375</v>
      </c>
      <c r="AH684" s="476"/>
      <c r="AI684" s="472" t="s">
        <v>1975</v>
      </c>
      <c r="AJ684" s="464"/>
    </row>
    <row r="685" spans="2:36" ht="24" hidden="1" customHeight="1">
      <c r="B685" s="463">
        <v>572</v>
      </c>
      <c r="C685" s="464" t="s">
        <v>534</v>
      </c>
      <c r="D685" s="464"/>
      <c r="E685" s="464" t="s">
        <v>535</v>
      </c>
      <c r="F685" s="464"/>
      <c r="G685" s="464" t="s">
        <v>283</v>
      </c>
      <c r="H685" s="464" t="s">
        <v>1976</v>
      </c>
      <c r="I685" s="466">
        <v>50000</v>
      </c>
      <c r="J685" s="465" t="s">
        <v>537</v>
      </c>
      <c r="K685" s="465" t="s">
        <v>537</v>
      </c>
      <c r="L685" s="466">
        <v>50000</v>
      </c>
      <c r="M685" s="465" t="s">
        <v>537</v>
      </c>
      <c r="N685" s="465" t="s">
        <v>537</v>
      </c>
      <c r="O685" s="463" t="s">
        <v>537</v>
      </c>
      <c r="P685" s="463" t="s">
        <v>537</v>
      </c>
      <c r="Q685" s="465">
        <v>0</v>
      </c>
      <c r="R685" s="470">
        <v>241428</v>
      </c>
      <c r="S685" s="471">
        <v>22305</v>
      </c>
      <c r="T685" s="463">
        <v>150</v>
      </c>
      <c r="U685" s="463">
        <v>50</v>
      </c>
      <c r="V685" s="463">
        <v>0</v>
      </c>
      <c r="W685" s="463">
        <v>151</v>
      </c>
      <c r="X685" s="463">
        <v>49</v>
      </c>
      <c r="Y685" s="463">
        <v>0</v>
      </c>
      <c r="Z685" s="463">
        <v>87.71</v>
      </c>
      <c r="AA685" s="472" t="s">
        <v>547</v>
      </c>
      <c r="AB685" s="463" t="s">
        <v>539</v>
      </c>
      <c r="AC685" s="463" t="s">
        <v>539</v>
      </c>
      <c r="AD685" s="472" t="s">
        <v>548</v>
      </c>
      <c r="AE685" s="463" t="s">
        <v>620</v>
      </c>
      <c r="AF685" s="463">
        <v>87.71</v>
      </c>
      <c r="AG685" s="463" t="s">
        <v>376</v>
      </c>
      <c r="AH685" s="476"/>
      <c r="AI685" s="472">
        <v>840561256</v>
      </c>
      <c r="AJ685" s="464"/>
    </row>
    <row r="686" spans="2:36" ht="24" hidden="1" customHeight="1">
      <c r="B686" s="463">
        <v>573</v>
      </c>
      <c r="C686" s="464" t="s">
        <v>534</v>
      </c>
      <c r="D686" s="464"/>
      <c r="E686" s="464" t="s">
        <v>535</v>
      </c>
      <c r="F686" s="464"/>
      <c r="G686" s="464" t="s">
        <v>283</v>
      </c>
      <c r="H686" s="464" t="s">
        <v>1977</v>
      </c>
      <c r="I686" s="466">
        <v>50000</v>
      </c>
      <c r="J686" s="465" t="s">
        <v>537</v>
      </c>
      <c r="K686" s="465" t="s">
        <v>537</v>
      </c>
      <c r="L686" s="466">
        <v>50000</v>
      </c>
      <c r="M686" s="465" t="s">
        <v>537</v>
      </c>
      <c r="N686" s="465" t="s">
        <v>537</v>
      </c>
      <c r="O686" s="463" t="s">
        <v>537</v>
      </c>
      <c r="P686" s="463" t="s">
        <v>537</v>
      </c>
      <c r="Q686" s="465">
        <v>0</v>
      </c>
      <c r="R686" s="470">
        <v>241397</v>
      </c>
      <c r="S686" s="471">
        <v>22276</v>
      </c>
      <c r="T686" s="463">
        <v>0</v>
      </c>
      <c r="U686" s="463">
        <v>150</v>
      </c>
      <c r="V686" s="463">
        <v>0</v>
      </c>
      <c r="W686" s="463">
        <v>19</v>
      </c>
      <c r="X686" s="463">
        <v>181</v>
      </c>
      <c r="Y686" s="464"/>
      <c r="Z686" s="463">
        <v>95.03</v>
      </c>
      <c r="AA686" s="472" t="s">
        <v>1978</v>
      </c>
      <c r="AB686" s="463" t="s">
        <v>539</v>
      </c>
      <c r="AC686" s="463">
        <v>95.03</v>
      </c>
      <c r="AD686" s="472" t="s">
        <v>565</v>
      </c>
      <c r="AE686" s="463" t="s">
        <v>620</v>
      </c>
      <c r="AF686" s="463">
        <v>95.03</v>
      </c>
      <c r="AG686" s="463" t="s">
        <v>376</v>
      </c>
      <c r="AH686" s="476"/>
      <c r="AI686" s="472">
        <v>908747090</v>
      </c>
      <c r="AJ686" s="464"/>
    </row>
    <row r="687" spans="2:36" ht="24" hidden="1" customHeight="1">
      <c r="B687" s="463">
        <v>574</v>
      </c>
      <c r="C687" s="464" t="s">
        <v>534</v>
      </c>
      <c r="D687" s="464"/>
      <c r="E687" s="464" t="s">
        <v>535</v>
      </c>
      <c r="F687" s="464"/>
      <c r="G687" s="464" t="s">
        <v>283</v>
      </c>
      <c r="H687" s="464" t="s">
        <v>1979</v>
      </c>
      <c r="I687" s="466">
        <v>50000</v>
      </c>
      <c r="J687" s="465" t="s">
        <v>537</v>
      </c>
      <c r="K687" s="465" t="s">
        <v>537</v>
      </c>
      <c r="L687" s="466">
        <v>47000</v>
      </c>
      <c r="M687" s="465" t="s">
        <v>537</v>
      </c>
      <c r="N687" s="465" t="s">
        <v>537</v>
      </c>
      <c r="O687" s="463" t="s">
        <v>537</v>
      </c>
      <c r="P687" s="463" t="s">
        <v>537</v>
      </c>
      <c r="Q687" s="468">
        <v>3000</v>
      </c>
      <c r="R687" s="463" t="s">
        <v>747</v>
      </c>
      <c r="S687" s="471">
        <v>22526</v>
      </c>
      <c r="T687" s="463">
        <v>100</v>
      </c>
      <c r="U687" s="463">
        <v>10</v>
      </c>
      <c r="V687" s="463">
        <v>0</v>
      </c>
      <c r="W687" s="463">
        <v>100</v>
      </c>
      <c r="X687" s="463">
        <v>15</v>
      </c>
      <c r="Y687" s="463">
        <v>0</v>
      </c>
      <c r="Z687" s="463">
        <v>93.18</v>
      </c>
      <c r="AA687" s="472" t="s">
        <v>547</v>
      </c>
      <c r="AB687" s="463" t="s">
        <v>539</v>
      </c>
      <c r="AC687" s="463" t="s">
        <v>539</v>
      </c>
      <c r="AD687" s="472" t="s">
        <v>699</v>
      </c>
      <c r="AE687" s="463" t="s">
        <v>1172</v>
      </c>
      <c r="AF687" s="463">
        <v>93.18</v>
      </c>
      <c r="AG687" s="463" t="s">
        <v>375</v>
      </c>
      <c r="AH687" s="476"/>
      <c r="AI687" s="472" t="s">
        <v>1931</v>
      </c>
      <c r="AJ687" s="464"/>
    </row>
    <row r="688" spans="2:36" ht="24" hidden="1" customHeight="1">
      <c r="B688" s="463">
        <v>575</v>
      </c>
      <c r="C688" s="464" t="s">
        <v>534</v>
      </c>
      <c r="D688" s="464"/>
      <c r="E688" s="464" t="s">
        <v>535</v>
      </c>
      <c r="F688" s="464"/>
      <c r="G688" s="464" t="s">
        <v>283</v>
      </c>
      <c r="H688" s="464" t="s">
        <v>1890</v>
      </c>
      <c r="I688" s="466">
        <v>100000</v>
      </c>
      <c r="J688" s="465" t="s">
        <v>537</v>
      </c>
      <c r="K688" s="465" t="s">
        <v>537</v>
      </c>
      <c r="L688" s="466">
        <v>100000</v>
      </c>
      <c r="M688" s="465" t="s">
        <v>537</v>
      </c>
      <c r="N688" s="465" t="s">
        <v>537</v>
      </c>
      <c r="O688" s="463" t="s">
        <v>537</v>
      </c>
      <c r="P688" s="463" t="s">
        <v>537</v>
      </c>
      <c r="Q688" s="465">
        <v>0</v>
      </c>
      <c r="R688" s="470">
        <v>241640</v>
      </c>
      <c r="S688" s="463" t="s">
        <v>1980</v>
      </c>
      <c r="T688" s="463">
        <v>200</v>
      </c>
      <c r="U688" s="463">
        <v>100</v>
      </c>
      <c r="V688" s="463">
        <v>0</v>
      </c>
      <c r="W688" s="463">
        <v>200</v>
      </c>
      <c r="X688" s="463">
        <v>100</v>
      </c>
      <c r="Y688" s="463">
        <v>0</v>
      </c>
      <c r="Z688" s="463">
        <v>95</v>
      </c>
      <c r="AA688" s="472" t="s">
        <v>547</v>
      </c>
      <c r="AB688" s="463" t="s">
        <v>539</v>
      </c>
      <c r="AC688" s="463" t="s">
        <v>539</v>
      </c>
      <c r="AD688" s="472" t="s">
        <v>548</v>
      </c>
      <c r="AE688" s="463" t="s">
        <v>620</v>
      </c>
      <c r="AF688" s="463">
        <v>93</v>
      </c>
      <c r="AG688" s="463" t="s">
        <v>376</v>
      </c>
      <c r="AH688" s="476"/>
      <c r="AI688" s="472" t="s">
        <v>1966</v>
      </c>
      <c r="AJ688" s="464"/>
    </row>
    <row r="689" spans="1:36" ht="24" hidden="1" customHeight="1">
      <c r="B689" s="463">
        <v>576</v>
      </c>
      <c r="C689" s="464" t="s">
        <v>534</v>
      </c>
      <c r="D689" s="464"/>
      <c r="E689" s="464" t="s">
        <v>535</v>
      </c>
      <c r="F689" s="464"/>
      <c r="G689" s="464" t="s">
        <v>283</v>
      </c>
      <c r="H689" s="464" t="s">
        <v>1981</v>
      </c>
      <c r="I689" s="466">
        <v>300000</v>
      </c>
      <c r="J689" s="465" t="s">
        <v>537</v>
      </c>
      <c r="K689" s="465" t="s">
        <v>537</v>
      </c>
      <c r="L689" s="466">
        <v>265920</v>
      </c>
      <c r="M689" s="465" t="s">
        <v>537</v>
      </c>
      <c r="N689" s="465" t="s">
        <v>537</v>
      </c>
      <c r="O689" s="463" t="s">
        <v>537</v>
      </c>
      <c r="P689" s="463" t="s">
        <v>537</v>
      </c>
      <c r="Q689" s="468">
        <v>34080</v>
      </c>
      <c r="R689" s="463" t="s">
        <v>552</v>
      </c>
      <c r="S689" s="463" t="s">
        <v>1982</v>
      </c>
      <c r="T689" s="463">
        <v>300</v>
      </c>
      <c r="U689" s="463">
        <v>50</v>
      </c>
      <c r="V689" s="463">
        <v>0</v>
      </c>
      <c r="W689" s="463">
        <v>368</v>
      </c>
      <c r="X689" s="463">
        <v>50</v>
      </c>
      <c r="Y689" s="463">
        <v>0</v>
      </c>
      <c r="Z689" s="463">
        <v>91.21</v>
      </c>
      <c r="AA689" s="472" t="s">
        <v>1907</v>
      </c>
      <c r="AB689" s="463" t="s">
        <v>539</v>
      </c>
      <c r="AC689" s="463" t="s">
        <v>539</v>
      </c>
      <c r="AD689" s="472" t="s">
        <v>565</v>
      </c>
      <c r="AE689" s="463" t="s">
        <v>620</v>
      </c>
      <c r="AF689" s="463">
        <v>91.21</v>
      </c>
      <c r="AG689" s="463" t="s">
        <v>376</v>
      </c>
      <c r="AH689" s="476"/>
      <c r="AI689" s="472">
        <v>994398448</v>
      </c>
      <c r="AJ689" s="464"/>
    </row>
    <row r="690" spans="1:36" ht="24" hidden="1" customHeight="1">
      <c r="B690" s="463">
        <v>577</v>
      </c>
      <c r="C690" s="464" t="s">
        <v>534</v>
      </c>
      <c r="D690" s="464"/>
      <c r="E690" s="464" t="s">
        <v>535</v>
      </c>
      <c r="F690" s="464"/>
      <c r="G690" s="464" t="s">
        <v>283</v>
      </c>
      <c r="H690" s="464" t="s">
        <v>1983</v>
      </c>
      <c r="I690" s="466">
        <v>100000</v>
      </c>
      <c r="J690" s="465" t="s">
        <v>537</v>
      </c>
      <c r="K690" s="465" t="s">
        <v>537</v>
      </c>
      <c r="L690" s="466">
        <v>90922.4</v>
      </c>
      <c r="M690" s="465" t="s">
        <v>537</v>
      </c>
      <c r="N690" s="465" t="s">
        <v>537</v>
      </c>
      <c r="O690" s="463" t="s">
        <v>537</v>
      </c>
      <c r="P690" s="463" t="s">
        <v>537</v>
      </c>
      <c r="Q690" s="468">
        <v>9078</v>
      </c>
      <c r="R690" s="463" t="s">
        <v>1984</v>
      </c>
      <c r="S690" s="463" t="s">
        <v>1985</v>
      </c>
      <c r="T690" s="463">
        <v>25</v>
      </c>
      <c r="U690" s="463">
        <v>15</v>
      </c>
      <c r="V690" s="463">
        <v>200</v>
      </c>
      <c r="W690" s="463">
        <v>30</v>
      </c>
      <c r="X690" s="463">
        <v>15</v>
      </c>
      <c r="Y690" s="463">
        <v>200</v>
      </c>
      <c r="Z690" s="463">
        <v>89</v>
      </c>
      <c r="AA690" s="472" t="s">
        <v>1181</v>
      </c>
      <c r="AB690" s="463" t="s">
        <v>539</v>
      </c>
      <c r="AC690" s="463" t="s">
        <v>539</v>
      </c>
      <c r="AD690" s="472" t="s">
        <v>1016</v>
      </c>
      <c r="AE690" s="463" t="s">
        <v>620</v>
      </c>
      <c r="AF690" s="463">
        <v>89</v>
      </c>
      <c r="AG690" s="463" t="s">
        <v>376</v>
      </c>
      <c r="AH690" s="476"/>
      <c r="AI690" s="472">
        <v>817194220</v>
      </c>
      <c r="AJ690" s="464"/>
    </row>
    <row r="691" spans="1:36" ht="24" hidden="1" customHeight="1">
      <c r="B691" s="463">
        <v>578</v>
      </c>
      <c r="C691" s="464" t="s">
        <v>534</v>
      </c>
      <c r="D691" s="464"/>
      <c r="E691" s="464" t="s">
        <v>535</v>
      </c>
      <c r="F691" s="464"/>
      <c r="G691" s="464" t="s">
        <v>283</v>
      </c>
      <c r="H691" s="464" t="s">
        <v>1986</v>
      </c>
      <c r="I691" s="466">
        <v>100000</v>
      </c>
      <c r="J691" s="465" t="s">
        <v>537</v>
      </c>
      <c r="K691" s="465" t="s">
        <v>537</v>
      </c>
      <c r="L691" s="466">
        <v>100000</v>
      </c>
      <c r="M691" s="465" t="s">
        <v>537</v>
      </c>
      <c r="N691" s="465" t="s">
        <v>537</v>
      </c>
      <c r="O691" s="463" t="s">
        <v>537</v>
      </c>
      <c r="P691" s="463" t="s">
        <v>537</v>
      </c>
      <c r="Q691" s="465">
        <v>0</v>
      </c>
      <c r="R691" s="470">
        <v>241459</v>
      </c>
      <c r="S691" s="463" t="s">
        <v>1987</v>
      </c>
      <c r="T691" s="463">
        <v>150</v>
      </c>
      <c r="U691" s="463">
        <v>30</v>
      </c>
      <c r="V691" s="463">
        <v>20</v>
      </c>
      <c r="W691" s="463">
        <v>210</v>
      </c>
      <c r="X691" s="463">
        <v>40</v>
      </c>
      <c r="Y691" s="463">
        <v>150</v>
      </c>
      <c r="Z691" s="463">
        <v>92.25</v>
      </c>
      <c r="AA691" s="472" t="s">
        <v>547</v>
      </c>
      <c r="AB691" s="463" t="s">
        <v>539</v>
      </c>
      <c r="AC691" s="463" t="s">
        <v>539</v>
      </c>
      <c r="AD691" s="472" t="s">
        <v>548</v>
      </c>
      <c r="AE691" s="463" t="s">
        <v>620</v>
      </c>
      <c r="AF691" s="463">
        <v>94.5</v>
      </c>
      <c r="AG691" s="463" t="s">
        <v>376</v>
      </c>
      <c r="AH691" s="476"/>
      <c r="AI691" s="472" t="s">
        <v>1933</v>
      </c>
      <c r="AJ691" s="464"/>
    </row>
    <row r="692" spans="1:36" ht="24" hidden="1" customHeight="1">
      <c r="B692" s="463">
        <v>579</v>
      </c>
      <c r="C692" s="464" t="s">
        <v>534</v>
      </c>
      <c r="D692" s="464"/>
      <c r="E692" s="464" t="s">
        <v>535</v>
      </c>
      <c r="F692" s="464"/>
      <c r="G692" s="464" t="s">
        <v>283</v>
      </c>
      <c r="H692" s="464" t="s">
        <v>1988</v>
      </c>
      <c r="I692" s="466">
        <v>300000</v>
      </c>
      <c r="J692" s="465" t="s">
        <v>537</v>
      </c>
      <c r="K692" s="465" t="s">
        <v>537</v>
      </c>
      <c r="L692" s="466">
        <v>284865.25</v>
      </c>
      <c r="M692" s="465" t="s">
        <v>537</v>
      </c>
      <c r="N692" s="465" t="s">
        <v>537</v>
      </c>
      <c r="O692" s="463" t="s">
        <v>537</v>
      </c>
      <c r="P692" s="463" t="s">
        <v>537</v>
      </c>
      <c r="Q692" s="468">
        <v>15135</v>
      </c>
      <c r="R692" s="463" t="s">
        <v>552</v>
      </c>
      <c r="S692" s="463" t="s">
        <v>1989</v>
      </c>
      <c r="T692" s="463">
        <v>655</v>
      </c>
      <c r="U692" s="463">
        <v>23</v>
      </c>
      <c r="V692" s="463">
        <v>0</v>
      </c>
      <c r="W692" s="463">
        <v>722</v>
      </c>
      <c r="X692" s="463">
        <v>23</v>
      </c>
      <c r="Y692" s="463">
        <v>0</v>
      </c>
      <c r="Z692" s="463">
        <v>94.5</v>
      </c>
      <c r="AA692" s="472" t="s">
        <v>1907</v>
      </c>
      <c r="AB692" s="463" t="s">
        <v>539</v>
      </c>
      <c r="AC692" s="463" t="s">
        <v>539</v>
      </c>
      <c r="AD692" s="472" t="s">
        <v>565</v>
      </c>
      <c r="AE692" s="463" t="s">
        <v>620</v>
      </c>
      <c r="AF692" s="463">
        <v>93.87</v>
      </c>
      <c r="AG692" s="463" t="s">
        <v>376</v>
      </c>
      <c r="AH692" s="476"/>
      <c r="AI692" s="472" t="s">
        <v>1970</v>
      </c>
      <c r="AJ692" s="464"/>
    </row>
    <row r="693" spans="1:36" ht="24" hidden="1" customHeight="1">
      <c r="B693" s="463">
        <v>580</v>
      </c>
      <c r="C693" s="464" t="s">
        <v>534</v>
      </c>
      <c r="D693" s="464"/>
      <c r="E693" s="464" t="s">
        <v>535</v>
      </c>
      <c r="F693" s="464"/>
      <c r="G693" s="464" t="s">
        <v>283</v>
      </c>
      <c r="H693" s="464" t="s">
        <v>1990</v>
      </c>
      <c r="I693" s="465" t="s">
        <v>537</v>
      </c>
      <c r="J693" s="465" t="s">
        <v>537</v>
      </c>
      <c r="K693" s="466">
        <v>1025320</v>
      </c>
      <c r="L693" s="465" t="s">
        <v>537</v>
      </c>
      <c r="M693" s="465" t="s">
        <v>537</v>
      </c>
      <c r="N693" s="466">
        <v>1018856.36</v>
      </c>
      <c r="O693" s="463" t="s">
        <v>537</v>
      </c>
      <c r="P693" s="463" t="s">
        <v>537</v>
      </c>
      <c r="Q693" s="468">
        <v>6464</v>
      </c>
      <c r="R693" s="470">
        <v>241428</v>
      </c>
      <c r="S693" s="463" t="s">
        <v>623</v>
      </c>
      <c r="T693" s="463">
        <v>0</v>
      </c>
      <c r="U693" s="463">
        <v>275</v>
      </c>
      <c r="V693" s="463">
        <v>1000</v>
      </c>
      <c r="W693" s="463">
        <v>68</v>
      </c>
      <c r="X693" s="463">
        <v>132</v>
      </c>
      <c r="Y693" s="463">
        <v>931</v>
      </c>
      <c r="Z693" s="463">
        <v>93.68</v>
      </c>
      <c r="AA693" s="472" t="s">
        <v>1077</v>
      </c>
      <c r="AB693" s="463">
        <v>80</v>
      </c>
      <c r="AC693" s="463" t="s">
        <v>539</v>
      </c>
      <c r="AD693" s="472" t="s">
        <v>571</v>
      </c>
      <c r="AE693" s="463">
        <v>80</v>
      </c>
      <c r="AF693" s="463">
        <v>90.52</v>
      </c>
      <c r="AG693" s="463" t="s">
        <v>375</v>
      </c>
      <c r="AH693" s="476"/>
      <c r="AI693" s="472" t="s">
        <v>1970</v>
      </c>
      <c r="AJ693" s="472" t="s">
        <v>543</v>
      </c>
    </row>
    <row r="694" spans="1:36" ht="24" hidden="1" customHeight="1">
      <c r="B694" s="463">
        <v>581</v>
      </c>
      <c r="C694" s="464" t="s">
        <v>534</v>
      </c>
      <c r="D694" s="464"/>
      <c r="E694" s="464" t="s">
        <v>535</v>
      </c>
      <c r="F694" s="464"/>
      <c r="G694" s="464" t="s">
        <v>283</v>
      </c>
      <c r="H694" s="464" t="s">
        <v>1991</v>
      </c>
      <c r="I694" s="465" t="s">
        <v>537</v>
      </c>
      <c r="J694" s="465" t="s">
        <v>537</v>
      </c>
      <c r="K694" s="466">
        <v>50000</v>
      </c>
      <c r="L694" s="465" t="s">
        <v>537</v>
      </c>
      <c r="M694" s="465" t="s">
        <v>537</v>
      </c>
      <c r="N694" s="466">
        <v>50000</v>
      </c>
      <c r="O694" s="463" t="s">
        <v>537</v>
      </c>
      <c r="P694" s="463" t="s">
        <v>537</v>
      </c>
      <c r="Q694" s="465">
        <v>0</v>
      </c>
      <c r="R694" s="470">
        <v>241397</v>
      </c>
      <c r="S694" s="471">
        <v>22276</v>
      </c>
      <c r="T694" s="463">
        <v>0</v>
      </c>
      <c r="U694" s="463">
        <v>200</v>
      </c>
      <c r="V694" s="463">
        <v>0</v>
      </c>
      <c r="W694" s="463">
        <v>0</v>
      </c>
      <c r="X694" s="463">
        <v>200</v>
      </c>
      <c r="Y694" s="463">
        <v>0</v>
      </c>
      <c r="Z694" s="463">
        <v>88.67</v>
      </c>
      <c r="AA694" s="472" t="s">
        <v>547</v>
      </c>
      <c r="AB694" s="463" t="s">
        <v>539</v>
      </c>
      <c r="AC694" s="463" t="s">
        <v>539</v>
      </c>
      <c r="AD694" s="472" t="s">
        <v>1075</v>
      </c>
      <c r="AE694" s="463">
        <v>80</v>
      </c>
      <c r="AF694" s="463">
        <v>87.2</v>
      </c>
      <c r="AG694" s="463" t="s">
        <v>375</v>
      </c>
      <c r="AH694" s="476"/>
      <c r="AI694" s="472" t="s">
        <v>1966</v>
      </c>
      <c r="AJ694" s="472" t="s">
        <v>543</v>
      </c>
    </row>
    <row r="695" spans="1:36" ht="24" hidden="1" customHeight="1">
      <c r="B695" s="463">
        <v>582</v>
      </c>
      <c r="C695" s="464" t="s">
        <v>534</v>
      </c>
      <c r="D695" s="464"/>
      <c r="E695" s="464" t="s">
        <v>535</v>
      </c>
      <c r="F695" s="464"/>
      <c r="G695" s="464" t="s">
        <v>283</v>
      </c>
      <c r="H695" s="464" t="s">
        <v>1992</v>
      </c>
      <c r="I695" s="465" t="s">
        <v>537</v>
      </c>
      <c r="J695" s="465" t="s">
        <v>537</v>
      </c>
      <c r="K695" s="466">
        <v>50000</v>
      </c>
      <c r="L695" s="465" t="s">
        <v>537</v>
      </c>
      <c r="M695" s="465" t="s">
        <v>537</v>
      </c>
      <c r="N695" s="466">
        <v>50000</v>
      </c>
      <c r="O695" s="463" t="s">
        <v>537</v>
      </c>
      <c r="P695" s="463" t="s">
        <v>537</v>
      </c>
      <c r="Q695" s="465">
        <v>0</v>
      </c>
      <c r="R695" s="470">
        <v>241397</v>
      </c>
      <c r="S695" s="471">
        <v>22278</v>
      </c>
      <c r="T695" s="463">
        <v>0</v>
      </c>
      <c r="U695" s="463">
        <v>200</v>
      </c>
      <c r="V695" s="463">
        <v>0</v>
      </c>
      <c r="W695" s="463">
        <v>0</v>
      </c>
      <c r="X695" s="463">
        <v>214</v>
      </c>
      <c r="Y695" s="463">
        <v>0</v>
      </c>
      <c r="Z695" s="463">
        <v>92.77</v>
      </c>
      <c r="AA695" s="472" t="s">
        <v>1907</v>
      </c>
      <c r="AB695" s="463" t="s">
        <v>539</v>
      </c>
      <c r="AC695" s="463" t="s">
        <v>539</v>
      </c>
      <c r="AD695" s="472" t="s">
        <v>606</v>
      </c>
      <c r="AE695" s="463">
        <v>80</v>
      </c>
      <c r="AF695" s="463">
        <v>94.56</v>
      </c>
      <c r="AG695" s="463" t="s">
        <v>375</v>
      </c>
      <c r="AH695" s="476"/>
      <c r="AI695" s="472" t="s">
        <v>1993</v>
      </c>
      <c r="AJ695" s="472" t="s">
        <v>543</v>
      </c>
    </row>
    <row r="696" spans="1:36" ht="24" hidden="1" customHeight="1">
      <c r="B696" s="463">
        <v>583</v>
      </c>
      <c r="C696" s="464" t="s">
        <v>534</v>
      </c>
      <c r="D696" s="464"/>
      <c r="E696" s="464" t="s">
        <v>535</v>
      </c>
      <c r="F696" s="464"/>
      <c r="G696" s="464" t="s">
        <v>283</v>
      </c>
      <c r="H696" s="464" t="s">
        <v>1994</v>
      </c>
      <c r="I696" s="465" t="s">
        <v>537</v>
      </c>
      <c r="J696" s="465" t="s">
        <v>537</v>
      </c>
      <c r="K696" s="466">
        <v>152000</v>
      </c>
      <c r="L696" s="465" t="s">
        <v>537</v>
      </c>
      <c r="M696" s="465" t="s">
        <v>537</v>
      </c>
      <c r="N696" s="466">
        <v>132000</v>
      </c>
      <c r="O696" s="463" t="s">
        <v>537</v>
      </c>
      <c r="P696" s="463" t="s">
        <v>537</v>
      </c>
      <c r="Q696" s="468">
        <v>20000</v>
      </c>
      <c r="R696" s="470">
        <v>241609</v>
      </c>
      <c r="S696" s="463" t="s">
        <v>1995</v>
      </c>
      <c r="T696" s="463">
        <v>20</v>
      </c>
      <c r="U696" s="463">
        <v>100</v>
      </c>
      <c r="V696" s="463">
        <v>0</v>
      </c>
      <c r="W696" s="463">
        <v>113</v>
      </c>
      <c r="X696" s="463">
        <v>44</v>
      </c>
      <c r="Y696" s="463">
        <v>98</v>
      </c>
      <c r="Z696" s="463">
        <v>92</v>
      </c>
      <c r="AA696" s="472" t="s">
        <v>1875</v>
      </c>
      <c r="AB696" s="463" t="s">
        <v>539</v>
      </c>
      <c r="AC696" s="463" t="s">
        <v>539</v>
      </c>
      <c r="AD696" s="472" t="s">
        <v>565</v>
      </c>
      <c r="AE696" s="463">
        <v>80</v>
      </c>
      <c r="AF696" s="463">
        <v>92</v>
      </c>
      <c r="AG696" s="463" t="s">
        <v>375</v>
      </c>
      <c r="AH696" s="476"/>
      <c r="AI696" s="472">
        <v>817194220</v>
      </c>
      <c r="AJ696" s="472" t="s">
        <v>543</v>
      </c>
    </row>
    <row r="697" spans="1:36" ht="24" hidden="1" customHeight="1">
      <c r="B697" s="463">
        <v>584</v>
      </c>
      <c r="C697" s="464" t="s">
        <v>534</v>
      </c>
      <c r="D697" s="464" t="s">
        <v>544</v>
      </c>
      <c r="E697" s="464" t="s">
        <v>535</v>
      </c>
      <c r="F697" s="464"/>
      <c r="G697" s="464" t="s">
        <v>283</v>
      </c>
      <c r="H697" s="464" t="s">
        <v>1996</v>
      </c>
      <c r="I697" s="465" t="s">
        <v>537</v>
      </c>
      <c r="J697" s="466">
        <v>70000</v>
      </c>
      <c r="K697" s="465" t="s">
        <v>537</v>
      </c>
      <c r="L697" s="465" t="s">
        <v>537</v>
      </c>
      <c r="M697" s="466">
        <v>70000</v>
      </c>
      <c r="N697" s="465" t="s">
        <v>537</v>
      </c>
      <c r="O697" s="463" t="s">
        <v>537</v>
      </c>
      <c r="P697" s="463" t="s">
        <v>537</v>
      </c>
      <c r="Q697" s="465">
        <v>0</v>
      </c>
      <c r="R697" s="470">
        <v>241671</v>
      </c>
      <c r="S697" s="463" t="s">
        <v>1997</v>
      </c>
      <c r="T697" s="463">
        <v>100</v>
      </c>
      <c r="U697" s="463">
        <v>20</v>
      </c>
      <c r="V697" s="463">
        <v>0</v>
      </c>
      <c r="W697" s="463">
        <v>160</v>
      </c>
      <c r="X697" s="463">
        <v>27</v>
      </c>
      <c r="Y697" s="463">
        <v>0</v>
      </c>
      <c r="Z697" s="463">
        <v>98</v>
      </c>
      <c r="AA697" s="472" t="s">
        <v>547</v>
      </c>
      <c r="AB697" s="463" t="s">
        <v>539</v>
      </c>
      <c r="AC697" s="463">
        <v>97</v>
      </c>
      <c r="AD697" s="472" t="s">
        <v>548</v>
      </c>
      <c r="AE697" s="463" t="s">
        <v>620</v>
      </c>
      <c r="AF697" s="463">
        <v>96.5</v>
      </c>
      <c r="AG697" s="463" t="s">
        <v>376</v>
      </c>
      <c r="AH697" s="476"/>
      <c r="AI697" s="472">
        <v>898747614</v>
      </c>
      <c r="AJ697" s="464"/>
    </row>
    <row r="698" spans="1:36" ht="24" hidden="1" customHeight="1">
      <c r="B698" s="463">
        <v>585</v>
      </c>
      <c r="C698" s="464" t="s">
        <v>534</v>
      </c>
      <c r="D698" s="464" t="s">
        <v>544</v>
      </c>
      <c r="E698" s="464" t="s">
        <v>535</v>
      </c>
      <c r="F698" s="464"/>
      <c r="G698" s="464" t="s">
        <v>283</v>
      </c>
      <c r="H698" s="464" t="s">
        <v>1998</v>
      </c>
      <c r="I698" s="465" t="s">
        <v>537</v>
      </c>
      <c r="J698" s="466">
        <v>10000</v>
      </c>
      <c r="K698" s="465" t="s">
        <v>537</v>
      </c>
      <c r="L698" s="465" t="s">
        <v>537</v>
      </c>
      <c r="M698" s="466">
        <v>10000</v>
      </c>
      <c r="N698" s="465" t="s">
        <v>537</v>
      </c>
      <c r="O698" s="463" t="s">
        <v>537</v>
      </c>
      <c r="P698" s="463" t="s">
        <v>537</v>
      </c>
      <c r="Q698" s="465">
        <v>0</v>
      </c>
      <c r="R698" s="470">
        <v>241579</v>
      </c>
      <c r="S698" s="463" t="s">
        <v>1999</v>
      </c>
      <c r="T698" s="463">
        <v>120</v>
      </c>
      <c r="U698" s="463">
        <v>20</v>
      </c>
      <c r="V698" s="463">
        <v>0</v>
      </c>
      <c r="W698" s="463">
        <v>142</v>
      </c>
      <c r="X698" s="463">
        <v>79</v>
      </c>
      <c r="Y698" s="463">
        <v>0</v>
      </c>
      <c r="Z698" s="463">
        <v>84.51</v>
      </c>
      <c r="AA698" s="472" t="s">
        <v>547</v>
      </c>
      <c r="AB698" s="463" t="s">
        <v>539</v>
      </c>
      <c r="AC698" s="463" t="s">
        <v>539</v>
      </c>
      <c r="AD698" s="472" t="s">
        <v>548</v>
      </c>
      <c r="AE698" s="463" t="s">
        <v>620</v>
      </c>
      <c r="AF698" s="463">
        <v>84.51</v>
      </c>
      <c r="AG698" s="463" t="s">
        <v>376</v>
      </c>
      <c r="AH698" s="476"/>
      <c r="AI698" s="472" t="s">
        <v>1931</v>
      </c>
      <c r="AJ698" s="464"/>
    </row>
    <row r="699" spans="1:36" ht="24" hidden="1" customHeight="1">
      <c r="B699" s="463">
        <v>586</v>
      </c>
      <c r="C699" s="464" t="s">
        <v>534</v>
      </c>
      <c r="D699" s="464" t="s">
        <v>544</v>
      </c>
      <c r="E699" s="464" t="s">
        <v>535</v>
      </c>
      <c r="F699" s="464"/>
      <c r="G699" s="464" t="s">
        <v>283</v>
      </c>
      <c r="H699" s="464" t="s">
        <v>2000</v>
      </c>
      <c r="I699" s="465" t="s">
        <v>537</v>
      </c>
      <c r="J699" s="466">
        <v>10000</v>
      </c>
      <c r="K699" s="465" t="s">
        <v>537</v>
      </c>
      <c r="L699" s="465" t="s">
        <v>537</v>
      </c>
      <c r="M699" s="466">
        <v>5520</v>
      </c>
      <c r="N699" s="465" t="s">
        <v>537</v>
      </c>
      <c r="O699" s="463" t="s">
        <v>537</v>
      </c>
      <c r="P699" s="463" t="s">
        <v>537</v>
      </c>
      <c r="Q699" s="468">
        <v>4480</v>
      </c>
      <c r="R699" s="470">
        <v>241459</v>
      </c>
      <c r="S699" s="471">
        <v>22354</v>
      </c>
      <c r="T699" s="463">
        <v>100</v>
      </c>
      <c r="U699" s="463">
        <v>20</v>
      </c>
      <c r="V699" s="463">
        <v>0</v>
      </c>
      <c r="W699" s="463">
        <v>115</v>
      </c>
      <c r="X699" s="463">
        <v>39</v>
      </c>
      <c r="Y699" s="464"/>
      <c r="Z699" s="463">
        <v>82.9</v>
      </c>
      <c r="AA699" s="472" t="s">
        <v>547</v>
      </c>
      <c r="AB699" s="463" t="s">
        <v>539</v>
      </c>
      <c r="AC699" s="463" t="s">
        <v>539</v>
      </c>
      <c r="AD699" s="472" t="s">
        <v>548</v>
      </c>
      <c r="AE699" s="463" t="s">
        <v>620</v>
      </c>
      <c r="AF699" s="463">
        <v>82.9</v>
      </c>
      <c r="AG699" s="463" t="s">
        <v>376</v>
      </c>
      <c r="AH699" s="476"/>
      <c r="AI699" s="472">
        <v>854748135</v>
      </c>
      <c r="AJ699" s="464"/>
    </row>
    <row r="700" spans="1:36" ht="24" hidden="1" customHeight="1">
      <c r="B700" s="463">
        <v>587</v>
      </c>
      <c r="C700" s="464" t="s">
        <v>534</v>
      </c>
      <c r="D700" s="464" t="s">
        <v>544</v>
      </c>
      <c r="E700" s="464" t="s">
        <v>535</v>
      </c>
      <c r="F700" s="464"/>
      <c r="G700" s="464" t="s">
        <v>283</v>
      </c>
      <c r="H700" s="464" t="s">
        <v>2001</v>
      </c>
      <c r="I700" s="465" t="s">
        <v>537</v>
      </c>
      <c r="J700" s="466">
        <v>50000</v>
      </c>
      <c r="K700" s="465" t="s">
        <v>537</v>
      </c>
      <c r="L700" s="465" t="s">
        <v>537</v>
      </c>
      <c r="M700" s="466">
        <v>49609</v>
      </c>
      <c r="N700" s="465" t="s">
        <v>537</v>
      </c>
      <c r="O700" s="463" t="s">
        <v>537</v>
      </c>
      <c r="P700" s="463" t="s">
        <v>537</v>
      </c>
      <c r="Q700" s="465">
        <v>391</v>
      </c>
      <c r="R700" s="463" t="s">
        <v>643</v>
      </c>
      <c r="S700" s="463" t="s">
        <v>2002</v>
      </c>
      <c r="T700" s="463">
        <v>0</v>
      </c>
      <c r="U700" s="463">
        <v>50</v>
      </c>
      <c r="V700" s="463">
        <v>0</v>
      </c>
      <c r="W700" s="463">
        <v>0</v>
      </c>
      <c r="X700" s="463">
        <v>50</v>
      </c>
      <c r="Y700" s="463">
        <v>0</v>
      </c>
      <c r="Z700" s="463">
        <v>86.6</v>
      </c>
      <c r="AA700" s="472" t="s">
        <v>547</v>
      </c>
      <c r="AB700" s="463" t="s">
        <v>539</v>
      </c>
      <c r="AC700" s="463" t="s">
        <v>539</v>
      </c>
      <c r="AD700" s="472" t="s">
        <v>548</v>
      </c>
      <c r="AE700" s="463" t="s">
        <v>620</v>
      </c>
      <c r="AF700" s="463">
        <v>84</v>
      </c>
      <c r="AG700" s="463" t="s">
        <v>376</v>
      </c>
      <c r="AH700" s="476"/>
      <c r="AI700" s="472" t="s">
        <v>1966</v>
      </c>
      <c r="AJ700" s="464"/>
    </row>
    <row r="701" spans="1:36" ht="24" hidden="1" customHeight="1">
      <c r="B701" s="463">
        <v>588</v>
      </c>
      <c r="C701" s="464" t="s">
        <v>534</v>
      </c>
      <c r="D701" s="464"/>
      <c r="E701" s="464" t="s">
        <v>577</v>
      </c>
      <c r="F701" s="464"/>
      <c r="G701" s="464" t="s">
        <v>274</v>
      </c>
      <c r="H701" s="464" t="s">
        <v>2003</v>
      </c>
      <c r="I701" s="465" t="s">
        <v>537</v>
      </c>
      <c r="J701" s="465" t="s">
        <v>537</v>
      </c>
      <c r="K701" s="466">
        <v>26000</v>
      </c>
      <c r="L701" s="465" t="s">
        <v>537</v>
      </c>
      <c r="M701" s="465" t="s">
        <v>537</v>
      </c>
      <c r="N701" s="466">
        <v>26000</v>
      </c>
      <c r="O701" s="463" t="s">
        <v>537</v>
      </c>
      <c r="P701" s="463" t="s">
        <v>537</v>
      </c>
      <c r="Q701" s="465">
        <v>0</v>
      </c>
      <c r="R701" s="463" t="s">
        <v>976</v>
      </c>
      <c r="S701" s="463" t="s">
        <v>2004</v>
      </c>
      <c r="T701" s="463">
        <v>0</v>
      </c>
      <c r="U701" s="463">
        <v>0</v>
      </c>
      <c r="V701" s="463">
        <v>0</v>
      </c>
      <c r="W701" s="463">
        <v>0</v>
      </c>
      <c r="X701" s="463">
        <v>6</v>
      </c>
      <c r="Y701" s="463">
        <v>0</v>
      </c>
      <c r="Z701" s="463">
        <v>80</v>
      </c>
      <c r="AA701" s="472" t="s">
        <v>2005</v>
      </c>
      <c r="AB701" s="463" t="s">
        <v>2006</v>
      </c>
      <c r="AC701" s="463" t="s">
        <v>539</v>
      </c>
      <c r="AD701" s="472" t="s">
        <v>2007</v>
      </c>
      <c r="AE701" s="463" t="s">
        <v>539</v>
      </c>
      <c r="AF701" s="463" t="s">
        <v>539</v>
      </c>
      <c r="AG701" s="463" t="s">
        <v>375</v>
      </c>
      <c r="AH701" s="476"/>
      <c r="AI701" s="472">
        <v>859845664</v>
      </c>
      <c r="AJ701" s="472" t="s">
        <v>543</v>
      </c>
    </row>
    <row r="702" spans="1:36" ht="24" customHeight="1">
      <c r="A702" s="452">
        <v>112</v>
      </c>
      <c r="B702" s="701">
        <v>589</v>
      </c>
      <c r="C702" s="699" t="s">
        <v>337</v>
      </c>
      <c r="D702" s="699"/>
      <c r="E702" s="699" t="s">
        <v>545</v>
      </c>
      <c r="F702" s="699"/>
      <c r="G702" s="699" t="s">
        <v>274</v>
      </c>
      <c r="H702" s="699" t="s">
        <v>2008</v>
      </c>
      <c r="I702" s="712">
        <v>35000</v>
      </c>
      <c r="J702" s="709" t="s">
        <v>537</v>
      </c>
      <c r="K702" s="709" t="s">
        <v>537</v>
      </c>
      <c r="L702" s="712">
        <v>35000</v>
      </c>
      <c r="M702" s="709" t="s">
        <v>537</v>
      </c>
      <c r="N702" s="709" t="s">
        <v>537</v>
      </c>
      <c r="O702" s="701" t="s">
        <v>537</v>
      </c>
      <c r="P702" s="701" t="s">
        <v>537</v>
      </c>
      <c r="Q702" s="709">
        <v>0</v>
      </c>
      <c r="R702" s="707">
        <v>241487</v>
      </c>
      <c r="S702" s="721">
        <v>22362</v>
      </c>
      <c r="T702" s="701">
        <v>10</v>
      </c>
      <c r="U702" s="701">
        <v>10</v>
      </c>
      <c r="V702" s="701">
        <v>20</v>
      </c>
      <c r="W702" s="701">
        <v>10</v>
      </c>
      <c r="X702" s="701">
        <v>10</v>
      </c>
      <c r="Y702" s="701">
        <v>21</v>
      </c>
      <c r="Z702" s="701">
        <v>91.53</v>
      </c>
      <c r="AA702" s="458" t="s">
        <v>547</v>
      </c>
      <c r="AB702" s="459" t="s">
        <v>539</v>
      </c>
      <c r="AC702" s="459" t="s">
        <v>539</v>
      </c>
      <c r="AD702" s="458" t="s">
        <v>2009</v>
      </c>
      <c r="AE702" s="459">
        <v>80</v>
      </c>
      <c r="AF702" s="459">
        <v>91.87</v>
      </c>
      <c r="AG702" s="701" t="s">
        <v>375</v>
      </c>
      <c r="AH702" s="728"/>
      <c r="AI702" s="697" t="s">
        <v>2010</v>
      </c>
      <c r="AJ702" s="699"/>
    </row>
    <row r="703" spans="1:36" ht="24" hidden="1" customHeight="1">
      <c r="B703" s="702"/>
      <c r="C703" s="700"/>
      <c r="D703" s="700"/>
      <c r="E703" s="700"/>
      <c r="F703" s="700"/>
      <c r="G703" s="700"/>
      <c r="H703" s="700"/>
      <c r="I703" s="713"/>
      <c r="J703" s="710"/>
      <c r="K703" s="710"/>
      <c r="L703" s="713"/>
      <c r="M703" s="710"/>
      <c r="N703" s="710"/>
      <c r="O703" s="702"/>
      <c r="P703" s="702"/>
      <c r="Q703" s="710"/>
      <c r="R703" s="708"/>
      <c r="S703" s="722"/>
      <c r="T703" s="702"/>
      <c r="U703" s="702"/>
      <c r="V703" s="702"/>
      <c r="W703" s="702"/>
      <c r="X703" s="702"/>
      <c r="Y703" s="702"/>
      <c r="Z703" s="702"/>
      <c r="AA703" s="473" t="s">
        <v>2011</v>
      </c>
      <c r="AB703" s="474" t="s">
        <v>539</v>
      </c>
      <c r="AC703" s="474" t="s">
        <v>539</v>
      </c>
      <c r="AD703" s="473" t="s">
        <v>2012</v>
      </c>
      <c r="AE703" s="474" t="s">
        <v>539</v>
      </c>
      <c r="AF703" s="474" t="s">
        <v>539</v>
      </c>
      <c r="AG703" s="702"/>
      <c r="AH703" s="729"/>
      <c r="AI703" s="698"/>
      <c r="AJ703" s="700"/>
    </row>
    <row r="704" spans="1:36" ht="24" customHeight="1">
      <c r="A704" s="452">
        <v>113</v>
      </c>
      <c r="B704" s="701">
        <v>590</v>
      </c>
      <c r="C704" s="699" t="s">
        <v>337</v>
      </c>
      <c r="D704" s="699"/>
      <c r="E704" s="699" t="s">
        <v>545</v>
      </c>
      <c r="F704" s="699"/>
      <c r="G704" s="699" t="s">
        <v>274</v>
      </c>
      <c r="H704" s="699" t="s">
        <v>2013</v>
      </c>
      <c r="I704" s="712">
        <v>50000</v>
      </c>
      <c r="J704" s="709" t="s">
        <v>537</v>
      </c>
      <c r="K704" s="709" t="s">
        <v>537</v>
      </c>
      <c r="L704" s="712">
        <v>50000</v>
      </c>
      <c r="M704" s="709" t="s">
        <v>537</v>
      </c>
      <c r="N704" s="709" t="s">
        <v>537</v>
      </c>
      <c r="O704" s="701" t="s">
        <v>537</v>
      </c>
      <c r="P704" s="701" t="s">
        <v>537</v>
      </c>
      <c r="Q704" s="709">
        <v>0</v>
      </c>
      <c r="R704" s="707">
        <v>241428</v>
      </c>
      <c r="S704" s="701" t="s">
        <v>821</v>
      </c>
      <c r="T704" s="701">
        <v>3</v>
      </c>
      <c r="U704" s="701">
        <v>2</v>
      </c>
      <c r="V704" s="701">
        <v>45</v>
      </c>
      <c r="W704" s="701">
        <v>5</v>
      </c>
      <c r="X704" s="701">
        <v>3</v>
      </c>
      <c r="Y704" s="701">
        <v>45</v>
      </c>
      <c r="Z704" s="701">
        <v>87</v>
      </c>
      <c r="AA704" s="458" t="s">
        <v>547</v>
      </c>
      <c r="AB704" s="459" t="s">
        <v>539</v>
      </c>
      <c r="AC704" s="459" t="s">
        <v>539</v>
      </c>
      <c r="AD704" s="458" t="s">
        <v>699</v>
      </c>
      <c r="AE704" s="459">
        <v>1</v>
      </c>
      <c r="AF704" s="459">
        <v>5</v>
      </c>
      <c r="AG704" s="701" t="s">
        <v>375</v>
      </c>
      <c r="AH704" s="728"/>
      <c r="AI704" s="697" t="s">
        <v>2014</v>
      </c>
      <c r="AJ704" s="699"/>
    </row>
    <row r="705" spans="1:36" ht="24" hidden="1" customHeight="1">
      <c r="B705" s="702"/>
      <c r="C705" s="700"/>
      <c r="D705" s="700"/>
      <c r="E705" s="700"/>
      <c r="F705" s="700"/>
      <c r="G705" s="700"/>
      <c r="H705" s="700"/>
      <c r="I705" s="713"/>
      <c r="J705" s="710"/>
      <c r="K705" s="710"/>
      <c r="L705" s="713"/>
      <c r="M705" s="710"/>
      <c r="N705" s="710"/>
      <c r="O705" s="702"/>
      <c r="P705" s="702"/>
      <c r="Q705" s="710"/>
      <c r="R705" s="708"/>
      <c r="S705" s="702"/>
      <c r="T705" s="702"/>
      <c r="U705" s="702"/>
      <c r="V705" s="702"/>
      <c r="W705" s="702"/>
      <c r="X705" s="702"/>
      <c r="Y705" s="702"/>
      <c r="Z705" s="702"/>
      <c r="AA705" s="473" t="s">
        <v>1279</v>
      </c>
      <c r="AB705" s="474" t="s">
        <v>539</v>
      </c>
      <c r="AC705" s="474" t="s">
        <v>539</v>
      </c>
      <c r="AD705" s="473" t="s">
        <v>2015</v>
      </c>
      <c r="AE705" s="474" t="s">
        <v>539</v>
      </c>
      <c r="AF705" s="474" t="s">
        <v>539</v>
      </c>
      <c r="AG705" s="702"/>
      <c r="AH705" s="729"/>
      <c r="AI705" s="698"/>
      <c r="AJ705" s="700"/>
    </row>
    <row r="706" spans="1:36" ht="24" customHeight="1">
      <c r="A706" s="452">
        <v>114</v>
      </c>
      <c r="B706" s="701">
        <v>591</v>
      </c>
      <c r="C706" s="699" t="s">
        <v>337</v>
      </c>
      <c r="D706" s="699"/>
      <c r="E706" s="699" t="s">
        <v>545</v>
      </c>
      <c r="F706" s="699"/>
      <c r="G706" s="699" t="s">
        <v>274</v>
      </c>
      <c r="H706" s="699" t="s">
        <v>2016</v>
      </c>
      <c r="I706" s="712">
        <v>30000</v>
      </c>
      <c r="J706" s="709" t="s">
        <v>537</v>
      </c>
      <c r="K706" s="709" t="s">
        <v>537</v>
      </c>
      <c r="L706" s="712">
        <v>30000</v>
      </c>
      <c r="M706" s="709" t="s">
        <v>537</v>
      </c>
      <c r="N706" s="709" t="s">
        <v>537</v>
      </c>
      <c r="O706" s="701" t="s">
        <v>537</v>
      </c>
      <c r="P706" s="701" t="s">
        <v>537</v>
      </c>
      <c r="Q706" s="709">
        <v>0</v>
      </c>
      <c r="R706" s="707">
        <v>241459</v>
      </c>
      <c r="S706" s="721">
        <v>22325</v>
      </c>
      <c r="T706" s="701">
        <v>2</v>
      </c>
      <c r="U706" s="701">
        <v>3</v>
      </c>
      <c r="V706" s="701">
        <v>45</v>
      </c>
      <c r="W706" s="701">
        <v>2</v>
      </c>
      <c r="X706" s="701">
        <v>3</v>
      </c>
      <c r="Y706" s="701">
        <v>45</v>
      </c>
      <c r="Z706" s="701">
        <v>94.22</v>
      </c>
      <c r="AA706" s="697" t="s">
        <v>630</v>
      </c>
      <c r="AB706" s="701" t="s">
        <v>539</v>
      </c>
      <c r="AC706" s="701" t="s">
        <v>539</v>
      </c>
      <c r="AD706" s="458" t="s">
        <v>548</v>
      </c>
      <c r="AE706" s="459">
        <v>80</v>
      </c>
      <c r="AF706" s="459">
        <v>96.35</v>
      </c>
      <c r="AG706" s="701" t="s">
        <v>375</v>
      </c>
      <c r="AH706" s="728"/>
      <c r="AI706" s="697" t="s">
        <v>2017</v>
      </c>
      <c r="AJ706" s="699"/>
    </row>
    <row r="707" spans="1:36" ht="24" hidden="1" customHeight="1">
      <c r="B707" s="702"/>
      <c r="C707" s="700"/>
      <c r="D707" s="700"/>
      <c r="E707" s="700"/>
      <c r="F707" s="700"/>
      <c r="G707" s="700"/>
      <c r="H707" s="700"/>
      <c r="I707" s="713"/>
      <c r="J707" s="710"/>
      <c r="K707" s="710"/>
      <c r="L707" s="713"/>
      <c r="M707" s="710"/>
      <c r="N707" s="710"/>
      <c r="O707" s="702"/>
      <c r="P707" s="702"/>
      <c r="Q707" s="710"/>
      <c r="R707" s="708"/>
      <c r="S707" s="722"/>
      <c r="T707" s="702"/>
      <c r="U707" s="702"/>
      <c r="V707" s="702"/>
      <c r="W707" s="702"/>
      <c r="X707" s="702"/>
      <c r="Y707" s="702"/>
      <c r="Z707" s="702"/>
      <c r="AA707" s="698"/>
      <c r="AB707" s="702"/>
      <c r="AC707" s="702"/>
      <c r="AD707" s="473" t="s">
        <v>2018</v>
      </c>
      <c r="AE707" s="474" t="s">
        <v>539</v>
      </c>
      <c r="AF707" s="474" t="s">
        <v>539</v>
      </c>
      <c r="AG707" s="702"/>
      <c r="AH707" s="729"/>
      <c r="AI707" s="698"/>
      <c r="AJ707" s="700"/>
    </row>
    <row r="708" spans="1:36" ht="24" customHeight="1">
      <c r="A708" s="452">
        <v>115</v>
      </c>
      <c r="B708" s="701">
        <v>592</v>
      </c>
      <c r="C708" s="699" t="s">
        <v>337</v>
      </c>
      <c r="D708" s="699"/>
      <c r="E708" s="699" t="s">
        <v>545</v>
      </c>
      <c r="F708" s="699"/>
      <c r="G708" s="699" t="s">
        <v>274</v>
      </c>
      <c r="H708" s="699" t="s">
        <v>2019</v>
      </c>
      <c r="I708" s="712">
        <v>30000</v>
      </c>
      <c r="J708" s="709" t="s">
        <v>537</v>
      </c>
      <c r="K708" s="709" t="s">
        <v>537</v>
      </c>
      <c r="L708" s="712">
        <v>30000</v>
      </c>
      <c r="M708" s="709" t="s">
        <v>537</v>
      </c>
      <c r="N708" s="709" t="s">
        <v>537</v>
      </c>
      <c r="O708" s="701" t="s">
        <v>537</v>
      </c>
      <c r="P708" s="701" t="s">
        <v>537</v>
      </c>
      <c r="Q708" s="709">
        <v>0</v>
      </c>
      <c r="R708" s="707">
        <v>241487</v>
      </c>
      <c r="S708" s="701" t="s">
        <v>2020</v>
      </c>
      <c r="T708" s="701">
        <v>1</v>
      </c>
      <c r="U708" s="701">
        <v>2</v>
      </c>
      <c r="V708" s="701">
        <v>30</v>
      </c>
      <c r="W708" s="701">
        <v>1</v>
      </c>
      <c r="X708" s="701">
        <v>2</v>
      </c>
      <c r="Y708" s="701">
        <v>30</v>
      </c>
      <c r="Z708" s="701">
        <v>93.9</v>
      </c>
      <c r="AA708" s="458" t="s">
        <v>547</v>
      </c>
      <c r="AB708" s="459" t="s">
        <v>539</v>
      </c>
      <c r="AC708" s="459" t="s">
        <v>539</v>
      </c>
      <c r="AD708" s="458" t="s">
        <v>548</v>
      </c>
      <c r="AE708" s="459">
        <v>80</v>
      </c>
      <c r="AF708" s="459">
        <v>93.9</v>
      </c>
      <c r="AG708" s="701" t="s">
        <v>375</v>
      </c>
      <c r="AH708" s="728"/>
      <c r="AI708" s="697" t="s">
        <v>2021</v>
      </c>
      <c r="AJ708" s="699"/>
    </row>
    <row r="709" spans="1:36" ht="24" hidden="1" customHeight="1">
      <c r="B709" s="702"/>
      <c r="C709" s="700"/>
      <c r="D709" s="700"/>
      <c r="E709" s="700"/>
      <c r="F709" s="700"/>
      <c r="G709" s="700"/>
      <c r="H709" s="700"/>
      <c r="I709" s="713"/>
      <c r="J709" s="710"/>
      <c r="K709" s="710"/>
      <c r="L709" s="713"/>
      <c r="M709" s="710"/>
      <c r="N709" s="710"/>
      <c r="O709" s="702"/>
      <c r="P709" s="702"/>
      <c r="Q709" s="710"/>
      <c r="R709" s="708"/>
      <c r="S709" s="702"/>
      <c r="T709" s="702"/>
      <c r="U709" s="702"/>
      <c r="V709" s="702"/>
      <c r="W709" s="702"/>
      <c r="X709" s="702"/>
      <c r="Y709" s="702"/>
      <c r="Z709" s="702"/>
      <c r="AA709" s="473" t="s">
        <v>2022</v>
      </c>
      <c r="AB709" s="474" t="s">
        <v>539</v>
      </c>
      <c r="AC709" s="474" t="s">
        <v>539</v>
      </c>
      <c r="AD709" s="473" t="s">
        <v>2023</v>
      </c>
      <c r="AE709" s="474" t="s">
        <v>539</v>
      </c>
      <c r="AF709" s="474" t="s">
        <v>539</v>
      </c>
      <c r="AG709" s="702"/>
      <c r="AH709" s="729"/>
      <c r="AI709" s="698"/>
      <c r="AJ709" s="700"/>
    </row>
    <row r="710" spans="1:36" ht="24" customHeight="1">
      <c r="A710" s="452">
        <v>116</v>
      </c>
      <c r="B710" s="701">
        <v>593</v>
      </c>
      <c r="C710" s="699" t="s">
        <v>337</v>
      </c>
      <c r="D710" s="699"/>
      <c r="E710" s="699" t="s">
        <v>545</v>
      </c>
      <c r="F710" s="699"/>
      <c r="G710" s="699" t="s">
        <v>274</v>
      </c>
      <c r="H710" s="699" t="s">
        <v>2024</v>
      </c>
      <c r="I710" s="712">
        <v>40000</v>
      </c>
      <c r="J710" s="709" t="s">
        <v>537</v>
      </c>
      <c r="K710" s="709" t="s">
        <v>537</v>
      </c>
      <c r="L710" s="712">
        <v>39440</v>
      </c>
      <c r="M710" s="709" t="s">
        <v>537</v>
      </c>
      <c r="N710" s="709" t="s">
        <v>537</v>
      </c>
      <c r="O710" s="701" t="s">
        <v>537</v>
      </c>
      <c r="P710" s="701" t="s">
        <v>537</v>
      </c>
      <c r="Q710" s="709">
        <v>560</v>
      </c>
      <c r="R710" s="707">
        <v>241518</v>
      </c>
      <c r="S710" s="721">
        <v>22401</v>
      </c>
      <c r="T710" s="701">
        <v>5</v>
      </c>
      <c r="U710" s="701">
        <v>5</v>
      </c>
      <c r="V710" s="701">
        <v>25</v>
      </c>
      <c r="W710" s="701">
        <v>5</v>
      </c>
      <c r="X710" s="701">
        <v>7</v>
      </c>
      <c r="Y710" s="701">
        <v>25</v>
      </c>
      <c r="Z710" s="701">
        <v>85.29</v>
      </c>
      <c r="AA710" s="458" t="s">
        <v>547</v>
      </c>
      <c r="AB710" s="459" t="s">
        <v>539</v>
      </c>
      <c r="AC710" s="459" t="s">
        <v>539</v>
      </c>
      <c r="AD710" s="458" t="s">
        <v>548</v>
      </c>
      <c r="AE710" s="459">
        <v>80</v>
      </c>
      <c r="AF710" s="459">
        <v>84.71</v>
      </c>
      <c r="AG710" s="701" t="s">
        <v>375</v>
      </c>
      <c r="AH710" s="728"/>
      <c r="AI710" s="697" t="s">
        <v>2025</v>
      </c>
      <c r="AJ710" s="699"/>
    </row>
    <row r="711" spans="1:36" ht="24" hidden="1" customHeight="1">
      <c r="B711" s="715"/>
      <c r="C711" s="714"/>
      <c r="D711" s="714"/>
      <c r="E711" s="714"/>
      <c r="F711" s="714"/>
      <c r="G711" s="714"/>
      <c r="H711" s="714"/>
      <c r="I711" s="720"/>
      <c r="J711" s="717"/>
      <c r="K711" s="717"/>
      <c r="L711" s="720"/>
      <c r="M711" s="717"/>
      <c r="N711" s="717"/>
      <c r="O711" s="715"/>
      <c r="P711" s="715"/>
      <c r="Q711" s="717"/>
      <c r="R711" s="719"/>
      <c r="S711" s="731"/>
      <c r="T711" s="715"/>
      <c r="U711" s="715"/>
      <c r="V711" s="715"/>
      <c r="W711" s="715"/>
      <c r="X711" s="715"/>
      <c r="Y711" s="715"/>
      <c r="Z711" s="715"/>
      <c r="AA711" s="460" t="s">
        <v>2026</v>
      </c>
      <c r="AB711" s="461" t="s">
        <v>539</v>
      </c>
      <c r="AC711" s="461" t="s">
        <v>539</v>
      </c>
      <c r="AD711" s="460" t="s">
        <v>2027</v>
      </c>
      <c r="AE711" s="461" t="s">
        <v>539</v>
      </c>
      <c r="AF711" s="461" t="s">
        <v>539</v>
      </c>
      <c r="AG711" s="715"/>
      <c r="AH711" s="730"/>
      <c r="AI711" s="711"/>
      <c r="AJ711" s="714"/>
    </row>
    <row r="712" spans="1:36" ht="24" hidden="1" customHeight="1">
      <c r="B712" s="702"/>
      <c r="C712" s="700"/>
      <c r="D712" s="700"/>
      <c r="E712" s="700"/>
      <c r="F712" s="700"/>
      <c r="G712" s="700"/>
      <c r="H712" s="700"/>
      <c r="I712" s="713"/>
      <c r="J712" s="710"/>
      <c r="K712" s="710"/>
      <c r="L712" s="713"/>
      <c r="M712" s="710"/>
      <c r="N712" s="710"/>
      <c r="O712" s="702"/>
      <c r="P712" s="702"/>
      <c r="Q712" s="710"/>
      <c r="R712" s="708"/>
      <c r="S712" s="722"/>
      <c r="T712" s="702"/>
      <c r="U712" s="702"/>
      <c r="V712" s="702"/>
      <c r="W712" s="702"/>
      <c r="X712" s="702"/>
      <c r="Y712" s="702"/>
      <c r="Z712" s="702"/>
      <c r="AA712" s="473" t="s">
        <v>2028</v>
      </c>
      <c r="AB712" s="474" t="s">
        <v>539</v>
      </c>
      <c r="AC712" s="474" t="s">
        <v>539</v>
      </c>
      <c r="AD712" s="473" t="s">
        <v>2029</v>
      </c>
      <c r="AE712" s="474" t="s">
        <v>539</v>
      </c>
      <c r="AF712" s="474" t="s">
        <v>539</v>
      </c>
      <c r="AG712" s="702"/>
      <c r="AH712" s="729"/>
      <c r="AI712" s="698"/>
      <c r="AJ712" s="700"/>
    </row>
    <row r="713" spans="1:36" ht="24" customHeight="1">
      <c r="A713" s="452">
        <v>117</v>
      </c>
      <c r="B713" s="463">
        <v>594</v>
      </c>
      <c r="C713" s="464" t="s">
        <v>337</v>
      </c>
      <c r="D713" s="464"/>
      <c r="E713" s="464" t="s">
        <v>545</v>
      </c>
      <c r="F713" s="464"/>
      <c r="G713" s="464" t="s">
        <v>274</v>
      </c>
      <c r="H713" s="464" t="s">
        <v>2030</v>
      </c>
      <c r="I713" s="465">
        <v>0</v>
      </c>
      <c r="J713" s="465" t="s">
        <v>537</v>
      </c>
      <c r="K713" s="465" t="s">
        <v>537</v>
      </c>
      <c r="L713" s="465">
        <v>0</v>
      </c>
      <c r="M713" s="465" t="s">
        <v>537</v>
      </c>
      <c r="N713" s="465" t="s">
        <v>537</v>
      </c>
      <c r="O713" s="463" t="s">
        <v>537</v>
      </c>
      <c r="P713" s="463" t="s">
        <v>537</v>
      </c>
      <c r="Q713" s="465">
        <v>0</v>
      </c>
      <c r="R713" s="463" t="s">
        <v>643</v>
      </c>
      <c r="S713" s="463" t="s">
        <v>2031</v>
      </c>
      <c r="T713" s="463">
        <v>0</v>
      </c>
      <c r="U713" s="463">
        <v>5</v>
      </c>
      <c r="V713" s="463">
        <v>45</v>
      </c>
      <c r="W713" s="463">
        <v>4</v>
      </c>
      <c r="X713" s="463">
        <v>5</v>
      </c>
      <c r="Y713" s="463">
        <v>9</v>
      </c>
      <c r="Z713" s="463">
        <v>92.7</v>
      </c>
      <c r="AA713" s="472" t="s">
        <v>547</v>
      </c>
      <c r="AB713" s="463" t="s">
        <v>539</v>
      </c>
      <c r="AC713" s="463" t="s">
        <v>539</v>
      </c>
      <c r="AD713" s="472" t="s">
        <v>2032</v>
      </c>
      <c r="AE713" s="463">
        <v>1</v>
      </c>
      <c r="AF713" s="463">
        <v>1</v>
      </c>
      <c r="AG713" s="463" t="s">
        <v>375</v>
      </c>
      <c r="AH713" s="476"/>
      <c r="AI713" s="472" t="s">
        <v>2033</v>
      </c>
      <c r="AJ713" s="464"/>
    </row>
    <row r="714" spans="1:36" ht="24" customHeight="1">
      <c r="A714" s="452">
        <v>118</v>
      </c>
      <c r="B714" s="463">
        <v>595</v>
      </c>
      <c r="C714" s="464" t="s">
        <v>337</v>
      </c>
      <c r="D714" s="464"/>
      <c r="E714" s="464" t="s">
        <v>545</v>
      </c>
      <c r="F714" s="464"/>
      <c r="G714" s="464" t="s">
        <v>274</v>
      </c>
      <c r="H714" s="464" t="s">
        <v>2034</v>
      </c>
      <c r="I714" s="465" t="s">
        <v>537</v>
      </c>
      <c r="J714" s="465" t="s">
        <v>537</v>
      </c>
      <c r="K714" s="466">
        <v>15000</v>
      </c>
      <c r="L714" s="465" t="s">
        <v>537</v>
      </c>
      <c r="M714" s="465" t="s">
        <v>537</v>
      </c>
      <c r="N714" s="466">
        <v>15000</v>
      </c>
      <c r="O714" s="463" t="s">
        <v>537</v>
      </c>
      <c r="P714" s="463" t="s">
        <v>537</v>
      </c>
      <c r="Q714" s="465">
        <v>0</v>
      </c>
      <c r="R714" s="463" t="s">
        <v>643</v>
      </c>
      <c r="S714" s="463" t="s">
        <v>1030</v>
      </c>
      <c r="T714" s="463">
        <v>0</v>
      </c>
      <c r="U714" s="463">
        <v>4</v>
      </c>
      <c r="V714" s="463">
        <v>40</v>
      </c>
      <c r="W714" s="463">
        <v>12</v>
      </c>
      <c r="X714" s="463">
        <v>7</v>
      </c>
      <c r="Y714" s="463">
        <v>36</v>
      </c>
      <c r="Z714" s="463">
        <v>96.5</v>
      </c>
      <c r="AA714" s="472" t="s">
        <v>2035</v>
      </c>
      <c r="AB714" s="463" t="s">
        <v>539</v>
      </c>
      <c r="AC714" s="463" t="s">
        <v>539</v>
      </c>
      <c r="AD714" s="472" t="s">
        <v>2036</v>
      </c>
      <c r="AE714" s="463">
        <v>4</v>
      </c>
      <c r="AF714" s="463">
        <v>4</v>
      </c>
      <c r="AG714" s="463" t="s">
        <v>375</v>
      </c>
      <c r="AH714" s="476"/>
      <c r="AI714" s="472" t="s">
        <v>2033</v>
      </c>
      <c r="AJ714" s="472" t="s">
        <v>543</v>
      </c>
    </row>
    <row r="715" spans="1:36" ht="24" customHeight="1">
      <c r="A715" s="452">
        <v>119</v>
      </c>
      <c r="B715" s="463">
        <v>596</v>
      </c>
      <c r="C715" s="464" t="s">
        <v>337</v>
      </c>
      <c r="D715" s="464"/>
      <c r="E715" s="464" t="s">
        <v>545</v>
      </c>
      <c r="F715" s="464"/>
      <c r="G715" s="464" t="s">
        <v>274</v>
      </c>
      <c r="H715" s="464" t="s">
        <v>2037</v>
      </c>
      <c r="I715" s="465" t="s">
        <v>537</v>
      </c>
      <c r="J715" s="465" t="s">
        <v>537</v>
      </c>
      <c r="K715" s="466">
        <v>30000</v>
      </c>
      <c r="L715" s="465" t="s">
        <v>537</v>
      </c>
      <c r="M715" s="465" t="s">
        <v>537</v>
      </c>
      <c r="N715" s="466">
        <v>30000</v>
      </c>
      <c r="O715" s="463" t="s">
        <v>537</v>
      </c>
      <c r="P715" s="463" t="s">
        <v>537</v>
      </c>
      <c r="Q715" s="465">
        <v>0</v>
      </c>
      <c r="R715" s="463" t="s">
        <v>643</v>
      </c>
      <c r="S715" s="463" t="s">
        <v>1718</v>
      </c>
      <c r="T715" s="463">
        <v>4</v>
      </c>
      <c r="U715" s="463">
        <v>4</v>
      </c>
      <c r="V715" s="463">
        <v>15</v>
      </c>
      <c r="W715" s="463">
        <v>0</v>
      </c>
      <c r="X715" s="463">
        <v>7</v>
      </c>
      <c r="Y715" s="463">
        <v>19</v>
      </c>
      <c r="Z715" s="463">
        <v>87</v>
      </c>
      <c r="AA715" s="472" t="s">
        <v>2038</v>
      </c>
      <c r="AB715" s="463" t="s">
        <v>539</v>
      </c>
      <c r="AC715" s="463" t="s">
        <v>539</v>
      </c>
      <c r="AD715" s="472" t="s">
        <v>2039</v>
      </c>
      <c r="AE715" s="463" t="s">
        <v>539</v>
      </c>
      <c r="AF715" s="463" t="s">
        <v>539</v>
      </c>
      <c r="AG715" s="463" t="s">
        <v>375</v>
      </c>
      <c r="AH715" s="476"/>
      <c r="AI715" s="472" t="s">
        <v>2033</v>
      </c>
      <c r="AJ715" s="472" t="s">
        <v>543</v>
      </c>
    </row>
    <row r="716" spans="1:36" ht="24" customHeight="1">
      <c r="A716" s="452">
        <v>120</v>
      </c>
      <c r="B716" s="463">
        <v>597</v>
      </c>
      <c r="C716" s="464" t="s">
        <v>337</v>
      </c>
      <c r="D716" s="464"/>
      <c r="E716" s="464" t="s">
        <v>545</v>
      </c>
      <c r="F716" s="464"/>
      <c r="G716" s="464" t="s">
        <v>274</v>
      </c>
      <c r="H716" s="464" t="s">
        <v>2040</v>
      </c>
      <c r="I716" s="465" t="s">
        <v>537</v>
      </c>
      <c r="J716" s="465" t="s">
        <v>537</v>
      </c>
      <c r="K716" s="466">
        <v>19000</v>
      </c>
      <c r="L716" s="465" t="s">
        <v>537</v>
      </c>
      <c r="M716" s="465" t="s">
        <v>537</v>
      </c>
      <c r="N716" s="466">
        <v>19000</v>
      </c>
      <c r="O716" s="463" t="s">
        <v>537</v>
      </c>
      <c r="P716" s="463" t="s">
        <v>537</v>
      </c>
      <c r="Q716" s="465">
        <v>0</v>
      </c>
      <c r="R716" s="463" t="s">
        <v>643</v>
      </c>
      <c r="S716" s="463" t="s">
        <v>2041</v>
      </c>
      <c r="T716" s="463">
        <v>1</v>
      </c>
      <c r="U716" s="463">
        <v>2</v>
      </c>
      <c r="V716" s="463">
        <v>25</v>
      </c>
      <c r="W716" s="463">
        <v>2</v>
      </c>
      <c r="X716" s="463">
        <v>2</v>
      </c>
      <c r="Y716" s="463">
        <v>25</v>
      </c>
      <c r="Z716" s="463">
        <v>95.3</v>
      </c>
      <c r="AA716" s="472" t="s">
        <v>2042</v>
      </c>
      <c r="AB716" s="463" t="s">
        <v>539</v>
      </c>
      <c r="AC716" s="463" t="s">
        <v>539</v>
      </c>
      <c r="AD716" s="472" t="s">
        <v>2043</v>
      </c>
      <c r="AE716" s="463">
        <v>25</v>
      </c>
      <c r="AF716" s="463">
        <v>25</v>
      </c>
      <c r="AG716" s="463" t="s">
        <v>375</v>
      </c>
      <c r="AH716" s="476"/>
      <c r="AI716" s="472">
        <v>864753829</v>
      </c>
      <c r="AJ716" s="472" t="s">
        <v>543</v>
      </c>
    </row>
    <row r="717" spans="1:36" ht="24" hidden="1" customHeight="1">
      <c r="B717" s="463">
        <v>598</v>
      </c>
      <c r="C717" s="464" t="s">
        <v>377</v>
      </c>
      <c r="D717" s="464"/>
      <c r="E717" s="464" t="s">
        <v>602</v>
      </c>
      <c r="F717" s="464"/>
      <c r="G717" s="464" t="s">
        <v>274</v>
      </c>
      <c r="H717" s="464" t="s">
        <v>2044</v>
      </c>
      <c r="I717" s="466">
        <v>20000</v>
      </c>
      <c r="J717" s="465" t="s">
        <v>537</v>
      </c>
      <c r="K717" s="465" t="s">
        <v>537</v>
      </c>
      <c r="L717" s="466">
        <v>20000</v>
      </c>
      <c r="M717" s="465" t="s">
        <v>537</v>
      </c>
      <c r="N717" s="465" t="s">
        <v>537</v>
      </c>
      <c r="O717" s="463" t="s">
        <v>537</v>
      </c>
      <c r="P717" s="463" t="s">
        <v>537</v>
      </c>
      <c r="Q717" s="465">
        <v>0</v>
      </c>
      <c r="R717" s="470">
        <v>241459</v>
      </c>
      <c r="S717" s="463" t="s">
        <v>2045</v>
      </c>
      <c r="T717" s="463">
        <v>65</v>
      </c>
      <c r="U717" s="463">
        <v>25</v>
      </c>
      <c r="V717" s="463">
        <v>10</v>
      </c>
      <c r="W717" s="463">
        <v>148</v>
      </c>
      <c r="X717" s="463">
        <v>35</v>
      </c>
      <c r="Y717" s="463">
        <v>8</v>
      </c>
      <c r="Z717" s="463">
        <v>91.6</v>
      </c>
      <c r="AA717" s="472" t="s">
        <v>612</v>
      </c>
      <c r="AB717" s="463" t="s">
        <v>539</v>
      </c>
      <c r="AC717" s="463" t="s">
        <v>539</v>
      </c>
      <c r="AD717" s="472" t="s">
        <v>565</v>
      </c>
      <c r="AE717" s="463">
        <v>80</v>
      </c>
      <c r="AF717" s="463">
        <v>91.6</v>
      </c>
      <c r="AG717" s="463" t="s">
        <v>375</v>
      </c>
      <c r="AH717" s="476"/>
      <c r="AI717" s="472">
        <v>819709234</v>
      </c>
      <c r="AJ717" s="464"/>
    </row>
    <row r="718" spans="1:36" ht="24" hidden="1" customHeight="1">
      <c r="B718" s="463">
        <v>599</v>
      </c>
      <c r="C718" s="464" t="s">
        <v>377</v>
      </c>
      <c r="D718" s="464"/>
      <c r="E718" s="464" t="s">
        <v>602</v>
      </c>
      <c r="F718" s="464"/>
      <c r="G718" s="464" t="s">
        <v>274</v>
      </c>
      <c r="H718" s="464" t="s">
        <v>2046</v>
      </c>
      <c r="I718" s="466">
        <v>50000</v>
      </c>
      <c r="J718" s="465" t="s">
        <v>537</v>
      </c>
      <c r="K718" s="465" t="s">
        <v>537</v>
      </c>
      <c r="L718" s="466">
        <v>50000</v>
      </c>
      <c r="M718" s="465" t="s">
        <v>537</v>
      </c>
      <c r="N718" s="465" t="s">
        <v>537</v>
      </c>
      <c r="O718" s="463" t="s">
        <v>537</v>
      </c>
      <c r="P718" s="463" t="s">
        <v>537</v>
      </c>
      <c r="Q718" s="465">
        <v>0</v>
      </c>
      <c r="R718" s="470">
        <v>241428</v>
      </c>
      <c r="S718" s="471">
        <v>22324</v>
      </c>
      <c r="T718" s="463">
        <v>230</v>
      </c>
      <c r="U718" s="463">
        <v>20</v>
      </c>
      <c r="V718" s="463">
        <v>0</v>
      </c>
      <c r="W718" s="463">
        <v>230</v>
      </c>
      <c r="X718" s="463">
        <v>20</v>
      </c>
      <c r="Y718" s="463">
        <v>0</v>
      </c>
      <c r="Z718" s="463">
        <v>95</v>
      </c>
      <c r="AA718" s="472" t="s">
        <v>612</v>
      </c>
      <c r="AB718" s="463" t="s">
        <v>539</v>
      </c>
      <c r="AC718" s="463" t="s">
        <v>539</v>
      </c>
      <c r="AD718" s="472" t="s">
        <v>2047</v>
      </c>
      <c r="AE718" s="463">
        <v>80</v>
      </c>
      <c r="AF718" s="463">
        <v>95</v>
      </c>
      <c r="AG718" s="463" t="s">
        <v>375</v>
      </c>
      <c r="AH718" s="476"/>
      <c r="AI718" s="472" t="s">
        <v>2048</v>
      </c>
      <c r="AJ718" s="464"/>
    </row>
    <row r="719" spans="1:36" ht="24" hidden="1" customHeight="1">
      <c r="B719" s="463">
        <v>600</v>
      </c>
      <c r="C719" s="464" t="s">
        <v>377</v>
      </c>
      <c r="D719" s="464"/>
      <c r="E719" s="464" t="s">
        <v>602</v>
      </c>
      <c r="F719" s="464"/>
      <c r="G719" s="464" t="s">
        <v>274</v>
      </c>
      <c r="H719" s="464" t="s">
        <v>2049</v>
      </c>
      <c r="I719" s="466">
        <v>50000</v>
      </c>
      <c r="J719" s="465" t="s">
        <v>537</v>
      </c>
      <c r="K719" s="465" t="s">
        <v>537</v>
      </c>
      <c r="L719" s="466">
        <v>50000</v>
      </c>
      <c r="M719" s="465" t="s">
        <v>537</v>
      </c>
      <c r="N719" s="465" t="s">
        <v>537</v>
      </c>
      <c r="O719" s="463" t="s">
        <v>537</v>
      </c>
      <c r="P719" s="463" t="s">
        <v>537</v>
      </c>
      <c r="Q719" s="465">
        <v>0</v>
      </c>
      <c r="R719" s="470">
        <v>241640</v>
      </c>
      <c r="S719" s="463" t="s">
        <v>1110</v>
      </c>
      <c r="T719" s="463">
        <v>20</v>
      </c>
      <c r="U719" s="463">
        <v>12</v>
      </c>
      <c r="V719" s="463">
        <v>10</v>
      </c>
      <c r="W719" s="463">
        <v>30</v>
      </c>
      <c r="X719" s="463">
        <v>20</v>
      </c>
      <c r="Y719" s="463">
        <v>10</v>
      </c>
      <c r="Z719" s="463">
        <v>95</v>
      </c>
      <c r="AA719" s="472" t="s">
        <v>612</v>
      </c>
      <c r="AB719" s="463" t="s">
        <v>539</v>
      </c>
      <c r="AC719" s="463" t="s">
        <v>539</v>
      </c>
      <c r="AD719" s="472" t="s">
        <v>2047</v>
      </c>
      <c r="AE719" s="463">
        <v>80</v>
      </c>
      <c r="AF719" s="463">
        <v>95</v>
      </c>
      <c r="AG719" s="463" t="s">
        <v>375</v>
      </c>
      <c r="AH719" s="476"/>
      <c r="AI719" s="472">
        <v>901023921</v>
      </c>
      <c r="AJ719" s="464"/>
    </row>
    <row r="720" spans="1:36" ht="24" hidden="1" customHeight="1">
      <c r="B720" s="701">
        <v>601</v>
      </c>
      <c r="C720" s="699" t="s">
        <v>377</v>
      </c>
      <c r="D720" s="699"/>
      <c r="E720" s="699" t="s">
        <v>602</v>
      </c>
      <c r="F720" s="699"/>
      <c r="G720" s="699" t="s">
        <v>274</v>
      </c>
      <c r="H720" s="699" t="s">
        <v>2050</v>
      </c>
      <c r="I720" s="712">
        <v>50000</v>
      </c>
      <c r="J720" s="709" t="s">
        <v>537</v>
      </c>
      <c r="K720" s="709" t="s">
        <v>537</v>
      </c>
      <c r="L720" s="712">
        <v>50000</v>
      </c>
      <c r="M720" s="709" t="s">
        <v>537</v>
      </c>
      <c r="N720" s="709" t="s">
        <v>537</v>
      </c>
      <c r="O720" s="701" t="s">
        <v>537</v>
      </c>
      <c r="P720" s="701" t="s">
        <v>537</v>
      </c>
      <c r="Q720" s="709">
        <v>0</v>
      </c>
      <c r="R720" s="707">
        <v>241640</v>
      </c>
      <c r="S720" s="721">
        <v>22502</v>
      </c>
      <c r="T720" s="701">
        <v>110</v>
      </c>
      <c r="U720" s="701">
        <v>25</v>
      </c>
      <c r="V720" s="701">
        <v>5</v>
      </c>
      <c r="W720" s="701">
        <v>110</v>
      </c>
      <c r="X720" s="701">
        <v>25</v>
      </c>
      <c r="Y720" s="701">
        <v>5</v>
      </c>
      <c r="Z720" s="701">
        <v>86</v>
      </c>
      <c r="AA720" s="458" t="s">
        <v>612</v>
      </c>
      <c r="AB720" s="459" t="s">
        <v>539</v>
      </c>
      <c r="AC720" s="459" t="s">
        <v>539</v>
      </c>
      <c r="AD720" s="458" t="s">
        <v>2047</v>
      </c>
      <c r="AE720" s="459">
        <v>80</v>
      </c>
      <c r="AF720" s="459">
        <v>87</v>
      </c>
      <c r="AG720" s="701" t="s">
        <v>375</v>
      </c>
      <c r="AH720" s="728"/>
      <c r="AI720" s="697" t="s">
        <v>2051</v>
      </c>
      <c r="AJ720" s="699"/>
    </row>
    <row r="721" spans="2:36" ht="24" hidden="1" customHeight="1">
      <c r="B721" s="702"/>
      <c r="C721" s="700"/>
      <c r="D721" s="700"/>
      <c r="E721" s="700"/>
      <c r="F721" s="700"/>
      <c r="G721" s="700"/>
      <c r="H721" s="700"/>
      <c r="I721" s="713"/>
      <c r="J721" s="710"/>
      <c r="K721" s="710"/>
      <c r="L721" s="713"/>
      <c r="M721" s="710"/>
      <c r="N721" s="710"/>
      <c r="O721" s="702"/>
      <c r="P721" s="702"/>
      <c r="Q721" s="710"/>
      <c r="R721" s="708"/>
      <c r="S721" s="722"/>
      <c r="T721" s="702"/>
      <c r="U721" s="702"/>
      <c r="V721" s="702"/>
      <c r="W721" s="702"/>
      <c r="X721" s="702"/>
      <c r="Y721" s="702"/>
      <c r="Z721" s="702"/>
      <c r="AA721" s="473" t="s">
        <v>2052</v>
      </c>
      <c r="AB721" s="474" t="s">
        <v>539</v>
      </c>
      <c r="AC721" s="474" t="s">
        <v>539</v>
      </c>
      <c r="AD721" s="473" t="s">
        <v>2053</v>
      </c>
      <c r="AE721" s="474">
        <v>85</v>
      </c>
      <c r="AF721" s="474">
        <v>89</v>
      </c>
      <c r="AG721" s="702"/>
      <c r="AH721" s="729"/>
      <c r="AI721" s="698"/>
      <c r="AJ721" s="700"/>
    </row>
    <row r="722" spans="2:36" ht="24" hidden="1" customHeight="1">
      <c r="B722" s="463">
        <v>602</v>
      </c>
      <c r="C722" s="464" t="s">
        <v>377</v>
      </c>
      <c r="D722" s="464"/>
      <c r="E722" s="464" t="s">
        <v>602</v>
      </c>
      <c r="F722" s="464"/>
      <c r="G722" s="464" t="s">
        <v>274</v>
      </c>
      <c r="H722" s="464" t="s">
        <v>2054</v>
      </c>
      <c r="I722" s="465" t="s">
        <v>537</v>
      </c>
      <c r="J722" s="465" t="s">
        <v>537</v>
      </c>
      <c r="K722" s="466">
        <v>100000</v>
      </c>
      <c r="L722" s="465" t="s">
        <v>537</v>
      </c>
      <c r="M722" s="465" t="s">
        <v>537</v>
      </c>
      <c r="N722" s="466">
        <v>100000</v>
      </c>
      <c r="O722" s="463" t="s">
        <v>537</v>
      </c>
      <c r="P722" s="463" t="s">
        <v>537</v>
      </c>
      <c r="Q722" s="465">
        <v>0</v>
      </c>
      <c r="R722" s="470">
        <v>241671</v>
      </c>
      <c r="S722" s="471">
        <v>22551</v>
      </c>
      <c r="T722" s="463">
        <v>15</v>
      </c>
      <c r="U722" s="463">
        <v>7</v>
      </c>
      <c r="V722" s="463">
        <v>0</v>
      </c>
      <c r="W722" s="463">
        <v>15</v>
      </c>
      <c r="X722" s="463">
        <v>7</v>
      </c>
      <c r="Y722" s="464"/>
      <c r="Z722" s="463">
        <v>95</v>
      </c>
      <c r="AA722" s="472" t="s">
        <v>2055</v>
      </c>
      <c r="AB722" s="463" t="s">
        <v>539</v>
      </c>
      <c r="AC722" s="463" t="s">
        <v>539</v>
      </c>
      <c r="AD722" s="472" t="s">
        <v>2056</v>
      </c>
      <c r="AE722" s="463">
        <v>80</v>
      </c>
      <c r="AF722" s="463">
        <v>95</v>
      </c>
      <c r="AG722" s="463" t="s">
        <v>375</v>
      </c>
      <c r="AH722" s="476"/>
      <c r="AI722" s="472">
        <v>815372300</v>
      </c>
      <c r="AJ722" s="472" t="s">
        <v>543</v>
      </c>
    </row>
    <row r="723" spans="2:36" ht="24" hidden="1" customHeight="1">
      <c r="B723" s="701">
        <v>603</v>
      </c>
      <c r="C723" s="699" t="s">
        <v>377</v>
      </c>
      <c r="D723" s="699"/>
      <c r="E723" s="699" t="s">
        <v>602</v>
      </c>
      <c r="F723" s="699"/>
      <c r="G723" s="699" t="s">
        <v>274</v>
      </c>
      <c r="H723" s="699" t="s">
        <v>617</v>
      </c>
      <c r="I723" s="709" t="s">
        <v>537</v>
      </c>
      <c r="J723" s="712">
        <v>90000</v>
      </c>
      <c r="K723" s="709" t="s">
        <v>537</v>
      </c>
      <c r="L723" s="709" t="s">
        <v>537</v>
      </c>
      <c r="M723" s="712">
        <v>90000</v>
      </c>
      <c r="N723" s="709" t="s">
        <v>537</v>
      </c>
      <c r="O723" s="701" t="s">
        <v>537</v>
      </c>
      <c r="P723" s="701" t="s">
        <v>537</v>
      </c>
      <c r="Q723" s="709">
        <v>0</v>
      </c>
      <c r="R723" s="701" t="s">
        <v>643</v>
      </c>
      <c r="S723" s="701" t="s">
        <v>1449</v>
      </c>
      <c r="T723" s="701">
        <v>250</v>
      </c>
      <c r="U723" s="701">
        <v>50</v>
      </c>
      <c r="V723" s="701">
        <v>0</v>
      </c>
      <c r="W723" s="701">
        <v>320</v>
      </c>
      <c r="X723" s="701">
        <v>30</v>
      </c>
      <c r="Y723" s="701">
        <v>0</v>
      </c>
      <c r="Z723" s="701">
        <v>90.2</v>
      </c>
      <c r="AA723" s="458" t="s">
        <v>612</v>
      </c>
      <c r="AB723" s="459" t="s">
        <v>539</v>
      </c>
      <c r="AC723" s="459" t="s">
        <v>539</v>
      </c>
      <c r="AD723" s="458" t="s">
        <v>2047</v>
      </c>
      <c r="AE723" s="459">
        <v>80</v>
      </c>
      <c r="AF723" s="459">
        <v>90.2</v>
      </c>
      <c r="AG723" s="701" t="s">
        <v>375</v>
      </c>
      <c r="AH723" s="728"/>
      <c r="AI723" s="697">
        <v>874713007</v>
      </c>
      <c r="AJ723" s="699"/>
    </row>
    <row r="724" spans="2:36" ht="24" hidden="1" customHeight="1">
      <c r="B724" s="715"/>
      <c r="C724" s="714"/>
      <c r="D724" s="714"/>
      <c r="E724" s="714"/>
      <c r="F724" s="714"/>
      <c r="G724" s="714"/>
      <c r="H724" s="714"/>
      <c r="I724" s="717"/>
      <c r="J724" s="720"/>
      <c r="K724" s="717"/>
      <c r="L724" s="717"/>
      <c r="M724" s="720"/>
      <c r="N724" s="717"/>
      <c r="O724" s="715"/>
      <c r="P724" s="715"/>
      <c r="Q724" s="717"/>
      <c r="R724" s="715"/>
      <c r="S724" s="715"/>
      <c r="T724" s="715"/>
      <c r="U724" s="715"/>
      <c r="V724" s="715"/>
      <c r="W724" s="715"/>
      <c r="X724" s="715"/>
      <c r="Y724" s="715"/>
      <c r="Z724" s="715"/>
      <c r="AA724" s="460" t="s">
        <v>2057</v>
      </c>
      <c r="AB724" s="461">
        <v>80</v>
      </c>
      <c r="AC724" s="461">
        <v>86.4</v>
      </c>
      <c r="AD724" s="460" t="s">
        <v>2058</v>
      </c>
      <c r="AE724" s="461">
        <v>300</v>
      </c>
      <c r="AF724" s="461">
        <v>340</v>
      </c>
      <c r="AG724" s="715"/>
      <c r="AH724" s="730"/>
      <c r="AI724" s="711"/>
      <c r="AJ724" s="714"/>
    </row>
    <row r="725" spans="2:36" ht="24" hidden="1" customHeight="1">
      <c r="B725" s="715"/>
      <c r="C725" s="714"/>
      <c r="D725" s="714"/>
      <c r="E725" s="714"/>
      <c r="F725" s="714"/>
      <c r="G725" s="714"/>
      <c r="H725" s="714"/>
      <c r="I725" s="717"/>
      <c r="J725" s="720"/>
      <c r="K725" s="717"/>
      <c r="L725" s="717"/>
      <c r="M725" s="720"/>
      <c r="N725" s="717"/>
      <c r="O725" s="715"/>
      <c r="P725" s="715"/>
      <c r="Q725" s="717"/>
      <c r="R725" s="715"/>
      <c r="S725" s="715"/>
      <c r="T725" s="715"/>
      <c r="U725" s="715"/>
      <c r="V725" s="715"/>
      <c r="W725" s="715"/>
      <c r="X725" s="715"/>
      <c r="Y725" s="715"/>
      <c r="Z725" s="715"/>
      <c r="AA725" s="460" t="s">
        <v>2059</v>
      </c>
      <c r="AB725" s="461">
        <v>80</v>
      </c>
      <c r="AC725" s="461">
        <v>86.4</v>
      </c>
      <c r="AD725" s="460" t="s">
        <v>2060</v>
      </c>
      <c r="AE725" s="461">
        <v>85</v>
      </c>
      <c r="AF725" s="461">
        <v>85</v>
      </c>
      <c r="AG725" s="715"/>
      <c r="AH725" s="730"/>
      <c r="AI725" s="711"/>
      <c r="AJ725" s="714"/>
    </row>
    <row r="726" spans="2:36" ht="24" hidden="1" customHeight="1">
      <c r="B726" s="715"/>
      <c r="C726" s="714"/>
      <c r="D726" s="714"/>
      <c r="E726" s="714"/>
      <c r="F726" s="714"/>
      <c r="G726" s="714"/>
      <c r="H726" s="714"/>
      <c r="I726" s="717"/>
      <c r="J726" s="720"/>
      <c r="K726" s="717"/>
      <c r="L726" s="717"/>
      <c r="M726" s="720"/>
      <c r="N726" s="717"/>
      <c r="O726" s="715"/>
      <c r="P726" s="715"/>
      <c r="Q726" s="717"/>
      <c r="R726" s="715"/>
      <c r="S726" s="715"/>
      <c r="T726" s="715"/>
      <c r="U726" s="715"/>
      <c r="V726" s="715"/>
      <c r="W726" s="715"/>
      <c r="X726" s="715"/>
      <c r="Y726" s="715"/>
      <c r="Z726" s="715"/>
      <c r="AA726" s="460" t="s">
        <v>2061</v>
      </c>
      <c r="AB726" s="461" t="s">
        <v>539</v>
      </c>
      <c r="AC726" s="461" t="s">
        <v>539</v>
      </c>
      <c r="AD726" s="460" t="s">
        <v>2062</v>
      </c>
      <c r="AE726" s="461">
        <v>80</v>
      </c>
      <c r="AF726" s="461">
        <v>86.4</v>
      </c>
      <c r="AG726" s="715"/>
      <c r="AH726" s="730"/>
      <c r="AI726" s="711"/>
      <c r="AJ726" s="714"/>
    </row>
    <row r="727" spans="2:36" ht="24" hidden="1" customHeight="1">
      <c r="B727" s="702"/>
      <c r="C727" s="700"/>
      <c r="D727" s="700"/>
      <c r="E727" s="700"/>
      <c r="F727" s="700"/>
      <c r="G727" s="700"/>
      <c r="H727" s="700"/>
      <c r="I727" s="710"/>
      <c r="J727" s="713"/>
      <c r="K727" s="710"/>
      <c r="L727" s="710"/>
      <c r="M727" s="713"/>
      <c r="N727" s="710"/>
      <c r="O727" s="702"/>
      <c r="P727" s="702"/>
      <c r="Q727" s="710"/>
      <c r="R727" s="702"/>
      <c r="S727" s="702"/>
      <c r="T727" s="702"/>
      <c r="U727" s="702"/>
      <c r="V727" s="702"/>
      <c r="W727" s="702"/>
      <c r="X727" s="702"/>
      <c r="Y727" s="702"/>
      <c r="Z727" s="702"/>
      <c r="AA727" s="473" t="s">
        <v>2063</v>
      </c>
      <c r="AB727" s="474" t="s">
        <v>539</v>
      </c>
      <c r="AC727" s="474" t="s">
        <v>539</v>
      </c>
      <c r="AD727" s="462"/>
      <c r="AE727" s="462"/>
      <c r="AF727" s="462"/>
      <c r="AG727" s="702"/>
      <c r="AH727" s="729"/>
      <c r="AI727" s="698"/>
      <c r="AJ727" s="700"/>
    </row>
    <row r="728" spans="2:36" ht="24" hidden="1" customHeight="1">
      <c r="B728" s="701">
        <v>604</v>
      </c>
      <c r="C728" s="699" t="s">
        <v>534</v>
      </c>
      <c r="D728" s="699"/>
      <c r="E728" s="699" t="s">
        <v>535</v>
      </c>
      <c r="F728" s="699"/>
      <c r="G728" s="699" t="s">
        <v>274</v>
      </c>
      <c r="H728" s="699" t="s">
        <v>2064</v>
      </c>
      <c r="I728" s="709" t="s">
        <v>537</v>
      </c>
      <c r="J728" s="712">
        <v>31900</v>
      </c>
      <c r="K728" s="709" t="s">
        <v>537</v>
      </c>
      <c r="L728" s="709" t="s">
        <v>537</v>
      </c>
      <c r="M728" s="712">
        <v>24032</v>
      </c>
      <c r="N728" s="709" t="s">
        <v>537</v>
      </c>
      <c r="O728" s="701" t="s">
        <v>537</v>
      </c>
      <c r="P728" s="701" t="s">
        <v>537</v>
      </c>
      <c r="Q728" s="705">
        <v>7868</v>
      </c>
      <c r="R728" s="707">
        <v>241518</v>
      </c>
      <c r="S728" s="701" t="s">
        <v>2065</v>
      </c>
      <c r="T728" s="701">
        <v>0</v>
      </c>
      <c r="U728" s="701">
        <v>50</v>
      </c>
      <c r="V728" s="701">
        <v>0</v>
      </c>
      <c r="W728" s="701">
        <v>0</v>
      </c>
      <c r="X728" s="701">
        <v>49</v>
      </c>
      <c r="Y728" s="701">
        <v>4</v>
      </c>
      <c r="Z728" s="701">
        <v>90</v>
      </c>
      <c r="AA728" s="458" t="s">
        <v>1181</v>
      </c>
      <c r="AB728" s="459" t="s">
        <v>539</v>
      </c>
      <c r="AC728" s="459" t="s">
        <v>539</v>
      </c>
      <c r="AD728" s="458" t="s">
        <v>1016</v>
      </c>
      <c r="AE728" s="459">
        <v>80</v>
      </c>
      <c r="AF728" s="459">
        <v>90</v>
      </c>
      <c r="AG728" s="701" t="s">
        <v>375</v>
      </c>
      <c r="AH728" s="728"/>
      <c r="AI728" s="697">
        <v>952575587</v>
      </c>
      <c r="AJ728" s="699"/>
    </row>
    <row r="729" spans="2:36" ht="24" hidden="1" customHeight="1">
      <c r="B729" s="702"/>
      <c r="C729" s="700"/>
      <c r="D729" s="700"/>
      <c r="E729" s="700"/>
      <c r="F729" s="700"/>
      <c r="G729" s="700"/>
      <c r="H729" s="700"/>
      <c r="I729" s="710"/>
      <c r="J729" s="713"/>
      <c r="K729" s="710"/>
      <c r="L729" s="710"/>
      <c r="M729" s="713"/>
      <c r="N729" s="710"/>
      <c r="O729" s="702"/>
      <c r="P729" s="702"/>
      <c r="Q729" s="706"/>
      <c r="R729" s="708"/>
      <c r="S729" s="702"/>
      <c r="T729" s="702"/>
      <c r="U729" s="702"/>
      <c r="V729" s="702"/>
      <c r="W729" s="702"/>
      <c r="X729" s="702"/>
      <c r="Y729" s="702"/>
      <c r="Z729" s="702"/>
      <c r="AA729" s="473" t="s">
        <v>2066</v>
      </c>
      <c r="AB729" s="474" t="s">
        <v>539</v>
      </c>
      <c r="AC729" s="474" t="s">
        <v>539</v>
      </c>
      <c r="AD729" s="473" t="s">
        <v>2067</v>
      </c>
      <c r="AE729" s="474">
        <v>1</v>
      </c>
      <c r="AF729" s="474">
        <v>2</v>
      </c>
      <c r="AG729" s="702"/>
      <c r="AH729" s="729"/>
      <c r="AI729" s="698"/>
      <c r="AJ729" s="700"/>
    </row>
    <row r="730" spans="2:36" ht="24" hidden="1" customHeight="1">
      <c r="B730" s="463">
        <v>605</v>
      </c>
      <c r="C730" s="464" t="s">
        <v>534</v>
      </c>
      <c r="D730" s="464"/>
      <c r="E730" s="464" t="s">
        <v>535</v>
      </c>
      <c r="F730" s="464"/>
      <c r="G730" s="464" t="s">
        <v>274</v>
      </c>
      <c r="H730" s="464" t="s">
        <v>2068</v>
      </c>
      <c r="I730" s="465" t="s">
        <v>537</v>
      </c>
      <c r="J730" s="466">
        <v>106000</v>
      </c>
      <c r="K730" s="465" t="s">
        <v>537</v>
      </c>
      <c r="L730" s="465" t="s">
        <v>537</v>
      </c>
      <c r="M730" s="466">
        <v>105460</v>
      </c>
      <c r="N730" s="465" t="s">
        <v>537</v>
      </c>
      <c r="O730" s="463" t="s">
        <v>537</v>
      </c>
      <c r="P730" s="463" t="s">
        <v>537</v>
      </c>
      <c r="Q730" s="465">
        <v>540</v>
      </c>
      <c r="R730" s="470">
        <v>241579</v>
      </c>
      <c r="S730" s="463" t="s">
        <v>2069</v>
      </c>
      <c r="T730" s="463">
        <v>0</v>
      </c>
      <c r="U730" s="463">
        <v>100</v>
      </c>
      <c r="V730" s="463">
        <v>0</v>
      </c>
      <c r="W730" s="463">
        <v>0</v>
      </c>
      <c r="X730" s="463">
        <v>102</v>
      </c>
      <c r="Y730" s="463">
        <v>0</v>
      </c>
      <c r="Z730" s="463">
        <v>93</v>
      </c>
      <c r="AA730" s="472" t="s">
        <v>547</v>
      </c>
      <c r="AB730" s="463" t="s">
        <v>539</v>
      </c>
      <c r="AC730" s="463" t="s">
        <v>539</v>
      </c>
      <c r="AD730" s="472" t="s">
        <v>548</v>
      </c>
      <c r="AE730" s="463">
        <v>80</v>
      </c>
      <c r="AF730" s="463">
        <v>93</v>
      </c>
      <c r="AG730" s="463" t="s">
        <v>375</v>
      </c>
      <c r="AH730" s="476"/>
      <c r="AI730" s="472" t="s">
        <v>2070</v>
      </c>
      <c r="AJ730" s="464"/>
    </row>
    <row r="731" spans="2:36" ht="24" hidden="1" customHeight="1">
      <c r="B731" s="701">
        <v>606</v>
      </c>
      <c r="C731" s="699" t="s">
        <v>534</v>
      </c>
      <c r="D731" s="699"/>
      <c r="E731" s="699" t="s">
        <v>535</v>
      </c>
      <c r="F731" s="699"/>
      <c r="G731" s="699" t="s">
        <v>274</v>
      </c>
      <c r="H731" s="699" t="s">
        <v>668</v>
      </c>
      <c r="I731" s="709" t="s">
        <v>537</v>
      </c>
      <c r="J731" s="712">
        <v>41500</v>
      </c>
      <c r="K731" s="709" t="s">
        <v>537</v>
      </c>
      <c r="L731" s="709" t="s">
        <v>537</v>
      </c>
      <c r="M731" s="712">
        <v>41500</v>
      </c>
      <c r="N731" s="709" t="s">
        <v>537</v>
      </c>
      <c r="O731" s="701" t="s">
        <v>537</v>
      </c>
      <c r="P731" s="701" t="s">
        <v>537</v>
      </c>
      <c r="Q731" s="709">
        <v>0</v>
      </c>
      <c r="R731" s="707">
        <v>241518</v>
      </c>
      <c r="S731" s="721">
        <v>22335</v>
      </c>
      <c r="T731" s="701">
        <v>223</v>
      </c>
      <c r="U731" s="701">
        <v>27</v>
      </c>
      <c r="V731" s="701">
        <v>0</v>
      </c>
      <c r="W731" s="701">
        <v>251</v>
      </c>
      <c r="X731" s="701">
        <v>21</v>
      </c>
      <c r="Y731" s="701">
        <v>0</v>
      </c>
      <c r="Z731" s="701">
        <v>90.6</v>
      </c>
      <c r="AA731" s="458" t="s">
        <v>2071</v>
      </c>
      <c r="AB731" s="459" t="s">
        <v>539</v>
      </c>
      <c r="AC731" s="459" t="s">
        <v>539</v>
      </c>
      <c r="AD731" s="697" t="s">
        <v>561</v>
      </c>
      <c r="AE731" s="701">
        <v>85</v>
      </c>
      <c r="AF731" s="701">
        <v>90.6</v>
      </c>
      <c r="AG731" s="701" t="s">
        <v>375</v>
      </c>
      <c r="AH731" s="728"/>
      <c r="AI731" s="697" t="s">
        <v>2072</v>
      </c>
      <c r="AJ731" s="699"/>
    </row>
    <row r="732" spans="2:36" ht="24" hidden="1" customHeight="1">
      <c r="B732" s="702"/>
      <c r="C732" s="700"/>
      <c r="D732" s="700"/>
      <c r="E732" s="700"/>
      <c r="F732" s="700"/>
      <c r="G732" s="700"/>
      <c r="H732" s="700"/>
      <c r="I732" s="710"/>
      <c r="J732" s="713"/>
      <c r="K732" s="710"/>
      <c r="L732" s="710"/>
      <c r="M732" s="713"/>
      <c r="N732" s="710"/>
      <c r="O732" s="702"/>
      <c r="P732" s="702"/>
      <c r="Q732" s="710"/>
      <c r="R732" s="708"/>
      <c r="S732" s="722"/>
      <c r="T732" s="702"/>
      <c r="U732" s="702"/>
      <c r="V732" s="702"/>
      <c r="W732" s="702"/>
      <c r="X732" s="702"/>
      <c r="Y732" s="702"/>
      <c r="Z732" s="702"/>
      <c r="AA732" s="473" t="s">
        <v>2073</v>
      </c>
      <c r="AB732" s="474" t="s">
        <v>539</v>
      </c>
      <c r="AC732" s="474" t="s">
        <v>539</v>
      </c>
      <c r="AD732" s="698"/>
      <c r="AE732" s="702"/>
      <c r="AF732" s="702"/>
      <c r="AG732" s="702"/>
      <c r="AH732" s="729"/>
      <c r="AI732" s="698"/>
      <c r="AJ732" s="700"/>
    </row>
    <row r="733" spans="2:36" ht="24" hidden="1" customHeight="1">
      <c r="B733" s="701">
        <v>607</v>
      </c>
      <c r="C733" s="699" t="s">
        <v>534</v>
      </c>
      <c r="D733" s="699"/>
      <c r="E733" s="699" t="s">
        <v>535</v>
      </c>
      <c r="F733" s="699"/>
      <c r="G733" s="699" t="s">
        <v>274</v>
      </c>
      <c r="H733" s="699" t="s">
        <v>667</v>
      </c>
      <c r="I733" s="709" t="s">
        <v>537</v>
      </c>
      <c r="J733" s="712">
        <v>39600</v>
      </c>
      <c r="K733" s="709" t="s">
        <v>537</v>
      </c>
      <c r="L733" s="709" t="s">
        <v>537</v>
      </c>
      <c r="M733" s="712">
        <v>39150</v>
      </c>
      <c r="N733" s="709" t="s">
        <v>537</v>
      </c>
      <c r="O733" s="701" t="s">
        <v>537</v>
      </c>
      <c r="P733" s="701" t="s">
        <v>537</v>
      </c>
      <c r="Q733" s="709">
        <v>450</v>
      </c>
      <c r="R733" s="701" t="s">
        <v>643</v>
      </c>
      <c r="S733" s="721">
        <v>22449</v>
      </c>
      <c r="T733" s="701">
        <v>250</v>
      </c>
      <c r="U733" s="701">
        <v>30</v>
      </c>
      <c r="V733" s="701">
        <v>0</v>
      </c>
      <c r="W733" s="701">
        <v>320</v>
      </c>
      <c r="X733" s="701">
        <v>30</v>
      </c>
      <c r="Y733" s="701">
        <v>0</v>
      </c>
      <c r="Z733" s="701">
        <v>90.2</v>
      </c>
      <c r="AA733" s="458" t="s">
        <v>2074</v>
      </c>
      <c r="AB733" s="459">
        <v>85</v>
      </c>
      <c r="AC733" s="459">
        <v>86.4</v>
      </c>
      <c r="AD733" s="458" t="s">
        <v>2075</v>
      </c>
      <c r="AE733" s="459">
        <v>280</v>
      </c>
      <c r="AF733" s="459">
        <v>350</v>
      </c>
      <c r="AG733" s="701" t="s">
        <v>375</v>
      </c>
      <c r="AH733" s="728"/>
      <c r="AI733" s="697">
        <v>808813393</v>
      </c>
      <c r="AJ733" s="699"/>
    </row>
    <row r="734" spans="2:36" ht="24" hidden="1" customHeight="1">
      <c r="B734" s="715"/>
      <c r="C734" s="714"/>
      <c r="D734" s="714"/>
      <c r="E734" s="714"/>
      <c r="F734" s="714"/>
      <c r="G734" s="714"/>
      <c r="H734" s="714"/>
      <c r="I734" s="717"/>
      <c r="J734" s="720"/>
      <c r="K734" s="717"/>
      <c r="L734" s="717"/>
      <c r="M734" s="720"/>
      <c r="N734" s="717"/>
      <c r="O734" s="715"/>
      <c r="P734" s="715"/>
      <c r="Q734" s="717"/>
      <c r="R734" s="715"/>
      <c r="S734" s="731"/>
      <c r="T734" s="715"/>
      <c r="U734" s="715"/>
      <c r="V734" s="715"/>
      <c r="W734" s="715"/>
      <c r="X734" s="715"/>
      <c r="Y734" s="715"/>
      <c r="Z734" s="715"/>
      <c r="AA734" s="460" t="s">
        <v>1279</v>
      </c>
      <c r="AB734" s="461" t="s">
        <v>539</v>
      </c>
      <c r="AC734" s="461" t="s">
        <v>539</v>
      </c>
      <c r="AD734" s="460" t="s">
        <v>2053</v>
      </c>
      <c r="AE734" s="461">
        <v>85</v>
      </c>
      <c r="AF734" s="461">
        <v>86.4</v>
      </c>
      <c r="AG734" s="715"/>
      <c r="AH734" s="730"/>
      <c r="AI734" s="711"/>
      <c r="AJ734" s="714"/>
    </row>
    <row r="735" spans="2:36" ht="24" hidden="1" customHeight="1">
      <c r="B735" s="702"/>
      <c r="C735" s="700"/>
      <c r="D735" s="700"/>
      <c r="E735" s="700"/>
      <c r="F735" s="700"/>
      <c r="G735" s="700"/>
      <c r="H735" s="700"/>
      <c r="I735" s="710"/>
      <c r="J735" s="713"/>
      <c r="K735" s="710"/>
      <c r="L735" s="710"/>
      <c r="M735" s="713"/>
      <c r="N735" s="710"/>
      <c r="O735" s="702"/>
      <c r="P735" s="702"/>
      <c r="Q735" s="710"/>
      <c r="R735" s="702"/>
      <c r="S735" s="722"/>
      <c r="T735" s="702"/>
      <c r="U735" s="702"/>
      <c r="V735" s="702"/>
      <c r="W735" s="702"/>
      <c r="X735" s="702"/>
      <c r="Y735" s="702"/>
      <c r="Z735" s="702"/>
      <c r="AA735" s="462"/>
      <c r="AB735" s="462"/>
      <c r="AC735" s="462"/>
      <c r="AD735" s="473" t="s">
        <v>2076</v>
      </c>
      <c r="AE735" s="474">
        <v>80</v>
      </c>
      <c r="AF735" s="474">
        <v>86.4</v>
      </c>
      <c r="AG735" s="702"/>
      <c r="AH735" s="729"/>
      <c r="AI735" s="698"/>
      <c r="AJ735" s="700"/>
    </row>
    <row r="736" spans="2:36" ht="24" hidden="1" customHeight="1">
      <c r="B736" s="701">
        <v>608</v>
      </c>
      <c r="C736" s="699" t="s">
        <v>534</v>
      </c>
      <c r="D736" s="699"/>
      <c r="E736" s="699" t="s">
        <v>535</v>
      </c>
      <c r="F736" s="699"/>
      <c r="G736" s="699" t="s">
        <v>274</v>
      </c>
      <c r="H736" s="699" t="s">
        <v>2077</v>
      </c>
      <c r="I736" s="709" t="s">
        <v>537</v>
      </c>
      <c r="J736" s="712">
        <v>71700</v>
      </c>
      <c r="K736" s="709" t="s">
        <v>537</v>
      </c>
      <c r="L736" s="709" t="s">
        <v>537</v>
      </c>
      <c r="M736" s="712">
        <v>71700</v>
      </c>
      <c r="N736" s="709" t="s">
        <v>537</v>
      </c>
      <c r="O736" s="701" t="s">
        <v>537</v>
      </c>
      <c r="P736" s="701" t="s">
        <v>537</v>
      </c>
      <c r="Q736" s="709">
        <v>0</v>
      </c>
      <c r="R736" s="707">
        <v>241609</v>
      </c>
      <c r="S736" s="721">
        <v>22498</v>
      </c>
      <c r="T736" s="701">
        <v>100</v>
      </c>
      <c r="U736" s="701">
        <v>10</v>
      </c>
      <c r="V736" s="701">
        <v>0</v>
      </c>
      <c r="W736" s="701">
        <v>104</v>
      </c>
      <c r="X736" s="701">
        <v>64</v>
      </c>
      <c r="Y736" s="699"/>
      <c r="Z736" s="701">
        <v>98</v>
      </c>
      <c r="AA736" s="458" t="s">
        <v>1304</v>
      </c>
      <c r="AB736" s="459" t="s">
        <v>539</v>
      </c>
      <c r="AC736" s="459" t="s">
        <v>539</v>
      </c>
      <c r="AD736" s="458" t="s">
        <v>2078</v>
      </c>
      <c r="AE736" s="459">
        <v>110</v>
      </c>
      <c r="AF736" s="459">
        <v>120</v>
      </c>
      <c r="AG736" s="701" t="s">
        <v>375</v>
      </c>
      <c r="AH736" s="728"/>
      <c r="AI736" s="697">
        <v>810822522</v>
      </c>
      <c r="AJ736" s="699"/>
    </row>
    <row r="737" spans="2:36" ht="24" hidden="1" customHeight="1">
      <c r="B737" s="715"/>
      <c r="C737" s="714"/>
      <c r="D737" s="714"/>
      <c r="E737" s="714"/>
      <c r="F737" s="714"/>
      <c r="G737" s="714"/>
      <c r="H737" s="714"/>
      <c r="I737" s="717"/>
      <c r="J737" s="720"/>
      <c r="K737" s="717"/>
      <c r="L737" s="717"/>
      <c r="M737" s="720"/>
      <c r="N737" s="717"/>
      <c r="O737" s="715"/>
      <c r="P737" s="715"/>
      <c r="Q737" s="717"/>
      <c r="R737" s="719"/>
      <c r="S737" s="731"/>
      <c r="T737" s="715"/>
      <c r="U737" s="715"/>
      <c r="V737" s="715"/>
      <c r="W737" s="715"/>
      <c r="X737" s="715"/>
      <c r="Y737" s="714"/>
      <c r="Z737" s="715"/>
      <c r="AA737" s="460" t="s">
        <v>2079</v>
      </c>
      <c r="AB737" s="461">
        <v>85</v>
      </c>
      <c r="AC737" s="461">
        <v>95</v>
      </c>
      <c r="AD737" s="460" t="s">
        <v>2053</v>
      </c>
      <c r="AE737" s="461">
        <v>85</v>
      </c>
      <c r="AF737" s="461">
        <v>95</v>
      </c>
      <c r="AG737" s="715"/>
      <c r="AH737" s="730"/>
      <c r="AI737" s="711"/>
      <c r="AJ737" s="714"/>
    </row>
    <row r="738" spans="2:36" ht="24" hidden="1" customHeight="1">
      <c r="B738" s="702"/>
      <c r="C738" s="700"/>
      <c r="D738" s="700"/>
      <c r="E738" s="700"/>
      <c r="F738" s="700"/>
      <c r="G738" s="700"/>
      <c r="H738" s="700"/>
      <c r="I738" s="710"/>
      <c r="J738" s="713"/>
      <c r="K738" s="710"/>
      <c r="L738" s="710"/>
      <c r="M738" s="713"/>
      <c r="N738" s="710"/>
      <c r="O738" s="702"/>
      <c r="P738" s="702"/>
      <c r="Q738" s="710"/>
      <c r="R738" s="708"/>
      <c r="S738" s="722"/>
      <c r="T738" s="702"/>
      <c r="U738" s="702"/>
      <c r="V738" s="702"/>
      <c r="W738" s="702"/>
      <c r="X738" s="702"/>
      <c r="Y738" s="700"/>
      <c r="Z738" s="702"/>
      <c r="AA738" s="473" t="s">
        <v>2080</v>
      </c>
      <c r="AB738" s="474">
        <v>1</v>
      </c>
      <c r="AC738" s="474">
        <v>1</v>
      </c>
      <c r="AD738" s="473" t="s">
        <v>2081</v>
      </c>
      <c r="AE738" s="474">
        <v>80</v>
      </c>
      <c r="AF738" s="474">
        <v>95</v>
      </c>
      <c r="AG738" s="702"/>
      <c r="AH738" s="729"/>
      <c r="AI738" s="698"/>
      <c r="AJ738" s="700"/>
    </row>
    <row r="739" spans="2:36" ht="24" hidden="1" customHeight="1">
      <c r="B739" s="701">
        <v>609</v>
      </c>
      <c r="C739" s="699" t="s">
        <v>534</v>
      </c>
      <c r="D739" s="699"/>
      <c r="E739" s="699" t="s">
        <v>535</v>
      </c>
      <c r="F739" s="699"/>
      <c r="G739" s="699" t="s">
        <v>274</v>
      </c>
      <c r="H739" s="699" t="s">
        <v>2082</v>
      </c>
      <c r="I739" s="709" t="s">
        <v>537</v>
      </c>
      <c r="J739" s="712">
        <v>78300</v>
      </c>
      <c r="K739" s="709" t="s">
        <v>537</v>
      </c>
      <c r="L739" s="709" t="s">
        <v>537</v>
      </c>
      <c r="M739" s="712">
        <v>78300</v>
      </c>
      <c r="N739" s="709" t="s">
        <v>537</v>
      </c>
      <c r="O739" s="701" t="s">
        <v>537</v>
      </c>
      <c r="P739" s="701" t="s">
        <v>537</v>
      </c>
      <c r="Q739" s="709">
        <v>0</v>
      </c>
      <c r="R739" s="707">
        <v>241609</v>
      </c>
      <c r="S739" s="721">
        <v>22504</v>
      </c>
      <c r="T739" s="701">
        <v>95</v>
      </c>
      <c r="U739" s="701">
        <v>5</v>
      </c>
      <c r="V739" s="701">
        <v>0</v>
      </c>
      <c r="W739" s="701">
        <v>95</v>
      </c>
      <c r="X739" s="701">
        <v>5</v>
      </c>
      <c r="Y739" s="699"/>
      <c r="Z739" s="701">
        <v>95</v>
      </c>
      <c r="AA739" s="458" t="s">
        <v>1304</v>
      </c>
      <c r="AB739" s="459" t="s">
        <v>539</v>
      </c>
      <c r="AC739" s="459" t="s">
        <v>539</v>
      </c>
      <c r="AD739" s="458" t="s">
        <v>2083</v>
      </c>
      <c r="AE739" s="459">
        <v>100</v>
      </c>
      <c r="AF739" s="459">
        <v>110</v>
      </c>
      <c r="AG739" s="701" t="s">
        <v>375</v>
      </c>
      <c r="AH739" s="728"/>
      <c r="AI739" s="697">
        <v>810822522</v>
      </c>
      <c r="AJ739" s="699"/>
    </row>
    <row r="740" spans="2:36" ht="24" hidden="1" customHeight="1">
      <c r="B740" s="715"/>
      <c r="C740" s="714"/>
      <c r="D740" s="714"/>
      <c r="E740" s="714"/>
      <c r="F740" s="714"/>
      <c r="G740" s="714"/>
      <c r="H740" s="714"/>
      <c r="I740" s="717"/>
      <c r="J740" s="720"/>
      <c r="K740" s="717"/>
      <c r="L740" s="717"/>
      <c r="M740" s="720"/>
      <c r="N740" s="717"/>
      <c r="O740" s="715"/>
      <c r="P740" s="715"/>
      <c r="Q740" s="717"/>
      <c r="R740" s="719"/>
      <c r="S740" s="731"/>
      <c r="T740" s="715"/>
      <c r="U740" s="715"/>
      <c r="V740" s="715"/>
      <c r="W740" s="715"/>
      <c r="X740" s="715"/>
      <c r="Y740" s="714"/>
      <c r="Z740" s="715"/>
      <c r="AA740" s="460" t="s">
        <v>2079</v>
      </c>
      <c r="AB740" s="461">
        <v>85</v>
      </c>
      <c r="AC740" s="461">
        <v>98</v>
      </c>
      <c r="AD740" s="460" t="s">
        <v>2053</v>
      </c>
      <c r="AE740" s="461">
        <v>85</v>
      </c>
      <c r="AF740" s="461">
        <v>95</v>
      </c>
      <c r="AG740" s="715"/>
      <c r="AH740" s="730"/>
      <c r="AI740" s="711"/>
      <c r="AJ740" s="714"/>
    </row>
    <row r="741" spans="2:36" ht="24" hidden="1" customHeight="1">
      <c r="B741" s="702"/>
      <c r="C741" s="700"/>
      <c r="D741" s="700"/>
      <c r="E741" s="700"/>
      <c r="F741" s="700"/>
      <c r="G741" s="700"/>
      <c r="H741" s="700"/>
      <c r="I741" s="710"/>
      <c r="J741" s="713"/>
      <c r="K741" s="710"/>
      <c r="L741" s="710"/>
      <c r="M741" s="713"/>
      <c r="N741" s="710"/>
      <c r="O741" s="702"/>
      <c r="P741" s="702"/>
      <c r="Q741" s="710"/>
      <c r="R741" s="708"/>
      <c r="S741" s="722"/>
      <c r="T741" s="702"/>
      <c r="U741" s="702"/>
      <c r="V741" s="702"/>
      <c r="W741" s="702"/>
      <c r="X741" s="702"/>
      <c r="Y741" s="700"/>
      <c r="Z741" s="702"/>
      <c r="AA741" s="473" t="s">
        <v>2084</v>
      </c>
      <c r="AB741" s="474" t="s">
        <v>539</v>
      </c>
      <c r="AC741" s="474" t="s">
        <v>539</v>
      </c>
      <c r="AD741" s="473" t="s">
        <v>2081</v>
      </c>
      <c r="AE741" s="474">
        <v>80</v>
      </c>
      <c r="AF741" s="474">
        <v>95</v>
      </c>
      <c r="AG741" s="702"/>
      <c r="AH741" s="729"/>
      <c r="AI741" s="698"/>
      <c r="AJ741" s="700"/>
    </row>
    <row r="742" spans="2:36" ht="24" hidden="1" customHeight="1">
      <c r="B742" s="701">
        <v>610</v>
      </c>
      <c r="C742" s="699" t="s">
        <v>534</v>
      </c>
      <c r="D742" s="699"/>
      <c r="E742" s="699" t="s">
        <v>535</v>
      </c>
      <c r="F742" s="699"/>
      <c r="G742" s="699" t="s">
        <v>274</v>
      </c>
      <c r="H742" s="699" t="s">
        <v>2085</v>
      </c>
      <c r="I742" s="709" t="s">
        <v>537</v>
      </c>
      <c r="J742" s="712">
        <v>20000</v>
      </c>
      <c r="K742" s="709" t="s">
        <v>537</v>
      </c>
      <c r="L742" s="709" t="s">
        <v>537</v>
      </c>
      <c r="M742" s="712">
        <v>20000</v>
      </c>
      <c r="N742" s="709" t="s">
        <v>537</v>
      </c>
      <c r="O742" s="701" t="s">
        <v>537</v>
      </c>
      <c r="P742" s="701" t="s">
        <v>537</v>
      </c>
      <c r="Q742" s="709">
        <v>0</v>
      </c>
      <c r="R742" s="707">
        <v>241459</v>
      </c>
      <c r="S742" s="701" t="s">
        <v>682</v>
      </c>
      <c r="T742" s="701">
        <v>40</v>
      </c>
      <c r="U742" s="701">
        <v>10</v>
      </c>
      <c r="V742" s="701">
        <v>0</v>
      </c>
      <c r="W742" s="701">
        <v>102</v>
      </c>
      <c r="X742" s="701">
        <v>12</v>
      </c>
      <c r="Y742" s="701">
        <v>0</v>
      </c>
      <c r="Z742" s="701">
        <v>87.18</v>
      </c>
      <c r="AA742" s="458" t="s">
        <v>2086</v>
      </c>
      <c r="AB742" s="459" t="s">
        <v>539</v>
      </c>
      <c r="AC742" s="459" t="s">
        <v>539</v>
      </c>
      <c r="AD742" s="458" t="s">
        <v>635</v>
      </c>
      <c r="AE742" s="459" t="s">
        <v>539</v>
      </c>
      <c r="AF742" s="459" t="s">
        <v>539</v>
      </c>
      <c r="AG742" s="701" t="s">
        <v>375</v>
      </c>
      <c r="AH742" s="728"/>
      <c r="AI742" s="697" t="s">
        <v>2033</v>
      </c>
      <c r="AJ742" s="699"/>
    </row>
    <row r="743" spans="2:36" ht="24" hidden="1" customHeight="1">
      <c r="B743" s="702"/>
      <c r="C743" s="700"/>
      <c r="D743" s="700"/>
      <c r="E743" s="700"/>
      <c r="F743" s="700"/>
      <c r="G743" s="700"/>
      <c r="H743" s="700"/>
      <c r="I743" s="710"/>
      <c r="J743" s="713"/>
      <c r="K743" s="710"/>
      <c r="L743" s="710"/>
      <c r="M743" s="713"/>
      <c r="N743" s="710"/>
      <c r="O743" s="702"/>
      <c r="P743" s="702"/>
      <c r="Q743" s="710"/>
      <c r="R743" s="708"/>
      <c r="S743" s="702"/>
      <c r="T743" s="702"/>
      <c r="U743" s="702"/>
      <c r="V743" s="702"/>
      <c r="W743" s="702"/>
      <c r="X743" s="702"/>
      <c r="Y743" s="702"/>
      <c r="Z743" s="702"/>
      <c r="AA743" s="473" t="s">
        <v>2087</v>
      </c>
      <c r="AB743" s="474" t="s">
        <v>539</v>
      </c>
      <c r="AC743" s="474" t="s">
        <v>539</v>
      </c>
      <c r="AD743" s="473" t="s">
        <v>2088</v>
      </c>
      <c r="AE743" s="474" t="s">
        <v>539</v>
      </c>
      <c r="AF743" s="474" t="s">
        <v>539</v>
      </c>
      <c r="AG743" s="702"/>
      <c r="AH743" s="729"/>
      <c r="AI743" s="698"/>
      <c r="AJ743" s="700"/>
    </row>
    <row r="744" spans="2:36" ht="24" hidden="1" customHeight="1">
      <c r="B744" s="463">
        <v>611</v>
      </c>
      <c r="C744" s="464" t="s">
        <v>165</v>
      </c>
      <c r="D744" s="464"/>
      <c r="E744" s="464" t="s">
        <v>535</v>
      </c>
      <c r="F744" s="464"/>
      <c r="G744" s="464" t="s">
        <v>274</v>
      </c>
      <c r="H744" s="464" t="s">
        <v>2089</v>
      </c>
      <c r="I744" s="465" t="s">
        <v>537</v>
      </c>
      <c r="J744" s="465" t="s">
        <v>537</v>
      </c>
      <c r="K744" s="466">
        <v>7550</v>
      </c>
      <c r="L744" s="465" t="s">
        <v>537</v>
      </c>
      <c r="M744" s="465" t="s">
        <v>537</v>
      </c>
      <c r="N744" s="466">
        <v>7550</v>
      </c>
      <c r="O744" s="463" t="s">
        <v>537</v>
      </c>
      <c r="P744" s="463" t="s">
        <v>537</v>
      </c>
      <c r="Q744" s="465">
        <v>0</v>
      </c>
      <c r="R744" s="470">
        <v>241609</v>
      </c>
      <c r="S744" s="463" t="s">
        <v>2090</v>
      </c>
      <c r="T744" s="463">
        <v>30</v>
      </c>
      <c r="U744" s="463">
        <v>8</v>
      </c>
      <c r="V744" s="463">
        <v>0</v>
      </c>
      <c r="W744" s="463">
        <v>30</v>
      </c>
      <c r="X744" s="463">
        <v>8</v>
      </c>
      <c r="Y744" s="463">
        <v>0</v>
      </c>
      <c r="Z744" s="463">
        <v>87</v>
      </c>
      <c r="AA744" s="472" t="s">
        <v>2091</v>
      </c>
      <c r="AB744" s="463" t="s">
        <v>539</v>
      </c>
      <c r="AC744" s="463" t="s">
        <v>539</v>
      </c>
      <c r="AD744" s="472" t="s">
        <v>2092</v>
      </c>
      <c r="AE744" s="463">
        <v>80</v>
      </c>
      <c r="AF744" s="463">
        <v>87</v>
      </c>
      <c r="AG744" s="463" t="s">
        <v>375</v>
      </c>
      <c r="AH744" s="476"/>
      <c r="AI744" s="472">
        <v>817504341</v>
      </c>
      <c r="AJ744" s="472" t="s">
        <v>543</v>
      </c>
    </row>
    <row r="745" spans="2:36" ht="24" hidden="1" customHeight="1">
      <c r="B745" s="463">
        <v>612</v>
      </c>
      <c r="C745" s="464" t="s">
        <v>165</v>
      </c>
      <c r="D745" s="464"/>
      <c r="E745" s="464" t="s">
        <v>535</v>
      </c>
      <c r="F745" s="464"/>
      <c r="G745" s="464" t="s">
        <v>274</v>
      </c>
      <c r="H745" s="464" t="s">
        <v>2093</v>
      </c>
      <c r="I745" s="465" t="s">
        <v>537</v>
      </c>
      <c r="J745" s="465" t="s">
        <v>537</v>
      </c>
      <c r="K745" s="466">
        <v>19450</v>
      </c>
      <c r="L745" s="465" t="s">
        <v>537</v>
      </c>
      <c r="M745" s="465" t="s">
        <v>537</v>
      </c>
      <c r="N745" s="466">
        <v>19450</v>
      </c>
      <c r="O745" s="463" t="s">
        <v>537</v>
      </c>
      <c r="P745" s="463" t="s">
        <v>537</v>
      </c>
      <c r="Q745" s="465">
        <v>0</v>
      </c>
      <c r="R745" s="470">
        <v>241609</v>
      </c>
      <c r="S745" s="463" t="s">
        <v>2094</v>
      </c>
      <c r="T745" s="463">
        <v>200</v>
      </c>
      <c r="U745" s="463">
        <v>0</v>
      </c>
      <c r="V745" s="463">
        <v>0</v>
      </c>
      <c r="W745" s="463">
        <v>200</v>
      </c>
      <c r="X745" s="463">
        <v>0</v>
      </c>
      <c r="Y745" s="463">
        <v>0</v>
      </c>
      <c r="Z745" s="463">
        <v>85</v>
      </c>
      <c r="AA745" s="472" t="s">
        <v>547</v>
      </c>
      <c r="AB745" s="463" t="s">
        <v>539</v>
      </c>
      <c r="AC745" s="463" t="s">
        <v>539</v>
      </c>
      <c r="AD745" s="472" t="s">
        <v>2095</v>
      </c>
      <c r="AE745" s="463">
        <v>80</v>
      </c>
      <c r="AF745" s="463">
        <v>85</v>
      </c>
      <c r="AG745" s="463" t="s">
        <v>375</v>
      </c>
      <c r="AH745" s="476"/>
      <c r="AI745" s="472">
        <v>878866316</v>
      </c>
      <c r="AJ745" s="472" t="s">
        <v>543</v>
      </c>
    </row>
    <row r="746" spans="2:36" ht="24" hidden="1" customHeight="1">
      <c r="B746" s="463">
        <v>613</v>
      </c>
      <c r="C746" s="464" t="s">
        <v>534</v>
      </c>
      <c r="D746" s="464"/>
      <c r="E746" s="464" t="s">
        <v>535</v>
      </c>
      <c r="F746" s="464"/>
      <c r="G746" s="464" t="s">
        <v>274</v>
      </c>
      <c r="H746" s="464" t="s">
        <v>2096</v>
      </c>
      <c r="I746" s="465" t="s">
        <v>537</v>
      </c>
      <c r="J746" s="465" t="s">
        <v>537</v>
      </c>
      <c r="K746" s="466">
        <v>250000</v>
      </c>
      <c r="L746" s="465" t="s">
        <v>537</v>
      </c>
      <c r="M746" s="465" t="s">
        <v>537</v>
      </c>
      <c r="N746" s="466">
        <v>247695</v>
      </c>
      <c r="O746" s="463" t="s">
        <v>537</v>
      </c>
      <c r="P746" s="463" t="s">
        <v>537</v>
      </c>
      <c r="Q746" s="468">
        <v>2305</v>
      </c>
      <c r="R746" s="470">
        <v>241428</v>
      </c>
      <c r="S746" s="463" t="s">
        <v>623</v>
      </c>
      <c r="T746" s="463">
        <v>40</v>
      </c>
      <c r="U746" s="463">
        <v>60</v>
      </c>
      <c r="V746" s="463">
        <v>400</v>
      </c>
      <c r="W746" s="463">
        <v>65</v>
      </c>
      <c r="X746" s="463">
        <v>90</v>
      </c>
      <c r="Y746" s="463">
        <v>910</v>
      </c>
      <c r="Z746" s="463">
        <v>88.4</v>
      </c>
      <c r="AA746" s="472" t="s">
        <v>1491</v>
      </c>
      <c r="AB746" s="463" t="s">
        <v>539</v>
      </c>
      <c r="AC746" s="463" t="s">
        <v>539</v>
      </c>
      <c r="AD746" s="472" t="s">
        <v>1016</v>
      </c>
      <c r="AE746" s="463">
        <v>80</v>
      </c>
      <c r="AF746" s="463">
        <v>88.4</v>
      </c>
      <c r="AG746" s="463" t="s">
        <v>375</v>
      </c>
      <c r="AH746" s="476"/>
      <c r="AI746" s="472">
        <v>918263476</v>
      </c>
      <c r="AJ746" s="472" t="s">
        <v>543</v>
      </c>
    </row>
    <row r="747" spans="2:36" ht="24" hidden="1" customHeight="1">
      <c r="B747" s="463">
        <v>614</v>
      </c>
      <c r="C747" s="464" t="s">
        <v>534</v>
      </c>
      <c r="D747" s="464"/>
      <c r="E747" s="464" t="s">
        <v>535</v>
      </c>
      <c r="F747" s="464"/>
      <c r="G747" s="464" t="s">
        <v>274</v>
      </c>
      <c r="H747" s="464" t="s">
        <v>2097</v>
      </c>
      <c r="I747" s="465" t="s">
        <v>537</v>
      </c>
      <c r="J747" s="465" t="s">
        <v>537</v>
      </c>
      <c r="K747" s="466">
        <v>30000</v>
      </c>
      <c r="L747" s="465" t="s">
        <v>537</v>
      </c>
      <c r="M747" s="465" t="s">
        <v>537</v>
      </c>
      <c r="N747" s="466">
        <v>29999</v>
      </c>
      <c r="O747" s="463" t="s">
        <v>537</v>
      </c>
      <c r="P747" s="463" t="s">
        <v>537</v>
      </c>
      <c r="Q747" s="465">
        <v>1</v>
      </c>
      <c r="R747" s="470">
        <v>241459</v>
      </c>
      <c r="S747" s="463" t="s">
        <v>1243</v>
      </c>
      <c r="T747" s="463">
        <v>25</v>
      </c>
      <c r="U747" s="463">
        <v>5</v>
      </c>
      <c r="V747" s="463">
        <v>0</v>
      </c>
      <c r="W747" s="463">
        <v>25</v>
      </c>
      <c r="X747" s="463">
        <v>7</v>
      </c>
      <c r="Y747" s="463">
        <v>0</v>
      </c>
      <c r="Z747" s="463">
        <v>95.27</v>
      </c>
      <c r="AA747" s="472" t="s">
        <v>2098</v>
      </c>
      <c r="AB747" s="463" t="s">
        <v>539</v>
      </c>
      <c r="AC747" s="463" t="s">
        <v>539</v>
      </c>
      <c r="AD747" s="472" t="s">
        <v>2099</v>
      </c>
      <c r="AE747" s="463" t="s">
        <v>539</v>
      </c>
      <c r="AF747" s="463" t="s">
        <v>539</v>
      </c>
      <c r="AG747" s="463" t="s">
        <v>375</v>
      </c>
      <c r="AH747" s="476"/>
      <c r="AI747" s="472">
        <v>953131156</v>
      </c>
      <c r="AJ747" s="472" t="s">
        <v>543</v>
      </c>
    </row>
    <row r="748" spans="2:36" ht="24" hidden="1" customHeight="1">
      <c r="B748" s="463">
        <v>615</v>
      </c>
      <c r="C748" s="464" t="s">
        <v>534</v>
      </c>
      <c r="D748" s="464"/>
      <c r="E748" s="464" t="s">
        <v>535</v>
      </c>
      <c r="F748" s="464"/>
      <c r="G748" s="464" t="s">
        <v>274</v>
      </c>
      <c r="H748" s="464" t="s">
        <v>2100</v>
      </c>
      <c r="I748" s="465" t="s">
        <v>537</v>
      </c>
      <c r="J748" s="465" t="s">
        <v>537</v>
      </c>
      <c r="K748" s="466">
        <v>20000</v>
      </c>
      <c r="L748" s="465" t="s">
        <v>537</v>
      </c>
      <c r="M748" s="465" t="s">
        <v>537</v>
      </c>
      <c r="N748" s="466">
        <v>20000</v>
      </c>
      <c r="O748" s="463" t="s">
        <v>537</v>
      </c>
      <c r="P748" s="463" t="s">
        <v>537</v>
      </c>
      <c r="Q748" s="465">
        <v>0</v>
      </c>
      <c r="R748" s="463" t="s">
        <v>1342</v>
      </c>
      <c r="S748" s="463" t="s">
        <v>2101</v>
      </c>
      <c r="T748" s="463">
        <v>25</v>
      </c>
      <c r="U748" s="463">
        <v>10</v>
      </c>
      <c r="V748" s="463">
        <v>0</v>
      </c>
      <c r="W748" s="463">
        <v>20</v>
      </c>
      <c r="X748" s="463">
        <v>10</v>
      </c>
      <c r="Y748" s="463">
        <v>0</v>
      </c>
      <c r="Z748" s="463">
        <v>92</v>
      </c>
      <c r="AA748" s="472" t="s">
        <v>2102</v>
      </c>
      <c r="AB748" s="479">
        <v>0.8</v>
      </c>
      <c r="AC748" s="463">
        <v>85.71</v>
      </c>
      <c r="AD748" s="472" t="s">
        <v>2103</v>
      </c>
      <c r="AE748" s="479">
        <v>1</v>
      </c>
      <c r="AF748" s="463">
        <v>85.71</v>
      </c>
      <c r="AG748" s="463" t="s">
        <v>375</v>
      </c>
      <c r="AH748" s="476"/>
      <c r="AI748" s="472">
        <v>817194220</v>
      </c>
      <c r="AJ748" s="472" t="s">
        <v>543</v>
      </c>
    </row>
    <row r="749" spans="2:36" ht="24" hidden="1" customHeight="1">
      <c r="B749" s="701">
        <v>616</v>
      </c>
      <c r="C749" s="699" t="s">
        <v>534</v>
      </c>
      <c r="D749" s="699"/>
      <c r="E749" s="699" t="s">
        <v>535</v>
      </c>
      <c r="F749" s="699"/>
      <c r="G749" s="699" t="s">
        <v>274</v>
      </c>
      <c r="H749" s="699" t="s">
        <v>2104</v>
      </c>
      <c r="I749" s="712">
        <v>95000</v>
      </c>
      <c r="J749" s="709" t="s">
        <v>537</v>
      </c>
      <c r="K749" s="709" t="s">
        <v>537</v>
      </c>
      <c r="L749" s="712">
        <v>93800</v>
      </c>
      <c r="M749" s="709" t="s">
        <v>537</v>
      </c>
      <c r="N749" s="709" t="s">
        <v>537</v>
      </c>
      <c r="O749" s="701" t="s">
        <v>537</v>
      </c>
      <c r="P749" s="701" t="s">
        <v>537</v>
      </c>
      <c r="Q749" s="705">
        <v>1200</v>
      </c>
      <c r="R749" s="701" t="s">
        <v>643</v>
      </c>
      <c r="S749" s="701" t="s">
        <v>2105</v>
      </c>
      <c r="T749" s="701">
        <v>20</v>
      </c>
      <c r="U749" s="701">
        <v>10</v>
      </c>
      <c r="V749" s="701">
        <v>250</v>
      </c>
      <c r="W749" s="701">
        <v>26</v>
      </c>
      <c r="X749" s="701">
        <v>19</v>
      </c>
      <c r="Y749" s="701">
        <v>193</v>
      </c>
      <c r="Z749" s="701">
        <v>84.8</v>
      </c>
      <c r="AA749" s="458" t="s">
        <v>2106</v>
      </c>
      <c r="AB749" s="459" t="s">
        <v>539</v>
      </c>
      <c r="AC749" s="459" t="s">
        <v>539</v>
      </c>
      <c r="AD749" s="697" t="s">
        <v>548</v>
      </c>
      <c r="AE749" s="701">
        <v>80</v>
      </c>
      <c r="AF749" s="701">
        <v>84.8</v>
      </c>
      <c r="AG749" s="701" t="s">
        <v>375</v>
      </c>
      <c r="AH749" s="728"/>
      <c r="AI749" s="697" t="s">
        <v>2107</v>
      </c>
      <c r="AJ749" s="699"/>
    </row>
    <row r="750" spans="2:36" ht="24" hidden="1" customHeight="1">
      <c r="B750" s="702"/>
      <c r="C750" s="700"/>
      <c r="D750" s="700"/>
      <c r="E750" s="700"/>
      <c r="F750" s="700"/>
      <c r="G750" s="700"/>
      <c r="H750" s="700"/>
      <c r="I750" s="713"/>
      <c r="J750" s="710"/>
      <c r="K750" s="710"/>
      <c r="L750" s="713"/>
      <c r="M750" s="710"/>
      <c r="N750" s="710"/>
      <c r="O750" s="702"/>
      <c r="P750" s="702"/>
      <c r="Q750" s="706"/>
      <c r="R750" s="702"/>
      <c r="S750" s="702"/>
      <c r="T750" s="702"/>
      <c r="U750" s="702"/>
      <c r="V750" s="702"/>
      <c r="W750" s="702"/>
      <c r="X750" s="702"/>
      <c r="Y750" s="702"/>
      <c r="Z750" s="702"/>
      <c r="AA750" s="473" t="s">
        <v>1279</v>
      </c>
      <c r="AB750" s="474" t="s">
        <v>539</v>
      </c>
      <c r="AC750" s="474" t="s">
        <v>539</v>
      </c>
      <c r="AD750" s="698"/>
      <c r="AE750" s="702"/>
      <c r="AF750" s="702"/>
      <c r="AG750" s="702"/>
      <c r="AH750" s="729"/>
      <c r="AI750" s="698"/>
      <c r="AJ750" s="700"/>
    </row>
    <row r="751" spans="2:36" ht="24" hidden="1" customHeight="1">
      <c r="B751" s="463">
        <v>617</v>
      </c>
      <c r="C751" s="464" t="s">
        <v>534</v>
      </c>
      <c r="D751" s="464"/>
      <c r="E751" s="464" t="s">
        <v>535</v>
      </c>
      <c r="F751" s="464"/>
      <c r="G751" s="464" t="s">
        <v>274</v>
      </c>
      <c r="H751" s="464" t="s">
        <v>2108</v>
      </c>
      <c r="I751" s="466">
        <v>70000</v>
      </c>
      <c r="J751" s="465" t="s">
        <v>537</v>
      </c>
      <c r="K751" s="465" t="s">
        <v>537</v>
      </c>
      <c r="L751" s="466">
        <v>49750</v>
      </c>
      <c r="M751" s="465" t="s">
        <v>537</v>
      </c>
      <c r="N751" s="465" t="s">
        <v>537</v>
      </c>
      <c r="O751" s="463" t="s">
        <v>537</v>
      </c>
      <c r="P751" s="463" t="s">
        <v>537</v>
      </c>
      <c r="Q751" s="468">
        <v>20250</v>
      </c>
      <c r="R751" s="463" t="s">
        <v>2109</v>
      </c>
      <c r="S751" s="463" t="s">
        <v>2110</v>
      </c>
      <c r="T751" s="463">
        <v>60</v>
      </c>
      <c r="U751" s="463">
        <v>25</v>
      </c>
      <c r="V751" s="463">
        <v>0</v>
      </c>
      <c r="W751" s="463">
        <v>164</v>
      </c>
      <c r="X751" s="463">
        <v>55</v>
      </c>
      <c r="Y751" s="463">
        <v>0</v>
      </c>
      <c r="Z751" s="463">
        <v>95</v>
      </c>
      <c r="AA751" s="472" t="s">
        <v>633</v>
      </c>
      <c r="AB751" s="463" t="s">
        <v>539</v>
      </c>
      <c r="AC751" s="463" t="s">
        <v>539</v>
      </c>
      <c r="AD751" s="472" t="s">
        <v>635</v>
      </c>
      <c r="AE751" s="463" t="s">
        <v>539</v>
      </c>
      <c r="AF751" s="463" t="s">
        <v>539</v>
      </c>
      <c r="AG751" s="463" t="s">
        <v>375</v>
      </c>
      <c r="AH751" s="476"/>
      <c r="AI751" s="472">
        <v>840583641</v>
      </c>
      <c r="AJ751" s="464"/>
    </row>
    <row r="752" spans="2:36" ht="24" hidden="1" customHeight="1">
      <c r="B752" s="463">
        <v>618</v>
      </c>
      <c r="C752" s="464" t="s">
        <v>534</v>
      </c>
      <c r="D752" s="464"/>
      <c r="E752" s="464" t="s">
        <v>535</v>
      </c>
      <c r="F752" s="464"/>
      <c r="G752" s="464" t="s">
        <v>274</v>
      </c>
      <c r="H752" s="464" t="s">
        <v>2111</v>
      </c>
      <c r="I752" s="466">
        <v>100000</v>
      </c>
      <c r="J752" s="465" t="s">
        <v>537</v>
      </c>
      <c r="K752" s="465" t="s">
        <v>537</v>
      </c>
      <c r="L752" s="466">
        <v>100000</v>
      </c>
      <c r="M752" s="465" t="s">
        <v>537</v>
      </c>
      <c r="N752" s="465" t="s">
        <v>537</v>
      </c>
      <c r="O752" s="463" t="s">
        <v>537</v>
      </c>
      <c r="P752" s="463" t="s">
        <v>537</v>
      </c>
      <c r="Q752" s="465">
        <v>0</v>
      </c>
      <c r="R752" s="470">
        <v>241487</v>
      </c>
      <c r="S752" s="463" t="s">
        <v>2112</v>
      </c>
      <c r="T752" s="463">
        <v>200</v>
      </c>
      <c r="U752" s="463">
        <v>40</v>
      </c>
      <c r="V752" s="463">
        <v>0</v>
      </c>
      <c r="W752" s="463">
        <v>207</v>
      </c>
      <c r="X752" s="463">
        <v>80</v>
      </c>
      <c r="Y752" s="463">
        <v>0</v>
      </c>
      <c r="Z752" s="463">
        <v>87</v>
      </c>
      <c r="AA752" s="472" t="s">
        <v>547</v>
      </c>
      <c r="AB752" s="463" t="s">
        <v>539</v>
      </c>
      <c r="AC752" s="463" t="s">
        <v>539</v>
      </c>
      <c r="AD752" s="472" t="s">
        <v>548</v>
      </c>
      <c r="AE752" s="463">
        <v>80</v>
      </c>
      <c r="AF752" s="463">
        <v>85</v>
      </c>
      <c r="AG752" s="463" t="s">
        <v>375</v>
      </c>
      <c r="AH752" s="476"/>
      <c r="AI752" s="472" t="s">
        <v>2113</v>
      </c>
      <c r="AJ752" s="464"/>
    </row>
    <row r="753" spans="2:36" ht="24" hidden="1" customHeight="1">
      <c r="B753" s="463">
        <v>619</v>
      </c>
      <c r="C753" s="464" t="s">
        <v>534</v>
      </c>
      <c r="D753" s="464"/>
      <c r="E753" s="464" t="s">
        <v>535</v>
      </c>
      <c r="F753" s="464"/>
      <c r="G753" s="464" t="s">
        <v>274</v>
      </c>
      <c r="H753" s="464" t="s">
        <v>2114</v>
      </c>
      <c r="I753" s="466">
        <v>150000</v>
      </c>
      <c r="J753" s="465" t="s">
        <v>537</v>
      </c>
      <c r="K753" s="465" t="s">
        <v>537</v>
      </c>
      <c r="L753" s="466">
        <v>149640</v>
      </c>
      <c r="M753" s="465" t="s">
        <v>537</v>
      </c>
      <c r="N753" s="465" t="s">
        <v>537</v>
      </c>
      <c r="O753" s="463" t="s">
        <v>537</v>
      </c>
      <c r="P753" s="463" t="s">
        <v>537</v>
      </c>
      <c r="Q753" s="465">
        <v>360</v>
      </c>
      <c r="R753" s="463" t="s">
        <v>2109</v>
      </c>
      <c r="S753" s="471">
        <v>22276</v>
      </c>
      <c r="T753" s="463">
        <v>50</v>
      </c>
      <c r="U753" s="463">
        <v>10</v>
      </c>
      <c r="V753" s="463">
        <v>0</v>
      </c>
      <c r="W753" s="463">
        <v>6</v>
      </c>
      <c r="X753" s="463">
        <v>2</v>
      </c>
      <c r="Y753" s="463" t="s">
        <v>537</v>
      </c>
      <c r="Z753" s="463">
        <v>90</v>
      </c>
      <c r="AA753" s="472" t="s">
        <v>547</v>
      </c>
      <c r="AB753" s="463" t="s">
        <v>539</v>
      </c>
      <c r="AC753" s="463" t="s">
        <v>539</v>
      </c>
      <c r="AD753" s="472" t="s">
        <v>1357</v>
      </c>
      <c r="AE753" s="463">
        <v>1</v>
      </c>
      <c r="AF753" s="463">
        <v>1</v>
      </c>
      <c r="AG753" s="463" t="s">
        <v>375</v>
      </c>
      <c r="AH753" s="476"/>
      <c r="AI753" s="472" t="s">
        <v>2115</v>
      </c>
      <c r="AJ753" s="464"/>
    </row>
    <row r="754" spans="2:36" ht="24" hidden="1" customHeight="1">
      <c r="B754" s="463">
        <v>620</v>
      </c>
      <c r="C754" s="464" t="s">
        <v>534</v>
      </c>
      <c r="D754" s="464"/>
      <c r="E754" s="464" t="s">
        <v>535</v>
      </c>
      <c r="F754" s="464"/>
      <c r="G754" s="464" t="s">
        <v>274</v>
      </c>
      <c r="H754" s="464" t="s">
        <v>2116</v>
      </c>
      <c r="I754" s="466">
        <v>200000</v>
      </c>
      <c r="J754" s="465" t="s">
        <v>537</v>
      </c>
      <c r="K754" s="465" t="s">
        <v>537</v>
      </c>
      <c r="L754" s="466">
        <v>200000</v>
      </c>
      <c r="M754" s="465" t="s">
        <v>537</v>
      </c>
      <c r="N754" s="465" t="s">
        <v>537</v>
      </c>
      <c r="O754" s="463" t="s">
        <v>537</v>
      </c>
      <c r="P754" s="463" t="s">
        <v>537</v>
      </c>
      <c r="Q754" s="465">
        <v>0</v>
      </c>
      <c r="R754" s="470">
        <v>241579</v>
      </c>
      <c r="S754" s="463" t="s">
        <v>2117</v>
      </c>
      <c r="T754" s="463">
        <v>650</v>
      </c>
      <c r="U754" s="463">
        <v>110</v>
      </c>
      <c r="V754" s="463">
        <v>1240</v>
      </c>
      <c r="W754" s="463">
        <v>3705</v>
      </c>
      <c r="X754" s="463">
        <v>101</v>
      </c>
      <c r="Y754" s="463">
        <v>3604</v>
      </c>
      <c r="Z754" s="463">
        <v>87.13</v>
      </c>
      <c r="AA754" s="472" t="s">
        <v>547</v>
      </c>
      <c r="AB754" s="463" t="s">
        <v>539</v>
      </c>
      <c r="AC754" s="463" t="s">
        <v>539</v>
      </c>
      <c r="AD754" s="472" t="s">
        <v>925</v>
      </c>
      <c r="AE754" s="463">
        <v>80</v>
      </c>
      <c r="AF754" s="463">
        <v>87.13</v>
      </c>
      <c r="AG754" s="463" t="s">
        <v>375</v>
      </c>
      <c r="AH754" s="476"/>
      <c r="AI754" s="472">
        <v>918263476</v>
      </c>
      <c r="AJ754" s="464"/>
    </row>
    <row r="755" spans="2:36" ht="24" hidden="1" customHeight="1">
      <c r="B755" s="701">
        <v>621</v>
      </c>
      <c r="C755" s="699" t="s">
        <v>534</v>
      </c>
      <c r="D755" s="699"/>
      <c r="E755" s="699" t="s">
        <v>535</v>
      </c>
      <c r="F755" s="699"/>
      <c r="G755" s="699" t="s">
        <v>274</v>
      </c>
      <c r="H755" s="699" t="s">
        <v>636</v>
      </c>
      <c r="I755" s="712">
        <v>200000</v>
      </c>
      <c r="J755" s="709" t="s">
        <v>537</v>
      </c>
      <c r="K755" s="709" t="s">
        <v>537</v>
      </c>
      <c r="L755" s="712">
        <v>200000</v>
      </c>
      <c r="M755" s="709" t="s">
        <v>537</v>
      </c>
      <c r="N755" s="709" t="s">
        <v>537</v>
      </c>
      <c r="O755" s="701" t="s">
        <v>537</v>
      </c>
      <c r="P755" s="701" t="s">
        <v>537</v>
      </c>
      <c r="Q755" s="709">
        <v>0</v>
      </c>
      <c r="R755" s="707">
        <v>241609</v>
      </c>
      <c r="S755" s="701" t="s">
        <v>637</v>
      </c>
      <c r="T755" s="701">
        <v>65</v>
      </c>
      <c r="U755" s="701">
        <v>0</v>
      </c>
      <c r="V755" s="701">
        <v>0</v>
      </c>
      <c r="W755" s="701">
        <v>55</v>
      </c>
      <c r="X755" s="701">
        <v>10</v>
      </c>
      <c r="Y755" s="701">
        <v>0</v>
      </c>
      <c r="Z755" s="701">
        <v>98</v>
      </c>
      <c r="AA755" s="458" t="s">
        <v>1304</v>
      </c>
      <c r="AB755" s="459" t="s">
        <v>539</v>
      </c>
      <c r="AC755" s="459" t="s">
        <v>539</v>
      </c>
      <c r="AD755" s="697" t="s">
        <v>606</v>
      </c>
      <c r="AE755" s="701">
        <v>80</v>
      </c>
      <c r="AF755" s="701">
        <v>95</v>
      </c>
      <c r="AG755" s="701" t="s">
        <v>375</v>
      </c>
      <c r="AH755" s="728"/>
      <c r="AI755" s="697">
        <v>864753829</v>
      </c>
      <c r="AJ755" s="699"/>
    </row>
    <row r="756" spans="2:36" ht="24" hidden="1" customHeight="1">
      <c r="B756" s="702"/>
      <c r="C756" s="700"/>
      <c r="D756" s="700"/>
      <c r="E756" s="700"/>
      <c r="F756" s="700"/>
      <c r="G756" s="700"/>
      <c r="H756" s="700"/>
      <c r="I756" s="713"/>
      <c r="J756" s="710"/>
      <c r="K756" s="710"/>
      <c r="L756" s="713"/>
      <c r="M756" s="710"/>
      <c r="N756" s="710"/>
      <c r="O756" s="702"/>
      <c r="P756" s="702"/>
      <c r="Q756" s="710"/>
      <c r="R756" s="708"/>
      <c r="S756" s="702"/>
      <c r="T756" s="702"/>
      <c r="U756" s="702"/>
      <c r="V756" s="702"/>
      <c r="W756" s="702"/>
      <c r="X756" s="702"/>
      <c r="Y756" s="702"/>
      <c r="Z756" s="702"/>
      <c r="AA756" s="473" t="s">
        <v>2118</v>
      </c>
      <c r="AB756" s="474">
        <v>1</v>
      </c>
      <c r="AC756" s="474">
        <v>41</v>
      </c>
      <c r="AD756" s="698"/>
      <c r="AE756" s="702"/>
      <c r="AF756" s="702"/>
      <c r="AG756" s="702"/>
      <c r="AH756" s="729"/>
      <c r="AI756" s="698"/>
      <c r="AJ756" s="700"/>
    </row>
    <row r="757" spans="2:36" ht="24" hidden="1" customHeight="1">
      <c r="B757" s="701">
        <v>622</v>
      </c>
      <c r="C757" s="699" t="s">
        <v>534</v>
      </c>
      <c r="D757" s="699"/>
      <c r="E757" s="699" t="s">
        <v>535</v>
      </c>
      <c r="F757" s="699"/>
      <c r="G757" s="699" t="s">
        <v>274</v>
      </c>
      <c r="H757" s="699" t="s">
        <v>2119</v>
      </c>
      <c r="I757" s="712">
        <v>30000</v>
      </c>
      <c r="J757" s="709" t="s">
        <v>537</v>
      </c>
      <c r="K757" s="709" t="s">
        <v>537</v>
      </c>
      <c r="L757" s="712">
        <v>30000</v>
      </c>
      <c r="M757" s="709" t="s">
        <v>537</v>
      </c>
      <c r="N757" s="709" t="s">
        <v>537</v>
      </c>
      <c r="O757" s="701" t="s">
        <v>537</v>
      </c>
      <c r="P757" s="701" t="s">
        <v>537</v>
      </c>
      <c r="Q757" s="709">
        <v>0</v>
      </c>
      <c r="R757" s="707">
        <v>241459</v>
      </c>
      <c r="S757" s="721">
        <v>22340</v>
      </c>
      <c r="T757" s="701">
        <v>40</v>
      </c>
      <c r="U757" s="701">
        <v>14</v>
      </c>
      <c r="V757" s="701">
        <v>0</v>
      </c>
      <c r="W757" s="701">
        <v>42</v>
      </c>
      <c r="X757" s="701">
        <v>13</v>
      </c>
      <c r="Y757" s="701">
        <v>0</v>
      </c>
      <c r="Z757" s="701">
        <v>84.64</v>
      </c>
      <c r="AA757" s="458" t="s">
        <v>2120</v>
      </c>
      <c r="AB757" s="459" t="s">
        <v>539</v>
      </c>
      <c r="AC757" s="459" t="s">
        <v>539</v>
      </c>
      <c r="AD757" s="458" t="s">
        <v>548</v>
      </c>
      <c r="AE757" s="459">
        <v>80</v>
      </c>
      <c r="AF757" s="459">
        <v>90.87</v>
      </c>
      <c r="AG757" s="701" t="s">
        <v>375</v>
      </c>
      <c r="AH757" s="728"/>
      <c r="AI757" s="697" t="s">
        <v>2121</v>
      </c>
      <c r="AJ757" s="699"/>
    </row>
    <row r="758" spans="2:36" ht="24" hidden="1" customHeight="1">
      <c r="B758" s="715"/>
      <c r="C758" s="714"/>
      <c r="D758" s="714"/>
      <c r="E758" s="714"/>
      <c r="F758" s="714"/>
      <c r="G758" s="714"/>
      <c r="H758" s="714"/>
      <c r="I758" s="720"/>
      <c r="J758" s="717"/>
      <c r="K758" s="717"/>
      <c r="L758" s="720"/>
      <c r="M758" s="717"/>
      <c r="N758" s="717"/>
      <c r="O758" s="715"/>
      <c r="P758" s="715"/>
      <c r="Q758" s="717"/>
      <c r="R758" s="719"/>
      <c r="S758" s="731"/>
      <c r="T758" s="715"/>
      <c r="U758" s="715"/>
      <c r="V758" s="715"/>
      <c r="W758" s="715"/>
      <c r="X758" s="715"/>
      <c r="Y758" s="715"/>
      <c r="Z758" s="715"/>
      <c r="AA758" s="460" t="s">
        <v>2122</v>
      </c>
      <c r="AB758" s="461" t="s">
        <v>539</v>
      </c>
      <c r="AC758" s="461" t="s">
        <v>539</v>
      </c>
      <c r="AD758" s="460" t="s">
        <v>2123</v>
      </c>
      <c r="AE758" s="461">
        <v>6</v>
      </c>
      <c r="AF758" s="461">
        <v>6</v>
      </c>
      <c r="AG758" s="715"/>
      <c r="AH758" s="730"/>
      <c r="AI758" s="711"/>
      <c r="AJ758" s="714"/>
    </row>
    <row r="759" spans="2:36" ht="24" hidden="1" customHeight="1">
      <c r="B759" s="702"/>
      <c r="C759" s="700"/>
      <c r="D759" s="700"/>
      <c r="E759" s="700"/>
      <c r="F759" s="700"/>
      <c r="G759" s="700"/>
      <c r="H759" s="700"/>
      <c r="I759" s="713"/>
      <c r="J759" s="710"/>
      <c r="K759" s="710"/>
      <c r="L759" s="713"/>
      <c r="M759" s="710"/>
      <c r="N759" s="710"/>
      <c r="O759" s="702"/>
      <c r="P759" s="702"/>
      <c r="Q759" s="710"/>
      <c r="R759" s="708"/>
      <c r="S759" s="722"/>
      <c r="T759" s="702"/>
      <c r="U759" s="702"/>
      <c r="V759" s="702"/>
      <c r="W759" s="702"/>
      <c r="X759" s="702"/>
      <c r="Y759" s="702"/>
      <c r="Z759" s="702"/>
      <c r="AA759" s="462"/>
      <c r="AB759" s="462"/>
      <c r="AC759" s="462"/>
      <c r="AD759" s="473" t="s">
        <v>2124</v>
      </c>
      <c r="AE759" s="474">
        <v>54</v>
      </c>
      <c r="AF759" s="474">
        <v>55</v>
      </c>
      <c r="AG759" s="702"/>
      <c r="AH759" s="729"/>
      <c r="AI759" s="698"/>
      <c r="AJ759" s="700"/>
    </row>
    <row r="760" spans="2:36" ht="24" hidden="1" customHeight="1">
      <c r="B760" s="463">
        <v>623</v>
      </c>
      <c r="C760" s="464" t="s">
        <v>534</v>
      </c>
      <c r="D760" s="464"/>
      <c r="E760" s="464" t="s">
        <v>535</v>
      </c>
      <c r="F760" s="464"/>
      <c r="G760" s="464" t="s">
        <v>274</v>
      </c>
      <c r="H760" s="464" t="s">
        <v>2125</v>
      </c>
      <c r="I760" s="466">
        <v>30000</v>
      </c>
      <c r="J760" s="465" t="s">
        <v>537</v>
      </c>
      <c r="K760" s="465" t="s">
        <v>537</v>
      </c>
      <c r="L760" s="466">
        <v>30000</v>
      </c>
      <c r="M760" s="465" t="s">
        <v>537</v>
      </c>
      <c r="N760" s="465" t="s">
        <v>537</v>
      </c>
      <c r="O760" s="463" t="s">
        <v>537</v>
      </c>
      <c r="P760" s="463" t="s">
        <v>537</v>
      </c>
      <c r="Q760" s="465">
        <v>0</v>
      </c>
      <c r="R760" s="470">
        <v>241428</v>
      </c>
      <c r="S760" s="463" t="s">
        <v>1915</v>
      </c>
      <c r="T760" s="463">
        <v>270</v>
      </c>
      <c r="U760" s="463">
        <v>0</v>
      </c>
      <c r="V760" s="463">
        <v>0</v>
      </c>
      <c r="W760" s="463">
        <v>270</v>
      </c>
      <c r="X760" s="463">
        <v>0</v>
      </c>
      <c r="Y760" s="463">
        <v>0</v>
      </c>
      <c r="Z760" s="463">
        <v>96.2</v>
      </c>
      <c r="AA760" s="472" t="s">
        <v>547</v>
      </c>
      <c r="AB760" s="463" t="s">
        <v>539</v>
      </c>
      <c r="AC760" s="463" t="s">
        <v>539</v>
      </c>
      <c r="AD760" s="472" t="s">
        <v>548</v>
      </c>
      <c r="AE760" s="463">
        <v>80</v>
      </c>
      <c r="AF760" s="463">
        <v>93.5</v>
      </c>
      <c r="AG760" s="463" t="s">
        <v>375</v>
      </c>
      <c r="AH760" s="476"/>
      <c r="AI760" s="472" t="s">
        <v>2126</v>
      </c>
      <c r="AJ760" s="464"/>
    </row>
    <row r="761" spans="2:36" ht="24" hidden="1" customHeight="1">
      <c r="B761" s="463">
        <v>624</v>
      </c>
      <c r="C761" s="464" t="s">
        <v>534</v>
      </c>
      <c r="D761" s="464"/>
      <c r="E761" s="464" t="s">
        <v>535</v>
      </c>
      <c r="F761" s="464"/>
      <c r="G761" s="464" t="s">
        <v>274</v>
      </c>
      <c r="H761" s="464" t="s">
        <v>2127</v>
      </c>
      <c r="I761" s="466">
        <v>9000</v>
      </c>
      <c r="J761" s="465" t="s">
        <v>537</v>
      </c>
      <c r="K761" s="465" t="s">
        <v>537</v>
      </c>
      <c r="L761" s="466">
        <v>9000</v>
      </c>
      <c r="M761" s="465" t="s">
        <v>537</v>
      </c>
      <c r="N761" s="465" t="s">
        <v>537</v>
      </c>
      <c r="O761" s="463" t="s">
        <v>537</v>
      </c>
      <c r="P761" s="463" t="s">
        <v>537</v>
      </c>
      <c r="Q761" s="465">
        <v>0</v>
      </c>
      <c r="R761" s="470">
        <v>241487</v>
      </c>
      <c r="S761" s="471">
        <v>22333</v>
      </c>
      <c r="T761" s="463">
        <v>100</v>
      </c>
      <c r="U761" s="463">
        <v>50</v>
      </c>
      <c r="V761" s="463">
        <v>0</v>
      </c>
      <c r="W761" s="463">
        <v>100</v>
      </c>
      <c r="X761" s="463">
        <v>50</v>
      </c>
      <c r="Y761" s="463">
        <v>0</v>
      </c>
      <c r="Z761" s="463">
        <v>87</v>
      </c>
      <c r="AA761" s="472" t="s">
        <v>547</v>
      </c>
      <c r="AB761" s="463" t="s">
        <v>539</v>
      </c>
      <c r="AC761" s="463" t="s">
        <v>539</v>
      </c>
      <c r="AD761" s="472" t="s">
        <v>548</v>
      </c>
      <c r="AE761" s="463">
        <v>80</v>
      </c>
      <c r="AF761" s="463">
        <v>87.4</v>
      </c>
      <c r="AG761" s="463" t="s">
        <v>375</v>
      </c>
      <c r="AH761" s="476"/>
      <c r="AI761" s="472" t="s">
        <v>2128</v>
      </c>
      <c r="AJ761" s="464"/>
    </row>
    <row r="762" spans="2:36" ht="24" hidden="1" customHeight="1">
      <c r="B762" s="463">
        <v>625</v>
      </c>
      <c r="C762" s="464" t="s">
        <v>534</v>
      </c>
      <c r="D762" s="464"/>
      <c r="E762" s="464" t="s">
        <v>535</v>
      </c>
      <c r="F762" s="464"/>
      <c r="G762" s="464" t="s">
        <v>274</v>
      </c>
      <c r="H762" s="464" t="s">
        <v>2129</v>
      </c>
      <c r="I762" s="466">
        <v>6000</v>
      </c>
      <c r="J762" s="465" t="s">
        <v>537</v>
      </c>
      <c r="K762" s="465" t="s">
        <v>537</v>
      </c>
      <c r="L762" s="466">
        <v>6000</v>
      </c>
      <c r="M762" s="465" t="s">
        <v>537</v>
      </c>
      <c r="N762" s="465" t="s">
        <v>537</v>
      </c>
      <c r="O762" s="463" t="s">
        <v>537</v>
      </c>
      <c r="P762" s="463" t="s">
        <v>537</v>
      </c>
      <c r="Q762" s="465">
        <v>0</v>
      </c>
      <c r="R762" s="463" t="s">
        <v>643</v>
      </c>
      <c r="S762" s="471">
        <v>22394</v>
      </c>
      <c r="T762" s="463">
        <v>0</v>
      </c>
      <c r="U762" s="463">
        <v>60</v>
      </c>
      <c r="V762" s="463">
        <v>0</v>
      </c>
      <c r="W762" s="463">
        <v>0</v>
      </c>
      <c r="X762" s="463">
        <v>71</v>
      </c>
      <c r="Y762" s="463">
        <v>0</v>
      </c>
      <c r="Z762" s="463">
        <v>88.9</v>
      </c>
      <c r="AA762" s="472" t="s">
        <v>547</v>
      </c>
      <c r="AB762" s="463" t="s">
        <v>539</v>
      </c>
      <c r="AC762" s="463" t="s">
        <v>539</v>
      </c>
      <c r="AD762" s="472" t="s">
        <v>548</v>
      </c>
      <c r="AE762" s="463">
        <v>80</v>
      </c>
      <c r="AF762" s="463">
        <v>85</v>
      </c>
      <c r="AG762" s="463" t="s">
        <v>375</v>
      </c>
      <c r="AH762" s="476"/>
      <c r="AI762" s="472" t="s">
        <v>2128</v>
      </c>
      <c r="AJ762" s="464"/>
    </row>
    <row r="763" spans="2:36" ht="24" hidden="1" customHeight="1">
      <c r="B763" s="463">
        <v>626</v>
      </c>
      <c r="C763" s="464" t="s">
        <v>534</v>
      </c>
      <c r="D763" s="464"/>
      <c r="E763" s="464" t="s">
        <v>535</v>
      </c>
      <c r="F763" s="464"/>
      <c r="G763" s="464" t="s">
        <v>274</v>
      </c>
      <c r="H763" s="464" t="s">
        <v>2130</v>
      </c>
      <c r="I763" s="466">
        <v>6000</v>
      </c>
      <c r="J763" s="465" t="s">
        <v>537</v>
      </c>
      <c r="K763" s="465" t="s">
        <v>537</v>
      </c>
      <c r="L763" s="466">
        <v>6000</v>
      </c>
      <c r="M763" s="465" t="s">
        <v>537</v>
      </c>
      <c r="N763" s="465" t="s">
        <v>537</v>
      </c>
      <c r="O763" s="463" t="s">
        <v>537</v>
      </c>
      <c r="P763" s="463" t="s">
        <v>537</v>
      </c>
      <c r="Q763" s="465">
        <v>0</v>
      </c>
      <c r="R763" s="470">
        <v>241518</v>
      </c>
      <c r="S763" s="471">
        <v>22395</v>
      </c>
      <c r="T763" s="463">
        <v>0</v>
      </c>
      <c r="U763" s="463">
        <v>60</v>
      </c>
      <c r="V763" s="463">
        <v>0</v>
      </c>
      <c r="W763" s="463">
        <v>0</v>
      </c>
      <c r="X763" s="463">
        <v>73</v>
      </c>
      <c r="Y763" s="463">
        <v>0</v>
      </c>
      <c r="Z763" s="463">
        <v>89</v>
      </c>
      <c r="AA763" s="472" t="s">
        <v>547</v>
      </c>
      <c r="AB763" s="463" t="s">
        <v>539</v>
      </c>
      <c r="AC763" s="463" t="s">
        <v>539</v>
      </c>
      <c r="AD763" s="472" t="s">
        <v>548</v>
      </c>
      <c r="AE763" s="463">
        <v>80</v>
      </c>
      <c r="AF763" s="463">
        <v>87</v>
      </c>
      <c r="AG763" s="463" t="s">
        <v>375</v>
      </c>
      <c r="AH763" s="476"/>
      <c r="AI763" s="472" t="s">
        <v>2128</v>
      </c>
      <c r="AJ763" s="464"/>
    </row>
    <row r="764" spans="2:36" ht="24" hidden="1" customHeight="1">
      <c r="B764" s="463">
        <v>627</v>
      </c>
      <c r="C764" s="464" t="s">
        <v>534</v>
      </c>
      <c r="D764" s="464"/>
      <c r="E764" s="464" t="s">
        <v>535</v>
      </c>
      <c r="F764" s="464"/>
      <c r="G764" s="464" t="s">
        <v>274</v>
      </c>
      <c r="H764" s="464" t="s">
        <v>2131</v>
      </c>
      <c r="I764" s="466">
        <v>4000</v>
      </c>
      <c r="J764" s="465" t="s">
        <v>537</v>
      </c>
      <c r="K764" s="465" t="s">
        <v>537</v>
      </c>
      <c r="L764" s="466">
        <v>4000</v>
      </c>
      <c r="M764" s="465" t="s">
        <v>537</v>
      </c>
      <c r="N764" s="465" t="s">
        <v>537</v>
      </c>
      <c r="O764" s="463" t="s">
        <v>537</v>
      </c>
      <c r="P764" s="463" t="s">
        <v>537</v>
      </c>
      <c r="Q764" s="465">
        <v>0</v>
      </c>
      <c r="R764" s="463" t="s">
        <v>643</v>
      </c>
      <c r="S764" s="463" t="s">
        <v>2105</v>
      </c>
      <c r="T764" s="463">
        <v>0</v>
      </c>
      <c r="U764" s="463">
        <v>60</v>
      </c>
      <c r="V764" s="463">
        <v>0</v>
      </c>
      <c r="W764" s="463">
        <v>0</v>
      </c>
      <c r="X764" s="463">
        <v>42</v>
      </c>
      <c r="Y764" s="463">
        <v>0</v>
      </c>
      <c r="Z764" s="463">
        <v>83</v>
      </c>
      <c r="AA764" s="472" t="s">
        <v>547</v>
      </c>
      <c r="AB764" s="463" t="s">
        <v>539</v>
      </c>
      <c r="AC764" s="463" t="s">
        <v>539</v>
      </c>
      <c r="AD764" s="472" t="s">
        <v>548</v>
      </c>
      <c r="AE764" s="463">
        <v>80</v>
      </c>
      <c r="AF764" s="463">
        <v>83</v>
      </c>
      <c r="AG764" s="463" t="s">
        <v>375</v>
      </c>
      <c r="AH764" s="476"/>
      <c r="AI764" s="472">
        <v>897312276</v>
      </c>
      <c r="AJ764" s="464"/>
    </row>
    <row r="765" spans="2:36" ht="24" hidden="1" customHeight="1">
      <c r="B765" s="463">
        <v>628</v>
      </c>
      <c r="C765" s="464" t="s">
        <v>534</v>
      </c>
      <c r="D765" s="464"/>
      <c r="E765" s="464" t="s">
        <v>535</v>
      </c>
      <c r="F765" s="464"/>
      <c r="G765" s="464" t="s">
        <v>274</v>
      </c>
      <c r="H765" s="464" t="s">
        <v>2132</v>
      </c>
      <c r="I765" s="466">
        <v>5000</v>
      </c>
      <c r="J765" s="465" t="s">
        <v>537</v>
      </c>
      <c r="K765" s="465" t="s">
        <v>537</v>
      </c>
      <c r="L765" s="466">
        <v>5000</v>
      </c>
      <c r="M765" s="465" t="s">
        <v>537</v>
      </c>
      <c r="N765" s="465" t="s">
        <v>537</v>
      </c>
      <c r="O765" s="463" t="s">
        <v>537</v>
      </c>
      <c r="P765" s="463" t="s">
        <v>537</v>
      </c>
      <c r="Q765" s="465">
        <v>0</v>
      </c>
      <c r="R765" s="463" t="s">
        <v>643</v>
      </c>
      <c r="S765" s="463" t="s">
        <v>959</v>
      </c>
      <c r="T765" s="463">
        <v>0</v>
      </c>
      <c r="U765" s="463">
        <v>50</v>
      </c>
      <c r="V765" s="463">
        <v>0</v>
      </c>
      <c r="W765" s="463">
        <v>0</v>
      </c>
      <c r="X765" s="463">
        <v>60</v>
      </c>
      <c r="Y765" s="463">
        <v>0</v>
      </c>
      <c r="Z765" s="463">
        <v>84</v>
      </c>
      <c r="AA765" s="472" t="s">
        <v>547</v>
      </c>
      <c r="AB765" s="463" t="s">
        <v>539</v>
      </c>
      <c r="AC765" s="463" t="s">
        <v>539</v>
      </c>
      <c r="AD765" s="472" t="s">
        <v>548</v>
      </c>
      <c r="AE765" s="463">
        <v>80</v>
      </c>
      <c r="AF765" s="463">
        <v>84</v>
      </c>
      <c r="AG765" s="463" t="s">
        <v>375</v>
      </c>
      <c r="AH765" s="476"/>
      <c r="AI765" s="472" t="s">
        <v>2128</v>
      </c>
      <c r="AJ765" s="464"/>
    </row>
    <row r="766" spans="2:36" ht="24" hidden="1" customHeight="1">
      <c r="B766" s="701">
        <v>629</v>
      </c>
      <c r="C766" s="699" t="s">
        <v>534</v>
      </c>
      <c r="D766" s="699"/>
      <c r="E766" s="699" t="s">
        <v>535</v>
      </c>
      <c r="F766" s="699"/>
      <c r="G766" s="699" t="s">
        <v>274</v>
      </c>
      <c r="H766" s="699" t="s">
        <v>2133</v>
      </c>
      <c r="I766" s="712">
        <v>10000</v>
      </c>
      <c r="J766" s="709" t="s">
        <v>537</v>
      </c>
      <c r="K766" s="709" t="s">
        <v>537</v>
      </c>
      <c r="L766" s="712">
        <v>10000</v>
      </c>
      <c r="M766" s="709" t="s">
        <v>537</v>
      </c>
      <c r="N766" s="709" t="s">
        <v>537</v>
      </c>
      <c r="O766" s="701" t="s">
        <v>537</v>
      </c>
      <c r="P766" s="701" t="s">
        <v>537</v>
      </c>
      <c r="Q766" s="709">
        <v>0</v>
      </c>
      <c r="R766" s="701" t="s">
        <v>877</v>
      </c>
      <c r="S766" s="701" t="s">
        <v>2134</v>
      </c>
      <c r="T766" s="701">
        <v>30</v>
      </c>
      <c r="U766" s="701">
        <v>8</v>
      </c>
      <c r="V766" s="701">
        <v>0</v>
      </c>
      <c r="W766" s="701">
        <v>30</v>
      </c>
      <c r="X766" s="701">
        <v>8</v>
      </c>
      <c r="Y766" s="701">
        <v>0</v>
      </c>
      <c r="Z766" s="701">
        <v>85.6</v>
      </c>
      <c r="AA766" s="458" t="s">
        <v>2120</v>
      </c>
      <c r="AB766" s="459" t="s">
        <v>539</v>
      </c>
      <c r="AC766" s="459" t="s">
        <v>539</v>
      </c>
      <c r="AD766" s="458" t="s">
        <v>548</v>
      </c>
      <c r="AE766" s="459">
        <v>80</v>
      </c>
      <c r="AF766" s="459">
        <v>80</v>
      </c>
      <c r="AG766" s="701" t="s">
        <v>375</v>
      </c>
      <c r="AH766" s="728"/>
      <c r="AI766" s="697" t="s">
        <v>2135</v>
      </c>
      <c r="AJ766" s="699"/>
    </row>
    <row r="767" spans="2:36" ht="24" hidden="1" customHeight="1">
      <c r="B767" s="702"/>
      <c r="C767" s="700"/>
      <c r="D767" s="700"/>
      <c r="E767" s="700"/>
      <c r="F767" s="700"/>
      <c r="G767" s="700"/>
      <c r="H767" s="700"/>
      <c r="I767" s="713"/>
      <c r="J767" s="710"/>
      <c r="K767" s="710"/>
      <c r="L767" s="713"/>
      <c r="M767" s="710"/>
      <c r="N767" s="710"/>
      <c r="O767" s="702"/>
      <c r="P767" s="702"/>
      <c r="Q767" s="710"/>
      <c r="R767" s="702"/>
      <c r="S767" s="702"/>
      <c r="T767" s="702"/>
      <c r="U767" s="702"/>
      <c r="V767" s="702"/>
      <c r="W767" s="702"/>
      <c r="X767" s="702"/>
      <c r="Y767" s="702"/>
      <c r="Z767" s="702"/>
      <c r="AA767" s="473" t="s">
        <v>2136</v>
      </c>
      <c r="AB767" s="474" t="s">
        <v>539</v>
      </c>
      <c r="AC767" s="474" t="s">
        <v>539</v>
      </c>
      <c r="AD767" s="473" t="s">
        <v>2137</v>
      </c>
      <c r="AE767" s="474">
        <v>80</v>
      </c>
      <c r="AF767" s="474">
        <v>80</v>
      </c>
      <c r="AG767" s="702"/>
      <c r="AH767" s="729"/>
      <c r="AI767" s="698"/>
      <c r="AJ767" s="700"/>
    </row>
    <row r="768" spans="2:36" ht="24" hidden="1" customHeight="1">
      <c r="B768" s="463">
        <v>630</v>
      </c>
      <c r="C768" s="464" t="s">
        <v>534</v>
      </c>
      <c r="D768" s="464"/>
      <c r="E768" s="464" t="s">
        <v>535</v>
      </c>
      <c r="F768" s="464"/>
      <c r="G768" s="464" t="s">
        <v>274</v>
      </c>
      <c r="H768" s="464" t="s">
        <v>642</v>
      </c>
      <c r="I768" s="466">
        <v>60000</v>
      </c>
      <c r="J768" s="465" t="s">
        <v>537</v>
      </c>
      <c r="K768" s="465" t="s">
        <v>537</v>
      </c>
      <c r="L768" s="466">
        <v>59520</v>
      </c>
      <c r="M768" s="465" t="s">
        <v>537</v>
      </c>
      <c r="N768" s="465" t="s">
        <v>537</v>
      </c>
      <c r="O768" s="463" t="s">
        <v>537</v>
      </c>
      <c r="P768" s="463" t="s">
        <v>537</v>
      </c>
      <c r="Q768" s="465">
        <v>480</v>
      </c>
      <c r="R768" s="470">
        <v>241428</v>
      </c>
      <c r="S768" s="463" t="s">
        <v>2138</v>
      </c>
      <c r="T768" s="463">
        <v>0</v>
      </c>
      <c r="U768" s="463">
        <v>45</v>
      </c>
      <c r="V768" s="463">
        <v>0</v>
      </c>
      <c r="W768" s="463">
        <v>0</v>
      </c>
      <c r="X768" s="463">
        <v>45</v>
      </c>
      <c r="Y768" s="463">
        <v>0</v>
      </c>
      <c r="Z768" s="463">
        <v>95</v>
      </c>
      <c r="AA768" s="472" t="s">
        <v>633</v>
      </c>
      <c r="AB768" s="463" t="s">
        <v>539</v>
      </c>
      <c r="AC768" s="463" t="s">
        <v>539</v>
      </c>
      <c r="AD768" s="472" t="s">
        <v>635</v>
      </c>
      <c r="AE768" s="463" t="s">
        <v>539</v>
      </c>
      <c r="AF768" s="463" t="s">
        <v>539</v>
      </c>
      <c r="AG768" s="463" t="s">
        <v>375</v>
      </c>
      <c r="AH768" s="476"/>
      <c r="AI768" s="472" t="s">
        <v>2139</v>
      </c>
      <c r="AJ768" s="464"/>
    </row>
    <row r="769" spans="2:36" ht="24" hidden="1" customHeight="1">
      <c r="B769" s="463">
        <v>631</v>
      </c>
      <c r="C769" s="464" t="s">
        <v>165</v>
      </c>
      <c r="D769" s="464"/>
      <c r="E769" s="464" t="s">
        <v>535</v>
      </c>
      <c r="F769" s="464"/>
      <c r="G769" s="464" t="s">
        <v>274</v>
      </c>
      <c r="H769" s="464" t="s">
        <v>2140</v>
      </c>
      <c r="I769" s="466">
        <v>18000</v>
      </c>
      <c r="J769" s="465" t="s">
        <v>537</v>
      </c>
      <c r="K769" s="465" t="s">
        <v>537</v>
      </c>
      <c r="L769" s="466">
        <v>17501.599999999999</v>
      </c>
      <c r="M769" s="465" t="s">
        <v>537</v>
      </c>
      <c r="N769" s="465" t="s">
        <v>537</v>
      </c>
      <c r="O769" s="463" t="s">
        <v>537</v>
      </c>
      <c r="P769" s="463" t="s">
        <v>537</v>
      </c>
      <c r="Q769" s="465">
        <v>498</v>
      </c>
      <c r="R769" s="463" t="s">
        <v>646</v>
      </c>
      <c r="S769" s="463" t="s">
        <v>2141</v>
      </c>
      <c r="T769" s="463">
        <v>5</v>
      </c>
      <c r="U769" s="463">
        <v>6</v>
      </c>
      <c r="V769" s="463">
        <v>500</v>
      </c>
      <c r="W769" s="463">
        <v>500</v>
      </c>
      <c r="X769" s="463">
        <v>8</v>
      </c>
      <c r="Y769" s="463" t="s">
        <v>537</v>
      </c>
      <c r="Z769" s="463">
        <v>92</v>
      </c>
      <c r="AA769" s="472" t="s">
        <v>547</v>
      </c>
      <c r="AB769" s="463" t="s">
        <v>539</v>
      </c>
      <c r="AC769" s="463" t="s">
        <v>539</v>
      </c>
      <c r="AD769" s="472" t="s">
        <v>548</v>
      </c>
      <c r="AE769" s="463">
        <v>80</v>
      </c>
      <c r="AF769" s="463">
        <v>92</v>
      </c>
      <c r="AG769" s="463" t="s">
        <v>375</v>
      </c>
      <c r="AH769" s="476"/>
      <c r="AI769" s="472" t="s">
        <v>2142</v>
      </c>
      <c r="AJ769" s="464"/>
    </row>
    <row r="770" spans="2:36" ht="24" hidden="1" customHeight="1">
      <c r="B770" s="463">
        <v>632</v>
      </c>
      <c r="C770" s="464" t="s">
        <v>165</v>
      </c>
      <c r="D770" s="464"/>
      <c r="E770" s="464" t="s">
        <v>535</v>
      </c>
      <c r="F770" s="464"/>
      <c r="G770" s="464" t="s">
        <v>274</v>
      </c>
      <c r="H770" s="464" t="s">
        <v>2143</v>
      </c>
      <c r="I770" s="466">
        <v>10000</v>
      </c>
      <c r="J770" s="465" t="s">
        <v>537</v>
      </c>
      <c r="K770" s="465" t="s">
        <v>537</v>
      </c>
      <c r="L770" s="466">
        <v>10000</v>
      </c>
      <c r="M770" s="465" t="s">
        <v>537</v>
      </c>
      <c r="N770" s="465" t="s">
        <v>537</v>
      </c>
      <c r="O770" s="463" t="s">
        <v>537</v>
      </c>
      <c r="P770" s="463" t="s">
        <v>537</v>
      </c>
      <c r="Q770" s="465">
        <v>0</v>
      </c>
      <c r="R770" s="470">
        <v>241671</v>
      </c>
      <c r="S770" s="471">
        <v>22334</v>
      </c>
      <c r="T770" s="463">
        <v>70</v>
      </c>
      <c r="U770" s="463">
        <v>10</v>
      </c>
      <c r="V770" s="463">
        <v>2</v>
      </c>
      <c r="W770" s="463">
        <v>70</v>
      </c>
      <c r="X770" s="463">
        <v>10</v>
      </c>
      <c r="Y770" s="463">
        <v>2</v>
      </c>
      <c r="Z770" s="463">
        <v>93.2</v>
      </c>
      <c r="AA770" s="472" t="s">
        <v>547</v>
      </c>
      <c r="AB770" s="463" t="s">
        <v>539</v>
      </c>
      <c r="AC770" s="463" t="s">
        <v>539</v>
      </c>
      <c r="AD770" s="472" t="s">
        <v>733</v>
      </c>
      <c r="AE770" s="463">
        <v>1</v>
      </c>
      <c r="AF770" s="463">
        <v>1</v>
      </c>
      <c r="AG770" s="463" t="s">
        <v>375</v>
      </c>
      <c r="AH770" s="476"/>
      <c r="AI770" s="472" t="s">
        <v>2144</v>
      </c>
      <c r="AJ770" s="464"/>
    </row>
    <row r="771" spans="2:36" ht="24" hidden="1" customHeight="1">
      <c r="B771" s="463">
        <v>633</v>
      </c>
      <c r="C771" s="464" t="s">
        <v>10</v>
      </c>
      <c r="D771" s="464"/>
      <c r="E771" s="464" t="s">
        <v>558</v>
      </c>
      <c r="F771" s="464"/>
      <c r="G771" s="464" t="s">
        <v>274</v>
      </c>
      <c r="H771" s="464" t="s">
        <v>2145</v>
      </c>
      <c r="I771" s="465" t="s">
        <v>537</v>
      </c>
      <c r="J771" s="465" t="s">
        <v>537</v>
      </c>
      <c r="K771" s="466">
        <v>50000</v>
      </c>
      <c r="L771" s="465" t="s">
        <v>537</v>
      </c>
      <c r="M771" s="465" t="s">
        <v>537</v>
      </c>
      <c r="N771" s="466">
        <v>50000</v>
      </c>
      <c r="O771" s="463" t="s">
        <v>537</v>
      </c>
      <c r="P771" s="463" t="s">
        <v>537</v>
      </c>
      <c r="Q771" s="465">
        <v>0</v>
      </c>
      <c r="R771" s="470">
        <v>241671</v>
      </c>
      <c r="S771" s="463" t="s">
        <v>1997</v>
      </c>
      <c r="T771" s="463">
        <v>10</v>
      </c>
      <c r="U771" s="463">
        <v>110</v>
      </c>
      <c r="V771" s="463">
        <v>0</v>
      </c>
      <c r="W771" s="463">
        <v>10</v>
      </c>
      <c r="X771" s="463">
        <v>110</v>
      </c>
      <c r="Y771" s="464"/>
      <c r="Z771" s="463">
        <v>95</v>
      </c>
      <c r="AA771" s="472" t="s">
        <v>899</v>
      </c>
      <c r="AB771" s="463" t="s">
        <v>539</v>
      </c>
      <c r="AC771" s="463" t="s">
        <v>539</v>
      </c>
      <c r="AD771" s="472" t="s">
        <v>548</v>
      </c>
      <c r="AE771" s="463">
        <v>80</v>
      </c>
      <c r="AF771" s="463">
        <v>95</v>
      </c>
      <c r="AG771" s="463" t="s">
        <v>375</v>
      </c>
      <c r="AH771" s="476"/>
      <c r="AI771" s="472" t="s">
        <v>2113</v>
      </c>
      <c r="AJ771" s="472" t="s">
        <v>562</v>
      </c>
    </row>
    <row r="772" spans="2:36" ht="24" hidden="1" customHeight="1">
      <c r="B772" s="701">
        <v>634</v>
      </c>
      <c r="C772" s="699" t="s">
        <v>377</v>
      </c>
      <c r="D772" s="699"/>
      <c r="E772" s="699" t="s">
        <v>602</v>
      </c>
      <c r="F772" s="699"/>
      <c r="G772" s="699" t="s">
        <v>55</v>
      </c>
      <c r="H772" s="699" t="s">
        <v>2146</v>
      </c>
      <c r="I772" s="712">
        <v>30000</v>
      </c>
      <c r="J772" s="709" t="s">
        <v>537</v>
      </c>
      <c r="K772" s="709" t="s">
        <v>537</v>
      </c>
      <c r="L772" s="712">
        <v>26620</v>
      </c>
      <c r="M772" s="709" t="s">
        <v>537</v>
      </c>
      <c r="N772" s="709" t="s">
        <v>537</v>
      </c>
      <c r="O772" s="701" t="s">
        <v>537</v>
      </c>
      <c r="P772" s="701" t="s">
        <v>537</v>
      </c>
      <c r="Q772" s="705">
        <v>3380</v>
      </c>
      <c r="R772" s="707">
        <v>241459</v>
      </c>
      <c r="S772" s="721">
        <v>22350</v>
      </c>
      <c r="T772" s="701">
        <v>48</v>
      </c>
      <c r="U772" s="701">
        <v>2</v>
      </c>
      <c r="V772" s="701">
        <v>0</v>
      </c>
      <c r="W772" s="701">
        <v>51</v>
      </c>
      <c r="X772" s="701">
        <v>2</v>
      </c>
      <c r="Y772" s="701">
        <v>0</v>
      </c>
      <c r="Z772" s="701">
        <v>92</v>
      </c>
      <c r="AA772" s="458" t="s">
        <v>2147</v>
      </c>
      <c r="AB772" s="459" t="s">
        <v>539</v>
      </c>
      <c r="AC772" s="459" t="s">
        <v>539</v>
      </c>
      <c r="AD772" s="458" t="s">
        <v>2148</v>
      </c>
      <c r="AE772" s="459">
        <v>80</v>
      </c>
      <c r="AF772" s="459">
        <v>92</v>
      </c>
      <c r="AG772" s="701" t="s">
        <v>375</v>
      </c>
      <c r="AH772" s="728"/>
      <c r="AI772" s="697">
        <v>812538812</v>
      </c>
      <c r="AJ772" s="699"/>
    </row>
    <row r="773" spans="2:36" ht="24" hidden="1" customHeight="1">
      <c r="B773" s="702"/>
      <c r="C773" s="700"/>
      <c r="D773" s="700"/>
      <c r="E773" s="700"/>
      <c r="F773" s="700"/>
      <c r="G773" s="700"/>
      <c r="H773" s="700"/>
      <c r="I773" s="713"/>
      <c r="J773" s="710"/>
      <c r="K773" s="710"/>
      <c r="L773" s="713"/>
      <c r="M773" s="710"/>
      <c r="N773" s="710"/>
      <c r="O773" s="702"/>
      <c r="P773" s="702"/>
      <c r="Q773" s="706"/>
      <c r="R773" s="708"/>
      <c r="S773" s="722"/>
      <c r="T773" s="702"/>
      <c r="U773" s="702"/>
      <c r="V773" s="702"/>
      <c r="W773" s="702"/>
      <c r="X773" s="702"/>
      <c r="Y773" s="702"/>
      <c r="Z773" s="702"/>
      <c r="AA773" s="473" t="s">
        <v>2149</v>
      </c>
      <c r="AB773" s="474">
        <v>80</v>
      </c>
      <c r="AC773" s="474">
        <v>88</v>
      </c>
      <c r="AD773" s="473" t="s">
        <v>2150</v>
      </c>
      <c r="AE773" s="474">
        <v>50</v>
      </c>
      <c r="AF773" s="474">
        <v>51</v>
      </c>
      <c r="AG773" s="702"/>
      <c r="AH773" s="729"/>
      <c r="AI773" s="698"/>
      <c r="AJ773" s="700"/>
    </row>
    <row r="774" spans="2:36" ht="24" hidden="1" customHeight="1">
      <c r="B774" s="701">
        <v>635</v>
      </c>
      <c r="C774" s="699" t="s">
        <v>377</v>
      </c>
      <c r="D774" s="699"/>
      <c r="E774" s="699" t="s">
        <v>602</v>
      </c>
      <c r="F774" s="699"/>
      <c r="G774" s="699" t="s">
        <v>55</v>
      </c>
      <c r="H774" s="699" t="s">
        <v>2151</v>
      </c>
      <c r="I774" s="712">
        <v>30000</v>
      </c>
      <c r="J774" s="709" t="s">
        <v>537</v>
      </c>
      <c r="K774" s="709" t="s">
        <v>537</v>
      </c>
      <c r="L774" s="712">
        <v>30000</v>
      </c>
      <c r="M774" s="709" t="s">
        <v>537</v>
      </c>
      <c r="N774" s="709" t="s">
        <v>537</v>
      </c>
      <c r="O774" s="701" t="s">
        <v>537</v>
      </c>
      <c r="P774" s="701" t="s">
        <v>537</v>
      </c>
      <c r="Q774" s="709">
        <v>0</v>
      </c>
      <c r="R774" s="707">
        <v>241609</v>
      </c>
      <c r="S774" s="721">
        <v>22437</v>
      </c>
      <c r="T774" s="701">
        <v>20</v>
      </c>
      <c r="U774" s="701">
        <v>5</v>
      </c>
      <c r="V774" s="701">
        <v>5</v>
      </c>
      <c r="W774" s="701">
        <v>100</v>
      </c>
      <c r="X774" s="701">
        <v>10</v>
      </c>
      <c r="Y774" s="701">
        <v>23</v>
      </c>
      <c r="Z774" s="701">
        <v>92.5</v>
      </c>
      <c r="AA774" s="458" t="s">
        <v>2147</v>
      </c>
      <c r="AB774" s="459" t="s">
        <v>539</v>
      </c>
      <c r="AC774" s="459" t="s">
        <v>539</v>
      </c>
      <c r="AD774" s="697" t="s">
        <v>2148</v>
      </c>
      <c r="AE774" s="701">
        <v>80</v>
      </c>
      <c r="AF774" s="701">
        <v>80</v>
      </c>
      <c r="AG774" s="701" t="s">
        <v>375</v>
      </c>
      <c r="AH774" s="728"/>
      <c r="AI774" s="697">
        <v>890148348</v>
      </c>
      <c r="AJ774" s="699"/>
    </row>
    <row r="775" spans="2:36" ht="24" hidden="1" customHeight="1">
      <c r="B775" s="702"/>
      <c r="C775" s="700"/>
      <c r="D775" s="700"/>
      <c r="E775" s="700"/>
      <c r="F775" s="700"/>
      <c r="G775" s="700"/>
      <c r="H775" s="700"/>
      <c r="I775" s="713"/>
      <c r="J775" s="710"/>
      <c r="K775" s="710"/>
      <c r="L775" s="713"/>
      <c r="M775" s="710"/>
      <c r="N775" s="710"/>
      <c r="O775" s="702"/>
      <c r="P775" s="702"/>
      <c r="Q775" s="710"/>
      <c r="R775" s="708"/>
      <c r="S775" s="722"/>
      <c r="T775" s="702"/>
      <c r="U775" s="702"/>
      <c r="V775" s="702"/>
      <c r="W775" s="702"/>
      <c r="X775" s="702"/>
      <c r="Y775" s="702"/>
      <c r="Z775" s="702"/>
      <c r="AA775" s="473" t="s">
        <v>2152</v>
      </c>
      <c r="AB775" s="474">
        <v>80</v>
      </c>
      <c r="AC775" s="474">
        <v>80</v>
      </c>
      <c r="AD775" s="698"/>
      <c r="AE775" s="702"/>
      <c r="AF775" s="702"/>
      <c r="AG775" s="702"/>
      <c r="AH775" s="729"/>
      <c r="AI775" s="698"/>
      <c r="AJ775" s="700"/>
    </row>
    <row r="776" spans="2:36" ht="24" hidden="1" customHeight="1">
      <c r="B776" s="701">
        <v>636</v>
      </c>
      <c r="C776" s="699" t="s">
        <v>377</v>
      </c>
      <c r="D776" s="699"/>
      <c r="E776" s="699" t="s">
        <v>602</v>
      </c>
      <c r="F776" s="699"/>
      <c r="G776" s="699" t="s">
        <v>55</v>
      </c>
      <c r="H776" s="699" t="s">
        <v>2153</v>
      </c>
      <c r="I776" s="709" t="s">
        <v>537</v>
      </c>
      <c r="J776" s="709" t="s">
        <v>537</v>
      </c>
      <c r="K776" s="709">
        <v>0</v>
      </c>
      <c r="L776" s="709" t="s">
        <v>537</v>
      </c>
      <c r="M776" s="709" t="s">
        <v>537</v>
      </c>
      <c r="N776" s="709">
        <v>0</v>
      </c>
      <c r="O776" s="701" t="s">
        <v>537</v>
      </c>
      <c r="P776" s="701" t="s">
        <v>537</v>
      </c>
      <c r="Q776" s="709">
        <v>0</v>
      </c>
      <c r="R776" s="701" t="s">
        <v>984</v>
      </c>
      <c r="S776" s="701" t="s">
        <v>2154</v>
      </c>
      <c r="T776" s="701">
        <v>0</v>
      </c>
      <c r="U776" s="701">
        <v>0</v>
      </c>
      <c r="V776" s="701">
        <v>20</v>
      </c>
      <c r="W776" s="701">
        <v>5</v>
      </c>
      <c r="X776" s="701">
        <v>10</v>
      </c>
      <c r="Y776" s="701">
        <v>5</v>
      </c>
      <c r="Z776" s="701">
        <v>92</v>
      </c>
      <c r="AA776" s="458" t="s">
        <v>2155</v>
      </c>
      <c r="AB776" s="459" t="s">
        <v>539</v>
      </c>
      <c r="AC776" s="459" t="s">
        <v>539</v>
      </c>
      <c r="AD776" s="697" t="s">
        <v>606</v>
      </c>
      <c r="AE776" s="701">
        <v>80</v>
      </c>
      <c r="AF776" s="701">
        <v>80</v>
      </c>
      <c r="AG776" s="701" t="s">
        <v>375</v>
      </c>
      <c r="AH776" s="728"/>
      <c r="AI776" s="697">
        <v>899780788</v>
      </c>
      <c r="AJ776" s="697" t="s">
        <v>543</v>
      </c>
    </row>
    <row r="777" spans="2:36" ht="24" hidden="1" customHeight="1">
      <c r="B777" s="702"/>
      <c r="C777" s="700"/>
      <c r="D777" s="700"/>
      <c r="E777" s="700"/>
      <c r="F777" s="700"/>
      <c r="G777" s="700"/>
      <c r="H777" s="700"/>
      <c r="I777" s="710"/>
      <c r="J777" s="710"/>
      <c r="K777" s="710"/>
      <c r="L777" s="710"/>
      <c r="M777" s="710"/>
      <c r="N777" s="710"/>
      <c r="O777" s="702"/>
      <c r="P777" s="702"/>
      <c r="Q777" s="710"/>
      <c r="R777" s="702"/>
      <c r="S777" s="702"/>
      <c r="T777" s="702"/>
      <c r="U777" s="702"/>
      <c r="V777" s="702"/>
      <c r="W777" s="702"/>
      <c r="X777" s="702"/>
      <c r="Y777" s="702"/>
      <c r="Z777" s="702"/>
      <c r="AA777" s="473" t="s">
        <v>2156</v>
      </c>
      <c r="AB777" s="474">
        <v>80</v>
      </c>
      <c r="AC777" s="474">
        <v>80</v>
      </c>
      <c r="AD777" s="698"/>
      <c r="AE777" s="702"/>
      <c r="AF777" s="702"/>
      <c r="AG777" s="702"/>
      <c r="AH777" s="729"/>
      <c r="AI777" s="698"/>
      <c r="AJ777" s="698"/>
    </row>
    <row r="778" spans="2:36" ht="24" hidden="1" customHeight="1">
      <c r="B778" s="463">
        <v>637</v>
      </c>
      <c r="C778" s="464" t="s">
        <v>377</v>
      </c>
      <c r="D778" s="464"/>
      <c r="E778" s="464" t="s">
        <v>602</v>
      </c>
      <c r="F778" s="464"/>
      <c r="G778" s="464" t="s">
        <v>55</v>
      </c>
      <c r="H778" s="464" t="s">
        <v>2157</v>
      </c>
      <c r="I778" s="465" t="s">
        <v>537</v>
      </c>
      <c r="J778" s="465" t="s">
        <v>537</v>
      </c>
      <c r="K778" s="465">
        <v>0</v>
      </c>
      <c r="L778" s="465" t="s">
        <v>537</v>
      </c>
      <c r="M778" s="465" t="s">
        <v>537</v>
      </c>
      <c r="N778" s="465">
        <v>0</v>
      </c>
      <c r="O778" s="463" t="s">
        <v>537</v>
      </c>
      <c r="P778" s="463" t="s">
        <v>537</v>
      </c>
      <c r="Q778" s="465">
        <v>0</v>
      </c>
      <c r="R778" s="470">
        <v>241609</v>
      </c>
      <c r="S778" s="471">
        <v>22480</v>
      </c>
      <c r="T778" s="463">
        <v>45</v>
      </c>
      <c r="U778" s="463">
        <v>15</v>
      </c>
      <c r="V778" s="463">
        <v>0</v>
      </c>
      <c r="W778" s="463">
        <v>45</v>
      </c>
      <c r="X778" s="463">
        <v>15</v>
      </c>
      <c r="Y778" s="463">
        <v>0</v>
      </c>
      <c r="Z778" s="463">
        <v>92.5</v>
      </c>
      <c r="AA778" s="472" t="s">
        <v>547</v>
      </c>
      <c r="AB778" s="463" t="s">
        <v>539</v>
      </c>
      <c r="AC778" s="463" t="s">
        <v>539</v>
      </c>
      <c r="AD778" s="472" t="s">
        <v>548</v>
      </c>
      <c r="AE778" s="463">
        <v>80</v>
      </c>
      <c r="AF778" s="463">
        <v>80</v>
      </c>
      <c r="AG778" s="463" t="s">
        <v>375</v>
      </c>
      <c r="AH778" s="476"/>
      <c r="AI778" s="472">
        <v>813689638</v>
      </c>
      <c r="AJ778" s="472" t="s">
        <v>543</v>
      </c>
    </row>
    <row r="779" spans="2:36" ht="24" hidden="1" customHeight="1">
      <c r="B779" s="463">
        <v>638</v>
      </c>
      <c r="C779" s="464" t="s">
        <v>377</v>
      </c>
      <c r="D779" s="464"/>
      <c r="E779" s="464" t="s">
        <v>602</v>
      </c>
      <c r="F779" s="464"/>
      <c r="G779" s="464" t="s">
        <v>55</v>
      </c>
      <c r="H779" s="464" t="s">
        <v>2158</v>
      </c>
      <c r="I779" s="465" t="s">
        <v>537</v>
      </c>
      <c r="J779" s="465" t="s">
        <v>537</v>
      </c>
      <c r="K779" s="465">
        <v>0</v>
      </c>
      <c r="L779" s="465" t="s">
        <v>537</v>
      </c>
      <c r="M779" s="465" t="s">
        <v>537</v>
      </c>
      <c r="N779" s="465">
        <v>0</v>
      </c>
      <c r="O779" s="463" t="s">
        <v>537</v>
      </c>
      <c r="P779" s="463" t="s">
        <v>537</v>
      </c>
      <c r="Q779" s="465">
        <v>0</v>
      </c>
      <c r="R779" s="470">
        <v>241640</v>
      </c>
      <c r="S779" s="471">
        <v>22322</v>
      </c>
      <c r="T779" s="463">
        <v>0</v>
      </c>
      <c r="U779" s="463">
        <v>0</v>
      </c>
      <c r="V779" s="463">
        <v>0</v>
      </c>
      <c r="W779" s="463">
        <v>41</v>
      </c>
      <c r="X779" s="463">
        <v>0</v>
      </c>
      <c r="Y779" s="463">
        <v>0</v>
      </c>
      <c r="Z779" s="463">
        <v>91.72</v>
      </c>
      <c r="AA779" s="472" t="s">
        <v>547</v>
      </c>
      <c r="AB779" s="463" t="s">
        <v>539</v>
      </c>
      <c r="AC779" s="463" t="s">
        <v>539</v>
      </c>
      <c r="AD779" s="472" t="s">
        <v>548</v>
      </c>
      <c r="AE779" s="463">
        <v>80</v>
      </c>
      <c r="AF779" s="463">
        <v>91.6</v>
      </c>
      <c r="AG779" s="463" t="s">
        <v>375</v>
      </c>
      <c r="AH779" s="476"/>
      <c r="AI779" s="472">
        <v>813689638</v>
      </c>
      <c r="AJ779" s="472" t="s">
        <v>543</v>
      </c>
    </row>
    <row r="780" spans="2:36" ht="24" hidden="1" customHeight="1">
      <c r="B780" s="463">
        <v>639</v>
      </c>
      <c r="C780" s="464" t="s">
        <v>377</v>
      </c>
      <c r="D780" s="464"/>
      <c r="E780" s="464" t="s">
        <v>602</v>
      </c>
      <c r="F780" s="464"/>
      <c r="G780" s="464" t="s">
        <v>55</v>
      </c>
      <c r="H780" s="464" t="s">
        <v>2159</v>
      </c>
      <c r="I780" s="465" t="s">
        <v>537</v>
      </c>
      <c r="J780" s="465" t="s">
        <v>537</v>
      </c>
      <c r="K780" s="465">
        <v>0</v>
      </c>
      <c r="L780" s="465" t="s">
        <v>537</v>
      </c>
      <c r="M780" s="465" t="s">
        <v>537</v>
      </c>
      <c r="N780" s="465">
        <v>0</v>
      </c>
      <c r="O780" s="463" t="s">
        <v>537</v>
      </c>
      <c r="P780" s="463" t="s">
        <v>537</v>
      </c>
      <c r="Q780" s="465">
        <v>0</v>
      </c>
      <c r="R780" s="470">
        <v>241459</v>
      </c>
      <c r="S780" s="471">
        <v>22319</v>
      </c>
      <c r="T780" s="463">
        <v>50</v>
      </c>
      <c r="U780" s="463">
        <v>10</v>
      </c>
      <c r="V780" s="463">
        <v>20</v>
      </c>
      <c r="W780" s="463">
        <v>10</v>
      </c>
      <c r="X780" s="463">
        <v>50</v>
      </c>
      <c r="Y780" s="463">
        <v>0</v>
      </c>
      <c r="Z780" s="463">
        <v>91.66</v>
      </c>
      <c r="AA780" s="472" t="s">
        <v>2160</v>
      </c>
      <c r="AB780" s="463" t="s">
        <v>539</v>
      </c>
      <c r="AC780" s="463" t="s">
        <v>539</v>
      </c>
      <c r="AD780" s="472" t="s">
        <v>2161</v>
      </c>
      <c r="AE780" s="463">
        <v>90</v>
      </c>
      <c r="AF780" s="463">
        <v>91.6</v>
      </c>
      <c r="AG780" s="463" t="s">
        <v>375</v>
      </c>
      <c r="AH780" s="476"/>
      <c r="AI780" s="472">
        <v>864702858</v>
      </c>
      <c r="AJ780" s="472" t="s">
        <v>543</v>
      </c>
    </row>
    <row r="781" spans="2:36" ht="24" hidden="1" customHeight="1">
      <c r="B781" s="463">
        <v>640</v>
      </c>
      <c r="C781" s="464" t="s">
        <v>377</v>
      </c>
      <c r="D781" s="464"/>
      <c r="E781" s="464" t="s">
        <v>602</v>
      </c>
      <c r="F781" s="464"/>
      <c r="G781" s="464" t="s">
        <v>55</v>
      </c>
      <c r="H781" s="464" t="s">
        <v>2162</v>
      </c>
      <c r="I781" s="465" t="s">
        <v>537</v>
      </c>
      <c r="J781" s="466">
        <v>30000</v>
      </c>
      <c r="K781" s="465" t="s">
        <v>537</v>
      </c>
      <c r="L781" s="465" t="s">
        <v>537</v>
      </c>
      <c r="M781" s="466">
        <v>29200</v>
      </c>
      <c r="N781" s="465" t="s">
        <v>537</v>
      </c>
      <c r="O781" s="463" t="s">
        <v>537</v>
      </c>
      <c r="P781" s="463" t="s">
        <v>537</v>
      </c>
      <c r="Q781" s="465">
        <v>800</v>
      </c>
      <c r="R781" s="470">
        <v>241579</v>
      </c>
      <c r="S781" s="463" t="s">
        <v>988</v>
      </c>
      <c r="T781" s="463">
        <v>90</v>
      </c>
      <c r="U781" s="463">
        <v>10</v>
      </c>
      <c r="V781" s="463">
        <v>0</v>
      </c>
      <c r="W781" s="463">
        <v>132</v>
      </c>
      <c r="X781" s="463">
        <v>16</v>
      </c>
      <c r="Y781" s="463">
        <v>0</v>
      </c>
      <c r="Z781" s="463">
        <v>90</v>
      </c>
      <c r="AA781" s="472" t="s">
        <v>612</v>
      </c>
      <c r="AB781" s="463" t="s">
        <v>539</v>
      </c>
      <c r="AC781" s="463" t="s">
        <v>539</v>
      </c>
      <c r="AD781" s="472" t="s">
        <v>2163</v>
      </c>
      <c r="AE781" s="463">
        <v>80</v>
      </c>
      <c r="AF781" s="463">
        <v>80</v>
      </c>
      <c r="AG781" s="463" t="s">
        <v>375</v>
      </c>
      <c r="AH781" s="476"/>
      <c r="AI781" s="472">
        <v>814797319</v>
      </c>
      <c r="AJ781" s="464"/>
    </row>
    <row r="782" spans="2:36" ht="24" hidden="1" customHeight="1">
      <c r="B782" s="701">
        <v>641</v>
      </c>
      <c r="C782" s="699" t="s">
        <v>534</v>
      </c>
      <c r="D782" s="699"/>
      <c r="E782" s="699" t="s">
        <v>535</v>
      </c>
      <c r="F782" s="699"/>
      <c r="G782" s="699" t="s">
        <v>55</v>
      </c>
      <c r="H782" s="699" t="s">
        <v>2164</v>
      </c>
      <c r="I782" s="709" t="s">
        <v>537</v>
      </c>
      <c r="J782" s="712">
        <v>270000</v>
      </c>
      <c r="K782" s="709" t="s">
        <v>537</v>
      </c>
      <c r="L782" s="709" t="s">
        <v>537</v>
      </c>
      <c r="M782" s="712">
        <v>256396.22</v>
      </c>
      <c r="N782" s="709" t="s">
        <v>537</v>
      </c>
      <c r="O782" s="701" t="s">
        <v>537</v>
      </c>
      <c r="P782" s="701" t="s">
        <v>537</v>
      </c>
      <c r="Q782" s="705">
        <v>13604</v>
      </c>
      <c r="R782" s="701" t="s">
        <v>646</v>
      </c>
      <c r="S782" s="701" t="s">
        <v>2165</v>
      </c>
      <c r="T782" s="701">
        <v>4</v>
      </c>
      <c r="U782" s="701">
        <v>5</v>
      </c>
      <c r="V782" s="701">
        <v>0</v>
      </c>
      <c r="W782" s="701">
        <v>4</v>
      </c>
      <c r="X782" s="701">
        <v>5</v>
      </c>
      <c r="Y782" s="701">
        <v>0</v>
      </c>
      <c r="Z782" s="701">
        <v>95</v>
      </c>
      <c r="AA782" s="458" t="s">
        <v>1907</v>
      </c>
      <c r="AB782" s="459" t="s">
        <v>539</v>
      </c>
      <c r="AC782" s="459" t="s">
        <v>539</v>
      </c>
      <c r="AD782" s="458" t="s">
        <v>565</v>
      </c>
      <c r="AE782" s="459">
        <v>80</v>
      </c>
      <c r="AF782" s="459">
        <v>80</v>
      </c>
      <c r="AG782" s="701" t="s">
        <v>375</v>
      </c>
      <c r="AH782" s="728"/>
      <c r="AI782" s="697">
        <v>815404295</v>
      </c>
      <c r="AJ782" s="699"/>
    </row>
    <row r="783" spans="2:36" ht="24" hidden="1" customHeight="1">
      <c r="B783" s="702"/>
      <c r="C783" s="700"/>
      <c r="D783" s="700"/>
      <c r="E783" s="700"/>
      <c r="F783" s="700"/>
      <c r="G783" s="700"/>
      <c r="H783" s="700"/>
      <c r="I783" s="710"/>
      <c r="J783" s="713"/>
      <c r="K783" s="710"/>
      <c r="L783" s="710"/>
      <c r="M783" s="713"/>
      <c r="N783" s="710"/>
      <c r="O783" s="702"/>
      <c r="P783" s="702"/>
      <c r="Q783" s="706"/>
      <c r="R783" s="702"/>
      <c r="S783" s="702"/>
      <c r="T783" s="702"/>
      <c r="U783" s="702"/>
      <c r="V783" s="702"/>
      <c r="W783" s="702"/>
      <c r="X783" s="702"/>
      <c r="Y783" s="702"/>
      <c r="Z783" s="702"/>
      <c r="AA783" s="473" t="s">
        <v>1279</v>
      </c>
      <c r="AB783" s="474" t="s">
        <v>539</v>
      </c>
      <c r="AC783" s="474" t="s">
        <v>539</v>
      </c>
      <c r="AD783" s="473" t="s">
        <v>2166</v>
      </c>
      <c r="AE783" s="474">
        <v>1</v>
      </c>
      <c r="AF783" s="474">
        <v>1</v>
      </c>
      <c r="AG783" s="702"/>
      <c r="AH783" s="729"/>
      <c r="AI783" s="698"/>
      <c r="AJ783" s="700"/>
    </row>
    <row r="784" spans="2:36" ht="24" hidden="1" customHeight="1">
      <c r="B784" s="463">
        <v>642</v>
      </c>
      <c r="C784" s="464" t="s">
        <v>534</v>
      </c>
      <c r="D784" s="464"/>
      <c r="E784" s="464" t="s">
        <v>535</v>
      </c>
      <c r="F784" s="464"/>
      <c r="G784" s="464" t="s">
        <v>55</v>
      </c>
      <c r="H784" s="464" t="s">
        <v>667</v>
      </c>
      <c r="I784" s="465" t="s">
        <v>537</v>
      </c>
      <c r="J784" s="466">
        <v>20000</v>
      </c>
      <c r="K784" s="465" t="s">
        <v>537</v>
      </c>
      <c r="L784" s="465" t="s">
        <v>537</v>
      </c>
      <c r="M784" s="466">
        <v>19500</v>
      </c>
      <c r="N784" s="465" t="s">
        <v>537</v>
      </c>
      <c r="O784" s="463" t="s">
        <v>537</v>
      </c>
      <c r="P784" s="463" t="s">
        <v>537</v>
      </c>
      <c r="Q784" s="465">
        <v>500</v>
      </c>
      <c r="R784" s="470">
        <v>241579</v>
      </c>
      <c r="S784" s="471">
        <v>22451</v>
      </c>
      <c r="T784" s="463">
        <v>100</v>
      </c>
      <c r="U784" s="463">
        <v>0</v>
      </c>
      <c r="V784" s="463">
        <v>0</v>
      </c>
      <c r="W784" s="463">
        <v>134</v>
      </c>
      <c r="X784" s="463">
        <v>45</v>
      </c>
      <c r="Y784" s="463">
        <v>0</v>
      </c>
      <c r="Z784" s="463">
        <v>90</v>
      </c>
      <c r="AA784" s="472" t="s">
        <v>1712</v>
      </c>
      <c r="AB784" s="463" t="s">
        <v>539</v>
      </c>
      <c r="AC784" s="463" t="s">
        <v>539</v>
      </c>
      <c r="AD784" s="472" t="s">
        <v>548</v>
      </c>
      <c r="AE784" s="463">
        <v>80</v>
      </c>
      <c r="AF784" s="463">
        <v>85</v>
      </c>
      <c r="AG784" s="463" t="s">
        <v>375</v>
      </c>
      <c r="AH784" s="476"/>
      <c r="AI784" s="472">
        <v>957938784</v>
      </c>
      <c r="AJ784" s="464"/>
    </row>
    <row r="785" spans="2:36" ht="24" hidden="1" customHeight="1">
      <c r="B785" s="463">
        <v>643</v>
      </c>
      <c r="C785" s="464" t="s">
        <v>534</v>
      </c>
      <c r="D785" s="464"/>
      <c r="E785" s="464" t="s">
        <v>535</v>
      </c>
      <c r="F785" s="464"/>
      <c r="G785" s="464" t="s">
        <v>55</v>
      </c>
      <c r="H785" s="464" t="s">
        <v>668</v>
      </c>
      <c r="I785" s="465" t="s">
        <v>537</v>
      </c>
      <c r="J785" s="466">
        <v>20000</v>
      </c>
      <c r="K785" s="465" t="s">
        <v>537</v>
      </c>
      <c r="L785" s="465" t="s">
        <v>537</v>
      </c>
      <c r="M785" s="466">
        <v>19800</v>
      </c>
      <c r="N785" s="465" t="s">
        <v>537</v>
      </c>
      <c r="O785" s="463" t="s">
        <v>537</v>
      </c>
      <c r="P785" s="463" t="s">
        <v>537</v>
      </c>
      <c r="Q785" s="465">
        <v>200</v>
      </c>
      <c r="R785" s="470">
        <v>241459</v>
      </c>
      <c r="S785" s="471">
        <v>22361</v>
      </c>
      <c r="T785" s="463">
        <v>120</v>
      </c>
      <c r="U785" s="463">
        <v>0</v>
      </c>
      <c r="V785" s="463">
        <v>0</v>
      </c>
      <c r="W785" s="463">
        <v>139</v>
      </c>
      <c r="X785" s="463">
        <v>0</v>
      </c>
      <c r="Y785" s="463">
        <v>0</v>
      </c>
      <c r="Z785" s="463">
        <v>90.2</v>
      </c>
      <c r="AA785" s="472" t="s">
        <v>1712</v>
      </c>
      <c r="AB785" s="463" t="s">
        <v>539</v>
      </c>
      <c r="AC785" s="463" t="s">
        <v>539</v>
      </c>
      <c r="AD785" s="472" t="s">
        <v>548</v>
      </c>
      <c r="AE785" s="463">
        <v>80</v>
      </c>
      <c r="AF785" s="463">
        <v>80</v>
      </c>
      <c r="AG785" s="463" t="s">
        <v>375</v>
      </c>
      <c r="AH785" s="476"/>
      <c r="AI785" s="472">
        <v>957938784</v>
      </c>
      <c r="AJ785" s="464"/>
    </row>
    <row r="786" spans="2:36" ht="24" hidden="1" customHeight="1">
      <c r="B786" s="701">
        <v>644</v>
      </c>
      <c r="C786" s="699" t="s">
        <v>534</v>
      </c>
      <c r="D786" s="699"/>
      <c r="E786" s="699" t="s">
        <v>535</v>
      </c>
      <c r="F786" s="699"/>
      <c r="G786" s="699" t="s">
        <v>55</v>
      </c>
      <c r="H786" s="699" t="s">
        <v>2167</v>
      </c>
      <c r="I786" s="709" t="s">
        <v>537</v>
      </c>
      <c r="J786" s="712">
        <v>50000</v>
      </c>
      <c r="K786" s="709" t="s">
        <v>537</v>
      </c>
      <c r="L786" s="709" t="s">
        <v>537</v>
      </c>
      <c r="M786" s="712">
        <v>3423</v>
      </c>
      <c r="N786" s="709" t="s">
        <v>537</v>
      </c>
      <c r="O786" s="701" t="s">
        <v>537</v>
      </c>
      <c r="P786" s="701" t="s">
        <v>537</v>
      </c>
      <c r="Q786" s="705">
        <v>46577</v>
      </c>
      <c r="R786" s="701" t="s">
        <v>643</v>
      </c>
      <c r="S786" s="701" t="s">
        <v>2168</v>
      </c>
      <c r="T786" s="701">
        <v>0</v>
      </c>
      <c r="U786" s="701">
        <v>5</v>
      </c>
      <c r="V786" s="701">
        <v>0</v>
      </c>
      <c r="W786" s="701">
        <v>0</v>
      </c>
      <c r="X786" s="701">
        <v>7</v>
      </c>
      <c r="Y786" s="701">
        <v>0</v>
      </c>
      <c r="Z786" s="701">
        <v>98</v>
      </c>
      <c r="AA786" s="458" t="s">
        <v>633</v>
      </c>
      <c r="AB786" s="459" t="s">
        <v>539</v>
      </c>
      <c r="AC786" s="459" t="s">
        <v>539</v>
      </c>
      <c r="AD786" s="458" t="s">
        <v>635</v>
      </c>
      <c r="AE786" s="459" t="s">
        <v>539</v>
      </c>
      <c r="AF786" s="459" t="s">
        <v>539</v>
      </c>
      <c r="AG786" s="701" t="s">
        <v>375</v>
      </c>
      <c r="AH786" s="728"/>
      <c r="AI786" s="697">
        <v>808651389</v>
      </c>
      <c r="AJ786" s="699"/>
    </row>
    <row r="787" spans="2:36" ht="24" hidden="1" customHeight="1">
      <c r="B787" s="702"/>
      <c r="C787" s="700"/>
      <c r="D787" s="700"/>
      <c r="E787" s="700"/>
      <c r="F787" s="700"/>
      <c r="G787" s="700"/>
      <c r="H787" s="700"/>
      <c r="I787" s="710"/>
      <c r="J787" s="713"/>
      <c r="K787" s="710"/>
      <c r="L787" s="710"/>
      <c r="M787" s="713"/>
      <c r="N787" s="710"/>
      <c r="O787" s="702"/>
      <c r="P787" s="702"/>
      <c r="Q787" s="706"/>
      <c r="R787" s="702"/>
      <c r="S787" s="702"/>
      <c r="T787" s="702"/>
      <c r="U787" s="702"/>
      <c r="V787" s="702"/>
      <c r="W787" s="702"/>
      <c r="X787" s="702"/>
      <c r="Y787" s="702"/>
      <c r="Z787" s="702"/>
      <c r="AA787" s="473" t="s">
        <v>2169</v>
      </c>
      <c r="AB787" s="474" t="s">
        <v>539</v>
      </c>
      <c r="AC787" s="474" t="s">
        <v>539</v>
      </c>
      <c r="AD787" s="473" t="s">
        <v>2170</v>
      </c>
      <c r="AE787" s="474">
        <v>3</v>
      </c>
      <c r="AF787" s="474">
        <v>3</v>
      </c>
      <c r="AG787" s="702"/>
      <c r="AH787" s="729"/>
      <c r="AI787" s="698"/>
      <c r="AJ787" s="700"/>
    </row>
    <row r="788" spans="2:36" ht="24" hidden="1" customHeight="1">
      <c r="B788" s="463">
        <v>645</v>
      </c>
      <c r="C788" s="464" t="s">
        <v>534</v>
      </c>
      <c r="D788" s="464"/>
      <c r="E788" s="464" t="s">
        <v>535</v>
      </c>
      <c r="F788" s="464"/>
      <c r="G788" s="464" t="s">
        <v>55</v>
      </c>
      <c r="H788" s="464" t="s">
        <v>2171</v>
      </c>
      <c r="I788" s="465" t="s">
        <v>537</v>
      </c>
      <c r="J788" s="465" t="s">
        <v>537</v>
      </c>
      <c r="K788" s="466">
        <v>200000</v>
      </c>
      <c r="L788" s="465" t="s">
        <v>537</v>
      </c>
      <c r="M788" s="465" t="s">
        <v>537</v>
      </c>
      <c r="N788" s="466">
        <v>142025</v>
      </c>
      <c r="O788" s="463" t="s">
        <v>537</v>
      </c>
      <c r="P788" s="463" t="s">
        <v>537</v>
      </c>
      <c r="Q788" s="468">
        <v>57975</v>
      </c>
      <c r="R788" s="470">
        <v>241428</v>
      </c>
      <c r="S788" s="463" t="s">
        <v>623</v>
      </c>
      <c r="T788" s="463">
        <v>35</v>
      </c>
      <c r="U788" s="463">
        <v>17</v>
      </c>
      <c r="V788" s="463">
        <v>0</v>
      </c>
      <c r="W788" s="463">
        <v>35</v>
      </c>
      <c r="X788" s="463">
        <v>23</v>
      </c>
      <c r="Y788" s="463">
        <v>0</v>
      </c>
      <c r="Z788" s="463">
        <v>90</v>
      </c>
      <c r="AA788" s="472" t="s">
        <v>624</v>
      </c>
      <c r="AB788" s="463" t="s">
        <v>539</v>
      </c>
      <c r="AC788" s="463" t="s">
        <v>539</v>
      </c>
      <c r="AD788" s="472" t="s">
        <v>571</v>
      </c>
      <c r="AE788" s="463">
        <v>80</v>
      </c>
      <c r="AF788" s="463">
        <v>85</v>
      </c>
      <c r="AG788" s="463" t="s">
        <v>375</v>
      </c>
      <c r="AH788" s="476"/>
      <c r="AI788" s="472">
        <v>853824948</v>
      </c>
      <c r="AJ788" s="472" t="s">
        <v>543</v>
      </c>
    </row>
    <row r="789" spans="2:36" ht="24" hidden="1" customHeight="1">
      <c r="B789" s="701">
        <v>646</v>
      </c>
      <c r="C789" s="699" t="s">
        <v>534</v>
      </c>
      <c r="D789" s="699"/>
      <c r="E789" s="699" t="s">
        <v>535</v>
      </c>
      <c r="F789" s="699"/>
      <c r="G789" s="699" t="s">
        <v>55</v>
      </c>
      <c r="H789" s="699" t="s">
        <v>2172</v>
      </c>
      <c r="I789" s="712">
        <v>30000</v>
      </c>
      <c r="J789" s="709" t="s">
        <v>537</v>
      </c>
      <c r="K789" s="709" t="s">
        <v>537</v>
      </c>
      <c r="L789" s="712">
        <v>26600</v>
      </c>
      <c r="M789" s="709" t="s">
        <v>537</v>
      </c>
      <c r="N789" s="709" t="s">
        <v>537</v>
      </c>
      <c r="O789" s="723">
        <v>3400</v>
      </c>
      <c r="P789" s="701" t="s">
        <v>537</v>
      </c>
      <c r="Q789" s="709">
        <v>0</v>
      </c>
      <c r="R789" s="701" t="s">
        <v>643</v>
      </c>
      <c r="S789" s="701" t="s">
        <v>2173</v>
      </c>
      <c r="T789" s="701">
        <v>0</v>
      </c>
      <c r="U789" s="701">
        <v>1</v>
      </c>
      <c r="V789" s="701">
        <v>0</v>
      </c>
      <c r="W789" s="701">
        <v>0</v>
      </c>
      <c r="X789" s="701">
        <v>1</v>
      </c>
      <c r="Y789" s="701">
        <v>0</v>
      </c>
      <c r="Z789" s="701">
        <v>98</v>
      </c>
      <c r="AA789" s="458" t="s">
        <v>2174</v>
      </c>
      <c r="AB789" s="459" t="s">
        <v>539</v>
      </c>
      <c r="AC789" s="459" t="s">
        <v>539</v>
      </c>
      <c r="AD789" s="458" t="s">
        <v>2175</v>
      </c>
      <c r="AE789" s="459" t="s">
        <v>539</v>
      </c>
      <c r="AF789" s="459" t="s">
        <v>539</v>
      </c>
      <c r="AG789" s="701" t="s">
        <v>375</v>
      </c>
      <c r="AH789" s="728"/>
      <c r="AI789" s="697">
        <v>817544949</v>
      </c>
      <c r="AJ789" s="699"/>
    </row>
    <row r="790" spans="2:36" ht="24" hidden="1" customHeight="1">
      <c r="B790" s="702"/>
      <c r="C790" s="700"/>
      <c r="D790" s="700"/>
      <c r="E790" s="700"/>
      <c r="F790" s="700"/>
      <c r="G790" s="700"/>
      <c r="H790" s="700"/>
      <c r="I790" s="713"/>
      <c r="J790" s="710"/>
      <c r="K790" s="710"/>
      <c r="L790" s="713"/>
      <c r="M790" s="710"/>
      <c r="N790" s="710"/>
      <c r="O790" s="724"/>
      <c r="P790" s="702"/>
      <c r="Q790" s="710"/>
      <c r="R790" s="702"/>
      <c r="S790" s="702"/>
      <c r="T790" s="702"/>
      <c r="U790" s="702"/>
      <c r="V790" s="702"/>
      <c r="W790" s="702"/>
      <c r="X790" s="702"/>
      <c r="Y790" s="702"/>
      <c r="Z790" s="702"/>
      <c r="AA790" s="473" t="s">
        <v>2176</v>
      </c>
      <c r="AB790" s="474" t="s">
        <v>539</v>
      </c>
      <c r="AC790" s="474" t="s">
        <v>539</v>
      </c>
      <c r="AD790" s="473" t="s">
        <v>2177</v>
      </c>
      <c r="AE790" s="474" t="s">
        <v>539</v>
      </c>
      <c r="AF790" s="474" t="s">
        <v>539</v>
      </c>
      <c r="AG790" s="702"/>
      <c r="AH790" s="729"/>
      <c r="AI790" s="698"/>
      <c r="AJ790" s="700"/>
    </row>
    <row r="791" spans="2:36" ht="24" hidden="1" customHeight="1">
      <c r="B791" s="463">
        <v>647</v>
      </c>
      <c r="C791" s="464" t="s">
        <v>534</v>
      </c>
      <c r="D791" s="464"/>
      <c r="E791" s="464" t="s">
        <v>535</v>
      </c>
      <c r="F791" s="464"/>
      <c r="G791" s="464" t="s">
        <v>55</v>
      </c>
      <c r="H791" s="464" t="s">
        <v>2178</v>
      </c>
      <c r="I791" s="465" t="s">
        <v>537</v>
      </c>
      <c r="J791" s="465" t="s">
        <v>537</v>
      </c>
      <c r="K791" s="466">
        <v>130000</v>
      </c>
      <c r="L791" s="465" t="s">
        <v>537</v>
      </c>
      <c r="M791" s="465" t="s">
        <v>537</v>
      </c>
      <c r="N791" s="466">
        <v>89600</v>
      </c>
      <c r="O791" s="463" t="s">
        <v>537</v>
      </c>
      <c r="P791" s="463" t="s">
        <v>537</v>
      </c>
      <c r="Q791" s="468">
        <v>40400</v>
      </c>
      <c r="R791" s="463" t="s">
        <v>984</v>
      </c>
      <c r="S791" s="463" t="s">
        <v>2179</v>
      </c>
      <c r="T791" s="463">
        <v>0</v>
      </c>
      <c r="U791" s="463">
        <v>40</v>
      </c>
      <c r="V791" s="463">
        <v>0</v>
      </c>
      <c r="W791" s="463">
        <v>0</v>
      </c>
      <c r="X791" s="463">
        <v>38</v>
      </c>
      <c r="Y791" s="463">
        <v>0</v>
      </c>
      <c r="Z791" s="463">
        <v>94.4</v>
      </c>
      <c r="AA791" s="472" t="s">
        <v>630</v>
      </c>
      <c r="AB791" s="463" t="s">
        <v>539</v>
      </c>
      <c r="AC791" s="463" t="s">
        <v>539</v>
      </c>
      <c r="AD791" s="472" t="s">
        <v>548</v>
      </c>
      <c r="AE791" s="463">
        <v>80</v>
      </c>
      <c r="AF791" s="463">
        <v>80</v>
      </c>
      <c r="AG791" s="463" t="s">
        <v>375</v>
      </c>
      <c r="AH791" s="476"/>
      <c r="AI791" s="472">
        <v>819697103</v>
      </c>
      <c r="AJ791" s="472" t="s">
        <v>543</v>
      </c>
    </row>
    <row r="792" spans="2:36" ht="24" hidden="1" customHeight="1">
      <c r="B792" s="463">
        <v>648</v>
      </c>
      <c r="C792" s="464" t="s">
        <v>534</v>
      </c>
      <c r="D792" s="464"/>
      <c r="E792" s="464" t="s">
        <v>535</v>
      </c>
      <c r="F792" s="464"/>
      <c r="G792" s="464" t="s">
        <v>55</v>
      </c>
      <c r="H792" s="464" t="s">
        <v>2180</v>
      </c>
      <c r="I792" s="465" t="s">
        <v>537</v>
      </c>
      <c r="J792" s="465" t="s">
        <v>537</v>
      </c>
      <c r="K792" s="466">
        <v>3000</v>
      </c>
      <c r="L792" s="465" t="s">
        <v>537</v>
      </c>
      <c r="M792" s="465" t="s">
        <v>537</v>
      </c>
      <c r="N792" s="466">
        <v>2100</v>
      </c>
      <c r="O792" s="463">
        <v>900</v>
      </c>
      <c r="P792" s="463" t="s">
        <v>537</v>
      </c>
      <c r="Q792" s="465">
        <v>0</v>
      </c>
      <c r="R792" s="463" t="s">
        <v>984</v>
      </c>
      <c r="S792" s="463" t="s">
        <v>2181</v>
      </c>
      <c r="T792" s="463">
        <v>0</v>
      </c>
      <c r="U792" s="463">
        <v>19</v>
      </c>
      <c r="V792" s="463">
        <v>0</v>
      </c>
      <c r="W792" s="463">
        <v>19</v>
      </c>
      <c r="X792" s="463">
        <v>0</v>
      </c>
      <c r="Y792" s="463">
        <v>0</v>
      </c>
      <c r="Z792" s="463">
        <v>92.5</v>
      </c>
      <c r="AA792" s="472" t="s">
        <v>2182</v>
      </c>
      <c r="AB792" s="463" t="s">
        <v>539</v>
      </c>
      <c r="AC792" s="463" t="s">
        <v>539</v>
      </c>
      <c r="AD792" s="472" t="s">
        <v>2183</v>
      </c>
      <c r="AE792" s="463" t="s">
        <v>539</v>
      </c>
      <c r="AF792" s="463" t="s">
        <v>539</v>
      </c>
      <c r="AG792" s="463" t="s">
        <v>375</v>
      </c>
      <c r="AH792" s="476"/>
      <c r="AI792" s="472">
        <v>950714488</v>
      </c>
      <c r="AJ792" s="472" t="s">
        <v>543</v>
      </c>
    </row>
    <row r="793" spans="2:36" ht="24" hidden="1" customHeight="1">
      <c r="B793" s="463">
        <v>649</v>
      </c>
      <c r="C793" s="464" t="s">
        <v>534</v>
      </c>
      <c r="D793" s="464"/>
      <c r="E793" s="464" t="s">
        <v>535</v>
      </c>
      <c r="F793" s="464"/>
      <c r="G793" s="464" t="s">
        <v>55</v>
      </c>
      <c r="H793" s="464" t="s">
        <v>2184</v>
      </c>
      <c r="I793" s="465" t="s">
        <v>537</v>
      </c>
      <c r="J793" s="465" t="s">
        <v>537</v>
      </c>
      <c r="K793" s="466">
        <v>138200</v>
      </c>
      <c r="L793" s="465" t="s">
        <v>537</v>
      </c>
      <c r="M793" s="465" t="s">
        <v>537</v>
      </c>
      <c r="N793" s="466">
        <v>138000</v>
      </c>
      <c r="O793" s="463">
        <v>200</v>
      </c>
      <c r="P793" s="463" t="s">
        <v>537</v>
      </c>
      <c r="Q793" s="465">
        <v>0</v>
      </c>
      <c r="R793" s="463" t="s">
        <v>646</v>
      </c>
      <c r="S793" s="463" t="s">
        <v>2185</v>
      </c>
      <c r="T793" s="463">
        <v>16</v>
      </c>
      <c r="U793" s="463">
        <v>7</v>
      </c>
      <c r="V793" s="463">
        <v>0</v>
      </c>
      <c r="W793" s="463">
        <v>24</v>
      </c>
      <c r="X793" s="463">
        <v>7</v>
      </c>
      <c r="Y793" s="463">
        <v>0</v>
      </c>
      <c r="Z793" s="463">
        <v>92.5</v>
      </c>
      <c r="AA793" s="472" t="s">
        <v>2186</v>
      </c>
      <c r="AB793" s="463" t="s">
        <v>539</v>
      </c>
      <c r="AC793" s="463" t="s">
        <v>539</v>
      </c>
      <c r="AD793" s="472" t="s">
        <v>2187</v>
      </c>
      <c r="AE793" s="463">
        <v>16</v>
      </c>
      <c r="AF793" s="463">
        <v>24</v>
      </c>
      <c r="AG793" s="463" t="s">
        <v>375</v>
      </c>
      <c r="AH793" s="476"/>
      <c r="AI793" s="472">
        <v>950731555</v>
      </c>
      <c r="AJ793" s="472" t="s">
        <v>543</v>
      </c>
    </row>
    <row r="794" spans="2:36" ht="24" hidden="1" customHeight="1">
      <c r="B794" s="701">
        <v>650</v>
      </c>
      <c r="C794" s="699" t="s">
        <v>534</v>
      </c>
      <c r="D794" s="699"/>
      <c r="E794" s="699" t="s">
        <v>535</v>
      </c>
      <c r="F794" s="699"/>
      <c r="G794" s="699" t="s">
        <v>55</v>
      </c>
      <c r="H794" s="699" t="s">
        <v>2188</v>
      </c>
      <c r="I794" s="709" t="s">
        <v>537</v>
      </c>
      <c r="J794" s="709" t="s">
        <v>537</v>
      </c>
      <c r="K794" s="712">
        <v>17100</v>
      </c>
      <c r="L794" s="709" t="s">
        <v>537</v>
      </c>
      <c r="M794" s="709" t="s">
        <v>537</v>
      </c>
      <c r="N794" s="712">
        <v>17100</v>
      </c>
      <c r="O794" s="701" t="s">
        <v>537</v>
      </c>
      <c r="P794" s="701" t="s">
        <v>537</v>
      </c>
      <c r="Q794" s="709">
        <v>0</v>
      </c>
      <c r="R794" s="701" t="s">
        <v>775</v>
      </c>
      <c r="S794" s="701" t="s">
        <v>2189</v>
      </c>
      <c r="T794" s="701">
        <v>50</v>
      </c>
      <c r="U794" s="701">
        <v>18</v>
      </c>
      <c r="V794" s="701">
        <v>27</v>
      </c>
      <c r="W794" s="701">
        <v>0</v>
      </c>
      <c r="X794" s="701">
        <v>40</v>
      </c>
      <c r="Y794" s="701">
        <v>12</v>
      </c>
      <c r="Z794" s="701">
        <v>92.8</v>
      </c>
      <c r="AA794" s="458" t="s">
        <v>2190</v>
      </c>
      <c r="AB794" s="459">
        <v>80</v>
      </c>
      <c r="AC794" s="459">
        <v>87</v>
      </c>
      <c r="AD794" s="458" t="s">
        <v>2191</v>
      </c>
      <c r="AE794" s="459">
        <v>80</v>
      </c>
      <c r="AF794" s="459">
        <v>85</v>
      </c>
      <c r="AG794" s="701" t="s">
        <v>375</v>
      </c>
      <c r="AH794" s="728"/>
      <c r="AI794" s="697">
        <v>994067289</v>
      </c>
      <c r="AJ794" s="697" t="s">
        <v>543</v>
      </c>
    </row>
    <row r="795" spans="2:36" ht="24" hidden="1" customHeight="1">
      <c r="B795" s="702"/>
      <c r="C795" s="700"/>
      <c r="D795" s="700"/>
      <c r="E795" s="700"/>
      <c r="F795" s="700"/>
      <c r="G795" s="700"/>
      <c r="H795" s="700"/>
      <c r="I795" s="710"/>
      <c r="J795" s="710"/>
      <c r="K795" s="713"/>
      <c r="L795" s="710"/>
      <c r="M795" s="710"/>
      <c r="N795" s="713"/>
      <c r="O795" s="702"/>
      <c r="P795" s="702"/>
      <c r="Q795" s="710"/>
      <c r="R795" s="702"/>
      <c r="S795" s="702"/>
      <c r="T795" s="702"/>
      <c r="U795" s="702"/>
      <c r="V795" s="702"/>
      <c r="W795" s="702"/>
      <c r="X795" s="702"/>
      <c r="Y795" s="702"/>
      <c r="Z795" s="702"/>
      <c r="AA795" s="473" t="s">
        <v>2192</v>
      </c>
      <c r="AB795" s="474">
        <v>80</v>
      </c>
      <c r="AC795" s="474">
        <v>89</v>
      </c>
      <c r="AD795" s="473" t="s">
        <v>2193</v>
      </c>
      <c r="AE795" s="474">
        <v>80</v>
      </c>
      <c r="AF795" s="474">
        <v>90</v>
      </c>
      <c r="AG795" s="702"/>
      <c r="AH795" s="729"/>
      <c r="AI795" s="698"/>
      <c r="AJ795" s="698"/>
    </row>
    <row r="796" spans="2:36" ht="24" hidden="1" customHeight="1">
      <c r="B796" s="701">
        <v>651</v>
      </c>
      <c r="C796" s="699" t="s">
        <v>534</v>
      </c>
      <c r="D796" s="699"/>
      <c r="E796" s="699" t="s">
        <v>535</v>
      </c>
      <c r="F796" s="699"/>
      <c r="G796" s="699" t="s">
        <v>55</v>
      </c>
      <c r="H796" s="699" t="s">
        <v>2194</v>
      </c>
      <c r="I796" s="709" t="s">
        <v>537</v>
      </c>
      <c r="J796" s="709" t="s">
        <v>537</v>
      </c>
      <c r="K796" s="712">
        <v>9000</v>
      </c>
      <c r="L796" s="709" t="s">
        <v>537</v>
      </c>
      <c r="M796" s="709" t="s">
        <v>537</v>
      </c>
      <c r="N796" s="712">
        <v>8100</v>
      </c>
      <c r="O796" s="701" t="s">
        <v>537</v>
      </c>
      <c r="P796" s="701" t="s">
        <v>537</v>
      </c>
      <c r="Q796" s="709">
        <v>900</v>
      </c>
      <c r="R796" s="701" t="s">
        <v>727</v>
      </c>
      <c r="S796" s="721">
        <v>22487</v>
      </c>
      <c r="T796" s="701">
        <v>37</v>
      </c>
      <c r="U796" s="701">
        <v>9</v>
      </c>
      <c r="V796" s="701">
        <v>4</v>
      </c>
      <c r="W796" s="701">
        <v>7</v>
      </c>
      <c r="X796" s="701">
        <v>29</v>
      </c>
      <c r="Y796" s="701">
        <v>4</v>
      </c>
      <c r="Z796" s="701">
        <v>97</v>
      </c>
      <c r="AA796" s="458" t="s">
        <v>2190</v>
      </c>
      <c r="AB796" s="459">
        <v>80</v>
      </c>
      <c r="AC796" s="459">
        <v>80</v>
      </c>
      <c r="AD796" s="458" t="s">
        <v>2191</v>
      </c>
      <c r="AE796" s="459">
        <v>80</v>
      </c>
      <c r="AF796" s="459">
        <v>80</v>
      </c>
      <c r="AG796" s="701" t="s">
        <v>375</v>
      </c>
      <c r="AH796" s="728"/>
      <c r="AI796" s="697" t="s">
        <v>2195</v>
      </c>
      <c r="AJ796" s="697" t="s">
        <v>543</v>
      </c>
    </row>
    <row r="797" spans="2:36" ht="24" hidden="1" customHeight="1">
      <c r="B797" s="702"/>
      <c r="C797" s="700"/>
      <c r="D797" s="700"/>
      <c r="E797" s="700"/>
      <c r="F797" s="700"/>
      <c r="G797" s="700"/>
      <c r="H797" s="700"/>
      <c r="I797" s="710"/>
      <c r="J797" s="710"/>
      <c r="K797" s="713"/>
      <c r="L797" s="710"/>
      <c r="M797" s="710"/>
      <c r="N797" s="713"/>
      <c r="O797" s="702"/>
      <c r="P797" s="702"/>
      <c r="Q797" s="710"/>
      <c r="R797" s="702"/>
      <c r="S797" s="722"/>
      <c r="T797" s="702"/>
      <c r="U797" s="702"/>
      <c r="V797" s="702"/>
      <c r="W797" s="702"/>
      <c r="X797" s="702"/>
      <c r="Y797" s="702"/>
      <c r="Z797" s="702"/>
      <c r="AA797" s="473" t="s">
        <v>2192</v>
      </c>
      <c r="AB797" s="474">
        <v>80</v>
      </c>
      <c r="AC797" s="474">
        <v>80</v>
      </c>
      <c r="AD797" s="473" t="s">
        <v>2193</v>
      </c>
      <c r="AE797" s="474">
        <v>80</v>
      </c>
      <c r="AF797" s="474">
        <v>80</v>
      </c>
      <c r="AG797" s="702"/>
      <c r="AH797" s="729"/>
      <c r="AI797" s="698"/>
      <c r="AJ797" s="698"/>
    </row>
    <row r="798" spans="2:36" ht="24" hidden="1" customHeight="1">
      <c r="B798" s="701">
        <v>652</v>
      </c>
      <c r="C798" s="699" t="s">
        <v>534</v>
      </c>
      <c r="D798" s="699"/>
      <c r="E798" s="699" t="s">
        <v>535</v>
      </c>
      <c r="F798" s="699"/>
      <c r="G798" s="699" t="s">
        <v>55</v>
      </c>
      <c r="H798" s="699" t="s">
        <v>2196</v>
      </c>
      <c r="I798" s="709" t="s">
        <v>537</v>
      </c>
      <c r="J798" s="709" t="s">
        <v>537</v>
      </c>
      <c r="K798" s="712">
        <v>4320</v>
      </c>
      <c r="L798" s="709" t="s">
        <v>537</v>
      </c>
      <c r="M798" s="709" t="s">
        <v>537</v>
      </c>
      <c r="N798" s="712">
        <v>3520</v>
      </c>
      <c r="O798" s="701" t="s">
        <v>537</v>
      </c>
      <c r="P798" s="701" t="s">
        <v>537</v>
      </c>
      <c r="Q798" s="709">
        <v>800</v>
      </c>
      <c r="R798" s="707">
        <v>241518</v>
      </c>
      <c r="S798" s="721">
        <v>22397</v>
      </c>
      <c r="T798" s="701">
        <v>14</v>
      </c>
      <c r="U798" s="701">
        <v>0</v>
      </c>
      <c r="V798" s="701">
        <v>10</v>
      </c>
      <c r="W798" s="701">
        <v>0</v>
      </c>
      <c r="X798" s="701">
        <v>13</v>
      </c>
      <c r="Y798" s="701">
        <v>9</v>
      </c>
      <c r="Z798" s="701">
        <v>92</v>
      </c>
      <c r="AA798" s="458" t="s">
        <v>2190</v>
      </c>
      <c r="AB798" s="459">
        <v>80</v>
      </c>
      <c r="AC798" s="459">
        <v>80</v>
      </c>
      <c r="AD798" s="458" t="s">
        <v>2191</v>
      </c>
      <c r="AE798" s="459">
        <v>80</v>
      </c>
      <c r="AF798" s="459">
        <v>80</v>
      </c>
      <c r="AG798" s="701" t="s">
        <v>375</v>
      </c>
      <c r="AH798" s="728"/>
      <c r="AI798" s="697">
        <v>994067289</v>
      </c>
      <c r="AJ798" s="697" t="s">
        <v>543</v>
      </c>
    </row>
    <row r="799" spans="2:36" ht="24" hidden="1" customHeight="1">
      <c r="B799" s="702"/>
      <c r="C799" s="700"/>
      <c r="D799" s="700"/>
      <c r="E799" s="700"/>
      <c r="F799" s="700"/>
      <c r="G799" s="700"/>
      <c r="H799" s="700"/>
      <c r="I799" s="710"/>
      <c r="J799" s="710"/>
      <c r="K799" s="713"/>
      <c r="L799" s="710"/>
      <c r="M799" s="710"/>
      <c r="N799" s="713"/>
      <c r="O799" s="702"/>
      <c r="P799" s="702"/>
      <c r="Q799" s="710"/>
      <c r="R799" s="708"/>
      <c r="S799" s="722"/>
      <c r="T799" s="702"/>
      <c r="U799" s="702"/>
      <c r="V799" s="702"/>
      <c r="W799" s="702"/>
      <c r="X799" s="702"/>
      <c r="Y799" s="702"/>
      <c r="Z799" s="702"/>
      <c r="AA799" s="473" t="s">
        <v>2192</v>
      </c>
      <c r="AB799" s="474">
        <v>80</v>
      </c>
      <c r="AC799" s="474">
        <v>80</v>
      </c>
      <c r="AD799" s="473" t="s">
        <v>2193</v>
      </c>
      <c r="AE799" s="474">
        <v>80</v>
      </c>
      <c r="AF799" s="474">
        <v>80</v>
      </c>
      <c r="AG799" s="702"/>
      <c r="AH799" s="729"/>
      <c r="AI799" s="698"/>
      <c r="AJ799" s="698"/>
    </row>
    <row r="800" spans="2:36" ht="24" hidden="1" customHeight="1">
      <c r="B800" s="701">
        <v>653</v>
      </c>
      <c r="C800" s="699" t="s">
        <v>534</v>
      </c>
      <c r="D800" s="699"/>
      <c r="E800" s="699" t="s">
        <v>535</v>
      </c>
      <c r="F800" s="699"/>
      <c r="G800" s="699" t="s">
        <v>55</v>
      </c>
      <c r="H800" s="699" t="s">
        <v>2197</v>
      </c>
      <c r="I800" s="709" t="s">
        <v>537</v>
      </c>
      <c r="J800" s="709" t="s">
        <v>537</v>
      </c>
      <c r="K800" s="712">
        <v>24000</v>
      </c>
      <c r="L800" s="709" t="s">
        <v>537</v>
      </c>
      <c r="M800" s="709" t="s">
        <v>537</v>
      </c>
      <c r="N800" s="712">
        <v>10960</v>
      </c>
      <c r="O800" s="723">
        <v>13040</v>
      </c>
      <c r="P800" s="701" t="s">
        <v>537</v>
      </c>
      <c r="Q800" s="709">
        <v>0</v>
      </c>
      <c r="R800" s="701" t="s">
        <v>643</v>
      </c>
      <c r="S800" s="701" t="s">
        <v>1257</v>
      </c>
      <c r="T800" s="701">
        <v>0</v>
      </c>
      <c r="U800" s="701">
        <v>42</v>
      </c>
      <c r="V800" s="701">
        <v>1</v>
      </c>
      <c r="W800" s="701">
        <v>0</v>
      </c>
      <c r="X800" s="701">
        <v>36</v>
      </c>
      <c r="Y800" s="701">
        <v>1</v>
      </c>
      <c r="Z800" s="701">
        <v>87.4</v>
      </c>
      <c r="AA800" s="458" t="s">
        <v>2198</v>
      </c>
      <c r="AB800" s="459">
        <v>80</v>
      </c>
      <c r="AC800" s="459">
        <v>81.400000000000006</v>
      </c>
      <c r="AD800" s="458" t="s">
        <v>2191</v>
      </c>
      <c r="AE800" s="459">
        <v>80</v>
      </c>
      <c r="AF800" s="459">
        <v>95</v>
      </c>
      <c r="AG800" s="701" t="s">
        <v>375</v>
      </c>
      <c r="AH800" s="728"/>
      <c r="AI800" s="697">
        <v>994067289</v>
      </c>
      <c r="AJ800" s="697" t="s">
        <v>543</v>
      </c>
    </row>
    <row r="801" spans="2:36" ht="24" hidden="1" customHeight="1">
      <c r="B801" s="702"/>
      <c r="C801" s="700"/>
      <c r="D801" s="700"/>
      <c r="E801" s="700"/>
      <c r="F801" s="700"/>
      <c r="G801" s="700"/>
      <c r="H801" s="700"/>
      <c r="I801" s="710"/>
      <c r="J801" s="710"/>
      <c r="K801" s="713"/>
      <c r="L801" s="710"/>
      <c r="M801" s="710"/>
      <c r="N801" s="713"/>
      <c r="O801" s="724"/>
      <c r="P801" s="702"/>
      <c r="Q801" s="710"/>
      <c r="R801" s="702"/>
      <c r="S801" s="702"/>
      <c r="T801" s="702"/>
      <c r="U801" s="702"/>
      <c r="V801" s="702"/>
      <c r="W801" s="702"/>
      <c r="X801" s="702"/>
      <c r="Y801" s="702"/>
      <c r="Z801" s="702"/>
      <c r="AA801" s="473" t="s">
        <v>2192</v>
      </c>
      <c r="AB801" s="474">
        <v>80</v>
      </c>
      <c r="AC801" s="474">
        <v>87.4</v>
      </c>
      <c r="AD801" s="473" t="s">
        <v>2199</v>
      </c>
      <c r="AE801" s="474">
        <v>80</v>
      </c>
      <c r="AF801" s="474">
        <v>80</v>
      </c>
      <c r="AG801" s="702"/>
      <c r="AH801" s="729"/>
      <c r="AI801" s="698"/>
      <c r="AJ801" s="698"/>
    </row>
    <row r="802" spans="2:36" ht="24" hidden="1" customHeight="1">
      <c r="B802" s="463">
        <v>654</v>
      </c>
      <c r="C802" s="464" t="s">
        <v>534</v>
      </c>
      <c r="D802" s="464"/>
      <c r="E802" s="464" t="s">
        <v>535</v>
      </c>
      <c r="F802" s="464"/>
      <c r="G802" s="464" t="s">
        <v>55</v>
      </c>
      <c r="H802" s="464" t="s">
        <v>2200</v>
      </c>
      <c r="I802" s="465" t="s">
        <v>537</v>
      </c>
      <c r="J802" s="465" t="s">
        <v>537</v>
      </c>
      <c r="K802" s="466">
        <v>33000</v>
      </c>
      <c r="L802" s="465" t="s">
        <v>537</v>
      </c>
      <c r="M802" s="465" t="s">
        <v>537</v>
      </c>
      <c r="N802" s="466">
        <v>9552</v>
      </c>
      <c r="O802" s="463" t="s">
        <v>537</v>
      </c>
      <c r="P802" s="463" t="s">
        <v>537</v>
      </c>
      <c r="Q802" s="468">
        <v>23448</v>
      </c>
      <c r="R802" s="470">
        <v>241579</v>
      </c>
      <c r="S802" s="463" t="s">
        <v>2201</v>
      </c>
      <c r="T802" s="463">
        <v>0</v>
      </c>
      <c r="U802" s="463">
        <v>48</v>
      </c>
      <c r="V802" s="463">
        <v>10</v>
      </c>
      <c r="W802" s="463">
        <v>0</v>
      </c>
      <c r="X802" s="463">
        <v>53</v>
      </c>
      <c r="Y802" s="463">
        <v>3</v>
      </c>
      <c r="Z802" s="463">
        <v>97.5</v>
      </c>
      <c r="AA802" s="472" t="s">
        <v>693</v>
      </c>
      <c r="AB802" s="463">
        <v>100</v>
      </c>
      <c r="AC802" s="463">
        <v>100</v>
      </c>
      <c r="AD802" s="472" t="s">
        <v>2202</v>
      </c>
      <c r="AE802" s="463">
        <v>100</v>
      </c>
      <c r="AF802" s="463">
        <v>100</v>
      </c>
      <c r="AG802" s="463" t="s">
        <v>375</v>
      </c>
      <c r="AH802" s="476"/>
      <c r="AI802" s="472">
        <v>819583057</v>
      </c>
      <c r="AJ802" s="472" t="s">
        <v>543</v>
      </c>
    </row>
    <row r="803" spans="2:36" ht="24" hidden="1" customHeight="1">
      <c r="B803" s="701">
        <v>655</v>
      </c>
      <c r="C803" s="699" t="s">
        <v>534</v>
      </c>
      <c r="D803" s="699"/>
      <c r="E803" s="699" t="s">
        <v>535</v>
      </c>
      <c r="F803" s="699"/>
      <c r="G803" s="699" t="s">
        <v>55</v>
      </c>
      <c r="H803" s="699" t="s">
        <v>2203</v>
      </c>
      <c r="I803" s="712">
        <v>27600</v>
      </c>
      <c r="J803" s="709" t="s">
        <v>537</v>
      </c>
      <c r="K803" s="709" t="s">
        <v>537</v>
      </c>
      <c r="L803" s="712">
        <v>24988</v>
      </c>
      <c r="M803" s="709" t="s">
        <v>537</v>
      </c>
      <c r="N803" s="709" t="s">
        <v>537</v>
      </c>
      <c r="O803" s="723">
        <v>2612</v>
      </c>
      <c r="P803" s="701" t="s">
        <v>537</v>
      </c>
      <c r="Q803" s="709">
        <v>0</v>
      </c>
      <c r="R803" s="707">
        <v>241487</v>
      </c>
      <c r="S803" s="721">
        <v>22341</v>
      </c>
      <c r="T803" s="701">
        <v>45</v>
      </c>
      <c r="U803" s="701">
        <v>0</v>
      </c>
      <c r="V803" s="701">
        <v>0</v>
      </c>
      <c r="W803" s="701">
        <v>40</v>
      </c>
      <c r="X803" s="701">
        <v>0</v>
      </c>
      <c r="Y803" s="701">
        <v>0</v>
      </c>
      <c r="Z803" s="701">
        <v>91.2</v>
      </c>
      <c r="AA803" s="458" t="s">
        <v>547</v>
      </c>
      <c r="AB803" s="459" t="s">
        <v>539</v>
      </c>
      <c r="AC803" s="459" t="s">
        <v>539</v>
      </c>
      <c r="AD803" s="458" t="s">
        <v>2204</v>
      </c>
      <c r="AE803" s="459">
        <v>80</v>
      </c>
      <c r="AF803" s="459">
        <v>89</v>
      </c>
      <c r="AG803" s="701" t="s">
        <v>375</v>
      </c>
      <c r="AH803" s="728"/>
      <c r="AI803" s="697">
        <v>866481205</v>
      </c>
      <c r="AJ803" s="699"/>
    </row>
    <row r="804" spans="2:36" ht="24" hidden="1" customHeight="1">
      <c r="B804" s="702"/>
      <c r="C804" s="700"/>
      <c r="D804" s="700"/>
      <c r="E804" s="700"/>
      <c r="F804" s="700"/>
      <c r="G804" s="700"/>
      <c r="H804" s="700"/>
      <c r="I804" s="713"/>
      <c r="J804" s="710"/>
      <c r="K804" s="710"/>
      <c r="L804" s="713"/>
      <c r="M804" s="710"/>
      <c r="N804" s="710"/>
      <c r="O804" s="724"/>
      <c r="P804" s="702"/>
      <c r="Q804" s="710"/>
      <c r="R804" s="708"/>
      <c r="S804" s="722"/>
      <c r="T804" s="702"/>
      <c r="U804" s="702"/>
      <c r="V804" s="702"/>
      <c r="W804" s="702"/>
      <c r="X804" s="702"/>
      <c r="Y804" s="702"/>
      <c r="Z804" s="702"/>
      <c r="AA804" s="473" t="s">
        <v>2205</v>
      </c>
      <c r="AB804" s="474" t="s">
        <v>539</v>
      </c>
      <c r="AC804" s="474" t="s">
        <v>539</v>
      </c>
      <c r="AD804" s="473" t="s">
        <v>2206</v>
      </c>
      <c r="AE804" s="474">
        <v>3</v>
      </c>
      <c r="AF804" s="474">
        <v>11</v>
      </c>
      <c r="AG804" s="702"/>
      <c r="AH804" s="729"/>
      <c r="AI804" s="698"/>
      <c r="AJ804" s="700"/>
    </row>
    <row r="805" spans="2:36" ht="24" hidden="1" customHeight="1">
      <c r="B805" s="701">
        <v>656</v>
      </c>
      <c r="C805" s="699" t="s">
        <v>534</v>
      </c>
      <c r="D805" s="699"/>
      <c r="E805" s="699" t="s">
        <v>535</v>
      </c>
      <c r="F805" s="699"/>
      <c r="G805" s="699" t="s">
        <v>55</v>
      </c>
      <c r="H805" s="699" t="s">
        <v>2207</v>
      </c>
      <c r="I805" s="712">
        <v>52400</v>
      </c>
      <c r="J805" s="709" t="s">
        <v>537</v>
      </c>
      <c r="K805" s="709" t="s">
        <v>537</v>
      </c>
      <c r="L805" s="712">
        <v>48085</v>
      </c>
      <c r="M805" s="709" t="s">
        <v>537</v>
      </c>
      <c r="N805" s="709" t="s">
        <v>537</v>
      </c>
      <c r="O805" s="723">
        <v>4315</v>
      </c>
      <c r="P805" s="701" t="s">
        <v>537</v>
      </c>
      <c r="Q805" s="709">
        <v>0</v>
      </c>
      <c r="R805" s="707">
        <v>241487</v>
      </c>
      <c r="S805" s="701" t="s">
        <v>732</v>
      </c>
      <c r="T805" s="701">
        <v>40</v>
      </c>
      <c r="U805" s="701">
        <v>5</v>
      </c>
      <c r="V805" s="701">
        <v>0</v>
      </c>
      <c r="W805" s="701">
        <v>48</v>
      </c>
      <c r="X805" s="701">
        <v>7</v>
      </c>
      <c r="Y805" s="701">
        <v>0</v>
      </c>
      <c r="Z805" s="701">
        <v>82</v>
      </c>
      <c r="AA805" s="458" t="s">
        <v>2208</v>
      </c>
      <c r="AB805" s="459" t="s">
        <v>539</v>
      </c>
      <c r="AC805" s="459" t="s">
        <v>539</v>
      </c>
      <c r="AD805" s="458" t="s">
        <v>733</v>
      </c>
      <c r="AE805" s="459">
        <v>1</v>
      </c>
      <c r="AF805" s="459">
        <v>1</v>
      </c>
      <c r="AG805" s="701" t="s">
        <v>375</v>
      </c>
      <c r="AH805" s="728"/>
      <c r="AI805" s="697">
        <v>806481205</v>
      </c>
      <c r="AJ805" s="699"/>
    </row>
    <row r="806" spans="2:36" ht="24" hidden="1" customHeight="1">
      <c r="B806" s="702"/>
      <c r="C806" s="700"/>
      <c r="D806" s="700"/>
      <c r="E806" s="700"/>
      <c r="F806" s="700"/>
      <c r="G806" s="700"/>
      <c r="H806" s="700"/>
      <c r="I806" s="713"/>
      <c r="J806" s="710"/>
      <c r="K806" s="710"/>
      <c r="L806" s="713"/>
      <c r="M806" s="710"/>
      <c r="N806" s="710"/>
      <c r="O806" s="724"/>
      <c r="P806" s="702"/>
      <c r="Q806" s="710"/>
      <c r="R806" s="708"/>
      <c r="S806" s="702"/>
      <c r="T806" s="702"/>
      <c r="U806" s="702"/>
      <c r="V806" s="702"/>
      <c r="W806" s="702"/>
      <c r="X806" s="702"/>
      <c r="Y806" s="702"/>
      <c r="Z806" s="702"/>
      <c r="AA806" s="473" t="s">
        <v>2205</v>
      </c>
      <c r="AB806" s="474" t="s">
        <v>539</v>
      </c>
      <c r="AC806" s="474" t="s">
        <v>539</v>
      </c>
      <c r="AD806" s="473" t="s">
        <v>2209</v>
      </c>
      <c r="AE806" s="474">
        <v>3</v>
      </c>
      <c r="AF806" s="474">
        <v>11</v>
      </c>
      <c r="AG806" s="702"/>
      <c r="AH806" s="729"/>
      <c r="AI806" s="698"/>
      <c r="AJ806" s="700"/>
    </row>
    <row r="807" spans="2:36" ht="24" hidden="1" customHeight="1">
      <c r="B807" s="701">
        <v>657</v>
      </c>
      <c r="C807" s="699" t="s">
        <v>534</v>
      </c>
      <c r="D807" s="699"/>
      <c r="E807" s="699" t="s">
        <v>535</v>
      </c>
      <c r="F807" s="699"/>
      <c r="G807" s="699" t="s">
        <v>55</v>
      </c>
      <c r="H807" s="699" t="s">
        <v>2210</v>
      </c>
      <c r="I807" s="712">
        <v>30000</v>
      </c>
      <c r="J807" s="709" t="s">
        <v>537</v>
      </c>
      <c r="K807" s="709" t="s">
        <v>537</v>
      </c>
      <c r="L807" s="712">
        <v>30000</v>
      </c>
      <c r="M807" s="709" t="s">
        <v>537</v>
      </c>
      <c r="N807" s="709" t="s">
        <v>537</v>
      </c>
      <c r="O807" s="701" t="s">
        <v>537</v>
      </c>
      <c r="P807" s="701" t="s">
        <v>537</v>
      </c>
      <c r="Q807" s="709">
        <v>0</v>
      </c>
      <c r="R807" s="707">
        <v>241518</v>
      </c>
      <c r="S807" s="701" t="s">
        <v>2211</v>
      </c>
      <c r="T807" s="701">
        <v>0</v>
      </c>
      <c r="U807" s="701">
        <v>1</v>
      </c>
      <c r="V807" s="701">
        <v>0</v>
      </c>
      <c r="W807" s="701">
        <v>0</v>
      </c>
      <c r="X807" s="701">
        <v>1</v>
      </c>
      <c r="Y807" s="701">
        <v>0</v>
      </c>
      <c r="Z807" s="701">
        <v>98</v>
      </c>
      <c r="AA807" s="458" t="s">
        <v>633</v>
      </c>
      <c r="AB807" s="459" t="s">
        <v>539</v>
      </c>
      <c r="AC807" s="459" t="s">
        <v>539</v>
      </c>
      <c r="AD807" s="458" t="s">
        <v>2212</v>
      </c>
      <c r="AE807" s="459" t="s">
        <v>539</v>
      </c>
      <c r="AF807" s="459" t="s">
        <v>539</v>
      </c>
      <c r="AG807" s="701" t="s">
        <v>375</v>
      </c>
      <c r="AH807" s="728"/>
      <c r="AI807" s="697">
        <v>817544949</v>
      </c>
      <c r="AJ807" s="699"/>
    </row>
    <row r="808" spans="2:36" ht="24" hidden="1" customHeight="1">
      <c r="B808" s="702"/>
      <c r="C808" s="700"/>
      <c r="D808" s="700"/>
      <c r="E808" s="700"/>
      <c r="F808" s="700"/>
      <c r="G808" s="700"/>
      <c r="H808" s="700"/>
      <c r="I808" s="713"/>
      <c r="J808" s="710"/>
      <c r="K808" s="710"/>
      <c r="L808" s="713"/>
      <c r="M808" s="710"/>
      <c r="N808" s="710"/>
      <c r="O808" s="702"/>
      <c r="P808" s="702"/>
      <c r="Q808" s="710"/>
      <c r="R808" s="708"/>
      <c r="S808" s="702"/>
      <c r="T808" s="702"/>
      <c r="U808" s="702"/>
      <c r="V808" s="702"/>
      <c r="W808" s="702"/>
      <c r="X808" s="702"/>
      <c r="Y808" s="702"/>
      <c r="Z808" s="702"/>
      <c r="AA808" s="473" t="s">
        <v>2213</v>
      </c>
      <c r="AB808" s="474" t="s">
        <v>539</v>
      </c>
      <c r="AC808" s="474" t="s">
        <v>539</v>
      </c>
      <c r="AD808" s="473" t="s">
        <v>2214</v>
      </c>
      <c r="AE808" s="474" t="s">
        <v>539</v>
      </c>
      <c r="AF808" s="474" t="s">
        <v>539</v>
      </c>
      <c r="AG808" s="702"/>
      <c r="AH808" s="729"/>
      <c r="AI808" s="698"/>
      <c r="AJ808" s="700"/>
    </row>
    <row r="809" spans="2:36" ht="24" hidden="1" customHeight="1">
      <c r="B809" s="701">
        <v>658</v>
      </c>
      <c r="C809" s="699" t="s">
        <v>534</v>
      </c>
      <c r="D809" s="699"/>
      <c r="E809" s="699" t="s">
        <v>535</v>
      </c>
      <c r="F809" s="699"/>
      <c r="G809" s="699" t="s">
        <v>55</v>
      </c>
      <c r="H809" s="699" t="s">
        <v>2215</v>
      </c>
      <c r="I809" s="712">
        <v>50000</v>
      </c>
      <c r="J809" s="709" t="s">
        <v>537</v>
      </c>
      <c r="K809" s="709" t="s">
        <v>537</v>
      </c>
      <c r="L809" s="712">
        <v>50000</v>
      </c>
      <c r="M809" s="709" t="s">
        <v>537</v>
      </c>
      <c r="N809" s="709" t="s">
        <v>537</v>
      </c>
      <c r="O809" s="701" t="s">
        <v>537</v>
      </c>
      <c r="P809" s="701" t="s">
        <v>537</v>
      </c>
      <c r="Q809" s="709">
        <v>0</v>
      </c>
      <c r="R809" s="701" t="s">
        <v>984</v>
      </c>
      <c r="S809" s="701" t="s">
        <v>2216</v>
      </c>
      <c r="T809" s="701">
        <v>50</v>
      </c>
      <c r="U809" s="701">
        <v>2</v>
      </c>
      <c r="V809" s="701">
        <v>8</v>
      </c>
      <c r="W809" s="701">
        <v>38</v>
      </c>
      <c r="X809" s="701">
        <v>2</v>
      </c>
      <c r="Y809" s="701">
        <v>0</v>
      </c>
      <c r="Z809" s="701">
        <v>92.5</v>
      </c>
      <c r="AA809" s="458" t="s">
        <v>547</v>
      </c>
      <c r="AB809" s="459" t="s">
        <v>539</v>
      </c>
      <c r="AC809" s="459" t="s">
        <v>539</v>
      </c>
      <c r="AD809" s="458" t="s">
        <v>548</v>
      </c>
      <c r="AE809" s="459">
        <v>80</v>
      </c>
      <c r="AF809" s="459">
        <v>80</v>
      </c>
      <c r="AG809" s="701" t="s">
        <v>375</v>
      </c>
      <c r="AH809" s="728"/>
      <c r="AI809" s="697">
        <v>812538812</v>
      </c>
      <c r="AJ809" s="699"/>
    </row>
    <row r="810" spans="2:36" ht="24" hidden="1" customHeight="1">
      <c r="B810" s="702"/>
      <c r="C810" s="700"/>
      <c r="D810" s="700"/>
      <c r="E810" s="700"/>
      <c r="F810" s="700"/>
      <c r="G810" s="700"/>
      <c r="H810" s="700"/>
      <c r="I810" s="713"/>
      <c r="J810" s="710"/>
      <c r="K810" s="710"/>
      <c r="L810" s="713"/>
      <c r="M810" s="710"/>
      <c r="N810" s="710"/>
      <c r="O810" s="702"/>
      <c r="P810" s="702"/>
      <c r="Q810" s="710"/>
      <c r="R810" s="702"/>
      <c r="S810" s="702"/>
      <c r="T810" s="702"/>
      <c r="U810" s="702"/>
      <c r="V810" s="702"/>
      <c r="W810" s="702"/>
      <c r="X810" s="702"/>
      <c r="Y810" s="702"/>
      <c r="Z810" s="702"/>
      <c r="AA810" s="473" t="s">
        <v>2152</v>
      </c>
      <c r="AB810" s="474" t="s">
        <v>539</v>
      </c>
      <c r="AC810" s="474" t="s">
        <v>539</v>
      </c>
      <c r="AD810" s="473" t="s">
        <v>2217</v>
      </c>
      <c r="AE810" s="474">
        <v>40</v>
      </c>
      <c r="AF810" s="474">
        <v>40</v>
      </c>
      <c r="AG810" s="702"/>
      <c r="AH810" s="729"/>
      <c r="AI810" s="698"/>
      <c r="AJ810" s="700"/>
    </row>
    <row r="811" spans="2:36" ht="24" hidden="1" customHeight="1">
      <c r="B811" s="701">
        <v>659</v>
      </c>
      <c r="C811" s="699" t="s">
        <v>534</v>
      </c>
      <c r="D811" s="699"/>
      <c r="E811" s="699" t="s">
        <v>535</v>
      </c>
      <c r="F811" s="699"/>
      <c r="G811" s="699" t="s">
        <v>55</v>
      </c>
      <c r="H811" s="699" t="s">
        <v>2218</v>
      </c>
      <c r="I811" s="712">
        <v>30000</v>
      </c>
      <c r="J811" s="709" t="s">
        <v>537</v>
      </c>
      <c r="K811" s="709" t="s">
        <v>537</v>
      </c>
      <c r="L811" s="712">
        <v>26700</v>
      </c>
      <c r="M811" s="709" t="s">
        <v>537</v>
      </c>
      <c r="N811" s="709" t="s">
        <v>537</v>
      </c>
      <c r="O811" s="701" t="s">
        <v>537</v>
      </c>
      <c r="P811" s="701" t="s">
        <v>537</v>
      </c>
      <c r="Q811" s="705">
        <v>3300</v>
      </c>
      <c r="R811" s="707">
        <v>241609</v>
      </c>
      <c r="S811" s="721">
        <v>22479</v>
      </c>
      <c r="T811" s="701">
        <v>20</v>
      </c>
      <c r="U811" s="701">
        <v>5</v>
      </c>
      <c r="V811" s="701">
        <v>5</v>
      </c>
      <c r="W811" s="701">
        <v>26</v>
      </c>
      <c r="X811" s="701">
        <v>9</v>
      </c>
      <c r="Y811" s="701">
        <v>5</v>
      </c>
      <c r="Z811" s="701">
        <v>90</v>
      </c>
      <c r="AA811" s="697" t="s">
        <v>547</v>
      </c>
      <c r="AB811" s="701" t="s">
        <v>539</v>
      </c>
      <c r="AC811" s="701" t="s">
        <v>539</v>
      </c>
      <c r="AD811" s="458" t="s">
        <v>2219</v>
      </c>
      <c r="AE811" s="459">
        <v>80</v>
      </c>
      <c r="AF811" s="459">
        <v>90</v>
      </c>
      <c r="AG811" s="701" t="s">
        <v>376</v>
      </c>
      <c r="AH811" s="728"/>
      <c r="AI811" s="697">
        <v>890148348</v>
      </c>
      <c r="AJ811" s="699"/>
    </row>
    <row r="812" spans="2:36" ht="24" hidden="1" customHeight="1">
      <c r="B812" s="702"/>
      <c r="C812" s="700"/>
      <c r="D812" s="700"/>
      <c r="E812" s="700"/>
      <c r="F812" s="700"/>
      <c r="G812" s="700"/>
      <c r="H812" s="700"/>
      <c r="I812" s="713"/>
      <c r="J812" s="710"/>
      <c r="K812" s="710"/>
      <c r="L812" s="713"/>
      <c r="M812" s="710"/>
      <c r="N812" s="710"/>
      <c r="O812" s="702"/>
      <c r="P812" s="702"/>
      <c r="Q812" s="706"/>
      <c r="R812" s="708"/>
      <c r="S812" s="722"/>
      <c r="T812" s="702"/>
      <c r="U812" s="702"/>
      <c r="V812" s="702"/>
      <c r="W812" s="702"/>
      <c r="X812" s="702"/>
      <c r="Y812" s="702"/>
      <c r="Z812" s="702"/>
      <c r="AA812" s="698"/>
      <c r="AB812" s="702"/>
      <c r="AC812" s="702"/>
      <c r="AD812" s="473" t="s">
        <v>2220</v>
      </c>
      <c r="AE812" s="474">
        <v>50</v>
      </c>
      <c r="AF812" s="474">
        <v>40</v>
      </c>
      <c r="AG812" s="702"/>
      <c r="AH812" s="729"/>
      <c r="AI812" s="698"/>
      <c r="AJ812" s="700"/>
    </row>
    <row r="813" spans="2:36" ht="24" hidden="1" customHeight="1">
      <c r="B813" s="701">
        <v>660</v>
      </c>
      <c r="C813" s="699" t="s">
        <v>534</v>
      </c>
      <c r="D813" s="699"/>
      <c r="E813" s="699" t="s">
        <v>535</v>
      </c>
      <c r="F813" s="699"/>
      <c r="G813" s="699" t="s">
        <v>55</v>
      </c>
      <c r="H813" s="699" t="s">
        <v>636</v>
      </c>
      <c r="I813" s="712">
        <v>200000</v>
      </c>
      <c r="J813" s="709" t="s">
        <v>537</v>
      </c>
      <c r="K813" s="709" t="s">
        <v>537</v>
      </c>
      <c r="L813" s="712">
        <v>197155</v>
      </c>
      <c r="M813" s="709" t="s">
        <v>537</v>
      </c>
      <c r="N813" s="709" t="s">
        <v>537</v>
      </c>
      <c r="O813" s="701" t="s">
        <v>537</v>
      </c>
      <c r="P813" s="701" t="s">
        <v>537</v>
      </c>
      <c r="Q813" s="705">
        <v>2845</v>
      </c>
      <c r="R813" s="707">
        <v>241609</v>
      </c>
      <c r="S813" s="701" t="s">
        <v>637</v>
      </c>
      <c r="T813" s="701">
        <v>69</v>
      </c>
      <c r="U813" s="701">
        <v>11</v>
      </c>
      <c r="V813" s="701">
        <v>0</v>
      </c>
      <c r="W813" s="701">
        <v>57</v>
      </c>
      <c r="X813" s="701">
        <v>13</v>
      </c>
      <c r="Y813" s="701">
        <v>0</v>
      </c>
      <c r="Z813" s="701">
        <v>95</v>
      </c>
      <c r="AA813" s="458" t="s">
        <v>728</v>
      </c>
      <c r="AB813" s="459">
        <v>1</v>
      </c>
      <c r="AC813" s="459">
        <v>9</v>
      </c>
      <c r="AD813" s="458" t="s">
        <v>651</v>
      </c>
      <c r="AE813" s="459">
        <v>1</v>
      </c>
      <c r="AF813" s="459">
        <v>1</v>
      </c>
      <c r="AG813" s="701" t="s">
        <v>375</v>
      </c>
      <c r="AH813" s="728"/>
      <c r="AI813" s="697" t="s">
        <v>2221</v>
      </c>
      <c r="AJ813" s="699"/>
    </row>
    <row r="814" spans="2:36" ht="24" hidden="1" customHeight="1">
      <c r="B814" s="702"/>
      <c r="C814" s="700"/>
      <c r="D814" s="700"/>
      <c r="E814" s="700"/>
      <c r="F814" s="700"/>
      <c r="G814" s="700"/>
      <c r="H814" s="700"/>
      <c r="I814" s="713"/>
      <c r="J814" s="710"/>
      <c r="K814" s="710"/>
      <c r="L814" s="713"/>
      <c r="M814" s="710"/>
      <c r="N814" s="710"/>
      <c r="O814" s="702"/>
      <c r="P814" s="702"/>
      <c r="Q814" s="706"/>
      <c r="R814" s="708"/>
      <c r="S814" s="702"/>
      <c r="T814" s="702"/>
      <c r="U814" s="702"/>
      <c r="V814" s="702"/>
      <c r="W814" s="702"/>
      <c r="X814" s="702"/>
      <c r="Y814" s="702"/>
      <c r="Z814" s="702"/>
      <c r="AA814" s="473" t="s">
        <v>2222</v>
      </c>
      <c r="AB814" s="474">
        <v>85</v>
      </c>
      <c r="AC814" s="474">
        <v>98</v>
      </c>
      <c r="AD814" s="473" t="s">
        <v>2223</v>
      </c>
      <c r="AE814" s="474">
        <v>2</v>
      </c>
      <c r="AF814" s="474">
        <v>9</v>
      </c>
      <c r="AG814" s="702"/>
      <c r="AH814" s="729"/>
      <c r="AI814" s="698"/>
      <c r="AJ814" s="700"/>
    </row>
    <row r="815" spans="2:36" ht="24" hidden="1" customHeight="1">
      <c r="B815" s="701">
        <v>661</v>
      </c>
      <c r="C815" s="699" t="s">
        <v>534</v>
      </c>
      <c r="D815" s="699"/>
      <c r="E815" s="699" t="s">
        <v>535</v>
      </c>
      <c r="F815" s="699"/>
      <c r="G815" s="699" t="s">
        <v>55</v>
      </c>
      <c r="H815" s="699" t="s">
        <v>2224</v>
      </c>
      <c r="I815" s="712">
        <v>40000</v>
      </c>
      <c r="J815" s="709" t="s">
        <v>537</v>
      </c>
      <c r="K815" s="709" t="s">
        <v>537</v>
      </c>
      <c r="L815" s="712">
        <v>37000</v>
      </c>
      <c r="M815" s="709" t="s">
        <v>537</v>
      </c>
      <c r="N815" s="709" t="s">
        <v>537</v>
      </c>
      <c r="O815" s="723">
        <v>3000</v>
      </c>
      <c r="P815" s="701" t="s">
        <v>537</v>
      </c>
      <c r="Q815" s="709">
        <v>0</v>
      </c>
      <c r="R815" s="701" t="s">
        <v>643</v>
      </c>
      <c r="S815" s="701" t="s">
        <v>2225</v>
      </c>
      <c r="T815" s="701">
        <v>0</v>
      </c>
      <c r="U815" s="701">
        <v>5</v>
      </c>
      <c r="V815" s="701">
        <v>3</v>
      </c>
      <c r="W815" s="701">
        <v>149</v>
      </c>
      <c r="X815" s="701">
        <v>34</v>
      </c>
      <c r="Y815" s="701">
        <v>0</v>
      </c>
      <c r="Z815" s="701">
        <v>94.2</v>
      </c>
      <c r="AA815" s="458" t="s">
        <v>1304</v>
      </c>
      <c r="AB815" s="459" t="s">
        <v>539</v>
      </c>
      <c r="AC815" s="459" t="s">
        <v>539</v>
      </c>
      <c r="AD815" s="458" t="s">
        <v>606</v>
      </c>
      <c r="AE815" s="459">
        <v>80</v>
      </c>
      <c r="AF815" s="459">
        <v>80</v>
      </c>
      <c r="AG815" s="701" t="s">
        <v>375</v>
      </c>
      <c r="AH815" s="728"/>
      <c r="AI815" s="697" t="s">
        <v>2226</v>
      </c>
      <c r="AJ815" s="699"/>
    </row>
    <row r="816" spans="2:36" ht="24" hidden="1" customHeight="1">
      <c r="B816" s="702"/>
      <c r="C816" s="700"/>
      <c r="D816" s="700"/>
      <c r="E816" s="700"/>
      <c r="F816" s="700"/>
      <c r="G816" s="700"/>
      <c r="H816" s="700"/>
      <c r="I816" s="713"/>
      <c r="J816" s="710"/>
      <c r="K816" s="710"/>
      <c r="L816" s="713"/>
      <c r="M816" s="710"/>
      <c r="N816" s="710"/>
      <c r="O816" s="724"/>
      <c r="P816" s="702"/>
      <c r="Q816" s="710"/>
      <c r="R816" s="702"/>
      <c r="S816" s="702"/>
      <c r="T816" s="702"/>
      <c r="U816" s="702"/>
      <c r="V816" s="702"/>
      <c r="W816" s="702"/>
      <c r="X816" s="702"/>
      <c r="Y816" s="702"/>
      <c r="Z816" s="702"/>
      <c r="AA816" s="473" t="s">
        <v>2227</v>
      </c>
      <c r="AB816" s="474" t="s">
        <v>539</v>
      </c>
      <c r="AC816" s="474" t="s">
        <v>539</v>
      </c>
      <c r="AD816" s="473" t="s">
        <v>2228</v>
      </c>
      <c r="AE816" s="474" t="s">
        <v>539</v>
      </c>
      <c r="AF816" s="474" t="s">
        <v>539</v>
      </c>
      <c r="AG816" s="702"/>
      <c r="AH816" s="729"/>
      <c r="AI816" s="698"/>
      <c r="AJ816" s="700"/>
    </row>
    <row r="817" spans="2:36" ht="24" hidden="1" customHeight="1">
      <c r="B817" s="701">
        <v>662</v>
      </c>
      <c r="C817" s="699" t="s">
        <v>534</v>
      </c>
      <c r="D817" s="699"/>
      <c r="E817" s="699" t="s">
        <v>535</v>
      </c>
      <c r="F817" s="699"/>
      <c r="G817" s="699" t="s">
        <v>55</v>
      </c>
      <c r="H817" s="699" t="s">
        <v>2229</v>
      </c>
      <c r="I817" s="712">
        <v>100000</v>
      </c>
      <c r="J817" s="709" t="s">
        <v>537</v>
      </c>
      <c r="K817" s="709" t="s">
        <v>537</v>
      </c>
      <c r="L817" s="712">
        <v>85040</v>
      </c>
      <c r="M817" s="709" t="s">
        <v>537</v>
      </c>
      <c r="N817" s="709" t="s">
        <v>537</v>
      </c>
      <c r="O817" s="723">
        <v>14960</v>
      </c>
      <c r="P817" s="701" t="s">
        <v>537</v>
      </c>
      <c r="Q817" s="709">
        <v>0</v>
      </c>
      <c r="R817" s="707">
        <v>241459</v>
      </c>
      <c r="S817" s="701" t="s">
        <v>1248</v>
      </c>
      <c r="T817" s="701">
        <v>120</v>
      </c>
      <c r="U817" s="701">
        <v>30</v>
      </c>
      <c r="V817" s="701">
        <v>0</v>
      </c>
      <c r="W817" s="701">
        <v>102</v>
      </c>
      <c r="X817" s="701">
        <v>32</v>
      </c>
      <c r="Y817" s="701">
        <v>0</v>
      </c>
      <c r="Z817" s="701">
        <v>93</v>
      </c>
      <c r="AA817" s="458" t="s">
        <v>547</v>
      </c>
      <c r="AB817" s="459" t="s">
        <v>539</v>
      </c>
      <c r="AC817" s="459" t="s">
        <v>539</v>
      </c>
      <c r="AD817" s="458" t="s">
        <v>733</v>
      </c>
      <c r="AE817" s="459">
        <v>1</v>
      </c>
      <c r="AF817" s="459">
        <v>1</v>
      </c>
      <c r="AG817" s="701" t="s">
        <v>375</v>
      </c>
      <c r="AH817" s="728"/>
      <c r="AI817" s="697">
        <v>819583057</v>
      </c>
      <c r="AJ817" s="699"/>
    </row>
    <row r="818" spans="2:36" ht="24" hidden="1" customHeight="1">
      <c r="B818" s="702"/>
      <c r="C818" s="700"/>
      <c r="D818" s="700"/>
      <c r="E818" s="700"/>
      <c r="F818" s="700"/>
      <c r="G818" s="700"/>
      <c r="H818" s="700"/>
      <c r="I818" s="713"/>
      <c r="J818" s="710"/>
      <c r="K818" s="710"/>
      <c r="L818" s="713"/>
      <c r="M818" s="710"/>
      <c r="N818" s="710"/>
      <c r="O818" s="724"/>
      <c r="P818" s="702"/>
      <c r="Q818" s="710"/>
      <c r="R818" s="708"/>
      <c r="S818" s="702"/>
      <c r="T818" s="702"/>
      <c r="U818" s="702"/>
      <c r="V818" s="702"/>
      <c r="W818" s="702"/>
      <c r="X818" s="702"/>
      <c r="Y818" s="702"/>
      <c r="Z818" s="702"/>
      <c r="AA818" s="473" t="s">
        <v>2230</v>
      </c>
      <c r="AB818" s="474" t="s">
        <v>539</v>
      </c>
      <c r="AC818" s="474" t="s">
        <v>539</v>
      </c>
      <c r="AD818" s="473" t="s">
        <v>2231</v>
      </c>
      <c r="AE818" s="474" t="s">
        <v>539</v>
      </c>
      <c r="AF818" s="474" t="s">
        <v>539</v>
      </c>
      <c r="AG818" s="702"/>
      <c r="AH818" s="729"/>
      <c r="AI818" s="698"/>
      <c r="AJ818" s="700"/>
    </row>
    <row r="819" spans="2:36" ht="24" hidden="1" customHeight="1">
      <c r="B819" s="701">
        <v>663</v>
      </c>
      <c r="C819" s="699" t="s">
        <v>534</v>
      </c>
      <c r="D819" s="699"/>
      <c r="E819" s="699" t="s">
        <v>535</v>
      </c>
      <c r="F819" s="699"/>
      <c r="G819" s="699" t="s">
        <v>55</v>
      </c>
      <c r="H819" s="699" t="s">
        <v>2232</v>
      </c>
      <c r="I819" s="712">
        <v>18000</v>
      </c>
      <c r="J819" s="709" t="s">
        <v>537</v>
      </c>
      <c r="K819" s="709" t="s">
        <v>537</v>
      </c>
      <c r="L819" s="712">
        <v>18000</v>
      </c>
      <c r="M819" s="709" t="s">
        <v>537</v>
      </c>
      <c r="N819" s="709" t="s">
        <v>537</v>
      </c>
      <c r="O819" s="701" t="s">
        <v>537</v>
      </c>
      <c r="P819" s="701" t="s">
        <v>537</v>
      </c>
      <c r="Q819" s="709">
        <v>0</v>
      </c>
      <c r="R819" s="707">
        <v>241609</v>
      </c>
      <c r="S819" s="701" t="s">
        <v>2233</v>
      </c>
      <c r="T819" s="701">
        <v>20</v>
      </c>
      <c r="U819" s="701">
        <v>0</v>
      </c>
      <c r="V819" s="701">
        <v>0</v>
      </c>
      <c r="W819" s="701">
        <v>20</v>
      </c>
      <c r="X819" s="701">
        <v>0</v>
      </c>
      <c r="Y819" s="701">
        <v>0</v>
      </c>
      <c r="Z819" s="701">
        <v>95</v>
      </c>
      <c r="AA819" s="458" t="s">
        <v>2234</v>
      </c>
      <c r="AB819" s="459" t="s">
        <v>539</v>
      </c>
      <c r="AC819" s="459" t="s">
        <v>539</v>
      </c>
      <c r="AD819" s="458" t="s">
        <v>548</v>
      </c>
      <c r="AE819" s="459">
        <v>80</v>
      </c>
      <c r="AF819" s="459">
        <v>80</v>
      </c>
      <c r="AG819" s="701" t="s">
        <v>375</v>
      </c>
      <c r="AH819" s="728"/>
      <c r="AI819" s="697">
        <v>816775908</v>
      </c>
      <c r="AJ819" s="699"/>
    </row>
    <row r="820" spans="2:36" ht="24" hidden="1" customHeight="1">
      <c r="B820" s="702"/>
      <c r="C820" s="700"/>
      <c r="D820" s="700"/>
      <c r="E820" s="700"/>
      <c r="F820" s="700"/>
      <c r="G820" s="700"/>
      <c r="H820" s="700"/>
      <c r="I820" s="713"/>
      <c r="J820" s="710"/>
      <c r="K820" s="710"/>
      <c r="L820" s="713"/>
      <c r="M820" s="710"/>
      <c r="N820" s="710"/>
      <c r="O820" s="702"/>
      <c r="P820" s="702"/>
      <c r="Q820" s="710"/>
      <c r="R820" s="708"/>
      <c r="S820" s="702"/>
      <c r="T820" s="702"/>
      <c r="U820" s="702"/>
      <c r="V820" s="702"/>
      <c r="W820" s="702"/>
      <c r="X820" s="702"/>
      <c r="Y820" s="702"/>
      <c r="Z820" s="702"/>
      <c r="AA820" s="473" t="s">
        <v>2235</v>
      </c>
      <c r="AB820" s="474" t="s">
        <v>539</v>
      </c>
      <c r="AC820" s="474" t="s">
        <v>539</v>
      </c>
      <c r="AD820" s="473" t="s">
        <v>2236</v>
      </c>
      <c r="AE820" s="474" t="s">
        <v>539</v>
      </c>
      <c r="AF820" s="474" t="s">
        <v>539</v>
      </c>
      <c r="AG820" s="702"/>
      <c r="AH820" s="729"/>
      <c r="AI820" s="698"/>
      <c r="AJ820" s="700"/>
    </row>
    <row r="821" spans="2:36" ht="24" hidden="1" customHeight="1">
      <c r="B821" s="701">
        <v>664</v>
      </c>
      <c r="C821" s="699" t="s">
        <v>534</v>
      </c>
      <c r="D821" s="699"/>
      <c r="E821" s="699" t="s">
        <v>535</v>
      </c>
      <c r="F821" s="699"/>
      <c r="G821" s="699" t="s">
        <v>55</v>
      </c>
      <c r="H821" s="699" t="s">
        <v>2237</v>
      </c>
      <c r="I821" s="712">
        <v>18000</v>
      </c>
      <c r="J821" s="709" t="s">
        <v>537</v>
      </c>
      <c r="K821" s="709" t="s">
        <v>537</v>
      </c>
      <c r="L821" s="712">
        <v>17830</v>
      </c>
      <c r="M821" s="709" t="s">
        <v>537</v>
      </c>
      <c r="N821" s="709" t="s">
        <v>537</v>
      </c>
      <c r="O821" s="701" t="s">
        <v>537</v>
      </c>
      <c r="P821" s="701" t="s">
        <v>537</v>
      </c>
      <c r="Q821" s="709">
        <v>170</v>
      </c>
      <c r="R821" s="707">
        <v>241459</v>
      </c>
      <c r="S821" s="701" t="s">
        <v>2238</v>
      </c>
      <c r="T821" s="701">
        <v>56</v>
      </c>
      <c r="U821" s="701">
        <v>0</v>
      </c>
      <c r="V821" s="701">
        <v>0</v>
      </c>
      <c r="W821" s="701">
        <v>56</v>
      </c>
      <c r="X821" s="701">
        <v>0</v>
      </c>
      <c r="Y821" s="701">
        <v>0</v>
      </c>
      <c r="Z821" s="701">
        <v>94.6</v>
      </c>
      <c r="AA821" s="458" t="s">
        <v>2234</v>
      </c>
      <c r="AB821" s="459" t="s">
        <v>539</v>
      </c>
      <c r="AC821" s="459" t="s">
        <v>539</v>
      </c>
      <c r="AD821" s="458" t="s">
        <v>548</v>
      </c>
      <c r="AE821" s="459">
        <v>80</v>
      </c>
      <c r="AF821" s="459">
        <v>80</v>
      </c>
      <c r="AG821" s="701" t="s">
        <v>375</v>
      </c>
      <c r="AH821" s="728"/>
      <c r="AI821" s="697">
        <v>899086454</v>
      </c>
      <c r="AJ821" s="699"/>
    </row>
    <row r="822" spans="2:36" ht="24" hidden="1" customHeight="1">
      <c r="B822" s="702"/>
      <c r="C822" s="700"/>
      <c r="D822" s="700"/>
      <c r="E822" s="700"/>
      <c r="F822" s="700"/>
      <c r="G822" s="700"/>
      <c r="H822" s="700"/>
      <c r="I822" s="713"/>
      <c r="J822" s="710"/>
      <c r="K822" s="710"/>
      <c r="L822" s="713"/>
      <c r="M822" s="710"/>
      <c r="N822" s="710"/>
      <c r="O822" s="702"/>
      <c r="P822" s="702"/>
      <c r="Q822" s="710"/>
      <c r="R822" s="708"/>
      <c r="S822" s="702"/>
      <c r="T822" s="702"/>
      <c r="U822" s="702"/>
      <c r="V822" s="702"/>
      <c r="W822" s="702"/>
      <c r="X822" s="702"/>
      <c r="Y822" s="702"/>
      <c r="Z822" s="702"/>
      <c r="AA822" s="473" t="s">
        <v>2235</v>
      </c>
      <c r="AB822" s="474">
        <v>80</v>
      </c>
      <c r="AC822" s="474">
        <v>80</v>
      </c>
      <c r="AD822" s="473" t="s">
        <v>2236</v>
      </c>
      <c r="AE822" s="474" t="s">
        <v>539</v>
      </c>
      <c r="AF822" s="474" t="s">
        <v>539</v>
      </c>
      <c r="AG822" s="702"/>
      <c r="AH822" s="729"/>
      <c r="AI822" s="698"/>
      <c r="AJ822" s="700"/>
    </row>
    <row r="823" spans="2:36" ht="24" hidden="1" customHeight="1">
      <c r="B823" s="701">
        <v>665</v>
      </c>
      <c r="C823" s="699" t="s">
        <v>534</v>
      </c>
      <c r="D823" s="699"/>
      <c r="E823" s="699" t="s">
        <v>535</v>
      </c>
      <c r="F823" s="699"/>
      <c r="G823" s="699" t="s">
        <v>55</v>
      </c>
      <c r="H823" s="699" t="s">
        <v>2239</v>
      </c>
      <c r="I823" s="712">
        <v>18000</v>
      </c>
      <c r="J823" s="709" t="s">
        <v>537</v>
      </c>
      <c r="K823" s="709" t="s">
        <v>537</v>
      </c>
      <c r="L823" s="712">
        <v>17930</v>
      </c>
      <c r="M823" s="709" t="s">
        <v>537</v>
      </c>
      <c r="N823" s="709" t="s">
        <v>537</v>
      </c>
      <c r="O823" s="701" t="s">
        <v>537</v>
      </c>
      <c r="P823" s="701" t="s">
        <v>537</v>
      </c>
      <c r="Q823" s="709">
        <v>70</v>
      </c>
      <c r="R823" s="701" t="s">
        <v>818</v>
      </c>
      <c r="S823" s="701" t="s">
        <v>2240</v>
      </c>
      <c r="T823" s="701">
        <v>26</v>
      </c>
      <c r="U823" s="701">
        <v>0</v>
      </c>
      <c r="V823" s="701">
        <v>0</v>
      </c>
      <c r="W823" s="701">
        <v>26</v>
      </c>
      <c r="X823" s="701">
        <v>0</v>
      </c>
      <c r="Y823" s="701">
        <v>0</v>
      </c>
      <c r="Z823" s="701">
        <v>89.87</v>
      </c>
      <c r="AA823" s="458" t="s">
        <v>2234</v>
      </c>
      <c r="AB823" s="459" t="s">
        <v>539</v>
      </c>
      <c r="AC823" s="459" t="s">
        <v>539</v>
      </c>
      <c r="AD823" s="458" t="s">
        <v>548</v>
      </c>
      <c r="AE823" s="459">
        <v>80</v>
      </c>
      <c r="AF823" s="459">
        <v>80</v>
      </c>
      <c r="AG823" s="701" t="s">
        <v>375</v>
      </c>
      <c r="AH823" s="728"/>
      <c r="AI823" s="697">
        <v>814789381</v>
      </c>
      <c r="AJ823" s="699"/>
    </row>
    <row r="824" spans="2:36" ht="24" hidden="1" customHeight="1">
      <c r="B824" s="702"/>
      <c r="C824" s="700"/>
      <c r="D824" s="700"/>
      <c r="E824" s="700"/>
      <c r="F824" s="700"/>
      <c r="G824" s="700"/>
      <c r="H824" s="700"/>
      <c r="I824" s="713"/>
      <c r="J824" s="710"/>
      <c r="K824" s="710"/>
      <c r="L824" s="713"/>
      <c r="M824" s="710"/>
      <c r="N824" s="710"/>
      <c r="O824" s="702"/>
      <c r="P824" s="702"/>
      <c r="Q824" s="710"/>
      <c r="R824" s="702"/>
      <c r="S824" s="702"/>
      <c r="T824" s="702"/>
      <c r="U824" s="702"/>
      <c r="V824" s="702"/>
      <c r="W824" s="702"/>
      <c r="X824" s="702"/>
      <c r="Y824" s="702"/>
      <c r="Z824" s="702"/>
      <c r="AA824" s="473" t="s">
        <v>2235</v>
      </c>
      <c r="AB824" s="474">
        <v>80</v>
      </c>
      <c r="AC824" s="474">
        <v>88</v>
      </c>
      <c r="AD824" s="473" t="s">
        <v>2236</v>
      </c>
      <c r="AE824" s="474" t="s">
        <v>539</v>
      </c>
      <c r="AF824" s="474" t="s">
        <v>539</v>
      </c>
      <c r="AG824" s="702"/>
      <c r="AH824" s="729"/>
      <c r="AI824" s="698"/>
      <c r="AJ824" s="700"/>
    </row>
    <row r="825" spans="2:36" ht="24" hidden="1" customHeight="1">
      <c r="B825" s="701">
        <v>666</v>
      </c>
      <c r="C825" s="699" t="s">
        <v>534</v>
      </c>
      <c r="D825" s="699"/>
      <c r="E825" s="699" t="s">
        <v>535</v>
      </c>
      <c r="F825" s="699"/>
      <c r="G825" s="699" t="s">
        <v>55</v>
      </c>
      <c r="H825" s="699" t="s">
        <v>2241</v>
      </c>
      <c r="I825" s="712">
        <v>78000</v>
      </c>
      <c r="J825" s="709" t="s">
        <v>537</v>
      </c>
      <c r="K825" s="709" t="s">
        <v>537</v>
      </c>
      <c r="L825" s="712">
        <v>78000</v>
      </c>
      <c r="M825" s="709" t="s">
        <v>537</v>
      </c>
      <c r="N825" s="709" t="s">
        <v>537</v>
      </c>
      <c r="O825" s="701" t="s">
        <v>537</v>
      </c>
      <c r="P825" s="701" t="s">
        <v>537</v>
      </c>
      <c r="Q825" s="709">
        <v>0</v>
      </c>
      <c r="R825" s="707">
        <v>241487</v>
      </c>
      <c r="S825" s="701" t="s">
        <v>2242</v>
      </c>
      <c r="T825" s="701">
        <v>10</v>
      </c>
      <c r="U825" s="701">
        <v>0</v>
      </c>
      <c r="V825" s="701">
        <v>0</v>
      </c>
      <c r="W825" s="701">
        <v>14</v>
      </c>
      <c r="X825" s="701">
        <v>1</v>
      </c>
      <c r="Y825" s="701">
        <v>0</v>
      </c>
      <c r="Z825" s="701">
        <v>90</v>
      </c>
      <c r="AA825" s="458" t="s">
        <v>2234</v>
      </c>
      <c r="AB825" s="459" t="s">
        <v>539</v>
      </c>
      <c r="AC825" s="459" t="s">
        <v>539</v>
      </c>
      <c r="AD825" s="458" t="s">
        <v>548</v>
      </c>
      <c r="AE825" s="459">
        <v>80</v>
      </c>
      <c r="AF825" s="459">
        <v>80</v>
      </c>
      <c r="AG825" s="701" t="s">
        <v>375</v>
      </c>
      <c r="AH825" s="728"/>
      <c r="AI825" s="697">
        <v>950731555</v>
      </c>
      <c r="AJ825" s="699"/>
    </row>
    <row r="826" spans="2:36" ht="24" hidden="1" customHeight="1">
      <c r="B826" s="702"/>
      <c r="C826" s="700"/>
      <c r="D826" s="700"/>
      <c r="E826" s="700"/>
      <c r="F826" s="700"/>
      <c r="G826" s="700"/>
      <c r="H826" s="700"/>
      <c r="I826" s="713"/>
      <c r="J826" s="710"/>
      <c r="K826" s="710"/>
      <c r="L826" s="713"/>
      <c r="M826" s="710"/>
      <c r="N826" s="710"/>
      <c r="O826" s="702"/>
      <c r="P826" s="702"/>
      <c r="Q826" s="710"/>
      <c r="R826" s="708"/>
      <c r="S826" s="702"/>
      <c r="T826" s="702"/>
      <c r="U826" s="702"/>
      <c r="V826" s="702"/>
      <c r="W826" s="702"/>
      <c r="X826" s="702"/>
      <c r="Y826" s="702"/>
      <c r="Z826" s="702"/>
      <c r="AA826" s="473" t="s">
        <v>2235</v>
      </c>
      <c r="AB826" s="474">
        <v>80</v>
      </c>
      <c r="AC826" s="474">
        <v>80</v>
      </c>
      <c r="AD826" s="473" t="s">
        <v>2236</v>
      </c>
      <c r="AE826" s="474" t="s">
        <v>539</v>
      </c>
      <c r="AF826" s="474" t="s">
        <v>539</v>
      </c>
      <c r="AG826" s="702"/>
      <c r="AH826" s="729"/>
      <c r="AI826" s="698"/>
      <c r="AJ826" s="700"/>
    </row>
    <row r="827" spans="2:36" ht="24" hidden="1" customHeight="1">
      <c r="B827" s="701">
        <v>667</v>
      </c>
      <c r="C827" s="699" t="s">
        <v>534</v>
      </c>
      <c r="D827" s="699"/>
      <c r="E827" s="699" t="s">
        <v>535</v>
      </c>
      <c r="F827" s="699"/>
      <c r="G827" s="699" t="s">
        <v>55</v>
      </c>
      <c r="H827" s="699" t="s">
        <v>2243</v>
      </c>
      <c r="I827" s="712">
        <v>18000</v>
      </c>
      <c r="J827" s="709" t="s">
        <v>537</v>
      </c>
      <c r="K827" s="709" t="s">
        <v>537</v>
      </c>
      <c r="L827" s="712">
        <v>17920</v>
      </c>
      <c r="M827" s="709" t="s">
        <v>537</v>
      </c>
      <c r="N827" s="709" t="s">
        <v>537</v>
      </c>
      <c r="O827" s="701" t="s">
        <v>537</v>
      </c>
      <c r="P827" s="701" t="s">
        <v>537</v>
      </c>
      <c r="Q827" s="709">
        <v>80</v>
      </c>
      <c r="R827" s="701" t="s">
        <v>646</v>
      </c>
      <c r="S827" s="701" t="s">
        <v>2244</v>
      </c>
      <c r="T827" s="701">
        <v>16</v>
      </c>
      <c r="U827" s="701">
        <v>0</v>
      </c>
      <c r="V827" s="701">
        <v>0</v>
      </c>
      <c r="W827" s="701">
        <v>17</v>
      </c>
      <c r="X827" s="701">
        <v>0</v>
      </c>
      <c r="Y827" s="701">
        <v>0</v>
      </c>
      <c r="Z827" s="701">
        <v>92.5</v>
      </c>
      <c r="AA827" s="458" t="s">
        <v>2234</v>
      </c>
      <c r="AB827" s="459" t="s">
        <v>539</v>
      </c>
      <c r="AC827" s="459" t="s">
        <v>539</v>
      </c>
      <c r="AD827" s="458" t="s">
        <v>548</v>
      </c>
      <c r="AE827" s="459">
        <v>80</v>
      </c>
      <c r="AF827" s="459">
        <v>80</v>
      </c>
      <c r="AG827" s="701" t="s">
        <v>375</v>
      </c>
      <c r="AH827" s="728"/>
      <c r="AI827" s="697">
        <v>950731555</v>
      </c>
      <c r="AJ827" s="699"/>
    </row>
    <row r="828" spans="2:36" ht="24" hidden="1" customHeight="1">
      <c r="B828" s="702"/>
      <c r="C828" s="700"/>
      <c r="D828" s="700"/>
      <c r="E828" s="700"/>
      <c r="F828" s="700"/>
      <c r="G828" s="700"/>
      <c r="H828" s="700"/>
      <c r="I828" s="713"/>
      <c r="J828" s="710"/>
      <c r="K828" s="710"/>
      <c r="L828" s="713"/>
      <c r="M828" s="710"/>
      <c r="N828" s="710"/>
      <c r="O828" s="702"/>
      <c r="P828" s="702"/>
      <c r="Q828" s="710"/>
      <c r="R828" s="702"/>
      <c r="S828" s="702"/>
      <c r="T828" s="702"/>
      <c r="U828" s="702"/>
      <c r="V828" s="702"/>
      <c r="W828" s="702"/>
      <c r="X828" s="702"/>
      <c r="Y828" s="702"/>
      <c r="Z828" s="702"/>
      <c r="AA828" s="473" t="s">
        <v>2235</v>
      </c>
      <c r="AB828" s="474">
        <v>80</v>
      </c>
      <c r="AC828" s="474">
        <v>80</v>
      </c>
      <c r="AD828" s="473" t="s">
        <v>2236</v>
      </c>
      <c r="AE828" s="474" t="s">
        <v>539</v>
      </c>
      <c r="AF828" s="474" t="s">
        <v>539</v>
      </c>
      <c r="AG828" s="702"/>
      <c r="AH828" s="729"/>
      <c r="AI828" s="698"/>
      <c r="AJ828" s="700"/>
    </row>
    <row r="829" spans="2:36" ht="24" hidden="1" customHeight="1">
      <c r="B829" s="701">
        <v>668</v>
      </c>
      <c r="C829" s="699" t="s">
        <v>534</v>
      </c>
      <c r="D829" s="699"/>
      <c r="E829" s="699" t="s">
        <v>535</v>
      </c>
      <c r="F829" s="699"/>
      <c r="G829" s="699" t="s">
        <v>55</v>
      </c>
      <c r="H829" s="699" t="s">
        <v>2245</v>
      </c>
      <c r="I829" s="712">
        <v>150000</v>
      </c>
      <c r="J829" s="709" t="s">
        <v>537</v>
      </c>
      <c r="K829" s="709" t="s">
        <v>537</v>
      </c>
      <c r="L829" s="712">
        <v>148399</v>
      </c>
      <c r="M829" s="709" t="s">
        <v>537</v>
      </c>
      <c r="N829" s="709" t="s">
        <v>537</v>
      </c>
      <c r="O829" s="701" t="s">
        <v>537</v>
      </c>
      <c r="P829" s="701" t="s">
        <v>537</v>
      </c>
      <c r="Q829" s="705">
        <v>1601</v>
      </c>
      <c r="R829" s="707">
        <v>241579</v>
      </c>
      <c r="S829" s="701" t="s">
        <v>2246</v>
      </c>
      <c r="T829" s="701">
        <v>14</v>
      </c>
      <c r="U829" s="701">
        <v>0</v>
      </c>
      <c r="V829" s="701">
        <v>6</v>
      </c>
      <c r="W829" s="701">
        <v>10</v>
      </c>
      <c r="X829" s="701">
        <v>0</v>
      </c>
      <c r="Y829" s="701">
        <v>12</v>
      </c>
      <c r="Z829" s="701">
        <v>90</v>
      </c>
      <c r="AA829" s="458" t="s">
        <v>2234</v>
      </c>
      <c r="AB829" s="459" t="s">
        <v>539</v>
      </c>
      <c r="AC829" s="459" t="s">
        <v>539</v>
      </c>
      <c r="AD829" s="458" t="s">
        <v>548</v>
      </c>
      <c r="AE829" s="459">
        <v>80</v>
      </c>
      <c r="AF829" s="459">
        <v>80</v>
      </c>
      <c r="AG829" s="701" t="s">
        <v>375</v>
      </c>
      <c r="AH829" s="728"/>
      <c r="AI829" s="697">
        <v>817544949</v>
      </c>
      <c r="AJ829" s="699"/>
    </row>
    <row r="830" spans="2:36" ht="24" hidden="1" customHeight="1">
      <c r="B830" s="702"/>
      <c r="C830" s="700"/>
      <c r="D830" s="700"/>
      <c r="E830" s="700"/>
      <c r="F830" s="700"/>
      <c r="G830" s="700"/>
      <c r="H830" s="700"/>
      <c r="I830" s="713"/>
      <c r="J830" s="710"/>
      <c r="K830" s="710"/>
      <c r="L830" s="713"/>
      <c r="M830" s="710"/>
      <c r="N830" s="710"/>
      <c r="O830" s="702"/>
      <c r="P830" s="702"/>
      <c r="Q830" s="706"/>
      <c r="R830" s="708"/>
      <c r="S830" s="702"/>
      <c r="T830" s="702"/>
      <c r="U830" s="702"/>
      <c r="V830" s="702"/>
      <c r="W830" s="702"/>
      <c r="X830" s="702"/>
      <c r="Y830" s="702"/>
      <c r="Z830" s="702"/>
      <c r="AA830" s="473" t="s">
        <v>2235</v>
      </c>
      <c r="AB830" s="474">
        <v>80</v>
      </c>
      <c r="AC830" s="474">
        <v>80</v>
      </c>
      <c r="AD830" s="473" t="s">
        <v>2236</v>
      </c>
      <c r="AE830" s="474" t="s">
        <v>539</v>
      </c>
      <c r="AF830" s="474" t="s">
        <v>539</v>
      </c>
      <c r="AG830" s="702"/>
      <c r="AH830" s="729"/>
      <c r="AI830" s="698"/>
      <c r="AJ830" s="700"/>
    </row>
    <row r="831" spans="2:36" ht="24" hidden="1" customHeight="1">
      <c r="B831" s="463">
        <v>669</v>
      </c>
      <c r="C831" s="464" t="s">
        <v>534</v>
      </c>
      <c r="D831" s="464"/>
      <c r="E831" s="464" t="s">
        <v>577</v>
      </c>
      <c r="F831" s="464"/>
      <c r="G831" s="464" t="s">
        <v>55</v>
      </c>
      <c r="H831" s="464" t="s">
        <v>2247</v>
      </c>
      <c r="I831" s="465" t="s">
        <v>537</v>
      </c>
      <c r="J831" s="465" t="s">
        <v>537</v>
      </c>
      <c r="K831" s="466">
        <v>60000</v>
      </c>
      <c r="L831" s="465" t="s">
        <v>537</v>
      </c>
      <c r="M831" s="465" t="s">
        <v>537</v>
      </c>
      <c r="N831" s="466">
        <v>60000</v>
      </c>
      <c r="O831" s="463" t="s">
        <v>537</v>
      </c>
      <c r="P831" s="463" t="s">
        <v>537</v>
      </c>
      <c r="Q831" s="465">
        <v>0</v>
      </c>
      <c r="R831" s="470">
        <v>241428</v>
      </c>
      <c r="S831" s="463" t="s">
        <v>2112</v>
      </c>
      <c r="T831" s="463">
        <v>0</v>
      </c>
      <c r="U831" s="463">
        <v>0</v>
      </c>
      <c r="V831" s="463">
        <v>0</v>
      </c>
      <c r="W831" s="463">
        <v>0</v>
      </c>
      <c r="X831" s="463">
        <v>0</v>
      </c>
      <c r="Y831" s="463">
        <v>0</v>
      </c>
      <c r="Z831" s="463">
        <v>90</v>
      </c>
      <c r="AA831" s="472" t="s">
        <v>2248</v>
      </c>
      <c r="AB831" s="463" t="s">
        <v>539</v>
      </c>
      <c r="AC831" s="463" t="s">
        <v>539</v>
      </c>
      <c r="AD831" s="472" t="s">
        <v>2249</v>
      </c>
      <c r="AE831" s="463" t="s">
        <v>539</v>
      </c>
      <c r="AF831" s="463" t="s">
        <v>539</v>
      </c>
      <c r="AG831" s="463" t="s">
        <v>375</v>
      </c>
      <c r="AH831" s="476"/>
      <c r="AI831" s="472" t="s">
        <v>2250</v>
      </c>
      <c r="AJ831" s="472" t="s">
        <v>543</v>
      </c>
    </row>
    <row r="832" spans="2:36" ht="24" hidden="1" customHeight="1">
      <c r="B832" s="701">
        <v>670</v>
      </c>
      <c r="C832" s="699" t="s">
        <v>534</v>
      </c>
      <c r="D832" s="699"/>
      <c r="E832" s="699" t="s">
        <v>577</v>
      </c>
      <c r="F832" s="699"/>
      <c r="G832" s="699" t="s">
        <v>55</v>
      </c>
      <c r="H832" s="699" t="s">
        <v>2251</v>
      </c>
      <c r="I832" s="709" t="s">
        <v>537</v>
      </c>
      <c r="J832" s="709" t="s">
        <v>537</v>
      </c>
      <c r="K832" s="712">
        <v>40000</v>
      </c>
      <c r="L832" s="709" t="s">
        <v>537</v>
      </c>
      <c r="M832" s="709" t="s">
        <v>537</v>
      </c>
      <c r="N832" s="712">
        <v>40000</v>
      </c>
      <c r="O832" s="701" t="s">
        <v>537</v>
      </c>
      <c r="P832" s="701" t="s">
        <v>537</v>
      </c>
      <c r="Q832" s="709">
        <v>0</v>
      </c>
      <c r="R832" s="707">
        <v>241428</v>
      </c>
      <c r="S832" s="701" t="s">
        <v>2252</v>
      </c>
      <c r="T832" s="701">
        <v>0</v>
      </c>
      <c r="U832" s="701">
        <v>0</v>
      </c>
      <c r="V832" s="701">
        <v>0</v>
      </c>
      <c r="W832" s="701">
        <v>0</v>
      </c>
      <c r="X832" s="701">
        <v>0</v>
      </c>
      <c r="Y832" s="701">
        <v>0</v>
      </c>
      <c r="Z832" s="701">
        <v>89</v>
      </c>
      <c r="AA832" s="697" t="s">
        <v>2253</v>
      </c>
      <c r="AB832" s="701" t="s">
        <v>539</v>
      </c>
      <c r="AC832" s="701" t="s">
        <v>539</v>
      </c>
      <c r="AD832" s="458" t="s">
        <v>2254</v>
      </c>
      <c r="AE832" s="459">
        <v>1</v>
      </c>
      <c r="AF832" s="459">
        <v>1</v>
      </c>
      <c r="AG832" s="701" t="s">
        <v>375</v>
      </c>
      <c r="AH832" s="728"/>
      <c r="AI832" s="697" t="s">
        <v>2255</v>
      </c>
      <c r="AJ832" s="697" t="s">
        <v>543</v>
      </c>
    </row>
    <row r="833" spans="1:36" ht="24" hidden="1" customHeight="1">
      <c r="B833" s="702"/>
      <c r="C833" s="700"/>
      <c r="D833" s="700"/>
      <c r="E833" s="700"/>
      <c r="F833" s="700"/>
      <c r="G833" s="700"/>
      <c r="H833" s="700"/>
      <c r="I833" s="710"/>
      <c r="J833" s="710"/>
      <c r="K833" s="713"/>
      <c r="L833" s="710"/>
      <c r="M833" s="710"/>
      <c r="N833" s="713"/>
      <c r="O833" s="702"/>
      <c r="P833" s="702"/>
      <c r="Q833" s="710"/>
      <c r="R833" s="708"/>
      <c r="S833" s="702"/>
      <c r="T833" s="702"/>
      <c r="U833" s="702"/>
      <c r="V833" s="702"/>
      <c r="W833" s="702"/>
      <c r="X833" s="702"/>
      <c r="Y833" s="702"/>
      <c r="Z833" s="702"/>
      <c r="AA833" s="698"/>
      <c r="AB833" s="702"/>
      <c r="AC833" s="702"/>
      <c r="AD833" s="473" t="s">
        <v>2256</v>
      </c>
      <c r="AE833" s="474">
        <v>1</v>
      </c>
      <c r="AF833" s="474">
        <v>1</v>
      </c>
      <c r="AG833" s="702"/>
      <c r="AH833" s="729"/>
      <c r="AI833" s="698"/>
      <c r="AJ833" s="698"/>
    </row>
    <row r="834" spans="1:36" ht="24" hidden="1" customHeight="1">
      <c r="B834" s="701">
        <v>671</v>
      </c>
      <c r="C834" s="699" t="s">
        <v>534</v>
      </c>
      <c r="D834" s="699"/>
      <c r="E834" s="699" t="s">
        <v>577</v>
      </c>
      <c r="F834" s="699"/>
      <c r="G834" s="699" t="s">
        <v>55</v>
      </c>
      <c r="H834" s="699" t="s">
        <v>2257</v>
      </c>
      <c r="I834" s="709" t="s">
        <v>537</v>
      </c>
      <c r="J834" s="709" t="s">
        <v>537</v>
      </c>
      <c r="K834" s="712">
        <v>40000</v>
      </c>
      <c r="L834" s="709" t="s">
        <v>537</v>
      </c>
      <c r="M834" s="709" t="s">
        <v>537</v>
      </c>
      <c r="N834" s="712">
        <v>40000</v>
      </c>
      <c r="O834" s="701" t="s">
        <v>537</v>
      </c>
      <c r="P834" s="701" t="s">
        <v>537</v>
      </c>
      <c r="Q834" s="709">
        <v>0</v>
      </c>
      <c r="R834" s="701" t="s">
        <v>771</v>
      </c>
      <c r="S834" s="701" t="s">
        <v>2258</v>
      </c>
      <c r="T834" s="701">
        <v>0</v>
      </c>
      <c r="U834" s="701">
        <v>0</v>
      </c>
      <c r="V834" s="701">
        <v>0</v>
      </c>
      <c r="W834" s="701">
        <v>0</v>
      </c>
      <c r="X834" s="701">
        <v>0</v>
      </c>
      <c r="Y834" s="701">
        <v>0</v>
      </c>
      <c r="Z834" s="701">
        <v>92</v>
      </c>
      <c r="AA834" s="697" t="s">
        <v>2259</v>
      </c>
      <c r="AB834" s="701" t="s">
        <v>539</v>
      </c>
      <c r="AC834" s="701" t="s">
        <v>539</v>
      </c>
      <c r="AD834" s="458" t="s">
        <v>2260</v>
      </c>
      <c r="AE834" s="459">
        <v>15</v>
      </c>
      <c r="AF834" s="459">
        <v>15</v>
      </c>
      <c r="AG834" s="701" t="s">
        <v>375</v>
      </c>
      <c r="AH834" s="728"/>
      <c r="AI834" s="697" t="s">
        <v>2261</v>
      </c>
      <c r="AJ834" s="697" t="s">
        <v>543</v>
      </c>
    </row>
    <row r="835" spans="1:36" ht="24" hidden="1" customHeight="1">
      <c r="B835" s="702"/>
      <c r="C835" s="700"/>
      <c r="D835" s="700"/>
      <c r="E835" s="700"/>
      <c r="F835" s="700"/>
      <c r="G835" s="700"/>
      <c r="H835" s="700"/>
      <c r="I835" s="710"/>
      <c r="J835" s="710"/>
      <c r="K835" s="713"/>
      <c r="L835" s="710"/>
      <c r="M835" s="710"/>
      <c r="N835" s="713"/>
      <c r="O835" s="702"/>
      <c r="P835" s="702"/>
      <c r="Q835" s="710"/>
      <c r="R835" s="702"/>
      <c r="S835" s="702"/>
      <c r="T835" s="702"/>
      <c r="U835" s="702"/>
      <c r="V835" s="702"/>
      <c r="W835" s="702"/>
      <c r="X835" s="702"/>
      <c r="Y835" s="702"/>
      <c r="Z835" s="702"/>
      <c r="AA835" s="698"/>
      <c r="AB835" s="702"/>
      <c r="AC835" s="702"/>
      <c r="AD835" s="473" t="s">
        <v>2262</v>
      </c>
      <c r="AE835" s="474" t="s">
        <v>539</v>
      </c>
      <c r="AF835" s="474" t="s">
        <v>539</v>
      </c>
      <c r="AG835" s="702"/>
      <c r="AH835" s="729"/>
      <c r="AI835" s="698"/>
      <c r="AJ835" s="698"/>
    </row>
    <row r="836" spans="1:36" ht="24" hidden="1" customHeight="1">
      <c r="B836" s="463">
        <v>672</v>
      </c>
      <c r="C836" s="464" t="s">
        <v>534</v>
      </c>
      <c r="D836" s="464"/>
      <c r="E836" s="464" t="s">
        <v>577</v>
      </c>
      <c r="F836" s="464"/>
      <c r="G836" s="464" t="s">
        <v>55</v>
      </c>
      <c r="H836" s="464" t="s">
        <v>2263</v>
      </c>
      <c r="I836" s="465" t="s">
        <v>537</v>
      </c>
      <c r="J836" s="465" t="s">
        <v>537</v>
      </c>
      <c r="K836" s="466">
        <v>40000</v>
      </c>
      <c r="L836" s="465" t="s">
        <v>537</v>
      </c>
      <c r="M836" s="465" t="s">
        <v>537</v>
      </c>
      <c r="N836" s="466">
        <v>39508</v>
      </c>
      <c r="O836" s="463" t="s">
        <v>537</v>
      </c>
      <c r="P836" s="463" t="s">
        <v>537</v>
      </c>
      <c r="Q836" s="465">
        <v>492</v>
      </c>
      <c r="R836" s="463" t="s">
        <v>2264</v>
      </c>
      <c r="S836" s="463" t="s">
        <v>2265</v>
      </c>
      <c r="T836" s="463">
        <v>0</v>
      </c>
      <c r="U836" s="463">
        <v>0</v>
      </c>
      <c r="V836" s="463">
        <v>0</v>
      </c>
      <c r="W836" s="463">
        <v>0</v>
      </c>
      <c r="X836" s="463">
        <v>0</v>
      </c>
      <c r="Y836" s="463">
        <v>0</v>
      </c>
      <c r="Z836" s="463">
        <v>90</v>
      </c>
      <c r="AA836" s="472" t="s">
        <v>2266</v>
      </c>
      <c r="AB836" s="463">
        <v>3</v>
      </c>
      <c r="AC836" s="463">
        <v>3</v>
      </c>
      <c r="AD836" s="472" t="s">
        <v>2267</v>
      </c>
      <c r="AE836" s="463" t="s">
        <v>539</v>
      </c>
      <c r="AF836" s="463" t="s">
        <v>539</v>
      </c>
      <c r="AG836" s="463" t="s">
        <v>375</v>
      </c>
      <c r="AH836" s="476"/>
      <c r="AI836" s="472">
        <v>814797319</v>
      </c>
      <c r="AJ836" s="472" t="s">
        <v>543</v>
      </c>
    </row>
    <row r="837" spans="1:36" ht="24" hidden="1" customHeight="1">
      <c r="B837" s="463">
        <v>673</v>
      </c>
      <c r="C837" s="464" t="s">
        <v>534</v>
      </c>
      <c r="D837" s="464"/>
      <c r="E837" s="464" t="s">
        <v>577</v>
      </c>
      <c r="F837" s="464"/>
      <c r="G837" s="464" t="s">
        <v>55</v>
      </c>
      <c r="H837" s="464" t="s">
        <v>2268</v>
      </c>
      <c r="I837" s="465" t="s">
        <v>537</v>
      </c>
      <c r="J837" s="465" t="s">
        <v>537</v>
      </c>
      <c r="K837" s="466">
        <v>50000</v>
      </c>
      <c r="L837" s="465" t="s">
        <v>537</v>
      </c>
      <c r="M837" s="465" t="s">
        <v>537</v>
      </c>
      <c r="N837" s="466">
        <v>49452.6</v>
      </c>
      <c r="O837" s="463" t="s">
        <v>537</v>
      </c>
      <c r="P837" s="463" t="s">
        <v>537</v>
      </c>
      <c r="Q837" s="465">
        <v>547</v>
      </c>
      <c r="R837" s="463" t="s">
        <v>877</v>
      </c>
      <c r="S837" s="463" t="s">
        <v>2269</v>
      </c>
      <c r="T837" s="463">
        <v>0</v>
      </c>
      <c r="U837" s="463">
        <v>0</v>
      </c>
      <c r="V837" s="463">
        <v>0</v>
      </c>
      <c r="W837" s="463">
        <v>0</v>
      </c>
      <c r="X837" s="463">
        <v>0</v>
      </c>
      <c r="Y837" s="463">
        <v>0</v>
      </c>
      <c r="Z837" s="463">
        <v>95</v>
      </c>
      <c r="AA837" s="472" t="s">
        <v>2270</v>
      </c>
      <c r="AB837" s="463" t="s">
        <v>539</v>
      </c>
      <c r="AC837" s="463" t="s">
        <v>539</v>
      </c>
      <c r="AD837" s="472" t="s">
        <v>2271</v>
      </c>
      <c r="AE837" s="463" t="s">
        <v>539</v>
      </c>
      <c r="AF837" s="463" t="s">
        <v>539</v>
      </c>
      <c r="AG837" s="463" t="s">
        <v>375</v>
      </c>
      <c r="AH837" s="476"/>
      <c r="AI837" s="472">
        <v>952596136</v>
      </c>
      <c r="AJ837" s="472" t="s">
        <v>543</v>
      </c>
    </row>
    <row r="838" spans="1:36" ht="24" hidden="1" customHeight="1">
      <c r="B838" s="463">
        <v>674</v>
      </c>
      <c r="C838" s="464" t="s">
        <v>534</v>
      </c>
      <c r="D838" s="464"/>
      <c r="E838" s="464" t="s">
        <v>577</v>
      </c>
      <c r="F838" s="464"/>
      <c r="G838" s="464" t="s">
        <v>55</v>
      </c>
      <c r="H838" s="464" t="s">
        <v>2272</v>
      </c>
      <c r="I838" s="465" t="s">
        <v>537</v>
      </c>
      <c r="J838" s="465" t="s">
        <v>537</v>
      </c>
      <c r="K838" s="466">
        <v>40000</v>
      </c>
      <c r="L838" s="465" t="s">
        <v>537</v>
      </c>
      <c r="M838" s="465" t="s">
        <v>537</v>
      </c>
      <c r="N838" s="466">
        <v>40000</v>
      </c>
      <c r="O838" s="463" t="s">
        <v>537</v>
      </c>
      <c r="P838" s="463" t="s">
        <v>537</v>
      </c>
      <c r="Q838" s="465">
        <v>0</v>
      </c>
      <c r="R838" s="463" t="s">
        <v>877</v>
      </c>
      <c r="S838" s="463" t="s">
        <v>2273</v>
      </c>
      <c r="T838" s="463">
        <v>0</v>
      </c>
      <c r="U838" s="463">
        <v>0</v>
      </c>
      <c r="V838" s="463">
        <v>0</v>
      </c>
      <c r="W838" s="463">
        <v>0</v>
      </c>
      <c r="X838" s="463">
        <v>0</v>
      </c>
      <c r="Y838" s="463">
        <v>0</v>
      </c>
      <c r="Z838" s="463">
        <v>90</v>
      </c>
      <c r="AA838" s="472" t="s">
        <v>2274</v>
      </c>
      <c r="AB838" s="463" t="s">
        <v>539</v>
      </c>
      <c r="AC838" s="463" t="s">
        <v>539</v>
      </c>
      <c r="AD838" s="472" t="s">
        <v>2275</v>
      </c>
      <c r="AE838" s="463">
        <v>300</v>
      </c>
      <c r="AF838" s="463">
        <v>300</v>
      </c>
      <c r="AG838" s="463" t="s">
        <v>375</v>
      </c>
      <c r="AH838" s="476"/>
      <c r="AI838" s="472">
        <v>897243043</v>
      </c>
      <c r="AJ838" s="472" t="s">
        <v>543</v>
      </c>
    </row>
    <row r="839" spans="1:36" ht="24" hidden="1" customHeight="1">
      <c r="B839" s="463">
        <v>675</v>
      </c>
      <c r="C839" s="464" t="s">
        <v>534</v>
      </c>
      <c r="D839" s="464"/>
      <c r="E839" s="464" t="s">
        <v>577</v>
      </c>
      <c r="F839" s="464"/>
      <c r="G839" s="464" t="s">
        <v>55</v>
      </c>
      <c r="H839" s="464" t="s">
        <v>2276</v>
      </c>
      <c r="I839" s="465" t="s">
        <v>537</v>
      </c>
      <c r="J839" s="465" t="s">
        <v>537</v>
      </c>
      <c r="K839" s="466">
        <v>50000</v>
      </c>
      <c r="L839" s="465" t="s">
        <v>537</v>
      </c>
      <c r="M839" s="465" t="s">
        <v>537</v>
      </c>
      <c r="N839" s="466">
        <v>50000</v>
      </c>
      <c r="O839" s="463" t="s">
        <v>537</v>
      </c>
      <c r="P839" s="463" t="s">
        <v>537</v>
      </c>
      <c r="Q839" s="465">
        <v>0</v>
      </c>
      <c r="R839" s="470">
        <v>241579</v>
      </c>
      <c r="S839" s="463" t="s">
        <v>2277</v>
      </c>
      <c r="T839" s="463">
        <v>0</v>
      </c>
      <c r="U839" s="463">
        <v>0</v>
      </c>
      <c r="V839" s="463">
        <v>0</v>
      </c>
      <c r="W839" s="463">
        <v>0</v>
      </c>
      <c r="X839" s="463">
        <v>0</v>
      </c>
      <c r="Y839" s="463">
        <v>0</v>
      </c>
      <c r="Z839" s="463">
        <v>95</v>
      </c>
      <c r="AA839" s="472" t="s">
        <v>2278</v>
      </c>
      <c r="AB839" s="463" t="s">
        <v>539</v>
      </c>
      <c r="AC839" s="463" t="s">
        <v>539</v>
      </c>
      <c r="AD839" s="472" t="s">
        <v>2279</v>
      </c>
      <c r="AE839" s="463" t="s">
        <v>539</v>
      </c>
      <c r="AF839" s="463" t="s">
        <v>539</v>
      </c>
      <c r="AG839" s="463" t="s">
        <v>375</v>
      </c>
      <c r="AH839" s="476"/>
      <c r="AI839" s="472">
        <v>812739694</v>
      </c>
      <c r="AJ839" s="472" t="s">
        <v>543</v>
      </c>
    </row>
    <row r="840" spans="1:36" ht="24" customHeight="1">
      <c r="A840" s="452">
        <v>121</v>
      </c>
      <c r="B840" s="701">
        <v>676</v>
      </c>
      <c r="C840" s="699" t="s">
        <v>337</v>
      </c>
      <c r="D840" s="699"/>
      <c r="E840" s="699" t="s">
        <v>545</v>
      </c>
      <c r="F840" s="699"/>
      <c r="G840" s="699" t="s">
        <v>55</v>
      </c>
      <c r="H840" s="699" t="s">
        <v>2280</v>
      </c>
      <c r="I840" s="712">
        <v>25000</v>
      </c>
      <c r="J840" s="709" t="s">
        <v>537</v>
      </c>
      <c r="K840" s="709" t="s">
        <v>537</v>
      </c>
      <c r="L840" s="712">
        <v>24759</v>
      </c>
      <c r="M840" s="709" t="s">
        <v>537</v>
      </c>
      <c r="N840" s="709" t="s">
        <v>537</v>
      </c>
      <c r="O840" s="701" t="s">
        <v>537</v>
      </c>
      <c r="P840" s="701" t="s">
        <v>537</v>
      </c>
      <c r="Q840" s="709">
        <v>241</v>
      </c>
      <c r="R840" s="707">
        <v>241428</v>
      </c>
      <c r="S840" s="701" t="s">
        <v>1495</v>
      </c>
      <c r="T840" s="701">
        <v>0</v>
      </c>
      <c r="U840" s="701">
        <v>0</v>
      </c>
      <c r="V840" s="701">
        <v>25</v>
      </c>
      <c r="W840" s="701">
        <v>0</v>
      </c>
      <c r="X840" s="701">
        <v>0</v>
      </c>
      <c r="Y840" s="701">
        <v>25</v>
      </c>
      <c r="Z840" s="701">
        <v>98</v>
      </c>
      <c r="AA840" s="458" t="s">
        <v>2281</v>
      </c>
      <c r="AB840" s="459" t="s">
        <v>539</v>
      </c>
      <c r="AC840" s="459" t="s">
        <v>539</v>
      </c>
      <c r="AD840" s="697" t="s">
        <v>2282</v>
      </c>
      <c r="AE840" s="701">
        <v>1</v>
      </c>
      <c r="AF840" s="701">
        <v>1</v>
      </c>
      <c r="AG840" s="701" t="s">
        <v>375</v>
      </c>
      <c r="AH840" s="728"/>
      <c r="AI840" s="697" t="s">
        <v>2261</v>
      </c>
      <c r="AJ840" s="699"/>
    </row>
    <row r="841" spans="1:36" ht="24" hidden="1" customHeight="1">
      <c r="B841" s="715"/>
      <c r="C841" s="714"/>
      <c r="D841" s="714"/>
      <c r="E841" s="714"/>
      <c r="F841" s="714"/>
      <c r="G841" s="714"/>
      <c r="H841" s="714"/>
      <c r="I841" s="720"/>
      <c r="J841" s="717"/>
      <c r="K841" s="717"/>
      <c r="L841" s="720"/>
      <c r="M841" s="717"/>
      <c r="N841" s="717"/>
      <c r="O841" s="715"/>
      <c r="P841" s="715"/>
      <c r="Q841" s="717"/>
      <c r="R841" s="719"/>
      <c r="S841" s="715"/>
      <c r="T841" s="715"/>
      <c r="U841" s="715"/>
      <c r="V841" s="715"/>
      <c r="W841" s="715"/>
      <c r="X841" s="715"/>
      <c r="Y841" s="715"/>
      <c r="Z841" s="715"/>
      <c r="AA841" s="460" t="s">
        <v>2283</v>
      </c>
      <c r="AB841" s="461" t="s">
        <v>539</v>
      </c>
      <c r="AC841" s="461" t="s">
        <v>539</v>
      </c>
      <c r="AD841" s="711"/>
      <c r="AE841" s="715"/>
      <c r="AF841" s="715"/>
      <c r="AG841" s="715"/>
      <c r="AH841" s="730"/>
      <c r="AI841" s="711"/>
      <c r="AJ841" s="714"/>
    </row>
    <row r="842" spans="1:36" ht="24" hidden="1" customHeight="1">
      <c r="B842" s="702"/>
      <c r="C842" s="700"/>
      <c r="D842" s="700"/>
      <c r="E842" s="700"/>
      <c r="F842" s="700"/>
      <c r="G842" s="700"/>
      <c r="H842" s="700"/>
      <c r="I842" s="713"/>
      <c r="J842" s="710"/>
      <c r="K842" s="710"/>
      <c r="L842" s="713"/>
      <c r="M842" s="710"/>
      <c r="N842" s="710"/>
      <c r="O842" s="702"/>
      <c r="P842" s="702"/>
      <c r="Q842" s="710"/>
      <c r="R842" s="708"/>
      <c r="S842" s="702"/>
      <c r="T842" s="702"/>
      <c r="U842" s="702"/>
      <c r="V842" s="702"/>
      <c r="W842" s="702"/>
      <c r="X842" s="702"/>
      <c r="Y842" s="702"/>
      <c r="Z842" s="702"/>
      <c r="AA842" s="473" t="s">
        <v>2284</v>
      </c>
      <c r="AB842" s="474" t="s">
        <v>539</v>
      </c>
      <c r="AC842" s="474" t="s">
        <v>539</v>
      </c>
      <c r="AD842" s="698"/>
      <c r="AE842" s="702"/>
      <c r="AF842" s="702"/>
      <c r="AG842" s="702"/>
      <c r="AH842" s="729"/>
      <c r="AI842" s="698"/>
      <c r="AJ842" s="700"/>
    </row>
    <row r="843" spans="1:36" ht="24" customHeight="1">
      <c r="A843" s="452">
        <v>122</v>
      </c>
      <c r="B843" s="701">
        <v>677</v>
      </c>
      <c r="C843" s="699" t="s">
        <v>337</v>
      </c>
      <c r="D843" s="699"/>
      <c r="E843" s="699" t="s">
        <v>545</v>
      </c>
      <c r="F843" s="699"/>
      <c r="G843" s="699" t="s">
        <v>55</v>
      </c>
      <c r="H843" s="699" t="s">
        <v>2285</v>
      </c>
      <c r="I843" s="712">
        <v>25000</v>
      </c>
      <c r="J843" s="709" t="s">
        <v>537</v>
      </c>
      <c r="K843" s="709" t="s">
        <v>537</v>
      </c>
      <c r="L843" s="712">
        <v>24777</v>
      </c>
      <c r="M843" s="709" t="s">
        <v>537</v>
      </c>
      <c r="N843" s="709" t="s">
        <v>537</v>
      </c>
      <c r="O843" s="701" t="s">
        <v>537</v>
      </c>
      <c r="P843" s="701" t="s">
        <v>537</v>
      </c>
      <c r="Q843" s="709">
        <v>223</v>
      </c>
      <c r="R843" s="707">
        <v>241579</v>
      </c>
      <c r="S843" s="701" t="s">
        <v>1473</v>
      </c>
      <c r="T843" s="701">
        <v>0</v>
      </c>
      <c r="U843" s="701">
        <v>5</v>
      </c>
      <c r="V843" s="701">
        <v>10</v>
      </c>
      <c r="W843" s="701">
        <v>4</v>
      </c>
      <c r="X843" s="701">
        <v>3</v>
      </c>
      <c r="Y843" s="701">
        <v>10</v>
      </c>
      <c r="Z843" s="701">
        <v>95</v>
      </c>
      <c r="AA843" s="458" t="s">
        <v>2286</v>
      </c>
      <c r="AB843" s="459" t="s">
        <v>539</v>
      </c>
      <c r="AC843" s="459" t="s">
        <v>539</v>
      </c>
      <c r="AD843" s="697" t="s">
        <v>2282</v>
      </c>
      <c r="AE843" s="701">
        <v>1</v>
      </c>
      <c r="AF843" s="701">
        <v>1</v>
      </c>
      <c r="AG843" s="701" t="s">
        <v>375</v>
      </c>
      <c r="AH843" s="728"/>
      <c r="AI843" s="697">
        <v>812713482</v>
      </c>
      <c r="AJ843" s="699"/>
    </row>
    <row r="844" spans="1:36" ht="24" hidden="1" customHeight="1">
      <c r="B844" s="702"/>
      <c r="C844" s="700"/>
      <c r="D844" s="700"/>
      <c r="E844" s="700"/>
      <c r="F844" s="700"/>
      <c r="G844" s="700"/>
      <c r="H844" s="700"/>
      <c r="I844" s="713"/>
      <c r="J844" s="710"/>
      <c r="K844" s="710"/>
      <c r="L844" s="713"/>
      <c r="M844" s="710"/>
      <c r="N844" s="710"/>
      <c r="O844" s="702"/>
      <c r="P844" s="702"/>
      <c r="Q844" s="710"/>
      <c r="R844" s="708"/>
      <c r="S844" s="702"/>
      <c r="T844" s="702"/>
      <c r="U844" s="702"/>
      <c r="V844" s="702"/>
      <c r="W844" s="702"/>
      <c r="X844" s="702"/>
      <c r="Y844" s="702"/>
      <c r="Z844" s="702"/>
      <c r="AA844" s="473" t="s">
        <v>2287</v>
      </c>
      <c r="AB844" s="474">
        <v>80</v>
      </c>
      <c r="AC844" s="474">
        <v>80</v>
      </c>
      <c r="AD844" s="698"/>
      <c r="AE844" s="702"/>
      <c r="AF844" s="702"/>
      <c r="AG844" s="702"/>
      <c r="AH844" s="729"/>
      <c r="AI844" s="698"/>
      <c r="AJ844" s="700"/>
    </row>
    <row r="845" spans="1:36" ht="24" customHeight="1">
      <c r="A845" s="452">
        <v>123</v>
      </c>
      <c r="B845" s="701">
        <v>678</v>
      </c>
      <c r="C845" s="699" t="s">
        <v>337</v>
      </c>
      <c r="D845" s="699"/>
      <c r="E845" s="699" t="s">
        <v>545</v>
      </c>
      <c r="F845" s="699"/>
      <c r="G845" s="699" t="s">
        <v>55</v>
      </c>
      <c r="H845" s="699" t="s">
        <v>2288</v>
      </c>
      <c r="I845" s="712">
        <v>25000</v>
      </c>
      <c r="J845" s="709" t="s">
        <v>537</v>
      </c>
      <c r="K845" s="709" t="s">
        <v>537</v>
      </c>
      <c r="L845" s="712">
        <v>21170</v>
      </c>
      <c r="M845" s="709" t="s">
        <v>537</v>
      </c>
      <c r="N845" s="709" t="s">
        <v>537</v>
      </c>
      <c r="O845" s="701" t="s">
        <v>537</v>
      </c>
      <c r="P845" s="701" t="s">
        <v>537</v>
      </c>
      <c r="Q845" s="705">
        <v>3830</v>
      </c>
      <c r="R845" s="707">
        <v>241518</v>
      </c>
      <c r="S845" s="721">
        <v>22396</v>
      </c>
      <c r="T845" s="701">
        <v>0</v>
      </c>
      <c r="U845" s="701">
        <v>10</v>
      </c>
      <c r="V845" s="701">
        <v>20</v>
      </c>
      <c r="W845" s="701">
        <v>0</v>
      </c>
      <c r="X845" s="701">
        <v>5</v>
      </c>
      <c r="Y845" s="701">
        <v>27</v>
      </c>
      <c r="Z845" s="701">
        <v>95</v>
      </c>
      <c r="AA845" s="458" t="s">
        <v>2286</v>
      </c>
      <c r="AB845" s="459" t="s">
        <v>539</v>
      </c>
      <c r="AC845" s="459" t="s">
        <v>539</v>
      </c>
      <c r="AD845" s="697" t="s">
        <v>2282</v>
      </c>
      <c r="AE845" s="701">
        <v>1</v>
      </c>
      <c r="AF845" s="701">
        <v>1</v>
      </c>
      <c r="AG845" s="701" t="s">
        <v>375</v>
      </c>
      <c r="AH845" s="728"/>
      <c r="AI845" s="697">
        <v>816775908</v>
      </c>
      <c r="AJ845" s="699"/>
    </row>
    <row r="846" spans="1:36" ht="24" hidden="1" customHeight="1">
      <c r="B846" s="702"/>
      <c r="C846" s="700"/>
      <c r="D846" s="700"/>
      <c r="E846" s="700"/>
      <c r="F846" s="700"/>
      <c r="G846" s="700"/>
      <c r="H846" s="700"/>
      <c r="I846" s="713"/>
      <c r="J846" s="710"/>
      <c r="K846" s="710"/>
      <c r="L846" s="713"/>
      <c r="M846" s="710"/>
      <c r="N846" s="710"/>
      <c r="O846" s="702"/>
      <c r="P846" s="702"/>
      <c r="Q846" s="706"/>
      <c r="R846" s="708"/>
      <c r="S846" s="722"/>
      <c r="T846" s="702"/>
      <c r="U846" s="702"/>
      <c r="V846" s="702"/>
      <c r="W846" s="702"/>
      <c r="X846" s="702"/>
      <c r="Y846" s="702"/>
      <c r="Z846" s="702"/>
      <c r="AA846" s="473" t="s">
        <v>2289</v>
      </c>
      <c r="AB846" s="474" t="s">
        <v>539</v>
      </c>
      <c r="AC846" s="474" t="s">
        <v>539</v>
      </c>
      <c r="AD846" s="698"/>
      <c r="AE846" s="702"/>
      <c r="AF846" s="702"/>
      <c r="AG846" s="702"/>
      <c r="AH846" s="729"/>
      <c r="AI846" s="698"/>
      <c r="AJ846" s="700"/>
    </row>
    <row r="847" spans="1:36" ht="24" customHeight="1">
      <c r="A847" s="452">
        <v>124</v>
      </c>
      <c r="B847" s="701">
        <v>679</v>
      </c>
      <c r="C847" s="699" t="s">
        <v>337</v>
      </c>
      <c r="D847" s="699"/>
      <c r="E847" s="699" t="s">
        <v>545</v>
      </c>
      <c r="F847" s="699"/>
      <c r="G847" s="699" t="s">
        <v>55</v>
      </c>
      <c r="H847" s="699" t="s">
        <v>2290</v>
      </c>
      <c r="I847" s="712">
        <v>25000</v>
      </c>
      <c r="J847" s="709" t="s">
        <v>537</v>
      </c>
      <c r="K847" s="709" t="s">
        <v>537</v>
      </c>
      <c r="L847" s="712">
        <v>24650</v>
      </c>
      <c r="M847" s="709" t="s">
        <v>537</v>
      </c>
      <c r="N847" s="709" t="s">
        <v>537</v>
      </c>
      <c r="O847" s="701" t="s">
        <v>537</v>
      </c>
      <c r="P847" s="701" t="s">
        <v>537</v>
      </c>
      <c r="Q847" s="709">
        <v>350</v>
      </c>
      <c r="R847" s="707">
        <v>241518</v>
      </c>
      <c r="S847" s="701" t="s">
        <v>2291</v>
      </c>
      <c r="T847" s="701">
        <v>1</v>
      </c>
      <c r="U847" s="701">
        <v>0</v>
      </c>
      <c r="V847" s="701">
        <v>14</v>
      </c>
      <c r="W847" s="701">
        <v>1</v>
      </c>
      <c r="X847" s="701">
        <v>0</v>
      </c>
      <c r="Y847" s="701">
        <v>21</v>
      </c>
      <c r="Z847" s="701">
        <v>95</v>
      </c>
      <c r="AA847" s="458" t="s">
        <v>547</v>
      </c>
      <c r="AB847" s="459" t="s">
        <v>539</v>
      </c>
      <c r="AC847" s="459" t="s">
        <v>539</v>
      </c>
      <c r="AD847" s="458" t="s">
        <v>733</v>
      </c>
      <c r="AE847" s="459">
        <v>1</v>
      </c>
      <c r="AF847" s="459">
        <v>1</v>
      </c>
      <c r="AG847" s="701" t="s">
        <v>375</v>
      </c>
      <c r="AH847" s="728"/>
      <c r="AI847" s="697">
        <v>846284372</v>
      </c>
      <c r="AJ847" s="699"/>
    </row>
    <row r="848" spans="1:36" ht="24" hidden="1" customHeight="1">
      <c r="B848" s="702"/>
      <c r="C848" s="700"/>
      <c r="D848" s="700"/>
      <c r="E848" s="700"/>
      <c r="F848" s="700"/>
      <c r="G848" s="700"/>
      <c r="H848" s="700"/>
      <c r="I848" s="713"/>
      <c r="J848" s="710"/>
      <c r="K848" s="710"/>
      <c r="L848" s="713"/>
      <c r="M848" s="710"/>
      <c r="N848" s="710"/>
      <c r="O848" s="702"/>
      <c r="P848" s="702"/>
      <c r="Q848" s="710"/>
      <c r="R848" s="708"/>
      <c r="S848" s="702"/>
      <c r="T848" s="702"/>
      <c r="U848" s="702"/>
      <c r="V848" s="702"/>
      <c r="W848" s="702"/>
      <c r="X848" s="702"/>
      <c r="Y848" s="702"/>
      <c r="Z848" s="702"/>
      <c r="AA848" s="473" t="s">
        <v>2292</v>
      </c>
      <c r="AB848" s="474" t="s">
        <v>539</v>
      </c>
      <c r="AC848" s="474" t="s">
        <v>539</v>
      </c>
      <c r="AD848" s="473" t="s">
        <v>2293</v>
      </c>
      <c r="AE848" s="474" t="s">
        <v>539</v>
      </c>
      <c r="AF848" s="474" t="s">
        <v>539</v>
      </c>
      <c r="AG848" s="702"/>
      <c r="AH848" s="729"/>
      <c r="AI848" s="698"/>
      <c r="AJ848" s="700"/>
    </row>
    <row r="849" spans="1:36" ht="24" customHeight="1">
      <c r="A849" s="452">
        <v>125</v>
      </c>
      <c r="B849" s="701">
        <v>680</v>
      </c>
      <c r="C849" s="699" t="s">
        <v>337</v>
      </c>
      <c r="D849" s="699"/>
      <c r="E849" s="699" t="s">
        <v>545</v>
      </c>
      <c r="F849" s="699"/>
      <c r="G849" s="699" t="s">
        <v>55</v>
      </c>
      <c r="H849" s="699" t="s">
        <v>2294</v>
      </c>
      <c r="I849" s="712">
        <v>25000</v>
      </c>
      <c r="J849" s="709" t="s">
        <v>537</v>
      </c>
      <c r="K849" s="709" t="s">
        <v>537</v>
      </c>
      <c r="L849" s="712">
        <v>25000</v>
      </c>
      <c r="M849" s="709" t="s">
        <v>537</v>
      </c>
      <c r="N849" s="709" t="s">
        <v>537</v>
      </c>
      <c r="O849" s="701" t="s">
        <v>537</v>
      </c>
      <c r="P849" s="701" t="s">
        <v>537</v>
      </c>
      <c r="Q849" s="709">
        <v>0</v>
      </c>
      <c r="R849" s="707">
        <v>241487</v>
      </c>
      <c r="S849" s="721">
        <v>22318</v>
      </c>
      <c r="T849" s="701">
        <v>20</v>
      </c>
      <c r="U849" s="701">
        <v>8</v>
      </c>
      <c r="V849" s="701">
        <v>20</v>
      </c>
      <c r="W849" s="701">
        <v>24</v>
      </c>
      <c r="X849" s="701">
        <v>8</v>
      </c>
      <c r="Y849" s="701">
        <v>74</v>
      </c>
      <c r="Z849" s="701">
        <v>90</v>
      </c>
      <c r="AA849" s="458" t="s">
        <v>2295</v>
      </c>
      <c r="AB849" s="459" t="s">
        <v>539</v>
      </c>
      <c r="AC849" s="459" t="s">
        <v>539</v>
      </c>
      <c r="AD849" s="697" t="s">
        <v>2282</v>
      </c>
      <c r="AE849" s="701">
        <v>1</v>
      </c>
      <c r="AF849" s="701">
        <v>1</v>
      </c>
      <c r="AG849" s="701" t="s">
        <v>375</v>
      </c>
      <c r="AH849" s="728"/>
      <c r="AI849" s="697">
        <v>924844869</v>
      </c>
      <c r="AJ849" s="699"/>
    </row>
    <row r="850" spans="1:36" ht="24" hidden="1" customHeight="1">
      <c r="B850" s="702"/>
      <c r="C850" s="700"/>
      <c r="D850" s="700"/>
      <c r="E850" s="700"/>
      <c r="F850" s="700"/>
      <c r="G850" s="700"/>
      <c r="H850" s="700"/>
      <c r="I850" s="713"/>
      <c r="J850" s="710"/>
      <c r="K850" s="710"/>
      <c r="L850" s="713"/>
      <c r="M850" s="710"/>
      <c r="N850" s="710"/>
      <c r="O850" s="702"/>
      <c r="P850" s="702"/>
      <c r="Q850" s="710"/>
      <c r="R850" s="708"/>
      <c r="S850" s="722"/>
      <c r="T850" s="702"/>
      <c r="U850" s="702"/>
      <c r="V850" s="702"/>
      <c r="W850" s="702"/>
      <c r="X850" s="702"/>
      <c r="Y850" s="702"/>
      <c r="Z850" s="702"/>
      <c r="AA850" s="473" t="s">
        <v>2283</v>
      </c>
      <c r="AB850" s="474" t="s">
        <v>539</v>
      </c>
      <c r="AC850" s="474" t="s">
        <v>539</v>
      </c>
      <c r="AD850" s="698"/>
      <c r="AE850" s="702"/>
      <c r="AF850" s="702"/>
      <c r="AG850" s="702"/>
      <c r="AH850" s="729"/>
      <c r="AI850" s="698"/>
      <c r="AJ850" s="700"/>
    </row>
    <row r="851" spans="1:36" ht="24" customHeight="1">
      <c r="A851" s="452">
        <v>126</v>
      </c>
      <c r="B851" s="701">
        <v>681</v>
      </c>
      <c r="C851" s="699" t="s">
        <v>337</v>
      </c>
      <c r="D851" s="699"/>
      <c r="E851" s="699" t="s">
        <v>545</v>
      </c>
      <c r="F851" s="699"/>
      <c r="G851" s="699" t="s">
        <v>55</v>
      </c>
      <c r="H851" s="699" t="s">
        <v>2296</v>
      </c>
      <c r="I851" s="712">
        <v>25000</v>
      </c>
      <c r="J851" s="709" t="s">
        <v>537</v>
      </c>
      <c r="K851" s="709" t="s">
        <v>537</v>
      </c>
      <c r="L851" s="712">
        <v>23650</v>
      </c>
      <c r="M851" s="709" t="s">
        <v>537</v>
      </c>
      <c r="N851" s="709" t="s">
        <v>537</v>
      </c>
      <c r="O851" s="701" t="s">
        <v>537</v>
      </c>
      <c r="P851" s="701" t="s">
        <v>537</v>
      </c>
      <c r="Q851" s="705">
        <v>1350</v>
      </c>
      <c r="R851" s="707">
        <v>241487</v>
      </c>
      <c r="S851" s="721">
        <v>22367</v>
      </c>
      <c r="T851" s="701">
        <v>0</v>
      </c>
      <c r="U851" s="701">
        <v>2</v>
      </c>
      <c r="V851" s="701">
        <v>20</v>
      </c>
      <c r="W851" s="701">
        <v>0</v>
      </c>
      <c r="X851" s="701">
        <v>16</v>
      </c>
      <c r="Y851" s="701">
        <v>20</v>
      </c>
      <c r="Z851" s="701">
        <v>95</v>
      </c>
      <c r="AA851" s="458" t="s">
        <v>2286</v>
      </c>
      <c r="AB851" s="459" t="s">
        <v>539</v>
      </c>
      <c r="AC851" s="459" t="s">
        <v>539</v>
      </c>
      <c r="AD851" s="458" t="s">
        <v>2282</v>
      </c>
      <c r="AE851" s="459">
        <v>1</v>
      </c>
      <c r="AF851" s="459">
        <v>1</v>
      </c>
      <c r="AG851" s="701" t="s">
        <v>375</v>
      </c>
      <c r="AH851" s="728"/>
      <c r="AI851" s="697">
        <v>812739694</v>
      </c>
      <c r="AJ851" s="699"/>
    </row>
    <row r="852" spans="1:36" ht="24" hidden="1" customHeight="1">
      <c r="B852" s="702"/>
      <c r="C852" s="700"/>
      <c r="D852" s="700"/>
      <c r="E852" s="700"/>
      <c r="F852" s="700"/>
      <c r="G852" s="700"/>
      <c r="H852" s="700"/>
      <c r="I852" s="713"/>
      <c r="J852" s="710"/>
      <c r="K852" s="710"/>
      <c r="L852" s="713"/>
      <c r="M852" s="710"/>
      <c r="N852" s="710"/>
      <c r="O852" s="702"/>
      <c r="P852" s="702"/>
      <c r="Q852" s="706"/>
      <c r="R852" s="708"/>
      <c r="S852" s="722"/>
      <c r="T852" s="702"/>
      <c r="U852" s="702"/>
      <c r="V852" s="702"/>
      <c r="W852" s="702"/>
      <c r="X852" s="702"/>
      <c r="Y852" s="702"/>
      <c r="Z852" s="702"/>
      <c r="AA852" s="473" t="s">
        <v>2297</v>
      </c>
      <c r="AB852" s="474" t="s">
        <v>539</v>
      </c>
      <c r="AC852" s="474" t="s">
        <v>539</v>
      </c>
      <c r="AD852" s="473" t="s">
        <v>2298</v>
      </c>
      <c r="AE852" s="474">
        <v>1</v>
      </c>
      <c r="AF852" s="474">
        <v>1</v>
      </c>
      <c r="AG852" s="702"/>
      <c r="AH852" s="729"/>
      <c r="AI852" s="698"/>
      <c r="AJ852" s="700"/>
    </row>
    <row r="853" spans="1:36" ht="24" customHeight="1">
      <c r="A853" s="452">
        <v>127</v>
      </c>
      <c r="B853" s="701">
        <v>682</v>
      </c>
      <c r="C853" s="699" t="s">
        <v>337</v>
      </c>
      <c r="D853" s="699"/>
      <c r="E853" s="699" t="s">
        <v>545</v>
      </c>
      <c r="F853" s="699"/>
      <c r="G853" s="699" t="s">
        <v>55</v>
      </c>
      <c r="H853" s="699" t="s">
        <v>2299</v>
      </c>
      <c r="I853" s="709">
        <v>0</v>
      </c>
      <c r="J853" s="709" t="s">
        <v>537</v>
      </c>
      <c r="K853" s="709" t="s">
        <v>537</v>
      </c>
      <c r="L853" s="709">
        <v>0</v>
      </c>
      <c r="M853" s="709" t="s">
        <v>537</v>
      </c>
      <c r="N853" s="709" t="s">
        <v>537</v>
      </c>
      <c r="O853" s="701" t="s">
        <v>537</v>
      </c>
      <c r="P853" s="701" t="s">
        <v>537</v>
      </c>
      <c r="Q853" s="709">
        <v>0</v>
      </c>
      <c r="R853" s="707">
        <v>241609</v>
      </c>
      <c r="S853" s="721">
        <v>22475</v>
      </c>
      <c r="T853" s="701">
        <v>0</v>
      </c>
      <c r="U853" s="701">
        <v>10</v>
      </c>
      <c r="V853" s="701">
        <v>20</v>
      </c>
      <c r="W853" s="701">
        <v>0</v>
      </c>
      <c r="X853" s="701">
        <v>10</v>
      </c>
      <c r="Y853" s="701">
        <v>8</v>
      </c>
      <c r="Z853" s="701">
        <v>92.5</v>
      </c>
      <c r="AA853" s="458" t="s">
        <v>2286</v>
      </c>
      <c r="AB853" s="459" t="s">
        <v>539</v>
      </c>
      <c r="AC853" s="459" t="s">
        <v>539</v>
      </c>
      <c r="AD853" s="458" t="s">
        <v>2282</v>
      </c>
      <c r="AE853" s="459">
        <v>1</v>
      </c>
      <c r="AF853" s="459">
        <v>1</v>
      </c>
      <c r="AG853" s="701" t="s">
        <v>375</v>
      </c>
      <c r="AH853" s="728"/>
      <c r="AI853" s="697">
        <v>952596136</v>
      </c>
      <c r="AJ853" s="699"/>
    </row>
    <row r="854" spans="1:36" ht="24" hidden="1" customHeight="1">
      <c r="B854" s="702"/>
      <c r="C854" s="700"/>
      <c r="D854" s="700"/>
      <c r="E854" s="700"/>
      <c r="F854" s="700"/>
      <c r="G854" s="700"/>
      <c r="H854" s="700"/>
      <c r="I854" s="710"/>
      <c r="J854" s="710"/>
      <c r="K854" s="710"/>
      <c r="L854" s="710"/>
      <c r="M854" s="710"/>
      <c r="N854" s="710"/>
      <c r="O854" s="702"/>
      <c r="P854" s="702"/>
      <c r="Q854" s="710"/>
      <c r="R854" s="708"/>
      <c r="S854" s="722"/>
      <c r="T854" s="702"/>
      <c r="U854" s="702"/>
      <c r="V854" s="702"/>
      <c r="W854" s="702"/>
      <c r="X854" s="702"/>
      <c r="Y854" s="702"/>
      <c r="Z854" s="702"/>
      <c r="AA854" s="473" t="s">
        <v>2300</v>
      </c>
      <c r="AB854" s="474" t="s">
        <v>539</v>
      </c>
      <c r="AC854" s="474" t="s">
        <v>539</v>
      </c>
      <c r="AD854" s="473" t="s">
        <v>2301</v>
      </c>
      <c r="AE854" s="474" t="s">
        <v>539</v>
      </c>
      <c r="AF854" s="474" t="s">
        <v>539</v>
      </c>
      <c r="AG854" s="702"/>
      <c r="AH854" s="729"/>
      <c r="AI854" s="698"/>
      <c r="AJ854" s="700"/>
    </row>
    <row r="855" spans="1:36" ht="24" customHeight="1">
      <c r="A855" s="452">
        <v>128</v>
      </c>
      <c r="B855" s="463">
        <v>683</v>
      </c>
      <c r="C855" s="464" t="s">
        <v>337</v>
      </c>
      <c r="D855" s="464"/>
      <c r="E855" s="464" t="s">
        <v>545</v>
      </c>
      <c r="F855" s="464"/>
      <c r="G855" s="464" t="s">
        <v>55</v>
      </c>
      <c r="H855" s="464" t="s">
        <v>2302</v>
      </c>
      <c r="I855" s="465" t="s">
        <v>537</v>
      </c>
      <c r="J855" s="465" t="s">
        <v>537</v>
      </c>
      <c r="K855" s="466">
        <v>15000</v>
      </c>
      <c r="L855" s="465" t="s">
        <v>537</v>
      </c>
      <c r="M855" s="465" t="s">
        <v>537</v>
      </c>
      <c r="N855" s="466">
        <v>14875</v>
      </c>
      <c r="O855" s="463" t="s">
        <v>537</v>
      </c>
      <c r="P855" s="463" t="s">
        <v>537</v>
      </c>
      <c r="Q855" s="465">
        <v>125</v>
      </c>
      <c r="R855" s="470">
        <v>241609</v>
      </c>
      <c r="S855" s="471">
        <v>22444</v>
      </c>
      <c r="T855" s="463">
        <v>1</v>
      </c>
      <c r="U855" s="463">
        <v>6</v>
      </c>
      <c r="V855" s="463">
        <v>13</v>
      </c>
      <c r="W855" s="463">
        <v>1</v>
      </c>
      <c r="X855" s="463">
        <v>7</v>
      </c>
      <c r="Y855" s="463">
        <v>20</v>
      </c>
      <c r="Z855" s="463">
        <v>95</v>
      </c>
      <c r="AA855" s="472" t="s">
        <v>2303</v>
      </c>
      <c r="AB855" s="463" t="s">
        <v>539</v>
      </c>
      <c r="AC855" s="463" t="s">
        <v>539</v>
      </c>
      <c r="AD855" s="472" t="s">
        <v>2304</v>
      </c>
      <c r="AE855" s="463" t="s">
        <v>539</v>
      </c>
      <c r="AF855" s="463" t="s">
        <v>539</v>
      </c>
      <c r="AG855" s="463" t="s">
        <v>375</v>
      </c>
      <c r="AH855" s="476"/>
      <c r="AI855" s="472">
        <v>846284372</v>
      </c>
      <c r="AJ855" s="472" t="s">
        <v>543</v>
      </c>
    </row>
    <row r="856" spans="1:36" ht="24" customHeight="1">
      <c r="A856" s="452">
        <v>129</v>
      </c>
      <c r="B856" s="463">
        <v>684</v>
      </c>
      <c r="C856" s="464" t="s">
        <v>337</v>
      </c>
      <c r="D856" s="464"/>
      <c r="E856" s="464" t="s">
        <v>545</v>
      </c>
      <c r="F856" s="464"/>
      <c r="G856" s="464" t="s">
        <v>55</v>
      </c>
      <c r="H856" s="464" t="s">
        <v>2305</v>
      </c>
      <c r="I856" s="465" t="s">
        <v>537</v>
      </c>
      <c r="J856" s="465" t="s">
        <v>537</v>
      </c>
      <c r="K856" s="466">
        <v>15000</v>
      </c>
      <c r="L856" s="465" t="s">
        <v>537</v>
      </c>
      <c r="M856" s="465" t="s">
        <v>537</v>
      </c>
      <c r="N856" s="466">
        <v>15000</v>
      </c>
      <c r="O856" s="463" t="s">
        <v>537</v>
      </c>
      <c r="P856" s="463" t="s">
        <v>537</v>
      </c>
      <c r="Q856" s="465">
        <v>0</v>
      </c>
      <c r="R856" s="470">
        <v>241640</v>
      </c>
      <c r="S856" s="471">
        <v>22522</v>
      </c>
      <c r="T856" s="463">
        <v>0</v>
      </c>
      <c r="U856" s="463">
        <v>3</v>
      </c>
      <c r="V856" s="463">
        <v>37</v>
      </c>
      <c r="W856" s="463">
        <v>0</v>
      </c>
      <c r="X856" s="463">
        <v>3</v>
      </c>
      <c r="Y856" s="463">
        <v>43</v>
      </c>
      <c r="Z856" s="463">
        <v>98</v>
      </c>
      <c r="AA856" s="472" t="s">
        <v>2306</v>
      </c>
      <c r="AB856" s="463" t="s">
        <v>539</v>
      </c>
      <c r="AC856" s="463" t="s">
        <v>539</v>
      </c>
      <c r="AD856" s="472" t="s">
        <v>2307</v>
      </c>
      <c r="AE856" s="463" t="s">
        <v>539</v>
      </c>
      <c r="AF856" s="463" t="s">
        <v>539</v>
      </c>
      <c r="AG856" s="463" t="s">
        <v>375</v>
      </c>
      <c r="AH856" s="476"/>
      <c r="AI856" s="472">
        <v>952596136</v>
      </c>
      <c r="AJ856" s="472" t="s">
        <v>543</v>
      </c>
    </row>
    <row r="857" spans="1:36" ht="24" customHeight="1">
      <c r="A857" s="452">
        <v>130</v>
      </c>
      <c r="B857" s="463">
        <v>685</v>
      </c>
      <c r="C857" s="464" t="s">
        <v>337</v>
      </c>
      <c r="D857" s="464"/>
      <c r="E857" s="464" t="s">
        <v>545</v>
      </c>
      <c r="F857" s="464"/>
      <c r="G857" s="464" t="s">
        <v>55</v>
      </c>
      <c r="H857" s="464" t="s">
        <v>2308</v>
      </c>
      <c r="I857" s="465" t="s">
        <v>537</v>
      </c>
      <c r="J857" s="465" t="s">
        <v>537</v>
      </c>
      <c r="K857" s="466">
        <v>15000</v>
      </c>
      <c r="L857" s="465" t="s">
        <v>537</v>
      </c>
      <c r="M857" s="465" t="s">
        <v>537</v>
      </c>
      <c r="N857" s="466">
        <v>14999</v>
      </c>
      <c r="O857" s="463" t="s">
        <v>537</v>
      </c>
      <c r="P857" s="463" t="s">
        <v>537</v>
      </c>
      <c r="Q857" s="465">
        <v>1</v>
      </c>
      <c r="R857" s="470">
        <v>241640</v>
      </c>
      <c r="S857" s="471">
        <v>22515</v>
      </c>
      <c r="T857" s="463">
        <v>1</v>
      </c>
      <c r="U857" s="463">
        <v>2</v>
      </c>
      <c r="V857" s="463">
        <v>30</v>
      </c>
      <c r="W857" s="463">
        <v>1</v>
      </c>
      <c r="X857" s="463">
        <v>10</v>
      </c>
      <c r="Y857" s="463">
        <v>96</v>
      </c>
      <c r="Z857" s="463">
        <v>98</v>
      </c>
      <c r="AA857" s="472" t="s">
        <v>2309</v>
      </c>
      <c r="AB857" s="463" t="s">
        <v>539</v>
      </c>
      <c r="AC857" s="463" t="s">
        <v>539</v>
      </c>
      <c r="AD857" s="472" t="s">
        <v>2310</v>
      </c>
      <c r="AE857" s="463" t="s">
        <v>539</v>
      </c>
      <c r="AF857" s="463" t="s">
        <v>539</v>
      </c>
      <c r="AG857" s="463" t="s">
        <v>375</v>
      </c>
      <c r="AH857" s="476"/>
      <c r="AI857" s="472">
        <v>894743626</v>
      </c>
      <c r="AJ857" s="472" t="s">
        <v>543</v>
      </c>
    </row>
    <row r="858" spans="1:36" ht="24" hidden="1" customHeight="1">
      <c r="B858" s="463">
        <v>686</v>
      </c>
      <c r="C858" s="464" t="s">
        <v>534</v>
      </c>
      <c r="D858" s="464"/>
      <c r="E858" s="464" t="s">
        <v>535</v>
      </c>
      <c r="F858" s="464"/>
      <c r="G858" s="464" t="s">
        <v>192</v>
      </c>
      <c r="H858" s="464" t="s">
        <v>2311</v>
      </c>
      <c r="I858" s="466">
        <v>90000</v>
      </c>
      <c r="J858" s="465" t="s">
        <v>537</v>
      </c>
      <c r="K858" s="465" t="s">
        <v>537</v>
      </c>
      <c r="L858" s="466">
        <v>81840</v>
      </c>
      <c r="M858" s="465" t="s">
        <v>537</v>
      </c>
      <c r="N858" s="465" t="s">
        <v>537</v>
      </c>
      <c r="O858" s="463" t="s">
        <v>537</v>
      </c>
      <c r="P858" s="463" t="s">
        <v>537</v>
      </c>
      <c r="Q858" s="468">
        <v>8160</v>
      </c>
      <c r="R858" s="470">
        <v>241397</v>
      </c>
      <c r="S858" s="471">
        <v>22262</v>
      </c>
      <c r="T858" s="463">
        <v>0</v>
      </c>
      <c r="U858" s="463">
        <v>209</v>
      </c>
      <c r="V858" s="463">
        <v>1</v>
      </c>
      <c r="W858" s="464"/>
      <c r="X858" s="463">
        <v>195</v>
      </c>
      <c r="Y858" s="463">
        <v>1</v>
      </c>
      <c r="Z858" s="463">
        <v>81.02</v>
      </c>
      <c r="AA858" s="472" t="s">
        <v>547</v>
      </c>
      <c r="AB858" s="463" t="s">
        <v>539</v>
      </c>
      <c r="AC858" s="463" t="s">
        <v>539</v>
      </c>
      <c r="AD858" s="472" t="s">
        <v>548</v>
      </c>
      <c r="AE858" s="463">
        <v>80</v>
      </c>
      <c r="AF858" s="463">
        <v>100</v>
      </c>
      <c r="AG858" s="463" t="s">
        <v>375</v>
      </c>
      <c r="AH858" s="476"/>
      <c r="AI858" s="472" t="s">
        <v>2312</v>
      </c>
      <c r="AJ858" s="464"/>
    </row>
    <row r="859" spans="1:36" ht="24" hidden="1" customHeight="1">
      <c r="B859" s="463">
        <v>687</v>
      </c>
      <c r="C859" s="464" t="s">
        <v>534</v>
      </c>
      <c r="D859" s="464"/>
      <c r="E859" s="464" t="s">
        <v>535</v>
      </c>
      <c r="F859" s="464"/>
      <c r="G859" s="464" t="s">
        <v>192</v>
      </c>
      <c r="H859" s="464" t="s">
        <v>2313</v>
      </c>
      <c r="I859" s="466">
        <v>70000</v>
      </c>
      <c r="J859" s="465" t="s">
        <v>537</v>
      </c>
      <c r="K859" s="465" t="s">
        <v>537</v>
      </c>
      <c r="L859" s="466">
        <v>60148</v>
      </c>
      <c r="M859" s="465" t="s">
        <v>537</v>
      </c>
      <c r="N859" s="465" t="s">
        <v>537</v>
      </c>
      <c r="O859" s="463" t="s">
        <v>537</v>
      </c>
      <c r="P859" s="463" t="s">
        <v>537</v>
      </c>
      <c r="Q859" s="468">
        <v>9852</v>
      </c>
      <c r="R859" s="470">
        <v>241397</v>
      </c>
      <c r="S859" s="471">
        <v>22258</v>
      </c>
      <c r="T859" s="463">
        <v>0</v>
      </c>
      <c r="U859" s="463">
        <v>99</v>
      </c>
      <c r="V859" s="463">
        <v>1</v>
      </c>
      <c r="W859" s="463">
        <v>0</v>
      </c>
      <c r="X859" s="463">
        <v>138</v>
      </c>
      <c r="Y859" s="463">
        <v>1</v>
      </c>
      <c r="Z859" s="463">
        <v>83.33</v>
      </c>
      <c r="AA859" s="472" t="s">
        <v>547</v>
      </c>
      <c r="AB859" s="463" t="s">
        <v>539</v>
      </c>
      <c r="AC859" s="463" t="s">
        <v>539</v>
      </c>
      <c r="AD859" s="472" t="s">
        <v>548</v>
      </c>
      <c r="AE859" s="463">
        <v>80</v>
      </c>
      <c r="AF859" s="463">
        <v>100</v>
      </c>
      <c r="AG859" s="463" t="s">
        <v>375</v>
      </c>
      <c r="AH859" s="476"/>
      <c r="AI859" s="472">
        <v>872935669</v>
      </c>
      <c r="AJ859" s="464"/>
    </row>
    <row r="860" spans="1:36" ht="24" hidden="1" customHeight="1">
      <c r="B860" s="463">
        <v>688</v>
      </c>
      <c r="C860" s="464" t="s">
        <v>534</v>
      </c>
      <c r="D860" s="464"/>
      <c r="E860" s="464" t="s">
        <v>535</v>
      </c>
      <c r="F860" s="464"/>
      <c r="G860" s="464" t="s">
        <v>192</v>
      </c>
      <c r="H860" s="464" t="s">
        <v>2314</v>
      </c>
      <c r="I860" s="466">
        <v>300000</v>
      </c>
      <c r="J860" s="465" t="s">
        <v>537</v>
      </c>
      <c r="K860" s="465" t="s">
        <v>537</v>
      </c>
      <c r="L860" s="466">
        <v>181052</v>
      </c>
      <c r="M860" s="465" t="s">
        <v>537</v>
      </c>
      <c r="N860" s="465" t="s">
        <v>537</v>
      </c>
      <c r="O860" s="463" t="s">
        <v>537</v>
      </c>
      <c r="P860" s="463" t="s">
        <v>537</v>
      </c>
      <c r="Q860" s="468">
        <v>118948</v>
      </c>
      <c r="R860" s="470">
        <v>241459</v>
      </c>
      <c r="S860" s="463" t="s">
        <v>2315</v>
      </c>
      <c r="T860" s="463">
        <v>5</v>
      </c>
      <c r="U860" s="463">
        <v>25</v>
      </c>
      <c r="V860" s="463">
        <v>0</v>
      </c>
      <c r="W860" s="463">
        <v>12</v>
      </c>
      <c r="X860" s="463">
        <v>23</v>
      </c>
      <c r="Y860" s="463">
        <v>0</v>
      </c>
      <c r="Z860" s="463">
        <v>82.2</v>
      </c>
      <c r="AA860" s="472" t="s">
        <v>547</v>
      </c>
      <c r="AB860" s="463" t="s">
        <v>539</v>
      </c>
      <c r="AC860" s="463" t="s">
        <v>539</v>
      </c>
      <c r="AD860" s="472" t="s">
        <v>699</v>
      </c>
      <c r="AE860" s="463">
        <v>1</v>
      </c>
      <c r="AF860" s="463">
        <v>1</v>
      </c>
      <c r="AG860" s="463" t="s">
        <v>375</v>
      </c>
      <c r="AH860" s="476"/>
      <c r="AI860" s="472">
        <v>872935669</v>
      </c>
      <c r="AJ860" s="472" t="s">
        <v>537</v>
      </c>
    </row>
    <row r="861" spans="1:36" ht="24" hidden="1" customHeight="1">
      <c r="B861" s="463">
        <v>689</v>
      </c>
      <c r="C861" s="464" t="s">
        <v>534</v>
      </c>
      <c r="D861" s="464"/>
      <c r="E861" s="464" t="s">
        <v>535</v>
      </c>
      <c r="F861" s="464"/>
      <c r="G861" s="464" t="s">
        <v>192</v>
      </c>
      <c r="H861" s="464" t="s">
        <v>2316</v>
      </c>
      <c r="I861" s="466">
        <v>100000</v>
      </c>
      <c r="J861" s="465" t="s">
        <v>537</v>
      </c>
      <c r="K861" s="465" t="s">
        <v>537</v>
      </c>
      <c r="L861" s="466">
        <v>68850</v>
      </c>
      <c r="M861" s="465" t="s">
        <v>537</v>
      </c>
      <c r="N861" s="465" t="s">
        <v>537</v>
      </c>
      <c r="O861" s="463" t="s">
        <v>537</v>
      </c>
      <c r="P861" s="463" t="s">
        <v>537</v>
      </c>
      <c r="Q861" s="468">
        <v>31150</v>
      </c>
      <c r="R861" s="463" t="s">
        <v>643</v>
      </c>
      <c r="S861" s="463" t="s">
        <v>2317</v>
      </c>
      <c r="T861" s="463">
        <v>0</v>
      </c>
      <c r="U861" s="463">
        <v>49</v>
      </c>
      <c r="V861" s="463">
        <v>1</v>
      </c>
      <c r="W861" s="463" t="s">
        <v>537</v>
      </c>
      <c r="X861" s="463">
        <v>49</v>
      </c>
      <c r="Y861" s="463">
        <v>1</v>
      </c>
      <c r="Z861" s="463">
        <v>81.599999999999994</v>
      </c>
      <c r="AA861" s="472" t="s">
        <v>547</v>
      </c>
      <c r="AB861" s="463" t="s">
        <v>539</v>
      </c>
      <c r="AC861" s="463" t="s">
        <v>539</v>
      </c>
      <c r="AD861" s="472" t="s">
        <v>548</v>
      </c>
      <c r="AE861" s="463">
        <v>80</v>
      </c>
      <c r="AF861" s="463">
        <v>100</v>
      </c>
      <c r="AG861" s="463" t="s">
        <v>375</v>
      </c>
      <c r="AH861" s="476"/>
      <c r="AI861" s="472" t="s">
        <v>2318</v>
      </c>
      <c r="AJ861" s="464"/>
    </row>
    <row r="862" spans="1:36" ht="24" hidden="1" customHeight="1">
      <c r="B862" s="463">
        <v>690</v>
      </c>
      <c r="C862" s="464" t="s">
        <v>534</v>
      </c>
      <c r="D862" s="464"/>
      <c r="E862" s="464" t="s">
        <v>535</v>
      </c>
      <c r="F862" s="464"/>
      <c r="G862" s="464" t="s">
        <v>192</v>
      </c>
      <c r="H862" s="464" t="s">
        <v>2319</v>
      </c>
      <c r="I862" s="465" t="s">
        <v>537</v>
      </c>
      <c r="J862" s="465" t="s">
        <v>537</v>
      </c>
      <c r="K862" s="466">
        <v>45000</v>
      </c>
      <c r="L862" s="465" t="s">
        <v>537</v>
      </c>
      <c r="M862" s="465" t="s">
        <v>537</v>
      </c>
      <c r="N862" s="466">
        <v>37552</v>
      </c>
      <c r="O862" s="463" t="s">
        <v>537</v>
      </c>
      <c r="P862" s="463" t="s">
        <v>537</v>
      </c>
      <c r="Q862" s="468">
        <v>7448</v>
      </c>
      <c r="R862" s="470">
        <v>241428</v>
      </c>
      <c r="S862" s="471">
        <v>22296</v>
      </c>
      <c r="T862" s="463">
        <v>0</v>
      </c>
      <c r="U862" s="463">
        <v>108</v>
      </c>
      <c r="V862" s="463">
        <v>0</v>
      </c>
      <c r="W862" s="463" t="s">
        <v>537</v>
      </c>
      <c r="X862" s="463">
        <v>97</v>
      </c>
      <c r="Y862" s="463">
        <v>2</v>
      </c>
      <c r="Z862" s="463">
        <v>82.2</v>
      </c>
      <c r="AA862" s="472" t="s">
        <v>547</v>
      </c>
      <c r="AB862" s="463" t="s">
        <v>539</v>
      </c>
      <c r="AC862" s="463" t="s">
        <v>539</v>
      </c>
      <c r="AD862" s="472" t="s">
        <v>548</v>
      </c>
      <c r="AE862" s="463">
        <v>80</v>
      </c>
      <c r="AF862" s="463">
        <v>80</v>
      </c>
      <c r="AG862" s="463" t="s">
        <v>375</v>
      </c>
      <c r="AH862" s="476"/>
      <c r="AI862" s="472" t="s">
        <v>2318</v>
      </c>
      <c r="AJ862" s="472" t="s">
        <v>543</v>
      </c>
    </row>
    <row r="863" spans="1:36" ht="24" hidden="1" customHeight="1">
      <c r="B863" s="463">
        <v>691</v>
      </c>
      <c r="C863" s="464" t="s">
        <v>165</v>
      </c>
      <c r="D863" s="464"/>
      <c r="E863" s="464" t="s">
        <v>535</v>
      </c>
      <c r="F863" s="464"/>
      <c r="G863" s="464" t="s">
        <v>192</v>
      </c>
      <c r="H863" s="464" t="s">
        <v>2320</v>
      </c>
      <c r="I863" s="465" t="s">
        <v>537</v>
      </c>
      <c r="J863" s="465" t="s">
        <v>537</v>
      </c>
      <c r="K863" s="466">
        <v>92000</v>
      </c>
      <c r="L863" s="465" t="s">
        <v>537</v>
      </c>
      <c r="M863" s="465" t="s">
        <v>537</v>
      </c>
      <c r="N863" s="466">
        <v>69920</v>
      </c>
      <c r="O863" s="463" t="s">
        <v>537</v>
      </c>
      <c r="P863" s="463" t="s">
        <v>537</v>
      </c>
      <c r="Q863" s="468">
        <v>22080</v>
      </c>
      <c r="R863" s="470">
        <v>241579</v>
      </c>
      <c r="S863" s="463" t="s">
        <v>1449</v>
      </c>
      <c r="T863" s="463">
        <v>0</v>
      </c>
      <c r="U863" s="463">
        <v>103</v>
      </c>
      <c r="V863" s="463">
        <v>11</v>
      </c>
      <c r="W863" s="463">
        <v>0</v>
      </c>
      <c r="X863" s="463">
        <v>93</v>
      </c>
      <c r="Y863" s="463">
        <v>3</v>
      </c>
      <c r="Z863" s="463">
        <v>83.53</v>
      </c>
      <c r="AA863" s="472" t="s">
        <v>547</v>
      </c>
      <c r="AB863" s="463" t="s">
        <v>539</v>
      </c>
      <c r="AC863" s="463" t="s">
        <v>539</v>
      </c>
      <c r="AD863" s="472" t="s">
        <v>548</v>
      </c>
      <c r="AE863" s="463">
        <v>80</v>
      </c>
      <c r="AF863" s="463">
        <v>100</v>
      </c>
      <c r="AG863" s="463" t="s">
        <v>375</v>
      </c>
      <c r="AH863" s="476"/>
      <c r="AI863" s="472" t="s">
        <v>2321</v>
      </c>
      <c r="AJ863" s="472" t="s">
        <v>543</v>
      </c>
    </row>
    <row r="864" spans="1:36" ht="24" hidden="1" customHeight="1">
      <c r="B864" s="463">
        <v>692</v>
      </c>
      <c r="C864" s="464" t="s">
        <v>534</v>
      </c>
      <c r="D864" s="464"/>
      <c r="E864" s="464" t="s">
        <v>535</v>
      </c>
      <c r="F864" s="464"/>
      <c r="G864" s="464" t="s">
        <v>192</v>
      </c>
      <c r="H864" s="464" t="s">
        <v>2322</v>
      </c>
      <c r="I864" s="465" t="s">
        <v>537</v>
      </c>
      <c r="J864" s="466">
        <v>60675</v>
      </c>
      <c r="K864" s="465" t="s">
        <v>537</v>
      </c>
      <c r="L864" s="465" t="s">
        <v>537</v>
      </c>
      <c r="M864" s="466">
        <v>17800</v>
      </c>
      <c r="N864" s="465" t="s">
        <v>537</v>
      </c>
      <c r="O864" s="463" t="s">
        <v>537</v>
      </c>
      <c r="P864" s="463" t="s">
        <v>537</v>
      </c>
      <c r="Q864" s="468">
        <v>42875</v>
      </c>
      <c r="R864" s="470">
        <v>241579</v>
      </c>
      <c r="S864" s="463" t="s">
        <v>2323</v>
      </c>
      <c r="T864" s="463">
        <v>0</v>
      </c>
      <c r="U864" s="463">
        <v>1</v>
      </c>
      <c r="V864" s="463">
        <v>0</v>
      </c>
      <c r="W864" s="463" t="s">
        <v>537</v>
      </c>
      <c r="X864" s="463">
        <v>1</v>
      </c>
      <c r="Y864" s="463" t="s">
        <v>537</v>
      </c>
      <c r="Z864" s="463">
        <v>92</v>
      </c>
      <c r="AA864" s="472" t="s">
        <v>547</v>
      </c>
      <c r="AB864" s="463" t="s">
        <v>539</v>
      </c>
      <c r="AC864" s="463" t="s">
        <v>539</v>
      </c>
      <c r="AD864" s="472" t="s">
        <v>699</v>
      </c>
      <c r="AE864" s="463" t="s">
        <v>539</v>
      </c>
      <c r="AF864" s="463" t="s">
        <v>539</v>
      </c>
      <c r="AG864" s="463" t="s">
        <v>375</v>
      </c>
      <c r="AH864" s="476"/>
      <c r="AI864" s="472">
        <v>973618558</v>
      </c>
      <c r="AJ864" s="464"/>
    </row>
    <row r="865" spans="2:36" ht="24" hidden="1" customHeight="1">
      <c r="B865" s="463">
        <v>693</v>
      </c>
      <c r="C865" s="464" t="s">
        <v>534</v>
      </c>
      <c r="D865" s="464"/>
      <c r="E865" s="464" t="s">
        <v>535</v>
      </c>
      <c r="F865" s="464"/>
      <c r="G865" s="464" t="s">
        <v>192</v>
      </c>
      <c r="H865" s="464" t="s">
        <v>2324</v>
      </c>
      <c r="I865" s="465" t="s">
        <v>537</v>
      </c>
      <c r="J865" s="466">
        <v>399325</v>
      </c>
      <c r="K865" s="465" t="s">
        <v>537</v>
      </c>
      <c r="L865" s="465" t="s">
        <v>537</v>
      </c>
      <c r="M865" s="466">
        <v>344621</v>
      </c>
      <c r="N865" s="465" t="s">
        <v>537</v>
      </c>
      <c r="O865" s="463" t="s">
        <v>537</v>
      </c>
      <c r="P865" s="463" t="s">
        <v>537</v>
      </c>
      <c r="Q865" s="468">
        <v>54704</v>
      </c>
      <c r="R865" s="463" t="s">
        <v>643</v>
      </c>
      <c r="S865" s="463" t="s">
        <v>2325</v>
      </c>
      <c r="T865" s="463">
        <v>0</v>
      </c>
      <c r="U865" s="463">
        <v>12</v>
      </c>
      <c r="V865" s="463">
        <v>0</v>
      </c>
      <c r="W865" s="463" t="s">
        <v>537</v>
      </c>
      <c r="X865" s="463">
        <v>13</v>
      </c>
      <c r="Y865" s="463" t="s">
        <v>537</v>
      </c>
      <c r="Z865" s="463">
        <v>92</v>
      </c>
      <c r="AA865" s="472" t="s">
        <v>547</v>
      </c>
      <c r="AB865" s="463" t="s">
        <v>539</v>
      </c>
      <c r="AC865" s="463" t="s">
        <v>539</v>
      </c>
      <c r="AD865" s="472" t="s">
        <v>699</v>
      </c>
      <c r="AE865" s="463">
        <v>1</v>
      </c>
      <c r="AF865" s="463">
        <v>1</v>
      </c>
      <c r="AG865" s="463" t="s">
        <v>375</v>
      </c>
      <c r="AH865" s="476"/>
      <c r="AI865" s="472">
        <v>973618558</v>
      </c>
      <c r="AJ865" s="464"/>
    </row>
    <row r="866" spans="2:36" ht="24" hidden="1" customHeight="1">
      <c r="B866" s="463">
        <v>694</v>
      </c>
      <c r="C866" s="464" t="s">
        <v>534</v>
      </c>
      <c r="D866" s="464"/>
      <c r="E866" s="464" t="s">
        <v>535</v>
      </c>
      <c r="F866" s="464"/>
      <c r="G866" s="464" t="s">
        <v>192</v>
      </c>
      <c r="H866" s="464" t="s">
        <v>2326</v>
      </c>
      <c r="I866" s="465" t="s">
        <v>537</v>
      </c>
      <c r="J866" s="466">
        <v>300000</v>
      </c>
      <c r="K866" s="465" t="s">
        <v>537</v>
      </c>
      <c r="L866" s="465" t="s">
        <v>537</v>
      </c>
      <c r="M866" s="466">
        <v>207860</v>
      </c>
      <c r="N866" s="465" t="s">
        <v>537</v>
      </c>
      <c r="O866" s="463" t="s">
        <v>537</v>
      </c>
      <c r="P866" s="463" t="s">
        <v>537</v>
      </c>
      <c r="Q866" s="468">
        <v>92140</v>
      </c>
      <c r="R866" s="463" t="s">
        <v>599</v>
      </c>
      <c r="S866" s="463" t="s">
        <v>2327</v>
      </c>
      <c r="T866" s="463">
        <v>10</v>
      </c>
      <c r="U866" s="463">
        <v>2</v>
      </c>
      <c r="V866" s="463">
        <v>0</v>
      </c>
      <c r="W866" s="463">
        <v>10</v>
      </c>
      <c r="X866" s="463">
        <v>2</v>
      </c>
      <c r="Y866" s="463" t="s">
        <v>537</v>
      </c>
      <c r="Z866" s="463">
        <v>92</v>
      </c>
      <c r="AA866" s="472" t="s">
        <v>547</v>
      </c>
      <c r="AB866" s="463" t="s">
        <v>539</v>
      </c>
      <c r="AC866" s="463" t="s">
        <v>539</v>
      </c>
      <c r="AD866" s="472" t="s">
        <v>699</v>
      </c>
      <c r="AE866" s="463">
        <v>1</v>
      </c>
      <c r="AF866" s="463">
        <v>1</v>
      </c>
      <c r="AG866" s="463" t="s">
        <v>375</v>
      </c>
      <c r="AH866" s="476"/>
      <c r="AI866" s="472">
        <v>973618558</v>
      </c>
      <c r="AJ866" s="464"/>
    </row>
    <row r="867" spans="2:36" ht="24" hidden="1" customHeight="1">
      <c r="B867" s="463">
        <v>695</v>
      </c>
      <c r="C867" s="464" t="s">
        <v>534</v>
      </c>
      <c r="D867" s="464"/>
      <c r="E867" s="464" t="s">
        <v>535</v>
      </c>
      <c r="F867" s="464"/>
      <c r="G867" s="464" t="s">
        <v>192</v>
      </c>
      <c r="H867" s="464" t="s">
        <v>2328</v>
      </c>
      <c r="I867" s="465" t="s">
        <v>537</v>
      </c>
      <c r="J867" s="466">
        <v>200000</v>
      </c>
      <c r="K867" s="465" t="s">
        <v>537</v>
      </c>
      <c r="L867" s="465" t="s">
        <v>537</v>
      </c>
      <c r="M867" s="466">
        <v>161621</v>
      </c>
      <c r="N867" s="465" t="s">
        <v>537</v>
      </c>
      <c r="O867" s="463" t="s">
        <v>537</v>
      </c>
      <c r="P867" s="463" t="s">
        <v>537</v>
      </c>
      <c r="Q867" s="468">
        <v>38379</v>
      </c>
      <c r="R867" s="463" t="s">
        <v>2329</v>
      </c>
      <c r="S867" s="463" t="s">
        <v>1885</v>
      </c>
      <c r="T867" s="463">
        <v>14</v>
      </c>
      <c r="U867" s="463">
        <v>1</v>
      </c>
      <c r="V867" s="463">
        <v>0</v>
      </c>
      <c r="W867" s="463">
        <v>15</v>
      </c>
      <c r="X867" s="463">
        <v>1</v>
      </c>
      <c r="Y867" s="463" t="s">
        <v>537</v>
      </c>
      <c r="Z867" s="463">
        <v>80</v>
      </c>
      <c r="AA867" s="472" t="s">
        <v>547</v>
      </c>
      <c r="AB867" s="463" t="s">
        <v>539</v>
      </c>
      <c r="AC867" s="463" t="s">
        <v>539</v>
      </c>
      <c r="AD867" s="472" t="s">
        <v>699</v>
      </c>
      <c r="AE867" s="463">
        <v>1</v>
      </c>
      <c r="AF867" s="463" t="s">
        <v>539</v>
      </c>
      <c r="AG867" s="463" t="s">
        <v>375</v>
      </c>
      <c r="AH867" s="476"/>
      <c r="AI867" s="472">
        <v>973518191</v>
      </c>
      <c r="AJ867" s="464"/>
    </row>
    <row r="868" spans="2:36" ht="24" hidden="1" customHeight="1">
      <c r="B868" s="463">
        <v>696</v>
      </c>
      <c r="C868" s="464" t="s">
        <v>534</v>
      </c>
      <c r="D868" s="464"/>
      <c r="E868" s="464" t="s">
        <v>535</v>
      </c>
      <c r="F868" s="464"/>
      <c r="G868" s="464" t="s">
        <v>192</v>
      </c>
      <c r="H868" s="464" t="s">
        <v>2330</v>
      </c>
      <c r="I868" s="465" t="s">
        <v>537</v>
      </c>
      <c r="J868" s="466">
        <v>200000</v>
      </c>
      <c r="K868" s="465" t="s">
        <v>537</v>
      </c>
      <c r="L868" s="465" t="s">
        <v>537</v>
      </c>
      <c r="M868" s="466">
        <v>114873</v>
      </c>
      <c r="N868" s="465" t="s">
        <v>537</v>
      </c>
      <c r="O868" s="463" t="s">
        <v>537</v>
      </c>
      <c r="P868" s="463" t="s">
        <v>537</v>
      </c>
      <c r="Q868" s="468">
        <v>85127</v>
      </c>
      <c r="R868" s="463" t="s">
        <v>552</v>
      </c>
      <c r="S868" s="463" t="s">
        <v>2331</v>
      </c>
      <c r="T868" s="463">
        <v>5</v>
      </c>
      <c r="U868" s="463">
        <v>0</v>
      </c>
      <c r="V868" s="463">
        <v>0</v>
      </c>
      <c r="W868" s="463">
        <v>5</v>
      </c>
      <c r="X868" s="463" t="s">
        <v>537</v>
      </c>
      <c r="Y868" s="463" t="s">
        <v>537</v>
      </c>
      <c r="Z868" s="463">
        <v>92</v>
      </c>
      <c r="AA868" s="472" t="s">
        <v>547</v>
      </c>
      <c r="AB868" s="463" t="s">
        <v>539</v>
      </c>
      <c r="AC868" s="463" t="s">
        <v>539</v>
      </c>
      <c r="AD868" s="472" t="s">
        <v>699</v>
      </c>
      <c r="AE868" s="463">
        <v>1</v>
      </c>
      <c r="AF868" s="463">
        <v>1</v>
      </c>
      <c r="AG868" s="463" t="s">
        <v>375</v>
      </c>
      <c r="AH868" s="476"/>
      <c r="AI868" s="472">
        <v>97351819</v>
      </c>
      <c r="AJ868" s="464"/>
    </row>
    <row r="869" spans="2:36" ht="24" hidden="1" customHeight="1">
      <c r="B869" s="463">
        <v>697</v>
      </c>
      <c r="C869" s="464" t="s">
        <v>534</v>
      </c>
      <c r="D869" s="464"/>
      <c r="E869" s="464" t="s">
        <v>535</v>
      </c>
      <c r="F869" s="464"/>
      <c r="G869" s="464" t="s">
        <v>192</v>
      </c>
      <c r="H869" s="464" t="s">
        <v>2332</v>
      </c>
      <c r="I869" s="465" t="s">
        <v>537</v>
      </c>
      <c r="J869" s="466">
        <v>500000</v>
      </c>
      <c r="K869" s="465" t="s">
        <v>537</v>
      </c>
      <c r="L869" s="465" t="s">
        <v>537</v>
      </c>
      <c r="M869" s="466">
        <v>89450</v>
      </c>
      <c r="N869" s="465" t="s">
        <v>537</v>
      </c>
      <c r="O869" s="463" t="s">
        <v>537</v>
      </c>
      <c r="P869" s="463" t="s">
        <v>537</v>
      </c>
      <c r="Q869" s="468">
        <v>410550</v>
      </c>
      <c r="R869" s="463" t="s">
        <v>1453</v>
      </c>
      <c r="S869" s="463" t="s">
        <v>1118</v>
      </c>
      <c r="T869" s="463">
        <v>0</v>
      </c>
      <c r="U869" s="463">
        <v>21</v>
      </c>
      <c r="V869" s="463">
        <v>15</v>
      </c>
      <c r="W869" s="463" t="s">
        <v>537</v>
      </c>
      <c r="X869" s="463">
        <v>26</v>
      </c>
      <c r="Y869" s="463">
        <v>15</v>
      </c>
      <c r="Z869" s="463">
        <v>90</v>
      </c>
      <c r="AA869" s="472" t="s">
        <v>547</v>
      </c>
      <c r="AB869" s="463" t="s">
        <v>539</v>
      </c>
      <c r="AC869" s="463" t="s">
        <v>539</v>
      </c>
      <c r="AD869" s="472" t="s">
        <v>699</v>
      </c>
      <c r="AE869" s="463">
        <v>1</v>
      </c>
      <c r="AF869" s="463">
        <v>1</v>
      </c>
      <c r="AG869" s="463" t="s">
        <v>375</v>
      </c>
      <c r="AH869" s="476"/>
      <c r="AI869" s="472">
        <v>973618558</v>
      </c>
      <c r="AJ869" s="464"/>
    </row>
    <row r="870" spans="2:36" ht="24" hidden="1" customHeight="1">
      <c r="B870" s="463">
        <v>698</v>
      </c>
      <c r="C870" s="464" t="s">
        <v>534</v>
      </c>
      <c r="D870" s="464"/>
      <c r="E870" s="464" t="s">
        <v>535</v>
      </c>
      <c r="F870" s="464"/>
      <c r="G870" s="464" t="s">
        <v>192</v>
      </c>
      <c r="H870" s="464" t="s">
        <v>2333</v>
      </c>
      <c r="I870" s="465" t="s">
        <v>537</v>
      </c>
      <c r="J870" s="466">
        <v>400000</v>
      </c>
      <c r="K870" s="465" t="s">
        <v>537</v>
      </c>
      <c r="L870" s="465" t="s">
        <v>537</v>
      </c>
      <c r="M870" s="466">
        <v>185168</v>
      </c>
      <c r="N870" s="465" t="s">
        <v>537</v>
      </c>
      <c r="O870" s="463" t="s">
        <v>537</v>
      </c>
      <c r="P870" s="463" t="s">
        <v>537</v>
      </c>
      <c r="Q870" s="468">
        <v>214832</v>
      </c>
      <c r="R870" s="463" t="s">
        <v>552</v>
      </c>
      <c r="S870" s="463" t="s">
        <v>1118</v>
      </c>
      <c r="T870" s="463">
        <v>0</v>
      </c>
      <c r="U870" s="463">
        <v>9</v>
      </c>
      <c r="V870" s="463">
        <v>14</v>
      </c>
      <c r="W870" s="463" t="s">
        <v>537</v>
      </c>
      <c r="X870" s="463">
        <v>15</v>
      </c>
      <c r="Y870" s="463">
        <v>8</v>
      </c>
      <c r="Z870" s="463">
        <v>92</v>
      </c>
      <c r="AA870" s="472" t="s">
        <v>633</v>
      </c>
      <c r="AB870" s="463" t="s">
        <v>539</v>
      </c>
      <c r="AC870" s="463" t="s">
        <v>539</v>
      </c>
      <c r="AD870" s="472" t="s">
        <v>635</v>
      </c>
      <c r="AE870" s="463" t="s">
        <v>539</v>
      </c>
      <c r="AF870" s="463" t="s">
        <v>539</v>
      </c>
      <c r="AG870" s="463" t="s">
        <v>375</v>
      </c>
      <c r="AH870" s="476"/>
      <c r="AI870" s="472">
        <v>973518191</v>
      </c>
      <c r="AJ870" s="464"/>
    </row>
    <row r="871" spans="2:36" ht="24" hidden="1" customHeight="1">
      <c r="B871" s="463">
        <v>699</v>
      </c>
      <c r="C871" s="464" t="s">
        <v>534</v>
      </c>
      <c r="D871" s="464"/>
      <c r="E871" s="464" t="s">
        <v>535</v>
      </c>
      <c r="F871" s="464"/>
      <c r="G871" s="464" t="s">
        <v>192</v>
      </c>
      <c r="H871" s="464" t="s">
        <v>2334</v>
      </c>
      <c r="I871" s="465" t="s">
        <v>537</v>
      </c>
      <c r="J871" s="466">
        <v>140000</v>
      </c>
      <c r="K871" s="465" t="s">
        <v>537</v>
      </c>
      <c r="L871" s="465" t="s">
        <v>537</v>
      </c>
      <c r="M871" s="466">
        <v>85686</v>
      </c>
      <c r="N871" s="465" t="s">
        <v>537</v>
      </c>
      <c r="O871" s="463" t="s">
        <v>537</v>
      </c>
      <c r="P871" s="463" t="s">
        <v>537</v>
      </c>
      <c r="Q871" s="468">
        <v>54314</v>
      </c>
      <c r="R871" s="470">
        <v>241518</v>
      </c>
      <c r="S871" s="463" t="s">
        <v>2335</v>
      </c>
      <c r="T871" s="463">
        <v>0</v>
      </c>
      <c r="U871" s="463">
        <v>15</v>
      </c>
      <c r="V871" s="463">
        <v>0</v>
      </c>
      <c r="W871" s="463" t="s">
        <v>537</v>
      </c>
      <c r="X871" s="463">
        <v>13</v>
      </c>
      <c r="Y871" s="464"/>
      <c r="Z871" s="463">
        <v>80</v>
      </c>
      <c r="AA871" s="472" t="s">
        <v>1907</v>
      </c>
      <c r="AB871" s="463" t="s">
        <v>539</v>
      </c>
      <c r="AC871" s="463" t="s">
        <v>539</v>
      </c>
      <c r="AD871" s="472" t="s">
        <v>565</v>
      </c>
      <c r="AE871" s="463">
        <v>80</v>
      </c>
      <c r="AF871" s="463">
        <v>80</v>
      </c>
      <c r="AG871" s="463" t="s">
        <v>375</v>
      </c>
      <c r="AH871" s="476"/>
      <c r="AI871" s="472">
        <v>852237206</v>
      </c>
      <c r="AJ871" s="464"/>
    </row>
    <row r="872" spans="2:36" ht="24" hidden="1" customHeight="1">
      <c r="B872" s="463">
        <v>700</v>
      </c>
      <c r="C872" s="464" t="s">
        <v>534</v>
      </c>
      <c r="D872" s="464"/>
      <c r="E872" s="464" t="s">
        <v>535</v>
      </c>
      <c r="F872" s="464"/>
      <c r="G872" s="464" t="s">
        <v>192</v>
      </c>
      <c r="H872" s="464" t="s">
        <v>2336</v>
      </c>
      <c r="I872" s="465" t="s">
        <v>537</v>
      </c>
      <c r="J872" s="466">
        <v>90000</v>
      </c>
      <c r="K872" s="465" t="s">
        <v>537</v>
      </c>
      <c r="L872" s="465" t="s">
        <v>537</v>
      </c>
      <c r="M872" s="466">
        <v>72764</v>
      </c>
      <c r="N872" s="465" t="s">
        <v>537</v>
      </c>
      <c r="O872" s="463" t="s">
        <v>537</v>
      </c>
      <c r="P872" s="463" t="s">
        <v>537</v>
      </c>
      <c r="Q872" s="468">
        <v>17236</v>
      </c>
      <c r="R872" s="463" t="s">
        <v>646</v>
      </c>
      <c r="S872" s="463" t="s">
        <v>2337</v>
      </c>
      <c r="T872" s="463">
        <v>0</v>
      </c>
      <c r="U872" s="463">
        <v>111</v>
      </c>
      <c r="V872" s="463">
        <v>2</v>
      </c>
      <c r="W872" s="463">
        <v>0</v>
      </c>
      <c r="X872" s="463">
        <v>132</v>
      </c>
      <c r="Y872" s="463">
        <v>1</v>
      </c>
      <c r="Z872" s="463">
        <v>90.65</v>
      </c>
      <c r="AA872" s="472" t="s">
        <v>547</v>
      </c>
      <c r="AB872" s="463" t="s">
        <v>539</v>
      </c>
      <c r="AC872" s="463" t="s">
        <v>539</v>
      </c>
      <c r="AD872" s="472" t="s">
        <v>548</v>
      </c>
      <c r="AE872" s="463">
        <v>80</v>
      </c>
      <c r="AF872" s="463">
        <v>100</v>
      </c>
      <c r="AG872" s="463" t="s">
        <v>375</v>
      </c>
      <c r="AH872" s="476"/>
      <c r="AI872" s="472" t="s">
        <v>2321</v>
      </c>
      <c r="AJ872" s="464"/>
    </row>
    <row r="873" spans="2:36" ht="24" hidden="1" customHeight="1">
      <c r="B873" s="463">
        <v>701</v>
      </c>
      <c r="C873" s="464" t="s">
        <v>534</v>
      </c>
      <c r="D873" s="464"/>
      <c r="E873" s="464" t="s">
        <v>535</v>
      </c>
      <c r="F873" s="464"/>
      <c r="G873" s="464" t="s">
        <v>192</v>
      </c>
      <c r="H873" s="464" t="s">
        <v>2338</v>
      </c>
      <c r="I873" s="465" t="s">
        <v>537</v>
      </c>
      <c r="J873" s="466">
        <v>180000</v>
      </c>
      <c r="K873" s="465" t="s">
        <v>537</v>
      </c>
      <c r="L873" s="465" t="s">
        <v>537</v>
      </c>
      <c r="M873" s="466">
        <v>163880</v>
      </c>
      <c r="N873" s="465" t="s">
        <v>537</v>
      </c>
      <c r="O873" s="463" t="s">
        <v>537</v>
      </c>
      <c r="P873" s="463" t="s">
        <v>537</v>
      </c>
      <c r="Q873" s="468">
        <v>16120</v>
      </c>
      <c r="R873" s="470">
        <v>241640</v>
      </c>
      <c r="S873" s="463" t="s">
        <v>2339</v>
      </c>
      <c r="T873" s="463">
        <v>15</v>
      </c>
      <c r="U873" s="463">
        <v>332</v>
      </c>
      <c r="V873" s="463">
        <v>21</v>
      </c>
      <c r="W873" s="463">
        <v>15</v>
      </c>
      <c r="X873" s="463">
        <v>156</v>
      </c>
      <c r="Y873" s="463">
        <v>9</v>
      </c>
      <c r="Z873" s="463">
        <v>84</v>
      </c>
      <c r="AA873" s="472" t="s">
        <v>547</v>
      </c>
      <c r="AB873" s="463" t="s">
        <v>539</v>
      </c>
      <c r="AC873" s="463" t="s">
        <v>539</v>
      </c>
      <c r="AD873" s="472" t="s">
        <v>548</v>
      </c>
      <c r="AE873" s="463">
        <v>80</v>
      </c>
      <c r="AF873" s="463">
        <v>100</v>
      </c>
      <c r="AG873" s="463" t="s">
        <v>375</v>
      </c>
      <c r="AH873" s="476"/>
      <c r="AI873" s="472">
        <v>74317142</v>
      </c>
      <c r="AJ873" s="464"/>
    </row>
    <row r="874" spans="2:36" ht="24" hidden="1" customHeight="1">
      <c r="B874" s="463">
        <v>702</v>
      </c>
      <c r="C874" s="464" t="s">
        <v>534</v>
      </c>
      <c r="D874" s="464"/>
      <c r="E874" s="464" t="s">
        <v>535</v>
      </c>
      <c r="F874" s="464"/>
      <c r="G874" s="464" t="s">
        <v>192</v>
      </c>
      <c r="H874" s="464" t="s">
        <v>892</v>
      </c>
      <c r="I874" s="465" t="s">
        <v>537</v>
      </c>
      <c r="J874" s="466">
        <v>62000</v>
      </c>
      <c r="K874" s="465" t="s">
        <v>537</v>
      </c>
      <c r="L874" s="465" t="s">
        <v>537</v>
      </c>
      <c r="M874" s="465">
        <v>0</v>
      </c>
      <c r="N874" s="465" t="s">
        <v>537</v>
      </c>
      <c r="O874" s="467">
        <v>57330</v>
      </c>
      <c r="P874" s="463" t="s">
        <v>537</v>
      </c>
      <c r="Q874" s="468">
        <v>4670</v>
      </c>
      <c r="R874" s="470">
        <v>241609</v>
      </c>
      <c r="S874" s="463" t="s">
        <v>2339</v>
      </c>
      <c r="T874" s="463">
        <v>10</v>
      </c>
      <c r="U874" s="463">
        <v>38</v>
      </c>
      <c r="V874" s="463">
        <v>17</v>
      </c>
      <c r="W874" s="464"/>
      <c r="X874" s="464"/>
      <c r="Y874" s="464"/>
      <c r="Z874" s="464"/>
      <c r="AA874" s="472" t="s">
        <v>547</v>
      </c>
      <c r="AB874" s="463" t="s">
        <v>539</v>
      </c>
      <c r="AC874" s="463" t="s">
        <v>539</v>
      </c>
      <c r="AD874" s="472" t="s">
        <v>548</v>
      </c>
      <c r="AE874" s="463">
        <v>80</v>
      </c>
      <c r="AF874" s="463">
        <v>100</v>
      </c>
      <c r="AG874" s="463" t="s">
        <v>375</v>
      </c>
      <c r="AH874" s="476"/>
      <c r="AI874" s="464"/>
      <c r="AJ874" s="464"/>
    </row>
    <row r="875" spans="2:36" ht="24" hidden="1" customHeight="1">
      <c r="B875" s="463">
        <v>703</v>
      </c>
      <c r="C875" s="464" t="s">
        <v>534</v>
      </c>
      <c r="D875" s="464"/>
      <c r="E875" s="464" t="s">
        <v>535</v>
      </c>
      <c r="F875" s="464"/>
      <c r="G875" s="464" t="s">
        <v>192</v>
      </c>
      <c r="H875" s="464" t="s">
        <v>2340</v>
      </c>
      <c r="I875" s="465" t="s">
        <v>537</v>
      </c>
      <c r="J875" s="466">
        <v>180000</v>
      </c>
      <c r="K875" s="465" t="s">
        <v>537</v>
      </c>
      <c r="L875" s="465" t="s">
        <v>537</v>
      </c>
      <c r="M875" s="466">
        <v>149760</v>
      </c>
      <c r="N875" s="465" t="s">
        <v>537</v>
      </c>
      <c r="O875" s="463" t="s">
        <v>537</v>
      </c>
      <c r="P875" s="463" t="s">
        <v>537</v>
      </c>
      <c r="Q875" s="468">
        <v>30240</v>
      </c>
      <c r="R875" s="463" t="s">
        <v>1443</v>
      </c>
      <c r="S875" s="463" t="s">
        <v>2341</v>
      </c>
      <c r="T875" s="463">
        <v>25</v>
      </c>
      <c r="U875" s="463">
        <v>14</v>
      </c>
      <c r="V875" s="463">
        <v>31</v>
      </c>
      <c r="W875" s="463">
        <v>25</v>
      </c>
      <c r="X875" s="463">
        <v>14</v>
      </c>
      <c r="Y875" s="463">
        <v>31</v>
      </c>
      <c r="Z875" s="463">
        <v>94</v>
      </c>
      <c r="AA875" s="472" t="s">
        <v>547</v>
      </c>
      <c r="AB875" s="463" t="s">
        <v>539</v>
      </c>
      <c r="AC875" s="463" t="s">
        <v>539</v>
      </c>
      <c r="AD875" s="472" t="s">
        <v>699</v>
      </c>
      <c r="AE875" s="463">
        <v>1</v>
      </c>
      <c r="AF875" s="463">
        <v>1</v>
      </c>
      <c r="AG875" s="463" t="s">
        <v>375</v>
      </c>
      <c r="AH875" s="476"/>
      <c r="AI875" s="472">
        <v>973618558</v>
      </c>
      <c r="AJ875" s="464"/>
    </row>
    <row r="876" spans="2:36" ht="24" hidden="1" customHeight="1">
      <c r="B876" s="463">
        <v>704</v>
      </c>
      <c r="C876" s="464" t="s">
        <v>377</v>
      </c>
      <c r="D876" s="464"/>
      <c r="E876" s="464" t="s">
        <v>602</v>
      </c>
      <c r="F876" s="464"/>
      <c r="G876" s="464" t="s">
        <v>57</v>
      </c>
      <c r="H876" s="464" t="s">
        <v>2342</v>
      </c>
      <c r="I876" s="466">
        <v>50000</v>
      </c>
      <c r="J876" s="465" t="s">
        <v>537</v>
      </c>
      <c r="K876" s="465" t="s">
        <v>537</v>
      </c>
      <c r="L876" s="466">
        <v>50000</v>
      </c>
      <c r="M876" s="465" t="s">
        <v>537</v>
      </c>
      <c r="N876" s="465" t="s">
        <v>537</v>
      </c>
      <c r="O876" s="463" t="s">
        <v>537</v>
      </c>
      <c r="P876" s="463" t="s">
        <v>537</v>
      </c>
      <c r="Q876" s="465">
        <v>0</v>
      </c>
      <c r="R876" s="470">
        <v>241579</v>
      </c>
      <c r="S876" s="471">
        <v>22462</v>
      </c>
      <c r="T876" s="463">
        <v>300</v>
      </c>
      <c r="U876" s="463">
        <v>0</v>
      </c>
      <c r="V876" s="463">
        <v>0</v>
      </c>
      <c r="W876" s="463">
        <v>300</v>
      </c>
      <c r="X876" s="463">
        <v>10</v>
      </c>
      <c r="Y876" s="464"/>
      <c r="Z876" s="463">
        <v>82</v>
      </c>
      <c r="AA876" s="472" t="s">
        <v>619</v>
      </c>
      <c r="AB876" s="463" t="s">
        <v>539</v>
      </c>
      <c r="AC876" s="463" t="s">
        <v>539</v>
      </c>
      <c r="AD876" s="472" t="s">
        <v>565</v>
      </c>
      <c r="AE876" s="463">
        <v>80</v>
      </c>
      <c r="AF876" s="463">
        <v>82</v>
      </c>
      <c r="AG876" s="463" t="s">
        <v>375</v>
      </c>
      <c r="AH876" s="476"/>
      <c r="AI876" s="472" t="s">
        <v>2343</v>
      </c>
      <c r="AJ876" s="464"/>
    </row>
    <row r="877" spans="2:36" ht="24" hidden="1" customHeight="1">
      <c r="B877" s="463">
        <v>705</v>
      </c>
      <c r="C877" s="464" t="s">
        <v>377</v>
      </c>
      <c r="D877" s="464"/>
      <c r="E877" s="464" t="s">
        <v>602</v>
      </c>
      <c r="F877" s="464"/>
      <c r="G877" s="464" t="s">
        <v>57</v>
      </c>
      <c r="H877" s="464" t="s">
        <v>2344</v>
      </c>
      <c r="I877" s="466">
        <v>80000</v>
      </c>
      <c r="J877" s="465" t="s">
        <v>537</v>
      </c>
      <c r="K877" s="465" t="s">
        <v>537</v>
      </c>
      <c r="L877" s="466">
        <v>23778</v>
      </c>
      <c r="M877" s="465" t="s">
        <v>537</v>
      </c>
      <c r="N877" s="465" t="s">
        <v>537</v>
      </c>
      <c r="O877" s="463" t="s">
        <v>537</v>
      </c>
      <c r="P877" s="463" t="s">
        <v>537</v>
      </c>
      <c r="Q877" s="468">
        <v>56222</v>
      </c>
      <c r="R877" s="470">
        <v>241609</v>
      </c>
      <c r="S877" s="471">
        <v>22485</v>
      </c>
      <c r="T877" s="463">
        <v>30</v>
      </c>
      <c r="U877" s="463">
        <v>20</v>
      </c>
      <c r="V877" s="463">
        <v>0</v>
      </c>
      <c r="W877" s="463">
        <v>116</v>
      </c>
      <c r="X877" s="463">
        <v>9</v>
      </c>
      <c r="Y877" s="464"/>
      <c r="Z877" s="463">
        <v>82</v>
      </c>
      <c r="AA877" s="472" t="s">
        <v>619</v>
      </c>
      <c r="AB877" s="463" t="s">
        <v>539</v>
      </c>
      <c r="AC877" s="463" t="s">
        <v>539</v>
      </c>
      <c r="AD877" s="472" t="s">
        <v>2345</v>
      </c>
      <c r="AE877" s="463">
        <v>81</v>
      </c>
      <c r="AF877" s="463">
        <v>83</v>
      </c>
      <c r="AG877" s="463" t="s">
        <v>375</v>
      </c>
      <c r="AH877" s="476"/>
      <c r="AI877" s="472" t="s">
        <v>2346</v>
      </c>
      <c r="AJ877" s="464"/>
    </row>
    <row r="878" spans="2:36" ht="24" hidden="1" customHeight="1">
      <c r="B878" s="463">
        <v>706</v>
      </c>
      <c r="C878" s="464" t="s">
        <v>377</v>
      </c>
      <c r="D878" s="464"/>
      <c r="E878" s="464" t="s">
        <v>602</v>
      </c>
      <c r="F878" s="464"/>
      <c r="G878" s="464" t="s">
        <v>57</v>
      </c>
      <c r="H878" s="464" t="s">
        <v>1229</v>
      </c>
      <c r="I878" s="465" t="s">
        <v>537</v>
      </c>
      <c r="J878" s="466">
        <v>67800</v>
      </c>
      <c r="K878" s="465" t="s">
        <v>537</v>
      </c>
      <c r="L878" s="465" t="s">
        <v>537</v>
      </c>
      <c r="M878" s="466">
        <v>67800</v>
      </c>
      <c r="N878" s="465" t="s">
        <v>537</v>
      </c>
      <c r="O878" s="463" t="s">
        <v>537</v>
      </c>
      <c r="P878" s="463" t="s">
        <v>537</v>
      </c>
      <c r="Q878" s="465">
        <v>0</v>
      </c>
      <c r="R878" s="470">
        <v>241579</v>
      </c>
      <c r="S878" s="463" t="s">
        <v>2347</v>
      </c>
      <c r="T878" s="463">
        <v>520</v>
      </c>
      <c r="U878" s="463">
        <v>0</v>
      </c>
      <c r="V878" s="463">
        <v>0</v>
      </c>
      <c r="W878" s="463">
        <v>682</v>
      </c>
      <c r="X878" s="463">
        <v>65</v>
      </c>
      <c r="Y878" s="463" t="s">
        <v>537</v>
      </c>
      <c r="Z878" s="463">
        <v>90</v>
      </c>
      <c r="AA878" s="472" t="s">
        <v>619</v>
      </c>
      <c r="AB878" s="463" t="s">
        <v>539</v>
      </c>
      <c r="AC878" s="463" t="s">
        <v>539</v>
      </c>
      <c r="AD878" s="472" t="s">
        <v>565</v>
      </c>
      <c r="AE878" s="463">
        <v>80</v>
      </c>
      <c r="AF878" s="463">
        <v>90</v>
      </c>
      <c r="AG878" s="463" t="s">
        <v>375</v>
      </c>
      <c r="AH878" s="476"/>
      <c r="AI878" s="472" t="s">
        <v>2343</v>
      </c>
      <c r="AJ878" s="464"/>
    </row>
    <row r="879" spans="2:36" ht="24" hidden="1" customHeight="1">
      <c r="B879" s="463">
        <v>707</v>
      </c>
      <c r="C879" s="464" t="s">
        <v>377</v>
      </c>
      <c r="D879" s="464"/>
      <c r="E879" s="464" t="s">
        <v>602</v>
      </c>
      <c r="F879" s="464"/>
      <c r="G879" s="464" t="s">
        <v>57</v>
      </c>
      <c r="H879" s="464" t="s">
        <v>2348</v>
      </c>
      <c r="I879" s="465" t="s">
        <v>537</v>
      </c>
      <c r="J879" s="466">
        <v>12000</v>
      </c>
      <c r="K879" s="465" t="s">
        <v>537</v>
      </c>
      <c r="L879" s="465" t="s">
        <v>537</v>
      </c>
      <c r="M879" s="466">
        <v>12000</v>
      </c>
      <c r="N879" s="465" t="s">
        <v>537</v>
      </c>
      <c r="O879" s="463" t="s">
        <v>537</v>
      </c>
      <c r="P879" s="463" t="s">
        <v>537</v>
      </c>
      <c r="Q879" s="465">
        <v>0</v>
      </c>
      <c r="R879" s="470">
        <v>241579</v>
      </c>
      <c r="S879" s="471">
        <v>22462</v>
      </c>
      <c r="T879" s="463">
        <v>40</v>
      </c>
      <c r="U879" s="463">
        <v>10</v>
      </c>
      <c r="V879" s="463">
        <v>0</v>
      </c>
      <c r="W879" s="463">
        <v>143</v>
      </c>
      <c r="X879" s="463">
        <v>9</v>
      </c>
      <c r="Y879" s="463" t="s">
        <v>537</v>
      </c>
      <c r="Z879" s="463">
        <v>88</v>
      </c>
      <c r="AA879" s="472" t="s">
        <v>619</v>
      </c>
      <c r="AB879" s="463" t="s">
        <v>539</v>
      </c>
      <c r="AC879" s="463" t="s">
        <v>539</v>
      </c>
      <c r="AD879" s="472" t="s">
        <v>565</v>
      </c>
      <c r="AE879" s="463">
        <v>80</v>
      </c>
      <c r="AF879" s="463">
        <v>88</v>
      </c>
      <c r="AG879" s="463" t="s">
        <v>375</v>
      </c>
      <c r="AH879" s="476"/>
      <c r="AI879" s="472" t="s">
        <v>2349</v>
      </c>
      <c r="AJ879" s="464"/>
    </row>
    <row r="880" spans="2:36" ht="24" hidden="1" customHeight="1">
      <c r="B880" s="463">
        <v>708</v>
      </c>
      <c r="C880" s="464" t="s">
        <v>534</v>
      </c>
      <c r="D880" s="464"/>
      <c r="E880" s="464" t="s">
        <v>535</v>
      </c>
      <c r="F880" s="464"/>
      <c r="G880" s="464" t="s">
        <v>57</v>
      </c>
      <c r="H880" s="464" t="s">
        <v>2350</v>
      </c>
      <c r="I880" s="465" t="s">
        <v>537</v>
      </c>
      <c r="J880" s="466">
        <v>4600</v>
      </c>
      <c r="K880" s="465" t="s">
        <v>537</v>
      </c>
      <c r="L880" s="465" t="s">
        <v>537</v>
      </c>
      <c r="M880" s="466">
        <v>4520</v>
      </c>
      <c r="N880" s="465" t="s">
        <v>537</v>
      </c>
      <c r="O880" s="463" t="s">
        <v>537</v>
      </c>
      <c r="P880" s="463" t="s">
        <v>537</v>
      </c>
      <c r="Q880" s="465">
        <v>80</v>
      </c>
      <c r="R880" s="463" t="s">
        <v>643</v>
      </c>
      <c r="S880" s="471">
        <v>22448</v>
      </c>
      <c r="T880" s="463">
        <v>20</v>
      </c>
      <c r="U880" s="463">
        <v>5</v>
      </c>
      <c r="V880" s="463">
        <v>0</v>
      </c>
      <c r="W880" s="463">
        <v>7</v>
      </c>
      <c r="X880" s="463">
        <v>6</v>
      </c>
      <c r="Y880" s="464"/>
      <c r="Z880" s="463">
        <v>98.4</v>
      </c>
      <c r="AA880" s="472" t="s">
        <v>547</v>
      </c>
      <c r="AB880" s="463" t="s">
        <v>539</v>
      </c>
      <c r="AC880" s="463" t="s">
        <v>539</v>
      </c>
      <c r="AD880" s="472" t="s">
        <v>548</v>
      </c>
      <c r="AE880" s="463">
        <v>80</v>
      </c>
      <c r="AF880" s="463">
        <v>100</v>
      </c>
      <c r="AG880" s="463" t="s">
        <v>375</v>
      </c>
      <c r="AH880" s="476"/>
      <c r="AI880" s="472" t="s">
        <v>2351</v>
      </c>
      <c r="AJ880" s="464"/>
    </row>
    <row r="881" spans="2:36" ht="24" hidden="1" customHeight="1">
      <c r="B881" s="463">
        <v>709</v>
      </c>
      <c r="C881" s="464" t="s">
        <v>534</v>
      </c>
      <c r="D881" s="464"/>
      <c r="E881" s="464" t="s">
        <v>535</v>
      </c>
      <c r="F881" s="464"/>
      <c r="G881" s="464" t="s">
        <v>57</v>
      </c>
      <c r="H881" s="464" t="s">
        <v>2352</v>
      </c>
      <c r="I881" s="465" t="s">
        <v>537</v>
      </c>
      <c r="J881" s="465" t="s">
        <v>537</v>
      </c>
      <c r="K881" s="466">
        <v>8580</v>
      </c>
      <c r="L881" s="465" t="s">
        <v>537</v>
      </c>
      <c r="M881" s="465" t="s">
        <v>537</v>
      </c>
      <c r="N881" s="466">
        <v>4620</v>
      </c>
      <c r="O881" s="463" t="s">
        <v>537</v>
      </c>
      <c r="P881" s="463" t="s">
        <v>537</v>
      </c>
      <c r="Q881" s="468">
        <v>3960</v>
      </c>
      <c r="R881" s="470">
        <v>241487</v>
      </c>
      <c r="S881" s="471">
        <v>22343</v>
      </c>
      <c r="T881" s="463">
        <v>96</v>
      </c>
      <c r="U881" s="463">
        <v>0</v>
      </c>
      <c r="V881" s="463">
        <v>0</v>
      </c>
      <c r="W881" s="463">
        <v>70</v>
      </c>
      <c r="X881" s="464"/>
      <c r="Y881" s="464"/>
      <c r="Z881" s="463">
        <v>90.6</v>
      </c>
      <c r="AA881" s="472" t="s">
        <v>547</v>
      </c>
      <c r="AB881" s="463" t="s">
        <v>539</v>
      </c>
      <c r="AC881" s="463" t="s">
        <v>539</v>
      </c>
      <c r="AD881" s="472" t="s">
        <v>548</v>
      </c>
      <c r="AE881" s="463">
        <v>80</v>
      </c>
      <c r="AF881" s="463">
        <v>81.349999999999994</v>
      </c>
      <c r="AG881" s="463" t="s">
        <v>375</v>
      </c>
      <c r="AH881" s="476"/>
      <c r="AI881" s="472" t="s">
        <v>2353</v>
      </c>
      <c r="AJ881" s="472" t="s">
        <v>792</v>
      </c>
    </row>
    <row r="882" spans="2:36" ht="24" hidden="1" customHeight="1">
      <c r="B882" s="463">
        <v>710</v>
      </c>
      <c r="C882" s="464" t="s">
        <v>534</v>
      </c>
      <c r="D882" s="464"/>
      <c r="E882" s="464" t="s">
        <v>535</v>
      </c>
      <c r="F882" s="464"/>
      <c r="G882" s="464" t="s">
        <v>57</v>
      </c>
      <c r="H882" s="464" t="s">
        <v>2354</v>
      </c>
      <c r="I882" s="465" t="s">
        <v>537</v>
      </c>
      <c r="J882" s="465" t="s">
        <v>537</v>
      </c>
      <c r="K882" s="466">
        <v>2880</v>
      </c>
      <c r="L882" s="465" t="s">
        <v>537</v>
      </c>
      <c r="M882" s="465" t="s">
        <v>537</v>
      </c>
      <c r="N882" s="466">
        <v>2100</v>
      </c>
      <c r="O882" s="463" t="s">
        <v>537</v>
      </c>
      <c r="P882" s="463" t="s">
        <v>537</v>
      </c>
      <c r="Q882" s="465">
        <v>780</v>
      </c>
      <c r="R882" s="463" t="s">
        <v>643</v>
      </c>
      <c r="S882" s="463" t="s">
        <v>1152</v>
      </c>
      <c r="T882" s="463">
        <v>96</v>
      </c>
      <c r="U882" s="463">
        <v>0</v>
      </c>
      <c r="V882" s="463">
        <v>0</v>
      </c>
      <c r="W882" s="463">
        <v>312</v>
      </c>
      <c r="X882" s="463">
        <v>31</v>
      </c>
      <c r="Y882" s="464"/>
      <c r="Z882" s="463">
        <v>81.8</v>
      </c>
      <c r="AA882" s="472" t="s">
        <v>547</v>
      </c>
      <c r="AB882" s="463" t="s">
        <v>539</v>
      </c>
      <c r="AC882" s="463" t="s">
        <v>539</v>
      </c>
      <c r="AD882" s="472" t="s">
        <v>548</v>
      </c>
      <c r="AE882" s="463">
        <v>80</v>
      </c>
      <c r="AF882" s="463">
        <v>89.71</v>
      </c>
      <c r="AG882" s="463" t="s">
        <v>375</v>
      </c>
      <c r="AH882" s="476"/>
      <c r="AI882" s="472" t="s">
        <v>2353</v>
      </c>
      <c r="AJ882" s="472" t="s">
        <v>792</v>
      </c>
    </row>
    <row r="883" spans="2:36" ht="24" hidden="1" customHeight="1">
      <c r="B883" s="463">
        <v>711</v>
      </c>
      <c r="C883" s="464" t="s">
        <v>534</v>
      </c>
      <c r="D883" s="464"/>
      <c r="E883" s="464" t="s">
        <v>535</v>
      </c>
      <c r="F883" s="464"/>
      <c r="G883" s="464" t="s">
        <v>57</v>
      </c>
      <c r="H883" s="464" t="s">
        <v>2355</v>
      </c>
      <c r="I883" s="466">
        <v>55000</v>
      </c>
      <c r="J883" s="465" t="s">
        <v>537</v>
      </c>
      <c r="K883" s="465" t="s">
        <v>537</v>
      </c>
      <c r="L883" s="466">
        <v>38000</v>
      </c>
      <c r="M883" s="465" t="s">
        <v>537</v>
      </c>
      <c r="N883" s="465" t="s">
        <v>537</v>
      </c>
      <c r="O883" s="463" t="s">
        <v>537</v>
      </c>
      <c r="P883" s="463" t="s">
        <v>537</v>
      </c>
      <c r="Q883" s="468">
        <v>17000</v>
      </c>
      <c r="R883" s="470">
        <v>241487</v>
      </c>
      <c r="S883" s="463" t="s">
        <v>732</v>
      </c>
      <c r="T883" s="463">
        <v>100</v>
      </c>
      <c r="U883" s="463">
        <v>0</v>
      </c>
      <c r="V883" s="463">
        <v>0</v>
      </c>
      <c r="W883" s="463">
        <v>98</v>
      </c>
      <c r="X883" s="464"/>
      <c r="Y883" s="464"/>
      <c r="Z883" s="463">
        <v>90.6</v>
      </c>
      <c r="AA883" s="472" t="s">
        <v>547</v>
      </c>
      <c r="AB883" s="463" t="s">
        <v>539</v>
      </c>
      <c r="AC883" s="463" t="s">
        <v>539</v>
      </c>
      <c r="AD883" s="472" t="s">
        <v>548</v>
      </c>
      <c r="AE883" s="463">
        <v>80</v>
      </c>
      <c r="AF883" s="463">
        <v>85.71</v>
      </c>
      <c r="AG883" s="463" t="s">
        <v>375</v>
      </c>
      <c r="AH883" s="476"/>
      <c r="AI883" s="472" t="s">
        <v>2356</v>
      </c>
      <c r="AJ883" s="464"/>
    </row>
    <row r="884" spans="2:36" ht="24" hidden="1" customHeight="1">
      <c r="B884" s="463">
        <v>712</v>
      </c>
      <c r="C884" s="464" t="s">
        <v>534</v>
      </c>
      <c r="D884" s="464"/>
      <c r="E884" s="464" t="s">
        <v>535</v>
      </c>
      <c r="F884" s="464"/>
      <c r="G884" s="464" t="s">
        <v>57</v>
      </c>
      <c r="H884" s="464" t="s">
        <v>2357</v>
      </c>
      <c r="I884" s="466">
        <v>90000</v>
      </c>
      <c r="J884" s="465" t="s">
        <v>537</v>
      </c>
      <c r="K884" s="465" t="s">
        <v>537</v>
      </c>
      <c r="L884" s="466">
        <v>90000</v>
      </c>
      <c r="M884" s="465" t="s">
        <v>537</v>
      </c>
      <c r="N884" s="465" t="s">
        <v>537</v>
      </c>
      <c r="O884" s="463" t="s">
        <v>537</v>
      </c>
      <c r="P884" s="463" t="s">
        <v>537</v>
      </c>
      <c r="Q884" s="465">
        <v>0</v>
      </c>
      <c r="R884" s="470">
        <v>241487</v>
      </c>
      <c r="S884" s="463" t="s">
        <v>2358</v>
      </c>
      <c r="T884" s="463">
        <v>56</v>
      </c>
      <c r="U884" s="463">
        <v>10</v>
      </c>
      <c r="V884" s="463">
        <v>0</v>
      </c>
      <c r="W884" s="463">
        <v>56</v>
      </c>
      <c r="X884" s="463">
        <v>17</v>
      </c>
      <c r="Y884" s="464"/>
      <c r="Z884" s="463">
        <v>89.4</v>
      </c>
      <c r="AA884" s="472" t="s">
        <v>547</v>
      </c>
      <c r="AB884" s="463" t="s">
        <v>539</v>
      </c>
      <c r="AC884" s="463" t="s">
        <v>539</v>
      </c>
      <c r="AD884" s="472" t="s">
        <v>548</v>
      </c>
      <c r="AE884" s="463">
        <v>80</v>
      </c>
      <c r="AF884" s="463">
        <v>83.93</v>
      </c>
      <c r="AG884" s="463" t="s">
        <v>375</v>
      </c>
      <c r="AH884" s="476"/>
      <c r="AI884" s="472" t="s">
        <v>2359</v>
      </c>
      <c r="AJ884" s="464"/>
    </row>
    <row r="885" spans="2:36" ht="24" hidden="1" customHeight="1">
      <c r="B885" s="463">
        <v>713</v>
      </c>
      <c r="C885" s="464" t="s">
        <v>534</v>
      </c>
      <c r="D885" s="464"/>
      <c r="E885" s="464" t="s">
        <v>535</v>
      </c>
      <c r="F885" s="464"/>
      <c r="G885" s="464" t="s">
        <v>57</v>
      </c>
      <c r="H885" s="464" t="s">
        <v>2360</v>
      </c>
      <c r="I885" s="466">
        <v>90000</v>
      </c>
      <c r="J885" s="465" t="s">
        <v>537</v>
      </c>
      <c r="K885" s="465" t="s">
        <v>537</v>
      </c>
      <c r="L885" s="466">
        <v>90000</v>
      </c>
      <c r="M885" s="465" t="s">
        <v>537</v>
      </c>
      <c r="N885" s="465" t="s">
        <v>537</v>
      </c>
      <c r="O885" s="463" t="s">
        <v>537</v>
      </c>
      <c r="P885" s="463" t="s">
        <v>537</v>
      </c>
      <c r="Q885" s="465">
        <v>0</v>
      </c>
      <c r="R885" s="470">
        <v>241487</v>
      </c>
      <c r="S885" s="463" t="s">
        <v>2361</v>
      </c>
      <c r="T885" s="463">
        <v>25</v>
      </c>
      <c r="U885" s="463">
        <v>5</v>
      </c>
      <c r="V885" s="463">
        <v>0</v>
      </c>
      <c r="W885" s="463">
        <v>28</v>
      </c>
      <c r="X885" s="463">
        <v>7</v>
      </c>
      <c r="Y885" s="463" t="s">
        <v>537</v>
      </c>
      <c r="Z885" s="463">
        <v>88.2</v>
      </c>
      <c r="AA885" s="472" t="s">
        <v>2362</v>
      </c>
      <c r="AB885" s="463" t="s">
        <v>539</v>
      </c>
      <c r="AC885" s="463" t="s">
        <v>539</v>
      </c>
      <c r="AD885" s="472" t="s">
        <v>635</v>
      </c>
      <c r="AE885" s="463" t="s">
        <v>539</v>
      </c>
      <c r="AF885" s="463" t="s">
        <v>539</v>
      </c>
      <c r="AG885" s="463" t="s">
        <v>375</v>
      </c>
      <c r="AH885" s="476"/>
      <c r="AI885" s="472" t="s">
        <v>2363</v>
      </c>
      <c r="AJ885" s="464"/>
    </row>
    <row r="886" spans="2:36" ht="24" hidden="1" customHeight="1">
      <c r="B886" s="463">
        <v>714</v>
      </c>
      <c r="C886" s="464" t="s">
        <v>534</v>
      </c>
      <c r="D886" s="464"/>
      <c r="E886" s="464" t="s">
        <v>535</v>
      </c>
      <c r="F886" s="464"/>
      <c r="G886" s="464" t="s">
        <v>57</v>
      </c>
      <c r="H886" s="464" t="s">
        <v>2364</v>
      </c>
      <c r="I886" s="465" t="s">
        <v>537</v>
      </c>
      <c r="J886" s="465" t="s">
        <v>537</v>
      </c>
      <c r="K886" s="466">
        <v>25700</v>
      </c>
      <c r="L886" s="465" t="s">
        <v>537</v>
      </c>
      <c r="M886" s="465" t="s">
        <v>537</v>
      </c>
      <c r="N886" s="466">
        <v>22492</v>
      </c>
      <c r="O886" s="463" t="s">
        <v>537</v>
      </c>
      <c r="P886" s="463" t="s">
        <v>537</v>
      </c>
      <c r="Q886" s="468">
        <v>3208</v>
      </c>
      <c r="R886" s="470">
        <v>241459</v>
      </c>
      <c r="S886" s="463" t="s">
        <v>2365</v>
      </c>
      <c r="T886" s="463">
        <v>0</v>
      </c>
      <c r="U886" s="463">
        <v>6</v>
      </c>
      <c r="V886" s="463">
        <v>0</v>
      </c>
      <c r="W886" s="464"/>
      <c r="X886" s="463">
        <v>6</v>
      </c>
      <c r="Y886" s="464"/>
      <c r="Z886" s="463">
        <v>80</v>
      </c>
      <c r="AA886" s="472" t="s">
        <v>2366</v>
      </c>
      <c r="AB886" s="463" t="s">
        <v>539</v>
      </c>
      <c r="AC886" s="463" t="s">
        <v>539</v>
      </c>
      <c r="AD886" s="472" t="s">
        <v>548</v>
      </c>
      <c r="AE886" s="463">
        <v>80</v>
      </c>
      <c r="AF886" s="463">
        <v>85</v>
      </c>
      <c r="AG886" s="463" t="s">
        <v>375</v>
      </c>
      <c r="AH886" s="476"/>
      <c r="AI886" s="472" t="s">
        <v>2367</v>
      </c>
      <c r="AJ886" s="472" t="s">
        <v>543</v>
      </c>
    </row>
    <row r="887" spans="2:36" ht="24" hidden="1" customHeight="1">
      <c r="B887" s="463">
        <v>715</v>
      </c>
      <c r="C887" s="464" t="s">
        <v>534</v>
      </c>
      <c r="D887" s="464"/>
      <c r="E887" s="464" t="s">
        <v>535</v>
      </c>
      <c r="F887" s="464"/>
      <c r="G887" s="464" t="s">
        <v>57</v>
      </c>
      <c r="H887" s="464" t="s">
        <v>2368</v>
      </c>
      <c r="I887" s="466">
        <v>30000</v>
      </c>
      <c r="J887" s="465" t="s">
        <v>537</v>
      </c>
      <c r="K887" s="465" t="s">
        <v>537</v>
      </c>
      <c r="L887" s="466">
        <v>30000</v>
      </c>
      <c r="M887" s="465" t="s">
        <v>537</v>
      </c>
      <c r="N887" s="465" t="s">
        <v>537</v>
      </c>
      <c r="O887" s="463" t="s">
        <v>537</v>
      </c>
      <c r="P887" s="463" t="s">
        <v>537</v>
      </c>
      <c r="Q887" s="465">
        <v>0</v>
      </c>
      <c r="R887" s="463" t="s">
        <v>2369</v>
      </c>
      <c r="S887" s="463" t="s">
        <v>2370</v>
      </c>
      <c r="T887" s="463">
        <v>0</v>
      </c>
      <c r="U887" s="463">
        <v>0</v>
      </c>
      <c r="V887" s="463">
        <v>0</v>
      </c>
      <c r="W887" s="463" t="s">
        <v>537</v>
      </c>
      <c r="X887" s="463" t="s">
        <v>537</v>
      </c>
      <c r="Y887" s="463" t="s">
        <v>537</v>
      </c>
      <c r="Z887" s="463" t="s">
        <v>537</v>
      </c>
      <c r="AA887" s="472" t="s">
        <v>2371</v>
      </c>
      <c r="AB887" s="463" t="s">
        <v>539</v>
      </c>
      <c r="AC887" s="463" t="s">
        <v>539</v>
      </c>
      <c r="AD887" s="472" t="s">
        <v>2372</v>
      </c>
      <c r="AE887" s="463" t="s">
        <v>539</v>
      </c>
      <c r="AF887" s="463" t="s">
        <v>539</v>
      </c>
      <c r="AG887" s="463" t="s">
        <v>375</v>
      </c>
      <c r="AH887" s="476"/>
      <c r="AI887" s="472" t="s">
        <v>2373</v>
      </c>
      <c r="AJ887" s="464"/>
    </row>
    <row r="888" spans="2:36" ht="24" hidden="1" customHeight="1">
      <c r="B888" s="463">
        <v>716</v>
      </c>
      <c r="C888" s="464" t="s">
        <v>534</v>
      </c>
      <c r="D888" s="464"/>
      <c r="E888" s="464" t="s">
        <v>535</v>
      </c>
      <c r="F888" s="464"/>
      <c r="G888" s="464" t="s">
        <v>57</v>
      </c>
      <c r="H888" s="464" t="s">
        <v>2374</v>
      </c>
      <c r="I888" s="466">
        <v>25400</v>
      </c>
      <c r="J888" s="465" t="s">
        <v>537</v>
      </c>
      <c r="K888" s="465" t="s">
        <v>537</v>
      </c>
      <c r="L888" s="466">
        <v>25150</v>
      </c>
      <c r="M888" s="465" t="s">
        <v>537</v>
      </c>
      <c r="N888" s="465" t="s">
        <v>537</v>
      </c>
      <c r="O888" s="463" t="s">
        <v>537</v>
      </c>
      <c r="P888" s="463" t="s">
        <v>537</v>
      </c>
      <c r="Q888" s="465">
        <v>250</v>
      </c>
      <c r="R888" s="463" t="s">
        <v>2369</v>
      </c>
      <c r="S888" s="463" t="s">
        <v>2375</v>
      </c>
      <c r="T888" s="463">
        <v>0</v>
      </c>
      <c r="U888" s="463">
        <v>0</v>
      </c>
      <c r="V888" s="463">
        <v>0</v>
      </c>
      <c r="W888" s="463" t="s">
        <v>537</v>
      </c>
      <c r="X888" s="463" t="s">
        <v>537</v>
      </c>
      <c r="Y888" s="463" t="s">
        <v>537</v>
      </c>
      <c r="Z888" s="463" t="s">
        <v>537</v>
      </c>
      <c r="AA888" s="472" t="s">
        <v>2376</v>
      </c>
      <c r="AB888" s="463" t="s">
        <v>539</v>
      </c>
      <c r="AC888" s="463" t="s">
        <v>539</v>
      </c>
      <c r="AD888" s="472" t="s">
        <v>2377</v>
      </c>
      <c r="AE888" s="463" t="s">
        <v>539</v>
      </c>
      <c r="AF888" s="463" t="s">
        <v>539</v>
      </c>
      <c r="AG888" s="463" t="s">
        <v>375</v>
      </c>
      <c r="AH888" s="476"/>
      <c r="AI888" s="472" t="s">
        <v>2378</v>
      </c>
      <c r="AJ888" s="464"/>
    </row>
    <row r="889" spans="2:36" ht="24" hidden="1" customHeight="1">
      <c r="B889" s="463">
        <v>717</v>
      </c>
      <c r="C889" s="464" t="s">
        <v>534</v>
      </c>
      <c r="D889" s="464"/>
      <c r="E889" s="464" t="s">
        <v>535</v>
      </c>
      <c r="F889" s="464"/>
      <c r="G889" s="464" t="s">
        <v>57</v>
      </c>
      <c r="H889" s="464" t="s">
        <v>2379</v>
      </c>
      <c r="I889" s="466">
        <v>30000</v>
      </c>
      <c r="J889" s="465" t="s">
        <v>537</v>
      </c>
      <c r="K889" s="465" t="s">
        <v>537</v>
      </c>
      <c r="L889" s="466">
        <v>30000</v>
      </c>
      <c r="M889" s="465" t="s">
        <v>537</v>
      </c>
      <c r="N889" s="465" t="s">
        <v>537</v>
      </c>
      <c r="O889" s="463" t="s">
        <v>537</v>
      </c>
      <c r="P889" s="463" t="s">
        <v>537</v>
      </c>
      <c r="Q889" s="465">
        <v>0</v>
      </c>
      <c r="R889" s="470">
        <v>241518</v>
      </c>
      <c r="S889" s="463" t="s">
        <v>2380</v>
      </c>
      <c r="T889" s="463">
        <v>0</v>
      </c>
      <c r="U889" s="463">
        <v>0</v>
      </c>
      <c r="V889" s="463">
        <v>0</v>
      </c>
      <c r="W889" s="463" t="s">
        <v>537</v>
      </c>
      <c r="X889" s="463" t="s">
        <v>537</v>
      </c>
      <c r="Y889" s="463" t="s">
        <v>537</v>
      </c>
      <c r="Z889" s="463" t="s">
        <v>537</v>
      </c>
      <c r="AA889" s="472" t="s">
        <v>2381</v>
      </c>
      <c r="AB889" s="463" t="s">
        <v>539</v>
      </c>
      <c r="AC889" s="463" t="s">
        <v>539</v>
      </c>
      <c r="AD889" s="472" t="s">
        <v>2382</v>
      </c>
      <c r="AE889" s="463" t="s">
        <v>539</v>
      </c>
      <c r="AF889" s="463" t="s">
        <v>539</v>
      </c>
      <c r="AG889" s="463" t="s">
        <v>375</v>
      </c>
      <c r="AH889" s="476"/>
      <c r="AI889" s="472" t="s">
        <v>2383</v>
      </c>
      <c r="AJ889" s="464"/>
    </row>
    <row r="890" spans="2:36" ht="24" hidden="1" customHeight="1">
      <c r="B890" s="463">
        <v>718</v>
      </c>
      <c r="C890" s="464" t="s">
        <v>534</v>
      </c>
      <c r="D890" s="464"/>
      <c r="E890" s="464" t="s">
        <v>535</v>
      </c>
      <c r="F890" s="464"/>
      <c r="G890" s="464" t="s">
        <v>57</v>
      </c>
      <c r="H890" s="464" t="s">
        <v>2384</v>
      </c>
      <c r="I890" s="466">
        <v>30000</v>
      </c>
      <c r="J890" s="465" t="s">
        <v>537</v>
      </c>
      <c r="K890" s="465" t="s">
        <v>537</v>
      </c>
      <c r="L890" s="466">
        <v>28567.84</v>
      </c>
      <c r="M890" s="465" t="s">
        <v>537</v>
      </c>
      <c r="N890" s="465" t="s">
        <v>537</v>
      </c>
      <c r="O890" s="463" t="s">
        <v>537</v>
      </c>
      <c r="P890" s="463" t="s">
        <v>537</v>
      </c>
      <c r="Q890" s="468">
        <v>1432</v>
      </c>
      <c r="R890" s="463" t="s">
        <v>2369</v>
      </c>
      <c r="S890" s="463" t="s">
        <v>2370</v>
      </c>
      <c r="T890" s="463">
        <v>0</v>
      </c>
      <c r="U890" s="463">
        <v>0</v>
      </c>
      <c r="V890" s="463">
        <v>0</v>
      </c>
      <c r="W890" s="463" t="s">
        <v>537</v>
      </c>
      <c r="X890" s="463" t="s">
        <v>537</v>
      </c>
      <c r="Y890" s="463" t="s">
        <v>537</v>
      </c>
      <c r="Z890" s="463" t="s">
        <v>537</v>
      </c>
      <c r="AA890" s="472" t="s">
        <v>2385</v>
      </c>
      <c r="AB890" s="463" t="s">
        <v>539</v>
      </c>
      <c r="AC890" s="463" t="s">
        <v>539</v>
      </c>
      <c r="AD890" s="472" t="s">
        <v>2386</v>
      </c>
      <c r="AE890" s="463" t="s">
        <v>539</v>
      </c>
      <c r="AF890" s="463" t="s">
        <v>539</v>
      </c>
      <c r="AG890" s="463" t="s">
        <v>375</v>
      </c>
      <c r="AH890" s="476"/>
      <c r="AI890" s="472" t="s">
        <v>2387</v>
      </c>
      <c r="AJ890" s="464"/>
    </row>
    <row r="891" spans="2:36" ht="24" hidden="1" customHeight="1">
      <c r="B891" s="463">
        <v>719</v>
      </c>
      <c r="C891" s="464" t="s">
        <v>534</v>
      </c>
      <c r="D891" s="464"/>
      <c r="E891" s="464" t="s">
        <v>535</v>
      </c>
      <c r="F891" s="464"/>
      <c r="G891" s="464" t="s">
        <v>57</v>
      </c>
      <c r="H891" s="464" t="s">
        <v>2388</v>
      </c>
      <c r="I891" s="466">
        <v>28800</v>
      </c>
      <c r="J891" s="465" t="s">
        <v>537</v>
      </c>
      <c r="K891" s="465" t="s">
        <v>537</v>
      </c>
      <c r="L891" s="466">
        <v>28300</v>
      </c>
      <c r="M891" s="465" t="s">
        <v>537</v>
      </c>
      <c r="N891" s="465" t="s">
        <v>537</v>
      </c>
      <c r="O891" s="463" t="s">
        <v>537</v>
      </c>
      <c r="P891" s="463" t="s">
        <v>537</v>
      </c>
      <c r="Q891" s="465">
        <v>500</v>
      </c>
      <c r="R891" s="463" t="s">
        <v>2369</v>
      </c>
      <c r="S891" s="463" t="s">
        <v>2375</v>
      </c>
      <c r="T891" s="463">
        <v>0</v>
      </c>
      <c r="U891" s="463">
        <v>0</v>
      </c>
      <c r="V891" s="463">
        <v>0</v>
      </c>
      <c r="W891" s="463" t="s">
        <v>537</v>
      </c>
      <c r="X891" s="463" t="s">
        <v>537</v>
      </c>
      <c r="Y891" s="463" t="s">
        <v>537</v>
      </c>
      <c r="Z891" s="463" t="s">
        <v>537</v>
      </c>
      <c r="AA891" s="472" t="s">
        <v>2389</v>
      </c>
      <c r="AB891" s="463" t="s">
        <v>539</v>
      </c>
      <c r="AC891" s="463" t="s">
        <v>539</v>
      </c>
      <c r="AD891" s="472" t="s">
        <v>2390</v>
      </c>
      <c r="AE891" s="463" t="s">
        <v>539</v>
      </c>
      <c r="AF891" s="463" t="s">
        <v>539</v>
      </c>
      <c r="AG891" s="463" t="s">
        <v>375</v>
      </c>
      <c r="AH891" s="476"/>
      <c r="AI891" s="472" t="s">
        <v>2391</v>
      </c>
      <c r="AJ891" s="464"/>
    </row>
    <row r="892" spans="2:36" ht="24" hidden="1" customHeight="1">
      <c r="B892" s="463">
        <v>720</v>
      </c>
      <c r="C892" s="464" t="s">
        <v>534</v>
      </c>
      <c r="D892" s="464"/>
      <c r="E892" s="464" t="s">
        <v>535</v>
      </c>
      <c r="F892" s="464"/>
      <c r="G892" s="464" t="s">
        <v>57</v>
      </c>
      <c r="H892" s="464" t="s">
        <v>2392</v>
      </c>
      <c r="I892" s="466">
        <v>30000</v>
      </c>
      <c r="J892" s="465" t="s">
        <v>537</v>
      </c>
      <c r="K892" s="465" t="s">
        <v>537</v>
      </c>
      <c r="L892" s="466">
        <v>30000</v>
      </c>
      <c r="M892" s="465" t="s">
        <v>537</v>
      </c>
      <c r="N892" s="465" t="s">
        <v>537</v>
      </c>
      <c r="O892" s="463" t="s">
        <v>537</v>
      </c>
      <c r="P892" s="463" t="s">
        <v>537</v>
      </c>
      <c r="Q892" s="465">
        <v>0</v>
      </c>
      <c r="R892" s="463" t="s">
        <v>2369</v>
      </c>
      <c r="S892" s="463" t="s">
        <v>2370</v>
      </c>
      <c r="T892" s="463">
        <v>0</v>
      </c>
      <c r="U892" s="463">
        <v>0</v>
      </c>
      <c r="V892" s="463">
        <v>0</v>
      </c>
      <c r="W892" s="463" t="s">
        <v>537</v>
      </c>
      <c r="X892" s="463" t="s">
        <v>537</v>
      </c>
      <c r="Y892" s="463" t="s">
        <v>537</v>
      </c>
      <c r="Z892" s="463" t="s">
        <v>537</v>
      </c>
      <c r="AA892" s="472" t="s">
        <v>2393</v>
      </c>
      <c r="AB892" s="463" t="s">
        <v>539</v>
      </c>
      <c r="AC892" s="463" t="s">
        <v>539</v>
      </c>
      <c r="AD892" s="472" t="s">
        <v>2394</v>
      </c>
      <c r="AE892" s="463" t="s">
        <v>539</v>
      </c>
      <c r="AF892" s="463" t="s">
        <v>539</v>
      </c>
      <c r="AG892" s="463" t="s">
        <v>375</v>
      </c>
      <c r="AH892" s="476"/>
      <c r="AI892" s="472" t="s">
        <v>2395</v>
      </c>
      <c r="AJ892" s="464"/>
    </row>
    <row r="893" spans="2:36" ht="24" hidden="1" customHeight="1">
      <c r="B893" s="463">
        <v>721</v>
      </c>
      <c r="C893" s="464" t="s">
        <v>534</v>
      </c>
      <c r="D893" s="464"/>
      <c r="E893" s="464" t="s">
        <v>535</v>
      </c>
      <c r="F893" s="464"/>
      <c r="G893" s="464" t="s">
        <v>57</v>
      </c>
      <c r="H893" s="464" t="s">
        <v>2396</v>
      </c>
      <c r="I893" s="466">
        <v>30000</v>
      </c>
      <c r="J893" s="465" t="s">
        <v>537</v>
      </c>
      <c r="K893" s="465" t="s">
        <v>537</v>
      </c>
      <c r="L893" s="466">
        <v>29271</v>
      </c>
      <c r="M893" s="465" t="s">
        <v>537</v>
      </c>
      <c r="N893" s="465" t="s">
        <v>537</v>
      </c>
      <c r="O893" s="463" t="s">
        <v>537</v>
      </c>
      <c r="P893" s="463" t="s">
        <v>537</v>
      </c>
      <c r="Q893" s="465">
        <v>729</v>
      </c>
      <c r="R893" s="463" t="s">
        <v>2369</v>
      </c>
      <c r="S893" s="463" t="s">
        <v>2380</v>
      </c>
      <c r="T893" s="463">
        <v>0</v>
      </c>
      <c r="U893" s="463">
        <v>0</v>
      </c>
      <c r="V893" s="463">
        <v>0</v>
      </c>
      <c r="W893" s="463" t="s">
        <v>537</v>
      </c>
      <c r="X893" s="463" t="s">
        <v>537</v>
      </c>
      <c r="Y893" s="463" t="s">
        <v>537</v>
      </c>
      <c r="Z893" s="463" t="s">
        <v>537</v>
      </c>
      <c r="AA893" s="472" t="s">
        <v>2397</v>
      </c>
      <c r="AB893" s="463" t="s">
        <v>539</v>
      </c>
      <c r="AC893" s="463" t="s">
        <v>539</v>
      </c>
      <c r="AD893" s="472" t="s">
        <v>2398</v>
      </c>
      <c r="AE893" s="463" t="s">
        <v>539</v>
      </c>
      <c r="AF893" s="463" t="s">
        <v>539</v>
      </c>
      <c r="AG893" s="463" t="s">
        <v>375</v>
      </c>
      <c r="AH893" s="476"/>
      <c r="AI893" s="472" t="s">
        <v>2399</v>
      </c>
      <c r="AJ893" s="464"/>
    </row>
    <row r="894" spans="2:36" ht="24" hidden="1" customHeight="1">
      <c r="B894" s="463">
        <v>722</v>
      </c>
      <c r="C894" s="464" t="s">
        <v>534</v>
      </c>
      <c r="D894" s="464"/>
      <c r="E894" s="464" t="s">
        <v>535</v>
      </c>
      <c r="F894" s="464"/>
      <c r="G894" s="464" t="s">
        <v>57</v>
      </c>
      <c r="H894" s="464" t="s">
        <v>2400</v>
      </c>
      <c r="I894" s="466">
        <v>30000</v>
      </c>
      <c r="J894" s="465" t="s">
        <v>537</v>
      </c>
      <c r="K894" s="465" t="s">
        <v>537</v>
      </c>
      <c r="L894" s="466">
        <v>30000</v>
      </c>
      <c r="M894" s="465" t="s">
        <v>537</v>
      </c>
      <c r="N894" s="465" t="s">
        <v>537</v>
      </c>
      <c r="O894" s="463" t="s">
        <v>537</v>
      </c>
      <c r="P894" s="463" t="s">
        <v>537</v>
      </c>
      <c r="Q894" s="465">
        <v>0</v>
      </c>
      <c r="R894" s="463" t="s">
        <v>2369</v>
      </c>
      <c r="S894" s="463" t="s">
        <v>2380</v>
      </c>
      <c r="T894" s="463">
        <v>0</v>
      </c>
      <c r="U894" s="463">
        <v>0</v>
      </c>
      <c r="V894" s="463">
        <v>0</v>
      </c>
      <c r="W894" s="463" t="s">
        <v>537</v>
      </c>
      <c r="X894" s="463" t="s">
        <v>537</v>
      </c>
      <c r="Y894" s="463" t="s">
        <v>537</v>
      </c>
      <c r="Z894" s="463" t="s">
        <v>537</v>
      </c>
      <c r="AA894" s="472" t="s">
        <v>2401</v>
      </c>
      <c r="AB894" s="463" t="s">
        <v>539</v>
      </c>
      <c r="AC894" s="463" t="s">
        <v>539</v>
      </c>
      <c r="AD894" s="472" t="s">
        <v>2402</v>
      </c>
      <c r="AE894" s="463" t="s">
        <v>539</v>
      </c>
      <c r="AF894" s="463" t="s">
        <v>539</v>
      </c>
      <c r="AG894" s="463" t="s">
        <v>375</v>
      </c>
      <c r="AH894" s="476"/>
      <c r="AI894" s="472" t="s">
        <v>2399</v>
      </c>
      <c r="AJ894" s="464"/>
    </row>
    <row r="895" spans="2:36" ht="24" hidden="1" customHeight="1">
      <c r="B895" s="463">
        <v>723</v>
      </c>
      <c r="C895" s="464" t="s">
        <v>534</v>
      </c>
      <c r="D895" s="464"/>
      <c r="E895" s="464" t="s">
        <v>535</v>
      </c>
      <c r="F895" s="464"/>
      <c r="G895" s="464" t="s">
        <v>57</v>
      </c>
      <c r="H895" s="464" t="s">
        <v>2403</v>
      </c>
      <c r="I895" s="466">
        <v>30000</v>
      </c>
      <c r="J895" s="465" t="s">
        <v>537</v>
      </c>
      <c r="K895" s="465" t="s">
        <v>537</v>
      </c>
      <c r="L895" s="466">
        <v>30000</v>
      </c>
      <c r="M895" s="465" t="s">
        <v>537</v>
      </c>
      <c r="N895" s="465" t="s">
        <v>537</v>
      </c>
      <c r="O895" s="463" t="s">
        <v>537</v>
      </c>
      <c r="P895" s="463" t="s">
        <v>537</v>
      </c>
      <c r="Q895" s="465">
        <v>0</v>
      </c>
      <c r="R895" s="463" t="s">
        <v>2369</v>
      </c>
      <c r="S895" s="463" t="s">
        <v>2380</v>
      </c>
      <c r="T895" s="463">
        <v>0</v>
      </c>
      <c r="U895" s="463">
        <v>0</v>
      </c>
      <c r="V895" s="463">
        <v>0</v>
      </c>
      <c r="W895" s="463" t="s">
        <v>537</v>
      </c>
      <c r="X895" s="463" t="s">
        <v>537</v>
      </c>
      <c r="Y895" s="463" t="s">
        <v>537</v>
      </c>
      <c r="Z895" s="463" t="s">
        <v>537</v>
      </c>
      <c r="AA895" s="472" t="s">
        <v>2404</v>
      </c>
      <c r="AB895" s="463" t="s">
        <v>539</v>
      </c>
      <c r="AC895" s="463" t="s">
        <v>539</v>
      </c>
      <c r="AD895" s="472" t="s">
        <v>2405</v>
      </c>
      <c r="AE895" s="463" t="s">
        <v>539</v>
      </c>
      <c r="AF895" s="463" t="s">
        <v>539</v>
      </c>
      <c r="AG895" s="463" t="s">
        <v>375</v>
      </c>
      <c r="AH895" s="476"/>
      <c r="AI895" s="472" t="s">
        <v>2399</v>
      </c>
      <c r="AJ895" s="464"/>
    </row>
    <row r="896" spans="2:36" ht="24" hidden="1" customHeight="1">
      <c r="B896" s="463">
        <v>724</v>
      </c>
      <c r="C896" s="464" t="s">
        <v>534</v>
      </c>
      <c r="D896" s="464"/>
      <c r="E896" s="464" t="s">
        <v>535</v>
      </c>
      <c r="F896" s="464"/>
      <c r="G896" s="464" t="s">
        <v>57</v>
      </c>
      <c r="H896" s="464" t="s">
        <v>2406</v>
      </c>
      <c r="I896" s="466">
        <v>22500</v>
      </c>
      <c r="J896" s="465" t="s">
        <v>537</v>
      </c>
      <c r="K896" s="465" t="s">
        <v>537</v>
      </c>
      <c r="L896" s="466">
        <v>21645.55</v>
      </c>
      <c r="M896" s="465" t="s">
        <v>537</v>
      </c>
      <c r="N896" s="465" t="s">
        <v>537</v>
      </c>
      <c r="O896" s="463" t="s">
        <v>537</v>
      </c>
      <c r="P896" s="463" t="s">
        <v>537</v>
      </c>
      <c r="Q896" s="465">
        <v>854</v>
      </c>
      <c r="R896" s="463" t="s">
        <v>2369</v>
      </c>
      <c r="S896" s="463" t="s">
        <v>2380</v>
      </c>
      <c r="T896" s="463">
        <v>0</v>
      </c>
      <c r="U896" s="463">
        <v>0</v>
      </c>
      <c r="V896" s="463">
        <v>0</v>
      </c>
      <c r="W896" s="463" t="s">
        <v>537</v>
      </c>
      <c r="X896" s="463" t="s">
        <v>537</v>
      </c>
      <c r="Y896" s="463" t="s">
        <v>537</v>
      </c>
      <c r="Z896" s="463" t="s">
        <v>537</v>
      </c>
      <c r="AA896" s="472" t="s">
        <v>2407</v>
      </c>
      <c r="AB896" s="463" t="s">
        <v>539</v>
      </c>
      <c r="AC896" s="463" t="s">
        <v>539</v>
      </c>
      <c r="AD896" s="472" t="s">
        <v>2408</v>
      </c>
      <c r="AE896" s="463" t="s">
        <v>539</v>
      </c>
      <c r="AF896" s="463" t="s">
        <v>539</v>
      </c>
      <c r="AG896" s="463" t="s">
        <v>375</v>
      </c>
      <c r="AH896" s="476"/>
      <c r="AI896" s="472" t="s">
        <v>2409</v>
      </c>
      <c r="AJ896" s="464"/>
    </row>
    <row r="897" spans="2:36" ht="24" hidden="1" customHeight="1">
      <c r="B897" s="463">
        <v>725</v>
      </c>
      <c r="C897" s="464" t="s">
        <v>534</v>
      </c>
      <c r="D897" s="464"/>
      <c r="E897" s="464" t="s">
        <v>535</v>
      </c>
      <c r="F897" s="464"/>
      <c r="G897" s="464" t="s">
        <v>57</v>
      </c>
      <c r="H897" s="464" t="s">
        <v>2410</v>
      </c>
      <c r="I897" s="466">
        <v>30000</v>
      </c>
      <c r="J897" s="465" t="s">
        <v>537</v>
      </c>
      <c r="K897" s="465" t="s">
        <v>537</v>
      </c>
      <c r="L897" s="466">
        <v>30000</v>
      </c>
      <c r="M897" s="465" t="s">
        <v>537</v>
      </c>
      <c r="N897" s="465" t="s">
        <v>537</v>
      </c>
      <c r="O897" s="463" t="s">
        <v>537</v>
      </c>
      <c r="P897" s="463" t="s">
        <v>537</v>
      </c>
      <c r="Q897" s="465">
        <v>0</v>
      </c>
      <c r="R897" s="463" t="s">
        <v>2369</v>
      </c>
      <c r="S897" s="463" t="s">
        <v>2411</v>
      </c>
      <c r="T897" s="463">
        <v>0</v>
      </c>
      <c r="U897" s="463">
        <v>0</v>
      </c>
      <c r="V897" s="463">
        <v>0</v>
      </c>
      <c r="W897" s="463" t="s">
        <v>537</v>
      </c>
      <c r="X897" s="463" t="s">
        <v>537</v>
      </c>
      <c r="Y897" s="463" t="s">
        <v>537</v>
      </c>
      <c r="Z897" s="463" t="s">
        <v>537</v>
      </c>
      <c r="AA897" s="472" t="s">
        <v>2412</v>
      </c>
      <c r="AB897" s="463" t="s">
        <v>539</v>
      </c>
      <c r="AC897" s="463" t="s">
        <v>539</v>
      </c>
      <c r="AD897" s="472" t="s">
        <v>2413</v>
      </c>
      <c r="AE897" s="463" t="s">
        <v>539</v>
      </c>
      <c r="AF897" s="463" t="s">
        <v>539</v>
      </c>
      <c r="AG897" s="463" t="s">
        <v>375</v>
      </c>
      <c r="AH897" s="476"/>
      <c r="AI897" s="472" t="s">
        <v>2414</v>
      </c>
      <c r="AJ897" s="464"/>
    </row>
    <row r="898" spans="2:36" ht="24" hidden="1" customHeight="1">
      <c r="B898" s="463">
        <v>726</v>
      </c>
      <c r="C898" s="464" t="s">
        <v>534</v>
      </c>
      <c r="D898" s="464"/>
      <c r="E898" s="464" t="s">
        <v>535</v>
      </c>
      <c r="F898" s="464"/>
      <c r="G898" s="464" t="s">
        <v>57</v>
      </c>
      <c r="H898" s="464" t="s">
        <v>2415</v>
      </c>
      <c r="I898" s="466">
        <v>21800</v>
      </c>
      <c r="J898" s="465" t="s">
        <v>537</v>
      </c>
      <c r="K898" s="465" t="s">
        <v>537</v>
      </c>
      <c r="L898" s="466">
        <v>21596</v>
      </c>
      <c r="M898" s="465" t="s">
        <v>537</v>
      </c>
      <c r="N898" s="465" t="s">
        <v>537</v>
      </c>
      <c r="O898" s="463" t="s">
        <v>537</v>
      </c>
      <c r="P898" s="463" t="s">
        <v>537</v>
      </c>
      <c r="Q898" s="465">
        <v>204</v>
      </c>
      <c r="R898" s="463" t="s">
        <v>2369</v>
      </c>
      <c r="S898" s="463" t="s">
        <v>2416</v>
      </c>
      <c r="T898" s="463">
        <v>0</v>
      </c>
      <c r="U898" s="463">
        <v>0</v>
      </c>
      <c r="V898" s="463">
        <v>0</v>
      </c>
      <c r="W898" s="463" t="s">
        <v>537</v>
      </c>
      <c r="X898" s="463" t="s">
        <v>537</v>
      </c>
      <c r="Y898" s="463" t="s">
        <v>537</v>
      </c>
      <c r="Z898" s="463" t="s">
        <v>537</v>
      </c>
      <c r="AA898" s="472" t="s">
        <v>2417</v>
      </c>
      <c r="AB898" s="463" t="s">
        <v>539</v>
      </c>
      <c r="AC898" s="463" t="s">
        <v>539</v>
      </c>
      <c r="AD898" s="472" t="s">
        <v>2418</v>
      </c>
      <c r="AE898" s="463" t="s">
        <v>539</v>
      </c>
      <c r="AF898" s="463" t="s">
        <v>539</v>
      </c>
      <c r="AG898" s="463" t="s">
        <v>375</v>
      </c>
      <c r="AH898" s="476"/>
      <c r="AI898" s="472" t="s">
        <v>2409</v>
      </c>
      <c r="AJ898" s="464"/>
    </row>
    <row r="899" spans="2:36" ht="24" hidden="1" customHeight="1">
      <c r="B899" s="463">
        <v>727</v>
      </c>
      <c r="C899" s="464" t="s">
        <v>534</v>
      </c>
      <c r="D899" s="464"/>
      <c r="E899" s="464" t="s">
        <v>535</v>
      </c>
      <c r="F899" s="464"/>
      <c r="G899" s="464" t="s">
        <v>57</v>
      </c>
      <c r="H899" s="464" t="s">
        <v>2419</v>
      </c>
      <c r="I899" s="466">
        <v>30000</v>
      </c>
      <c r="J899" s="465" t="s">
        <v>537</v>
      </c>
      <c r="K899" s="465" t="s">
        <v>537</v>
      </c>
      <c r="L899" s="466">
        <v>30000</v>
      </c>
      <c r="M899" s="465" t="s">
        <v>537</v>
      </c>
      <c r="N899" s="465" t="s">
        <v>537</v>
      </c>
      <c r="O899" s="463" t="s">
        <v>537</v>
      </c>
      <c r="P899" s="463" t="s">
        <v>537</v>
      </c>
      <c r="Q899" s="465">
        <v>0</v>
      </c>
      <c r="R899" s="463" t="s">
        <v>2369</v>
      </c>
      <c r="S899" s="463" t="s">
        <v>2370</v>
      </c>
      <c r="T899" s="463">
        <v>0</v>
      </c>
      <c r="U899" s="463">
        <v>0</v>
      </c>
      <c r="V899" s="463">
        <v>0</v>
      </c>
      <c r="W899" s="463" t="s">
        <v>537</v>
      </c>
      <c r="X899" s="463" t="s">
        <v>537</v>
      </c>
      <c r="Y899" s="463" t="s">
        <v>537</v>
      </c>
      <c r="Z899" s="463" t="s">
        <v>537</v>
      </c>
      <c r="AA899" s="472" t="s">
        <v>2420</v>
      </c>
      <c r="AB899" s="463" t="s">
        <v>539</v>
      </c>
      <c r="AC899" s="463" t="s">
        <v>539</v>
      </c>
      <c r="AD899" s="472" t="s">
        <v>2421</v>
      </c>
      <c r="AE899" s="463" t="s">
        <v>539</v>
      </c>
      <c r="AF899" s="463" t="s">
        <v>539</v>
      </c>
      <c r="AG899" s="463" t="s">
        <v>375</v>
      </c>
      <c r="AH899" s="476"/>
      <c r="AI899" s="472" t="s">
        <v>2422</v>
      </c>
      <c r="AJ899" s="464"/>
    </row>
    <row r="900" spans="2:36" ht="24" hidden="1" customHeight="1">
      <c r="B900" s="463">
        <v>728</v>
      </c>
      <c r="C900" s="464" t="s">
        <v>534</v>
      </c>
      <c r="D900" s="464"/>
      <c r="E900" s="464" t="s">
        <v>535</v>
      </c>
      <c r="F900" s="464"/>
      <c r="G900" s="464" t="s">
        <v>57</v>
      </c>
      <c r="H900" s="464" t="s">
        <v>2423</v>
      </c>
      <c r="I900" s="466">
        <v>30000</v>
      </c>
      <c r="J900" s="465" t="s">
        <v>537</v>
      </c>
      <c r="K900" s="465" t="s">
        <v>537</v>
      </c>
      <c r="L900" s="466">
        <v>30000</v>
      </c>
      <c r="M900" s="465" t="s">
        <v>537</v>
      </c>
      <c r="N900" s="465" t="s">
        <v>537</v>
      </c>
      <c r="O900" s="463" t="s">
        <v>537</v>
      </c>
      <c r="P900" s="463" t="s">
        <v>537</v>
      </c>
      <c r="Q900" s="465">
        <v>0</v>
      </c>
      <c r="R900" s="463" t="s">
        <v>2369</v>
      </c>
      <c r="S900" s="463" t="s">
        <v>2370</v>
      </c>
      <c r="T900" s="463">
        <v>0</v>
      </c>
      <c r="U900" s="463">
        <v>0</v>
      </c>
      <c r="V900" s="463">
        <v>0</v>
      </c>
      <c r="W900" s="463" t="s">
        <v>537</v>
      </c>
      <c r="X900" s="463" t="s">
        <v>537</v>
      </c>
      <c r="Y900" s="463" t="s">
        <v>537</v>
      </c>
      <c r="Z900" s="463" t="s">
        <v>537</v>
      </c>
      <c r="AA900" s="472" t="s">
        <v>2424</v>
      </c>
      <c r="AB900" s="463" t="s">
        <v>539</v>
      </c>
      <c r="AC900" s="463" t="s">
        <v>539</v>
      </c>
      <c r="AD900" s="472" t="s">
        <v>2425</v>
      </c>
      <c r="AE900" s="463" t="s">
        <v>539</v>
      </c>
      <c r="AF900" s="463" t="s">
        <v>539</v>
      </c>
      <c r="AG900" s="463" t="s">
        <v>375</v>
      </c>
      <c r="AH900" s="476"/>
      <c r="AI900" s="472" t="s">
        <v>2422</v>
      </c>
      <c r="AJ900" s="464"/>
    </row>
    <row r="901" spans="2:36" ht="24" hidden="1" customHeight="1">
      <c r="B901" s="463">
        <v>729</v>
      </c>
      <c r="C901" s="464" t="s">
        <v>534</v>
      </c>
      <c r="D901" s="464"/>
      <c r="E901" s="464" t="s">
        <v>535</v>
      </c>
      <c r="F901" s="464"/>
      <c r="G901" s="464" t="s">
        <v>57</v>
      </c>
      <c r="H901" s="464" t="s">
        <v>2426</v>
      </c>
      <c r="I901" s="466">
        <v>30000</v>
      </c>
      <c r="J901" s="465" t="s">
        <v>537</v>
      </c>
      <c r="K901" s="465" t="s">
        <v>537</v>
      </c>
      <c r="L901" s="466">
        <v>30000</v>
      </c>
      <c r="M901" s="465" t="s">
        <v>537</v>
      </c>
      <c r="N901" s="465" t="s">
        <v>537</v>
      </c>
      <c r="O901" s="463" t="s">
        <v>537</v>
      </c>
      <c r="P901" s="463" t="s">
        <v>537</v>
      </c>
      <c r="Q901" s="465">
        <v>0</v>
      </c>
      <c r="R901" s="463" t="s">
        <v>2369</v>
      </c>
      <c r="S901" s="463" t="s">
        <v>2375</v>
      </c>
      <c r="T901" s="463">
        <v>0</v>
      </c>
      <c r="U901" s="463">
        <v>0</v>
      </c>
      <c r="V901" s="463">
        <v>0</v>
      </c>
      <c r="W901" s="463" t="s">
        <v>537</v>
      </c>
      <c r="X901" s="463" t="s">
        <v>537</v>
      </c>
      <c r="Y901" s="463" t="s">
        <v>537</v>
      </c>
      <c r="Z901" s="463" t="s">
        <v>537</v>
      </c>
      <c r="AA901" s="472" t="s">
        <v>2424</v>
      </c>
      <c r="AB901" s="463" t="s">
        <v>539</v>
      </c>
      <c r="AC901" s="463" t="s">
        <v>539</v>
      </c>
      <c r="AD901" s="472" t="s">
        <v>2425</v>
      </c>
      <c r="AE901" s="463" t="s">
        <v>539</v>
      </c>
      <c r="AF901" s="463" t="s">
        <v>539</v>
      </c>
      <c r="AG901" s="463" t="s">
        <v>375</v>
      </c>
      <c r="AH901" s="476"/>
      <c r="AI901" s="472" t="s">
        <v>2427</v>
      </c>
      <c r="AJ901" s="464"/>
    </row>
    <row r="902" spans="2:36" ht="24" hidden="1" customHeight="1">
      <c r="B902" s="463">
        <v>730</v>
      </c>
      <c r="C902" s="464" t="s">
        <v>534</v>
      </c>
      <c r="D902" s="464"/>
      <c r="E902" s="464" t="s">
        <v>535</v>
      </c>
      <c r="F902" s="464"/>
      <c r="G902" s="464" t="s">
        <v>57</v>
      </c>
      <c r="H902" s="464" t="s">
        <v>2428</v>
      </c>
      <c r="I902" s="466">
        <v>29000</v>
      </c>
      <c r="J902" s="465" t="s">
        <v>537</v>
      </c>
      <c r="K902" s="465" t="s">
        <v>537</v>
      </c>
      <c r="L902" s="466">
        <v>28935</v>
      </c>
      <c r="M902" s="465" t="s">
        <v>537</v>
      </c>
      <c r="N902" s="465" t="s">
        <v>537</v>
      </c>
      <c r="O902" s="463" t="s">
        <v>537</v>
      </c>
      <c r="P902" s="463" t="s">
        <v>537</v>
      </c>
      <c r="Q902" s="465">
        <v>65</v>
      </c>
      <c r="R902" s="463" t="s">
        <v>2369</v>
      </c>
      <c r="S902" s="463" t="s">
        <v>2375</v>
      </c>
      <c r="T902" s="463">
        <v>0</v>
      </c>
      <c r="U902" s="463">
        <v>0</v>
      </c>
      <c r="V902" s="463">
        <v>0</v>
      </c>
      <c r="W902" s="463" t="s">
        <v>537</v>
      </c>
      <c r="X902" s="463" t="s">
        <v>537</v>
      </c>
      <c r="Y902" s="463" t="s">
        <v>537</v>
      </c>
      <c r="Z902" s="463" t="s">
        <v>537</v>
      </c>
      <c r="AA902" s="472" t="s">
        <v>2429</v>
      </c>
      <c r="AB902" s="463" t="s">
        <v>539</v>
      </c>
      <c r="AC902" s="463" t="s">
        <v>539</v>
      </c>
      <c r="AD902" s="472" t="s">
        <v>2430</v>
      </c>
      <c r="AE902" s="463" t="s">
        <v>539</v>
      </c>
      <c r="AF902" s="463" t="s">
        <v>539</v>
      </c>
      <c r="AG902" s="463" t="s">
        <v>375</v>
      </c>
      <c r="AH902" s="476"/>
      <c r="AI902" s="472" t="s">
        <v>2431</v>
      </c>
      <c r="AJ902" s="464"/>
    </row>
    <row r="903" spans="2:36" ht="24" hidden="1" customHeight="1">
      <c r="B903" s="463">
        <v>731</v>
      </c>
      <c r="C903" s="464" t="s">
        <v>534</v>
      </c>
      <c r="D903" s="464"/>
      <c r="E903" s="464" t="s">
        <v>535</v>
      </c>
      <c r="F903" s="464"/>
      <c r="G903" s="464" t="s">
        <v>57</v>
      </c>
      <c r="H903" s="464" t="s">
        <v>2432</v>
      </c>
      <c r="I903" s="466">
        <v>12500</v>
      </c>
      <c r="J903" s="465" t="s">
        <v>537</v>
      </c>
      <c r="K903" s="465" t="s">
        <v>537</v>
      </c>
      <c r="L903" s="466">
        <v>12500</v>
      </c>
      <c r="M903" s="465" t="s">
        <v>537</v>
      </c>
      <c r="N903" s="465" t="s">
        <v>537</v>
      </c>
      <c r="O903" s="463" t="s">
        <v>537</v>
      </c>
      <c r="P903" s="463" t="s">
        <v>537</v>
      </c>
      <c r="Q903" s="465">
        <v>0</v>
      </c>
      <c r="R903" s="463" t="s">
        <v>2369</v>
      </c>
      <c r="S903" s="463" t="s">
        <v>2375</v>
      </c>
      <c r="T903" s="463">
        <v>0</v>
      </c>
      <c r="U903" s="463">
        <v>0</v>
      </c>
      <c r="V903" s="463">
        <v>0</v>
      </c>
      <c r="W903" s="463" t="s">
        <v>537</v>
      </c>
      <c r="X903" s="463" t="s">
        <v>537</v>
      </c>
      <c r="Y903" s="463" t="s">
        <v>537</v>
      </c>
      <c r="Z903" s="463" t="s">
        <v>537</v>
      </c>
      <c r="AA903" s="472" t="s">
        <v>2433</v>
      </c>
      <c r="AB903" s="463" t="s">
        <v>539</v>
      </c>
      <c r="AC903" s="463" t="s">
        <v>539</v>
      </c>
      <c r="AD903" s="472" t="s">
        <v>2434</v>
      </c>
      <c r="AE903" s="463" t="s">
        <v>539</v>
      </c>
      <c r="AF903" s="463" t="s">
        <v>539</v>
      </c>
      <c r="AG903" s="463" t="s">
        <v>375</v>
      </c>
      <c r="AH903" s="476"/>
      <c r="AI903" s="472" t="s">
        <v>2435</v>
      </c>
      <c r="AJ903" s="464"/>
    </row>
    <row r="904" spans="2:36" ht="24" hidden="1" customHeight="1">
      <c r="B904" s="463">
        <v>732</v>
      </c>
      <c r="C904" s="464" t="s">
        <v>534</v>
      </c>
      <c r="D904" s="464"/>
      <c r="E904" s="464" t="s">
        <v>535</v>
      </c>
      <c r="F904" s="464"/>
      <c r="G904" s="464" t="s">
        <v>57</v>
      </c>
      <c r="H904" s="464" t="s">
        <v>2436</v>
      </c>
      <c r="I904" s="466">
        <v>30000</v>
      </c>
      <c r="J904" s="465" t="s">
        <v>537</v>
      </c>
      <c r="K904" s="465" t="s">
        <v>537</v>
      </c>
      <c r="L904" s="466">
        <v>29600</v>
      </c>
      <c r="M904" s="465" t="s">
        <v>537</v>
      </c>
      <c r="N904" s="465" t="s">
        <v>537</v>
      </c>
      <c r="O904" s="463" t="s">
        <v>537</v>
      </c>
      <c r="P904" s="463" t="s">
        <v>537</v>
      </c>
      <c r="Q904" s="465">
        <v>400</v>
      </c>
      <c r="R904" s="463" t="s">
        <v>2369</v>
      </c>
      <c r="S904" s="463" t="s">
        <v>2375</v>
      </c>
      <c r="T904" s="463">
        <v>0</v>
      </c>
      <c r="U904" s="463">
        <v>0</v>
      </c>
      <c r="V904" s="463">
        <v>0</v>
      </c>
      <c r="W904" s="463" t="s">
        <v>537</v>
      </c>
      <c r="X904" s="463" t="s">
        <v>537</v>
      </c>
      <c r="Y904" s="463" t="s">
        <v>537</v>
      </c>
      <c r="Z904" s="463" t="s">
        <v>537</v>
      </c>
      <c r="AA904" s="472" t="s">
        <v>2437</v>
      </c>
      <c r="AB904" s="463" t="s">
        <v>539</v>
      </c>
      <c r="AC904" s="463" t="s">
        <v>539</v>
      </c>
      <c r="AD904" s="472" t="s">
        <v>2438</v>
      </c>
      <c r="AE904" s="463" t="s">
        <v>539</v>
      </c>
      <c r="AF904" s="463" t="s">
        <v>539</v>
      </c>
      <c r="AG904" s="463" t="s">
        <v>375</v>
      </c>
      <c r="AH904" s="476"/>
      <c r="AI904" s="472" t="s">
        <v>2439</v>
      </c>
      <c r="AJ904" s="464"/>
    </row>
    <row r="905" spans="2:36" ht="24" hidden="1" customHeight="1">
      <c r="B905" s="463">
        <v>733</v>
      </c>
      <c r="C905" s="464" t="s">
        <v>534</v>
      </c>
      <c r="D905" s="464"/>
      <c r="E905" s="464" t="s">
        <v>535</v>
      </c>
      <c r="F905" s="464"/>
      <c r="G905" s="464" t="s">
        <v>57</v>
      </c>
      <c r="H905" s="464" t="s">
        <v>2440</v>
      </c>
      <c r="I905" s="466">
        <v>60000</v>
      </c>
      <c r="J905" s="465" t="s">
        <v>537</v>
      </c>
      <c r="K905" s="465" t="s">
        <v>537</v>
      </c>
      <c r="L905" s="466">
        <v>60000</v>
      </c>
      <c r="M905" s="465" t="s">
        <v>537</v>
      </c>
      <c r="N905" s="465" t="s">
        <v>537</v>
      </c>
      <c r="O905" s="463" t="s">
        <v>537</v>
      </c>
      <c r="P905" s="463" t="s">
        <v>537</v>
      </c>
      <c r="Q905" s="465">
        <v>0</v>
      </c>
      <c r="R905" s="470">
        <v>241487</v>
      </c>
      <c r="S905" s="463" t="s">
        <v>2358</v>
      </c>
      <c r="T905" s="463">
        <v>38</v>
      </c>
      <c r="U905" s="463">
        <v>6</v>
      </c>
      <c r="V905" s="463">
        <v>0</v>
      </c>
      <c r="W905" s="463">
        <v>34</v>
      </c>
      <c r="X905" s="463">
        <v>12</v>
      </c>
      <c r="Y905" s="464"/>
      <c r="Z905" s="463">
        <v>90</v>
      </c>
      <c r="AA905" s="472" t="s">
        <v>547</v>
      </c>
      <c r="AB905" s="463" t="s">
        <v>539</v>
      </c>
      <c r="AC905" s="463" t="s">
        <v>539</v>
      </c>
      <c r="AD905" s="472" t="s">
        <v>548</v>
      </c>
      <c r="AE905" s="463">
        <v>80</v>
      </c>
      <c r="AF905" s="463">
        <v>97.06</v>
      </c>
      <c r="AG905" s="463" t="s">
        <v>375</v>
      </c>
      <c r="AH905" s="476"/>
      <c r="AI905" s="472" t="s">
        <v>2359</v>
      </c>
      <c r="AJ905" s="464"/>
    </row>
    <row r="906" spans="2:36" ht="24" hidden="1" customHeight="1">
      <c r="B906" s="463">
        <v>734</v>
      </c>
      <c r="C906" s="464" t="s">
        <v>534</v>
      </c>
      <c r="D906" s="464"/>
      <c r="E906" s="464" t="s">
        <v>535</v>
      </c>
      <c r="F906" s="464"/>
      <c r="G906" s="464" t="s">
        <v>57</v>
      </c>
      <c r="H906" s="464" t="s">
        <v>2441</v>
      </c>
      <c r="I906" s="466">
        <v>67640</v>
      </c>
      <c r="J906" s="465" t="s">
        <v>537</v>
      </c>
      <c r="K906" s="465" t="s">
        <v>537</v>
      </c>
      <c r="L906" s="466">
        <v>61040</v>
      </c>
      <c r="M906" s="465" t="s">
        <v>537</v>
      </c>
      <c r="N906" s="465" t="s">
        <v>537</v>
      </c>
      <c r="O906" s="463" t="s">
        <v>537</v>
      </c>
      <c r="P906" s="463" t="s">
        <v>537</v>
      </c>
      <c r="Q906" s="468">
        <v>6600</v>
      </c>
      <c r="R906" s="463" t="s">
        <v>646</v>
      </c>
      <c r="S906" s="463" t="s">
        <v>2442</v>
      </c>
      <c r="T906" s="463">
        <v>10</v>
      </c>
      <c r="U906" s="463">
        <v>2</v>
      </c>
      <c r="V906" s="463">
        <v>0</v>
      </c>
      <c r="W906" s="463">
        <v>10</v>
      </c>
      <c r="X906" s="463">
        <v>2</v>
      </c>
      <c r="Y906" s="463" t="s">
        <v>537</v>
      </c>
      <c r="Z906" s="463">
        <v>90.6</v>
      </c>
      <c r="AA906" s="472" t="s">
        <v>1023</v>
      </c>
      <c r="AB906" s="463">
        <v>1</v>
      </c>
      <c r="AC906" s="463" t="s">
        <v>537</v>
      </c>
      <c r="AD906" s="472" t="s">
        <v>729</v>
      </c>
      <c r="AE906" s="463">
        <v>1</v>
      </c>
      <c r="AF906" s="463">
        <v>1</v>
      </c>
      <c r="AG906" s="463" t="s">
        <v>375</v>
      </c>
      <c r="AH906" s="476"/>
      <c r="AI906" s="472" t="s">
        <v>2356</v>
      </c>
      <c r="AJ906" s="464"/>
    </row>
    <row r="907" spans="2:36" ht="24" hidden="1" customHeight="1">
      <c r="B907" s="463">
        <v>735</v>
      </c>
      <c r="C907" s="464" t="s">
        <v>534</v>
      </c>
      <c r="D907" s="464"/>
      <c r="E907" s="464" t="s">
        <v>535</v>
      </c>
      <c r="F907" s="464"/>
      <c r="G907" s="464" t="s">
        <v>57</v>
      </c>
      <c r="H907" s="464" t="s">
        <v>2443</v>
      </c>
      <c r="I907" s="465" t="s">
        <v>537</v>
      </c>
      <c r="J907" s="465" t="s">
        <v>537</v>
      </c>
      <c r="K907" s="466">
        <v>200000</v>
      </c>
      <c r="L907" s="465" t="s">
        <v>537</v>
      </c>
      <c r="M907" s="465" t="s">
        <v>537</v>
      </c>
      <c r="N907" s="466">
        <v>196505</v>
      </c>
      <c r="O907" s="463" t="s">
        <v>537</v>
      </c>
      <c r="P907" s="463" t="s">
        <v>537</v>
      </c>
      <c r="Q907" s="468">
        <v>3495</v>
      </c>
      <c r="R907" s="470">
        <v>241428</v>
      </c>
      <c r="S907" s="463" t="s">
        <v>623</v>
      </c>
      <c r="T907" s="463">
        <v>0</v>
      </c>
      <c r="U907" s="463">
        <v>30</v>
      </c>
      <c r="V907" s="463">
        <v>120</v>
      </c>
      <c r="W907" s="463">
        <v>481</v>
      </c>
      <c r="X907" s="463">
        <v>6</v>
      </c>
      <c r="Y907" s="463">
        <v>0</v>
      </c>
      <c r="Z907" s="463">
        <v>76</v>
      </c>
      <c r="AA907" s="472" t="s">
        <v>624</v>
      </c>
      <c r="AB907" s="463" t="s">
        <v>539</v>
      </c>
      <c r="AC907" s="463">
        <v>94.2</v>
      </c>
      <c r="AD907" s="472" t="s">
        <v>571</v>
      </c>
      <c r="AE907" s="463">
        <v>80</v>
      </c>
      <c r="AF907" s="463">
        <v>91.8</v>
      </c>
      <c r="AG907" s="463" t="s">
        <v>375</v>
      </c>
      <c r="AH907" s="476"/>
      <c r="AI907" s="472">
        <v>843124455</v>
      </c>
      <c r="AJ907" s="472" t="s">
        <v>543</v>
      </c>
    </row>
    <row r="908" spans="2:36" ht="24" hidden="1" customHeight="1">
      <c r="B908" s="463">
        <v>736</v>
      </c>
      <c r="C908" s="464" t="s">
        <v>534</v>
      </c>
      <c r="D908" s="464"/>
      <c r="E908" s="464" t="s">
        <v>535</v>
      </c>
      <c r="F908" s="464"/>
      <c r="G908" s="464" t="s">
        <v>57</v>
      </c>
      <c r="H908" s="464" t="s">
        <v>2444</v>
      </c>
      <c r="I908" s="466">
        <v>520120</v>
      </c>
      <c r="J908" s="465" t="s">
        <v>537</v>
      </c>
      <c r="K908" s="465" t="s">
        <v>537</v>
      </c>
      <c r="L908" s="466">
        <v>462282</v>
      </c>
      <c r="M908" s="465" t="s">
        <v>537</v>
      </c>
      <c r="N908" s="465" t="s">
        <v>537</v>
      </c>
      <c r="O908" s="463" t="s">
        <v>537</v>
      </c>
      <c r="P908" s="463" t="s">
        <v>537</v>
      </c>
      <c r="Q908" s="468">
        <v>57838</v>
      </c>
      <c r="R908" s="470">
        <v>241428</v>
      </c>
      <c r="S908" s="463" t="s">
        <v>783</v>
      </c>
      <c r="T908" s="463">
        <v>10</v>
      </c>
      <c r="U908" s="463">
        <v>2</v>
      </c>
      <c r="V908" s="463">
        <v>0</v>
      </c>
      <c r="W908" s="463">
        <v>54</v>
      </c>
      <c r="X908" s="463">
        <v>26</v>
      </c>
      <c r="Y908" s="464"/>
      <c r="Z908" s="463">
        <v>85.4</v>
      </c>
      <c r="AA908" s="472" t="s">
        <v>1023</v>
      </c>
      <c r="AB908" s="463">
        <v>1</v>
      </c>
      <c r="AC908" s="463">
        <v>10</v>
      </c>
      <c r="AD908" s="472" t="s">
        <v>2445</v>
      </c>
      <c r="AE908" s="463">
        <v>1</v>
      </c>
      <c r="AF908" s="463">
        <v>1</v>
      </c>
      <c r="AG908" s="463" t="s">
        <v>375</v>
      </c>
      <c r="AH908" s="476"/>
      <c r="AI908" s="472" t="s">
        <v>2356</v>
      </c>
      <c r="AJ908" s="464"/>
    </row>
    <row r="909" spans="2:36" ht="24" hidden="1" customHeight="1">
      <c r="B909" s="463">
        <v>737</v>
      </c>
      <c r="C909" s="464" t="s">
        <v>534</v>
      </c>
      <c r="D909" s="464"/>
      <c r="E909" s="464" t="s">
        <v>535</v>
      </c>
      <c r="F909" s="464"/>
      <c r="G909" s="464" t="s">
        <v>57</v>
      </c>
      <c r="H909" s="464" t="s">
        <v>2446</v>
      </c>
      <c r="I909" s="466">
        <v>50000</v>
      </c>
      <c r="J909" s="465" t="s">
        <v>537</v>
      </c>
      <c r="K909" s="465" t="s">
        <v>537</v>
      </c>
      <c r="L909" s="466">
        <v>44300</v>
      </c>
      <c r="M909" s="465" t="s">
        <v>537</v>
      </c>
      <c r="N909" s="465" t="s">
        <v>537</v>
      </c>
      <c r="O909" s="463" t="s">
        <v>537</v>
      </c>
      <c r="P909" s="463" t="s">
        <v>537</v>
      </c>
      <c r="Q909" s="468">
        <v>5700</v>
      </c>
      <c r="R909" s="470">
        <v>241459</v>
      </c>
      <c r="S909" s="463" t="s">
        <v>2447</v>
      </c>
      <c r="T909" s="463">
        <v>10</v>
      </c>
      <c r="U909" s="463">
        <v>2</v>
      </c>
      <c r="V909" s="463">
        <v>0</v>
      </c>
      <c r="W909" s="463">
        <v>6</v>
      </c>
      <c r="X909" s="463">
        <v>2</v>
      </c>
      <c r="Y909" s="464"/>
      <c r="Z909" s="463">
        <v>86</v>
      </c>
      <c r="AA909" s="472" t="s">
        <v>1023</v>
      </c>
      <c r="AB909" s="463">
        <v>1</v>
      </c>
      <c r="AC909" s="463">
        <v>1</v>
      </c>
      <c r="AD909" s="472" t="s">
        <v>2448</v>
      </c>
      <c r="AE909" s="463">
        <v>1</v>
      </c>
      <c r="AF909" s="463">
        <v>1</v>
      </c>
      <c r="AG909" s="463" t="s">
        <v>375</v>
      </c>
      <c r="AH909" s="476"/>
      <c r="AI909" s="472" t="s">
        <v>2356</v>
      </c>
      <c r="AJ909" s="464"/>
    </row>
    <row r="910" spans="2:36" ht="24" hidden="1" customHeight="1">
      <c r="B910" s="463">
        <v>738</v>
      </c>
      <c r="C910" s="464" t="s">
        <v>534</v>
      </c>
      <c r="D910" s="464"/>
      <c r="E910" s="464" t="s">
        <v>535</v>
      </c>
      <c r="F910" s="464"/>
      <c r="G910" s="464" t="s">
        <v>57</v>
      </c>
      <c r="H910" s="464" t="s">
        <v>2449</v>
      </c>
      <c r="I910" s="465" t="s">
        <v>537</v>
      </c>
      <c r="J910" s="465" t="s">
        <v>537</v>
      </c>
      <c r="K910" s="466">
        <v>26800</v>
      </c>
      <c r="L910" s="465" t="s">
        <v>537</v>
      </c>
      <c r="M910" s="465" t="s">
        <v>537</v>
      </c>
      <c r="N910" s="466">
        <v>18800</v>
      </c>
      <c r="O910" s="463" t="s">
        <v>537</v>
      </c>
      <c r="P910" s="463" t="s">
        <v>537</v>
      </c>
      <c r="Q910" s="468">
        <v>8000</v>
      </c>
      <c r="R910" s="470">
        <v>241459</v>
      </c>
      <c r="S910" s="471">
        <v>22335</v>
      </c>
      <c r="T910" s="463">
        <v>66</v>
      </c>
      <c r="U910" s="463">
        <v>14</v>
      </c>
      <c r="V910" s="463">
        <v>0</v>
      </c>
      <c r="W910" s="463">
        <v>66</v>
      </c>
      <c r="X910" s="463">
        <v>14</v>
      </c>
      <c r="Y910" s="463" t="s">
        <v>537</v>
      </c>
      <c r="Z910" s="463">
        <v>96.2</v>
      </c>
      <c r="AA910" s="472" t="s">
        <v>737</v>
      </c>
      <c r="AB910" s="463" t="s">
        <v>539</v>
      </c>
      <c r="AC910" s="463" t="s">
        <v>539</v>
      </c>
      <c r="AD910" s="472" t="s">
        <v>635</v>
      </c>
      <c r="AE910" s="463" t="s">
        <v>539</v>
      </c>
      <c r="AF910" s="463" t="s">
        <v>539</v>
      </c>
      <c r="AG910" s="463" t="s">
        <v>375</v>
      </c>
      <c r="AH910" s="476"/>
      <c r="AI910" s="472" t="s">
        <v>2450</v>
      </c>
      <c r="AJ910" s="472" t="s">
        <v>792</v>
      </c>
    </row>
    <row r="911" spans="2:36" ht="24" hidden="1" customHeight="1">
      <c r="B911" s="463">
        <v>739</v>
      </c>
      <c r="C911" s="464" t="s">
        <v>534</v>
      </c>
      <c r="D911" s="464"/>
      <c r="E911" s="464" t="s">
        <v>535</v>
      </c>
      <c r="F911" s="464"/>
      <c r="G911" s="464" t="s">
        <v>57</v>
      </c>
      <c r="H911" s="464" t="s">
        <v>2352</v>
      </c>
      <c r="I911" s="465" t="s">
        <v>537</v>
      </c>
      <c r="J911" s="465" t="s">
        <v>537</v>
      </c>
      <c r="K911" s="466">
        <v>24630</v>
      </c>
      <c r="L911" s="465" t="s">
        <v>537</v>
      </c>
      <c r="M911" s="465" t="s">
        <v>537</v>
      </c>
      <c r="N911" s="466">
        <v>21130</v>
      </c>
      <c r="O911" s="463" t="s">
        <v>537</v>
      </c>
      <c r="P911" s="463" t="s">
        <v>537</v>
      </c>
      <c r="Q911" s="468">
        <v>3500</v>
      </c>
      <c r="R911" s="470">
        <v>241487</v>
      </c>
      <c r="S911" s="471">
        <v>22343</v>
      </c>
      <c r="T911" s="463">
        <v>296</v>
      </c>
      <c r="U911" s="463">
        <v>0</v>
      </c>
      <c r="V911" s="463">
        <v>0</v>
      </c>
      <c r="W911" s="463">
        <v>242</v>
      </c>
      <c r="X911" s="464"/>
      <c r="Y911" s="464"/>
      <c r="Z911" s="463">
        <v>90.6</v>
      </c>
      <c r="AA911" s="472" t="s">
        <v>547</v>
      </c>
      <c r="AB911" s="463" t="s">
        <v>539</v>
      </c>
      <c r="AC911" s="463" t="s">
        <v>539</v>
      </c>
      <c r="AD911" s="472" t="s">
        <v>548</v>
      </c>
      <c r="AE911" s="463">
        <v>80</v>
      </c>
      <c r="AF911" s="463">
        <v>81.349999999999994</v>
      </c>
      <c r="AG911" s="463" t="s">
        <v>375</v>
      </c>
      <c r="AH911" s="476"/>
      <c r="AI911" s="472">
        <v>891208839</v>
      </c>
      <c r="AJ911" s="472" t="s">
        <v>792</v>
      </c>
    </row>
    <row r="912" spans="2:36" ht="24" hidden="1" customHeight="1">
      <c r="B912" s="463">
        <v>740</v>
      </c>
      <c r="C912" s="464" t="s">
        <v>534</v>
      </c>
      <c r="D912" s="464"/>
      <c r="E912" s="464" t="s">
        <v>535</v>
      </c>
      <c r="F912" s="464"/>
      <c r="G912" s="464" t="s">
        <v>57</v>
      </c>
      <c r="H912" s="464" t="s">
        <v>2354</v>
      </c>
      <c r="I912" s="465" t="s">
        <v>537</v>
      </c>
      <c r="J912" s="465" t="s">
        <v>537</v>
      </c>
      <c r="K912" s="466">
        <v>12630</v>
      </c>
      <c r="L912" s="465" t="s">
        <v>537</v>
      </c>
      <c r="M912" s="465" t="s">
        <v>537</v>
      </c>
      <c r="N912" s="466">
        <v>8190</v>
      </c>
      <c r="O912" s="463" t="s">
        <v>537</v>
      </c>
      <c r="P912" s="463" t="s">
        <v>537</v>
      </c>
      <c r="Q912" s="468">
        <v>4440</v>
      </c>
      <c r="R912" s="463" t="s">
        <v>643</v>
      </c>
      <c r="S912" s="463" t="s">
        <v>1152</v>
      </c>
      <c r="T912" s="463">
        <v>296</v>
      </c>
      <c r="U912" s="463">
        <v>0</v>
      </c>
      <c r="V912" s="463">
        <v>0</v>
      </c>
      <c r="W912" s="463">
        <v>312</v>
      </c>
      <c r="X912" s="464"/>
      <c r="Y912" s="464"/>
      <c r="Z912" s="463">
        <v>81.8</v>
      </c>
      <c r="AA912" s="472" t="s">
        <v>547</v>
      </c>
      <c r="AB912" s="463" t="s">
        <v>539</v>
      </c>
      <c r="AC912" s="463" t="s">
        <v>539</v>
      </c>
      <c r="AD912" s="472" t="s">
        <v>2451</v>
      </c>
      <c r="AE912" s="463">
        <v>80</v>
      </c>
      <c r="AF912" s="463">
        <v>89.71</v>
      </c>
      <c r="AG912" s="463" t="s">
        <v>375</v>
      </c>
      <c r="AH912" s="476"/>
      <c r="AI912" s="472" t="s">
        <v>2353</v>
      </c>
      <c r="AJ912" s="472" t="s">
        <v>792</v>
      </c>
    </row>
    <row r="913" spans="2:36" ht="24" hidden="1" customHeight="1">
      <c r="B913" s="463">
        <v>741</v>
      </c>
      <c r="C913" s="464" t="s">
        <v>534</v>
      </c>
      <c r="D913" s="464"/>
      <c r="E913" s="464" t="s">
        <v>535</v>
      </c>
      <c r="F913" s="464"/>
      <c r="G913" s="464" t="s">
        <v>57</v>
      </c>
      <c r="H913" s="464" t="s">
        <v>2452</v>
      </c>
      <c r="I913" s="465" t="s">
        <v>537</v>
      </c>
      <c r="J913" s="465" t="s">
        <v>537</v>
      </c>
      <c r="K913" s="466">
        <v>32000</v>
      </c>
      <c r="L913" s="465" t="s">
        <v>537</v>
      </c>
      <c r="M913" s="465" t="s">
        <v>537</v>
      </c>
      <c r="N913" s="466">
        <v>31900</v>
      </c>
      <c r="O913" s="463" t="s">
        <v>537</v>
      </c>
      <c r="P913" s="463" t="s">
        <v>537</v>
      </c>
      <c r="Q913" s="465">
        <v>100</v>
      </c>
      <c r="R913" s="470">
        <v>241459</v>
      </c>
      <c r="S913" s="471">
        <v>22339</v>
      </c>
      <c r="T913" s="463">
        <v>0</v>
      </c>
      <c r="U913" s="463">
        <v>65</v>
      </c>
      <c r="V913" s="463">
        <v>0</v>
      </c>
      <c r="W913" s="463">
        <v>30</v>
      </c>
      <c r="X913" s="463">
        <v>29</v>
      </c>
      <c r="Y913" s="464"/>
      <c r="Z913" s="463">
        <v>82.15</v>
      </c>
      <c r="AA913" s="472" t="s">
        <v>547</v>
      </c>
      <c r="AB913" s="463" t="s">
        <v>539</v>
      </c>
      <c r="AC913" s="463" t="s">
        <v>539</v>
      </c>
      <c r="AD913" s="472" t="s">
        <v>2453</v>
      </c>
      <c r="AE913" s="463" t="s">
        <v>539</v>
      </c>
      <c r="AF913" s="463" t="s">
        <v>539</v>
      </c>
      <c r="AG913" s="463" t="s">
        <v>375</v>
      </c>
      <c r="AH913" s="476"/>
      <c r="AI913" s="472" t="s">
        <v>2346</v>
      </c>
      <c r="AJ913" s="472" t="s">
        <v>792</v>
      </c>
    </row>
    <row r="914" spans="2:36" ht="24" hidden="1" customHeight="1">
      <c r="B914" s="463">
        <v>742</v>
      </c>
      <c r="C914" s="464" t="s">
        <v>534</v>
      </c>
      <c r="D914" s="464"/>
      <c r="E914" s="464" t="s">
        <v>535</v>
      </c>
      <c r="F914" s="464"/>
      <c r="G914" s="464" t="s">
        <v>57</v>
      </c>
      <c r="H914" s="464" t="s">
        <v>2454</v>
      </c>
      <c r="I914" s="465" t="s">
        <v>537</v>
      </c>
      <c r="J914" s="466">
        <v>110000</v>
      </c>
      <c r="K914" s="465" t="s">
        <v>537</v>
      </c>
      <c r="L914" s="465" t="s">
        <v>537</v>
      </c>
      <c r="M914" s="466">
        <v>101600</v>
      </c>
      <c r="N914" s="465" t="s">
        <v>537</v>
      </c>
      <c r="O914" s="463" t="s">
        <v>537</v>
      </c>
      <c r="P914" s="463" t="s">
        <v>537</v>
      </c>
      <c r="Q914" s="468">
        <v>8400</v>
      </c>
      <c r="R914" s="470">
        <v>241579</v>
      </c>
      <c r="S914" s="463" t="s">
        <v>2455</v>
      </c>
      <c r="T914" s="463">
        <v>0</v>
      </c>
      <c r="U914" s="463">
        <v>30</v>
      </c>
      <c r="V914" s="463">
        <v>0</v>
      </c>
      <c r="W914" s="463" t="s">
        <v>537</v>
      </c>
      <c r="X914" s="463">
        <v>30</v>
      </c>
      <c r="Y914" s="463" t="s">
        <v>537</v>
      </c>
      <c r="Z914" s="463">
        <v>90.6</v>
      </c>
      <c r="AA914" s="472" t="s">
        <v>547</v>
      </c>
      <c r="AB914" s="463" t="s">
        <v>539</v>
      </c>
      <c r="AC914" s="463" t="s">
        <v>539</v>
      </c>
      <c r="AD914" s="472" t="s">
        <v>548</v>
      </c>
      <c r="AE914" s="463">
        <v>80</v>
      </c>
      <c r="AF914" s="463">
        <v>85</v>
      </c>
      <c r="AG914" s="463" t="s">
        <v>375</v>
      </c>
      <c r="AH914" s="476"/>
      <c r="AI914" s="472" t="s">
        <v>2367</v>
      </c>
      <c r="AJ914" s="464"/>
    </row>
    <row r="915" spans="2:36" ht="24" hidden="1" customHeight="1">
      <c r="B915" s="463">
        <v>743</v>
      </c>
      <c r="C915" s="464" t="s">
        <v>534</v>
      </c>
      <c r="D915" s="464"/>
      <c r="E915" s="464" t="s">
        <v>535</v>
      </c>
      <c r="F915" s="464"/>
      <c r="G915" s="464" t="s">
        <v>57</v>
      </c>
      <c r="H915" s="464" t="s">
        <v>2456</v>
      </c>
      <c r="I915" s="465" t="s">
        <v>537</v>
      </c>
      <c r="J915" s="466">
        <v>238000</v>
      </c>
      <c r="K915" s="465" t="s">
        <v>537</v>
      </c>
      <c r="L915" s="465" t="s">
        <v>537</v>
      </c>
      <c r="M915" s="466">
        <v>162600</v>
      </c>
      <c r="N915" s="465" t="s">
        <v>537</v>
      </c>
      <c r="O915" s="463" t="s">
        <v>537</v>
      </c>
      <c r="P915" s="463" t="s">
        <v>537</v>
      </c>
      <c r="Q915" s="468">
        <v>75400</v>
      </c>
      <c r="R915" s="463" t="s">
        <v>643</v>
      </c>
      <c r="S915" s="463" t="s">
        <v>2455</v>
      </c>
      <c r="T915" s="463">
        <v>0</v>
      </c>
      <c r="U915" s="463">
        <v>72</v>
      </c>
      <c r="V915" s="463">
        <v>0</v>
      </c>
      <c r="W915" s="463" t="s">
        <v>537</v>
      </c>
      <c r="X915" s="463">
        <v>29</v>
      </c>
      <c r="Y915" s="463" t="s">
        <v>537</v>
      </c>
      <c r="Z915" s="463">
        <v>90.4</v>
      </c>
      <c r="AA915" s="472" t="s">
        <v>547</v>
      </c>
      <c r="AB915" s="463" t="s">
        <v>539</v>
      </c>
      <c r="AC915" s="463" t="s">
        <v>539</v>
      </c>
      <c r="AD915" s="472" t="s">
        <v>2457</v>
      </c>
      <c r="AE915" s="463">
        <v>80</v>
      </c>
      <c r="AF915" s="463">
        <v>85</v>
      </c>
      <c r="AG915" s="463" t="s">
        <v>375</v>
      </c>
      <c r="AH915" s="476"/>
      <c r="AI915" s="472" t="s">
        <v>2458</v>
      </c>
      <c r="AJ915" s="464"/>
    </row>
    <row r="916" spans="2:36" ht="24" hidden="1" customHeight="1">
      <c r="B916" s="463">
        <v>744</v>
      </c>
      <c r="C916" s="464" t="s">
        <v>534</v>
      </c>
      <c r="D916" s="464"/>
      <c r="E916" s="464" t="s">
        <v>535</v>
      </c>
      <c r="F916" s="464"/>
      <c r="G916" s="464" t="s">
        <v>57</v>
      </c>
      <c r="H916" s="464" t="s">
        <v>2459</v>
      </c>
      <c r="I916" s="465" t="s">
        <v>537</v>
      </c>
      <c r="J916" s="465" t="s">
        <v>537</v>
      </c>
      <c r="K916" s="466">
        <v>50940</v>
      </c>
      <c r="L916" s="465" t="s">
        <v>537</v>
      </c>
      <c r="M916" s="465" t="s">
        <v>537</v>
      </c>
      <c r="N916" s="466">
        <v>50940</v>
      </c>
      <c r="O916" s="463" t="s">
        <v>537</v>
      </c>
      <c r="P916" s="463" t="s">
        <v>537</v>
      </c>
      <c r="Q916" s="465">
        <v>0</v>
      </c>
      <c r="R916" s="470">
        <v>241518</v>
      </c>
      <c r="S916" s="463" t="s">
        <v>2460</v>
      </c>
      <c r="T916" s="463">
        <v>90</v>
      </c>
      <c r="U916" s="463">
        <v>4</v>
      </c>
      <c r="V916" s="463">
        <v>0</v>
      </c>
      <c r="W916" s="463">
        <v>86</v>
      </c>
      <c r="X916" s="463">
        <v>10</v>
      </c>
      <c r="Y916" s="463" t="s">
        <v>537</v>
      </c>
      <c r="Z916" s="463" t="s">
        <v>537</v>
      </c>
      <c r="AA916" s="472" t="s">
        <v>547</v>
      </c>
      <c r="AB916" s="463" t="s">
        <v>539</v>
      </c>
      <c r="AC916" s="463" t="s">
        <v>539</v>
      </c>
      <c r="AD916" s="472" t="s">
        <v>548</v>
      </c>
      <c r="AE916" s="463">
        <v>80</v>
      </c>
      <c r="AF916" s="463">
        <v>92.03</v>
      </c>
      <c r="AG916" s="463" t="s">
        <v>375</v>
      </c>
      <c r="AH916" s="476"/>
      <c r="AI916" s="472" t="s">
        <v>2356</v>
      </c>
      <c r="AJ916" s="472" t="s">
        <v>792</v>
      </c>
    </row>
    <row r="917" spans="2:36" ht="24" hidden="1" customHeight="1">
      <c r="B917" s="463">
        <v>745</v>
      </c>
      <c r="C917" s="464" t="s">
        <v>534</v>
      </c>
      <c r="D917" s="464"/>
      <c r="E917" s="464" t="s">
        <v>535</v>
      </c>
      <c r="F917" s="464"/>
      <c r="G917" s="464" t="s">
        <v>57</v>
      </c>
      <c r="H917" s="464" t="s">
        <v>2461</v>
      </c>
      <c r="I917" s="465" t="s">
        <v>537</v>
      </c>
      <c r="J917" s="465" t="s">
        <v>537</v>
      </c>
      <c r="K917" s="466">
        <v>12800</v>
      </c>
      <c r="L917" s="465" t="s">
        <v>537</v>
      </c>
      <c r="M917" s="465" t="s">
        <v>537</v>
      </c>
      <c r="N917" s="466">
        <v>4800</v>
      </c>
      <c r="O917" s="463" t="s">
        <v>537</v>
      </c>
      <c r="P917" s="463" t="s">
        <v>537</v>
      </c>
      <c r="Q917" s="468">
        <v>8000</v>
      </c>
      <c r="R917" s="463" t="s">
        <v>643</v>
      </c>
      <c r="S917" s="463" t="s">
        <v>959</v>
      </c>
      <c r="T917" s="463">
        <v>44</v>
      </c>
      <c r="U917" s="463">
        <v>16</v>
      </c>
      <c r="V917" s="463">
        <v>0</v>
      </c>
      <c r="W917" s="463">
        <v>60</v>
      </c>
      <c r="X917" s="464"/>
      <c r="Y917" s="464"/>
      <c r="Z917" s="463">
        <v>89</v>
      </c>
      <c r="AA917" s="472" t="s">
        <v>2462</v>
      </c>
      <c r="AB917" s="463" t="s">
        <v>539</v>
      </c>
      <c r="AC917" s="463" t="s">
        <v>539</v>
      </c>
      <c r="AD917" s="472" t="s">
        <v>2463</v>
      </c>
      <c r="AE917" s="463" t="s">
        <v>539</v>
      </c>
      <c r="AF917" s="463" t="s">
        <v>539</v>
      </c>
      <c r="AG917" s="463" t="s">
        <v>375</v>
      </c>
      <c r="AH917" s="476"/>
      <c r="AI917" s="472" t="s">
        <v>2464</v>
      </c>
      <c r="AJ917" s="472" t="s">
        <v>792</v>
      </c>
    </row>
    <row r="918" spans="2:36" ht="24" hidden="1" customHeight="1">
      <c r="B918" s="463">
        <v>746</v>
      </c>
      <c r="C918" s="464" t="s">
        <v>534</v>
      </c>
      <c r="D918" s="464"/>
      <c r="E918" s="464" t="s">
        <v>535</v>
      </c>
      <c r="F918" s="464"/>
      <c r="G918" s="464" t="s">
        <v>57</v>
      </c>
      <c r="H918" s="464" t="s">
        <v>2465</v>
      </c>
      <c r="I918" s="465" t="s">
        <v>537</v>
      </c>
      <c r="J918" s="466">
        <v>145200</v>
      </c>
      <c r="K918" s="465" t="s">
        <v>537</v>
      </c>
      <c r="L918" s="465" t="s">
        <v>537</v>
      </c>
      <c r="M918" s="466">
        <v>74000</v>
      </c>
      <c r="N918" s="465" t="s">
        <v>537</v>
      </c>
      <c r="O918" s="463" t="s">
        <v>537</v>
      </c>
      <c r="P918" s="463" t="s">
        <v>537</v>
      </c>
      <c r="Q918" s="468">
        <v>71200</v>
      </c>
      <c r="R918" s="470">
        <v>241609</v>
      </c>
      <c r="S918" s="471">
        <v>22482</v>
      </c>
      <c r="T918" s="463">
        <v>120</v>
      </c>
      <c r="U918" s="463">
        <v>0</v>
      </c>
      <c r="V918" s="463">
        <v>0</v>
      </c>
      <c r="W918" s="463">
        <v>7</v>
      </c>
      <c r="X918" s="463">
        <v>6</v>
      </c>
      <c r="Y918" s="463" t="s">
        <v>537</v>
      </c>
      <c r="Z918" s="463">
        <v>98.4</v>
      </c>
      <c r="AA918" s="472" t="s">
        <v>547</v>
      </c>
      <c r="AB918" s="463" t="s">
        <v>539</v>
      </c>
      <c r="AC918" s="463" t="s">
        <v>539</v>
      </c>
      <c r="AD918" s="472" t="s">
        <v>548</v>
      </c>
      <c r="AE918" s="463">
        <v>80</v>
      </c>
      <c r="AF918" s="463">
        <v>100</v>
      </c>
      <c r="AG918" s="463" t="s">
        <v>375</v>
      </c>
      <c r="AH918" s="476"/>
      <c r="AI918" s="472" t="s">
        <v>2356</v>
      </c>
      <c r="AJ918" s="464"/>
    </row>
    <row r="919" spans="2:36" ht="24" hidden="1" customHeight="1">
      <c r="B919" s="463">
        <v>747</v>
      </c>
      <c r="C919" s="464" t="s">
        <v>534</v>
      </c>
      <c r="D919" s="464"/>
      <c r="E919" s="464" t="s">
        <v>535</v>
      </c>
      <c r="F919" s="464"/>
      <c r="G919" s="464" t="s">
        <v>57</v>
      </c>
      <c r="H919" s="464" t="s">
        <v>667</v>
      </c>
      <c r="I919" s="465" t="s">
        <v>537</v>
      </c>
      <c r="J919" s="466">
        <v>81600</v>
      </c>
      <c r="K919" s="465" t="s">
        <v>537</v>
      </c>
      <c r="L919" s="465" t="s">
        <v>537</v>
      </c>
      <c r="M919" s="466">
        <v>81600</v>
      </c>
      <c r="N919" s="465" t="s">
        <v>537</v>
      </c>
      <c r="O919" s="463" t="s">
        <v>537</v>
      </c>
      <c r="P919" s="463" t="s">
        <v>537</v>
      </c>
      <c r="Q919" s="465">
        <v>0</v>
      </c>
      <c r="R919" s="470">
        <v>241579</v>
      </c>
      <c r="S919" s="471">
        <v>22448</v>
      </c>
      <c r="T919" s="463">
        <v>670</v>
      </c>
      <c r="U919" s="463">
        <v>0</v>
      </c>
      <c r="V919" s="463">
        <v>0</v>
      </c>
      <c r="W919" s="463">
        <v>819</v>
      </c>
      <c r="X919" s="463">
        <v>22</v>
      </c>
      <c r="Y919" s="464"/>
      <c r="Z919" s="463">
        <v>89.6</v>
      </c>
      <c r="AA919" s="472" t="s">
        <v>547</v>
      </c>
      <c r="AB919" s="463" t="s">
        <v>539</v>
      </c>
      <c r="AC919" s="463" t="s">
        <v>539</v>
      </c>
      <c r="AD919" s="472" t="s">
        <v>548</v>
      </c>
      <c r="AE919" s="463">
        <v>80</v>
      </c>
      <c r="AF919" s="463">
        <v>94.61</v>
      </c>
      <c r="AG919" s="463" t="s">
        <v>375</v>
      </c>
      <c r="AH919" s="476"/>
      <c r="AI919" s="472" t="s">
        <v>2343</v>
      </c>
      <c r="AJ919" s="464"/>
    </row>
    <row r="920" spans="2:36" ht="24" hidden="1" customHeight="1">
      <c r="B920" s="463">
        <v>748</v>
      </c>
      <c r="C920" s="464" t="s">
        <v>534</v>
      </c>
      <c r="D920" s="464"/>
      <c r="E920" s="464" t="s">
        <v>535</v>
      </c>
      <c r="F920" s="464"/>
      <c r="G920" s="464" t="s">
        <v>57</v>
      </c>
      <c r="H920" s="464" t="s">
        <v>668</v>
      </c>
      <c r="I920" s="465" t="s">
        <v>537</v>
      </c>
      <c r="J920" s="466">
        <v>57600</v>
      </c>
      <c r="K920" s="465" t="s">
        <v>537</v>
      </c>
      <c r="L920" s="465" t="s">
        <v>537</v>
      </c>
      <c r="M920" s="466">
        <v>57000</v>
      </c>
      <c r="N920" s="465" t="s">
        <v>537</v>
      </c>
      <c r="O920" s="463" t="s">
        <v>537</v>
      </c>
      <c r="P920" s="463" t="s">
        <v>537</v>
      </c>
      <c r="Q920" s="465">
        <v>600</v>
      </c>
      <c r="R920" s="470">
        <v>241459</v>
      </c>
      <c r="S920" s="471">
        <v>22329</v>
      </c>
      <c r="T920" s="463">
        <v>410</v>
      </c>
      <c r="U920" s="463">
        <v>0</v>
      </c>
      <c r="V920" s="463">
        <v>0</v>
      </c>
      <c r="W920" s="463">
        <v>442</v>
      </c>
      <c r="X920" s="463">
        <v>14</v>
      </c>
      <c r="Y920" s="463" t="s">
        <v>537</v>
      </c>
      <c r="Z920" s="463">
        <v>90.4</v>
      </c>
      <c r="AA920" s="472" t="s">
        <v>547</v>
      </c>
      <c r="AB920" s="463" t="s">
        <v>539</v>
      </c>
      <c r="AC920" s="463" t="s">
        <v>539</v>
      </c>
      <c r="AD920" s="472" t="s">
        <v>548</v>
      </c>
      <c r="AE920" s="463">
        <v>80</v>
      </c>
      <c r="AF920" s="463">
        <v>84.98</v>
      </c>
      <c r="AG920" s="463" t="s">
        <v>375</v>
      </c>
      <c r="AH920" s="476"/>
      <c r="AI920" s="472" t="s">
        <v>2343</v>
      </c>
      <c r="AJ920" s="464"/>
    </row>
    <row r="921" spans="2:36" ht="24" hidden="1" customHeight="1">
      <c r="B921" s="463">
        <v>749</v>
      </c>
      <c r="C921" s="464" t="s">
        <v>534</v>
      </c>
      <c r="D921" s="464"/>
      <c r="E921" s="464" t="s">
        <v>535</v>
      </c>
      <c r="F921" s="464"/>
      <c r="G921" s="464" t="s">
        <v>57</v>
      </c>
      <c r="H921" s="464" t="s">
        <v>2466</v>
      </c>
      <c r="I921" s="465" t="s">
        <v>537</v>
      </c>
      <c r="J921" s="466">
        <v>8300</v>
      </c>
      <c r="K921" s="465" t="s">
        <v>537</v>
      </c>
      <c r="L921" s="465" t="s">
        <v>537</v>
      </c>
      <c r="M921" s="466">
        <v>5940</v>
      </c>
      <c r="N921" s="465" t="s">
        <v>537</v>
      </c>
      <c r="O921" s="463" t="s">
        <v>537</v>
      </c>
      <c r="P921" s="463" t="s">
        <v>537</v>
      </c>
      <c r="Q921" s="468">
        <v>2360</v>
      </c>
      <c r="R921" s="470">
        <v>241518</v>
      </c>
      <c r="S921" s="471">
        <v>22340</v>
      </c>
      <c r="T921" s="463">
        <v>40</v>
      </c>
      <c r="U921" s="463">
        <v>5</v>
      </c>
      <c r="V921" s="463">
        <v>0</v>
      </c>
      <c r="W921" s="463">
        <v>39</v>
      </c>
      <c r="X921" s="463">
        <v>3</v>
      </c>
      <c r="Y921" s="464"/>
      <c r="Z921" s="463">
        <v>86.6</v>
      </c>
      <c r="AA921" s="472" t="s">
        <v>2362</v>
      </c>
      <c r="AB921" s="463" t="s">
        <v>539</v>
      </c>
      <c r="AC921" s="463" t="s">
        <v>539</v>
      </c>
      <c r="AD921" s="472" t="s">
        <v>635</v>
      </c>
      <c r="AE921" s="463" t="s">
        <v>539</v>
      </c>
      <c r="AF921" s="463" t="s">
        <v>539</v>
      </c>
      <c r="AG921" s="463" t="s">
        <v>375</v>
      </c>
      <c r="AH921" s="476"/>
      <c r="AI921" s="472" t="s">
        <v>2391</v>
      </c>
      <c r="AJ921" s="464"/>
    </row>
    <row r="922" spans="2:36" ht="24" hidden="1" customHeight="1">
      <c r="B922" s="463">
        <v>750</v>
      </c>
      <c r="C922" s="464" t="s">
        <v>534</v>
      </c>
      <c r="D922" s="464"/>
      <c r="E922" s="464" t="s">
        <v>535</v>
      </c>
      <c r="F922" s="464"/>
      <c r="G922" s="464" t="s">
        <v>57</v>
      </c>
      <c r="H922" s="464" t="s">
        <v>2467</v>
      </c>
      <c r="I922" s="465" t="s">
        <v>537</v>
      </c>
      <c r="J922" s="466">
        <v>7600</v>
      </c>
      <c r="K922" s="465" t="s">
        <v>537</v>
      </c>
      <c r="L922" s="465" t="s">
        <v>537</v>
      </c>
      <c r="M922" s="466">
        <v>6128</v>
      </c>
      <c r="N922" s="465" t="s">
        <v>537</v>
      </c>
      <c r="O922" s="463" t="s">
        <v>537</v>
      </c>
      <c r="P922" s="463" t="s">
        <v>537</v>
      </c>
      <c r="Q922" s="468">
        <v>1472</v>
      </c>
      <c r="R922" s="470">
        <v>241459</v>
      </c>
      <c r="S922" s="471">
        <v>22339</v>
      </c>
      <c r="T922" s="463">
        <v>25</v>
      </c>
      <c r="U922" s="463">
        <v>5</v>
      </c>
      <c r="V922" s="463">
        <v>0</v>
      </c>
      <c r="W922" s="463">
        <v>38</v>
      </c>
      <c r="X922" s="463">
        <v>5</v>
      </c>
      <c r="Y922" s="463" t="s">
        <v>537</v>
      </c>
      <c r="Z922" s="463">
        <v>84.4</v>
      </c>
      <c r="AA922" s="472" t="s">
        <v>2362</v>
      </c>
      <c r="AB922" s="463" t="s">
        <v>539</v>
      </c>
      <c r="AC922" s="463" t="s">
        <v>539</v>
      </c>
      <c r="AD922" s="472" t="s">
        <v>635</v>
      </c>
      <c r="AE922" s="463" t="s">
        <v>539</v>
      </c>
      <c r="AF922" s="463" t="s">
        <v>539</v>
      </c>
      <c r="AG922" s="463" t="s">
        <v>375</v>
      </c>
      <c r="AH922" s="476"/>
      <c r="AI922" s="472" t="s">
        <v>2468</v>
      </c>
      <c r="AJ922" s="464"/>
    </row>
    <row r="923" spans="2:36" ht="24" hidden="1" customHeight="1">
      <c r="B923" s="463">
        <v>751</v>
      </c>
      <c r="C923" s="464" t="s">
        <v>534</v>
      </c>
      <c r="D923" s="464"/>
      <c r="E923" s="464" t="s">
        <v>535</v>
      </c>
      <c r="F923" s="464"/>
      <c r="G923" s="464" t="s">
        <v>57</v>
      </c>
      <c r="H923" s="464" t="s">
        <v>669</v>
      </c>
      <c r="I923" s="465" t="s">
        <v>537</v>
      </c>
      <c r="J923" s="466">
        <v>250800</v>
      </c>
      <c r="K923" s="465" t="s">
        <v>537</v>
      </c>
      <c r="L923" s="465" t="s">
        <v>537</v>
      </c>
      <c r="M923" s="466">
        <v>242800</v>
      </c>
      <c r="N923" s="465" t="s">
        <v>537</v>
      </c>
      <c r="O923" s="463" t="s">
        <v>537</v>
      </c>
      <c r="P923" s="463" t="s">
        <v>537</v>
      </c>
      <c r="Q923" s="468">
        <v>8000</v>
      </c>
      <c r="R923" s="470">
        <v>241609</v>
      </c>
      <c r="S923" s="463" t="s">
        <v>637</v>
      </c>
      <c r="T923" s="463">
        <v>125</v>
      </c>
      <c r="U923" s="463">
        <v>0</v>
      </c>
      <c r="V923" s="463">
        <v>0</v>
      </c>
      <c r="W923" s="463">
        <v>135</v>
      </c>
      <c r="X923" s="463" t="s">
        <v>537</v>
      </c>
      <c r="Y923" s="463" t="s">
        <v>537</v>
      </c>
      <c r="Z923" s="463" t="s">
        <v>537</v>
      </c>
      <c r="AA923" s="472" t="s">
        <v>728</v>
      </c>
      <c r="AB923" s="463">
        <v>1</v>
      </c>
      <c r="AC923" s="463">
        <v>1</v>
      </c>
      <c r="AD923" s="472" t="s">
        <v>2469</v>
      </c>
      <c r="AE923" s="463">
        <v>1</v>
      </c>
      <c r="AF923" s="463">
        <v>1</v>
      </c>
      <c r="AG923" s="463" t="s">
        <v>375</v>
      </c>
      <c r="AH923" s="476"/>
      <c r="AI923" s="472" t="s">
        <v>2343</v>
      </c>
      <c r="AJ923" s="464"/>
    </row>
    <row r="924" spans="2:36" ht="24" hidden="1" customHeight="1">
      <c r="B924" s="463">
        <v>752</v>
      </c>
      <c r="C924" s="464" t="s">
        <v>534</v>
      </c>
      <c r="D924" s="464"/>
      <c r="E924" s="464" t="s">
        <v>535</v>
      </c>
      <c r="F924" s="464"/>
      <c r="G924" s="464" t="s">
        <v>57</v>
      </c>
      <c r="H924" s="464" t="s">
        <v>2470</v>
      </c>
      <c r="I924" s="465" t="s">
        <v>537</v>
      </c>
      <c r="J924" s="466">
        <v>138000</v>
      </c>
      <c r="K924" s="465" t="s">
        <v>537</v>
      </c>
      <c r="L924" s="465" t="s">
        <v>537</v>
      </c>
      <c r="M924" s="466">
        <v>138000</v>
      </c>
      <c r="N924" s="465" t="s">
        <v>537</v>
      </c>
      <c r="O924" s="463" t="s">
        <v>537</v>
      </c>
      <c r="P924" s="463" t="s">
        <v>537</v>
      </c>
      <c r="Q924" s="465">
        <v>0</v>
      </c>
      <c r="R924" s="470">
        <v>241609</v>
      </c>
      <c r="S924" s="463" t="s">
        <v>2471</v>
      </c>
      <c r="T924" s="463">
        <v>13</v>
      </c>
      <c r="U924" s="463">
        <v>65</v>
      </c>
      <c r="V924" s="463">
        <v>38</v>
      </c>
      <c r="W924" s="463">
        <v>57</v>
      </c>
      <c r="X924" s="463">
        <v>106</v>
      </c>
      <c r="Y924" s="463">
        <v>57</v>
      </c>
      <c r="Z924" s="463">
        <v>87</v>
      </c>
      <c r="AA924" s="472" t="s">
        <v>547</v>
      </c>
      <c r="AB924" s="463" t="s">
        <v>539</v>
      </c>
      <c r="AC924" s="463" t="s">
        <v>539</v>
      </c>
      <c r="AD924" s="472" t="s">
        <v>548</v>
      </c>
      <c r="AE924" s="463">
        <v>80</v>
      </c>
      <c r="AF924" s="463">
        <v>95.8</v>
      </c>
      <c r="AG924" s="463" t="s">
        <v>375</v>
      </c>
      <c r="AH924" s="476"/>
      <c r="AI924" s="472" t="s">
        <v>2343</v>
      </c>
      <c r="AJ924" s="464"/>
    </row>
    <row r="925" spans="2:36" ht="24" hidden="1" customHeight="1">
      <c r="B925" s="463">
        <v>753</v>
      </c>
      <c r="C925" s="464" t="s">
        <v>534</v>
      </c>
      <c r="D925" s="464"/>
      <c r="E925" s="464" t="s">
        <v>535</v>
      </c>
      <c r="F925" s="464"/>
      <c r="G925" s="464" t="s">
        <v>57</v>
      </c>
      <c r="H925" s="464" t="s">
        <v>2472</v>
      </c>
      <c r="I925" s="465" t="s">
        <v>537</v>
      </c>
      <c r="J925" s="466">
        <v>31000</v>
      </c>
      <c r="K925" s="465" t="s">
        <v>537</v>
      </c>
      <c r="L925" s="465" t="s">
        <v>537</v>
      </c>
      <c r="M925" s="466">
        <v>28300</v>
      </c>
      <c r="N925" s="465" t="s">
        <v>537</v>
      </c>
      <c r="O925" s="463" t="s">
        <v>537</v>
      </c>
      <c r="P925" s="463" t="s">
        <v>537</v>
      </c>
      <c r="Q925" s="468">
        <v>2700</v>
      </c>
      <c r="R925" s="470">
        <v>241640</v>
      </c>
      <c r="S925" s="471">
        <v>22503</v>
      </c>
      <c r="T925" s="463">
        <v>5</v>
      </c>
      <c r="U925" s="463">
        <v>39</v>
      </c>
      <c r="V925" s="463">
        <v>0</v>
      </c>
      <c r="W925" s="463">
        <v>10</v>
      </c>
      <c r="X925" s="463">
        <v>39</v>
      </c>
      <c r="Y925" s="463">
        <v>10</v>
      </c>
      <c r="Z925" s="463">
        <v>85.2</v>
      </c>
      <c r="AA925" s="472" t="s">
        <v>547</v>
      </c>
      <c r="AB925" s="463" t="s">
        <v>539</v>
      </c>
      <c r="AC925" s="463" t="s">
        <v>539</v>
      </c>
      <c r="AD925" s="472" t="s">
        <v>548</v>
      </c>
      <c r="AE925" s="463">
        <v>80</v>
      </c>
      <c r="AF925" s="463">
        <v>97.2</v>
      </c>
      <c r="AG925" s="463" t="s">
        <v>375</v>
      </c>
      <c r="AH925" s="476"/>
      <c r="AI925" s="472" t="s">
        <v>2356</v>
      </c>
      <c r="AJ925" s="464"/>
    </row>
    <row r="926" spans="2:36" ht="24" hidden="1" customHeight="1">
      <c r="B926" s="463">
        <v>754</v>
      </c>
      <c r="C926" s="464" t="s">
        <v>534</v>
      </c>
      <c r="D926" s="464"/>
      <c r="E926" s="464" t="s">
        <v>535</v>
      </c>
      <c r="F926" s="464"/>
      <c r="G926" s="464" t="s">
        <v>57</v>
      </c>
      <c r="H926" s="464" t="s">
        <v>2473</v>
      </c>
      <c r="I926" s="465" t="s">
        <v>537</v>
      </c>
      <c r="J926" s="466">
        <v>28000</v>
      </c>
      <c r="K926" s="465" t="s">
        <v>537</v>
      </c>
      <c r="L926" s="465" t="s">
        <v>537</v>
      </c>
      <c r="M926" s="466">
        <v>28000</v>
      </c>
      <c r="N926" s="465" t="s">
        <v>537</v>
      </c>
      <c r="O926" s="463" t="s">
        <v>537</v>
      </c>
      <c r="P926" s="463" t="s">
        <v>537</v>
      </c>
      <c r="Q926" s="465">
        <v>0</v>
      </c>
      <c r="R926" s="470">
        <v>241609</v>
      </c>
      <c r="S926" s="471">
        <v>22364</v>
      </c>
      <c r="T926" s="463">
        <v>10</v>
      </c>
      <c r="U926" s="463">
        <v>50</v>
      </c>
      <c r="V926" s="463">
        <v>30</v>
      </c>
      <c r="W926" s="464"/>
      <c r="X926" s="464"/>
      <c r="Y926" s="463">
        <v>154</v>
      </c>
      <c r="Z926" s="463">
        <v>89.6</v>
      </c>
      <c r="AA926" s="472" t="s">
        <v>547</v>
      </c>
      <c r="AB926" s="463" t="s">
        <v>539</v>
      </c>
      <c r="AC926" s="463" t="s">
        <v>539</v>
      </c>
      <c r="AD926" s="472" t="s">
        <v>729</v>
      </c>
      <c r="AE926" s="463">
        <v>1</v>
      </c>
      <c r="AF926" s="463">
        <v>5</v>
      </c>
      <c r="AG926" s="463" t="s">
        <v>375</v>
      </c>
      <c r="AH926" s="476"/>
      <c r="AI926" s="472" t="s">
        <v>2367</v>
      </c>
      <c r="AJ926" s="464"/>
    </row>
    <row r="927" spans="2:36" ht="24" hidden="1" customHeight="1">
      <c r="B927" s="463">
        <v>755</v>
      </c>
      <c r="C927" s="464" t="s">
        <v>534</v>
      </c>
      <c r="D927" s="464"/>
      <c r="E927" s="464" t="s">
        <v>535</v>
      </c>
      <c r="F927" s="464"/>
      <c r="G927" s="464" t="s">
        <v>57</v>
      </c>
      <c r="H927" s="464" t="s">
        <v>2474</v>
      </c>
      <c r="I927" s="465" t="s">
        <v>537</v>
      </c>
      <c r="J927" s="466">
        <v>160000</v>
      </c>
      <c r="K927" s="465" t="s">
        <v>537</v>
      </c>
      <c r="L927" s="465" t="s">
        <v>537</v>
      </c>
      <c r="M927" s="466">
        <v>160000</v>
      </c>
      <c r="N927" s="465" t="s">
        <v>537</v>
      </c>
      <c r="O927" s="463" t="s">
        <v>537</v>
      </c>
      <c r="P927" s="463" t="s">
        <v>537</v>
      </c>
      <c r="Q927" s="465">
        <v>0</v>
      </c>
      <c r="R927" s="470">
        <v>241487</v>
      </c>
      <c r="S927" s="471">
        <v>22356</v>
      </c>
      <c r="T927" s="463">
        <v>0</v>
      </c>
      <c r="U927" s="463">
        <v>100</v>
      </c>
      <c r="V927" s="463">
        <v>0</v>
      </c>
      <c r="W927" s="464"/>
      <c r="X927" s="463">
        <v>230</v>
      </c>
      <c r="Y927" s="464"/>
      <c r="Z927" s="463">
        <v>89</v>
      </c>
      <c r="AA927" s="472" t="s">
        <v>1304</v>
      </c>
      <c r="AB927" s="463" t="s">
        <v>539</v>
      </c>
      <c r="AC927" s="463" t="s">
        <v>539</v>
      </c>
      <c r="AD927" s="472" t="s">
        <v>2163</v>
      </c>
      <c r="AE927" s="463">
        <v>80</v>
      </c>
      <c r="AF927" s="463">
        <v>89</v>
      </c>
      <c r="AG927" s="463" t="s">
        <v>375</v>
      </c>
      <c r="AH927" s="476"/>
      <c r="AI927" s="472" t="s">
        <v>2367</v>
      </c>
      <c r="AJ927" s="464"/>
    </row>
    <row r="928" spans="2:36" ht="24" hidden="1" customHeight="1">
      <c r="B928" s="463">
        <v>756</v>
      </c>
      <c r="C928" s="464" t="s">
        <v>534</v>
      </c>
      <c r="D928" s="464"/>
      <c r="E928" s="464" t="s">
        <v>535</v>
      </c>
      <c r="F928" s="464"/>
      <c r="G928" s="464" t="s">
        <v>57</v>
      </c>
      <c r="H928" s="464" t="s">
        <v>2475</v>
      </c>
      <c r="I928" s="465" t="s">
        <v>537</v>
      </c>
      <c r="J928" s="466">
        <v>200000</v>
      </c>
      <c r="K928" s="465" t="s">
        <v>537</v>
      </c>
      <c r="L928" s="465" t="s">
        <v>537</v>
      </c>
      <c r="M928" s="466">
        <v>173388</v>
      </c>
      <c r="N928" s="465" t="s">
        <v>537</v>
      </c>
      <c r="O928" s="463" t="s">
        <v>537</v>
      </c>
      <c r="P928" s="463" t="s">
        <v>537</v>
      </c>
      <c r="Q928" s="468">
        <v>26612</v>
      </c>
      <c r="R928" s="470">
        <v>241609</v>
      </c>
      <c r="S928" s="463" t="s">
        <v>1122</v>
      </c>
      <c r="T928" s="463">
        <v>20</v>
      </c>
      <c r="U928" s="463">
        <v>34</v>
      </c>
      <c r="V928" s="463">
        <v>106</v>
      </c>
      <c r="W928" s="464"/>
      <c r="X928" s="464"/>
      <c r="Y928" s="464"/>
      <c r="Z928" s="463">
        <v>92.6</v>
      </c>
      <c r="AA928" s="472" t="s">
        <v>547</v>
      </c>
      <c r="AB928" s="463" t="s">
        <v>539</v>
      </c>
      <c r="AC928" s="463" t="s">
        <v>539</v>
      </c>
      <c r="AD928" s="472" t="s">
        <v>548</v>
      </c>
      <c r="AE928" s="463">
        <v>80</v>
      </c>
      <c r="AF928" s="463">
        <v>82.1</v>
      </c>
      <c r="AG928" s="463" t="s">
        <v>375</v>
      </c>
      <c r="AH928" s="476"/>
      <c r="AI928" s="472" t="s">
        <v>2353</v>
      </c>
      <c r="AJ928" s="464"/>
    </row>
    <row r="929" spans="1:36" ht="24" hidden="1" customHeight="1">
      <c r="B929" s="463">
        <v>757</v>
      </c>
      <c r="C929" s="464" t="s">
        <v>534</v>
      </c>
      <c r="D929" s="464"/>
      <c r="E929" s="464" t="s">
        <v>535</v>
      </c>
      <c r="F929" s="464"/>
      <c r="G929" s="464" t="s">
        <v>57</v>
      </c>
      <c r="H929" s="464" t="s">
        <v>2476</v>
      </c>
      <c r="I929" s="465" t="s">
        <v>537</v>
      </c>
      <c r="J929" s="466">
        <v>6700</v>
      </c>
      <c r="K929" s="465" t="s">
        <v>537</v>
      </c>
      <c r="L929" s="465" t="s">
        <v>537</v>
      </c>
      <c r="M929" s="466">
        <v>6200</v>
      </c>
      <c r="N929" s="465" t="s">
        <v>537</v>
      </c>
      <c r="O929" s="463" t="s">
        <v>537</v>
      </c>
      <c r="P929" s="463" t="s">
        <v>537</v>
      </c>
      <c r="Q929" s="465">
        <v>500</v>
      </c>
      <c r="R929" s="470">
        <v>241609</v>
      </c>
      <c r="S929" s="471">
        <v>22513</v>
      </c>
      <c r="T929" s="463">
        <v>15</v>
      </c>
      <c r="U929" s="463">
        <v>5</v>
      </c>
      <c r="V929" s="463">
        <v>0</v>
      </c>
      <c r="W929" s="463">
        <v>21</v>
      </c>
      <c r="X929" s="463">
        <v>3</v>
      </c>
      <c r="Y929" s="463">
        <v>2</v>
      </c>
      <c r="Z929" s="463">
        <v>90.2</v>
      </c>
      <c r="AA929" s="472" t="s">
        <v>547</v>
      </c>
      <c r="AB929" s="463" t="s">
        <v>539</v>
      </c>
      <c r="AC929" s="463" t="s">
        <v>539</v>
      </c>
      <c r="AD929" s="472" t="s">
        <v>548</v>
      </c>
      <c r="AE929" s="463">
        <v>80</v>
      </c>
      <c r="AF929" s="463">
        <v>100</v>
      </c>
      <c r="AG929" s="463" t="s">
        <v>375</v>
      </c>
      <c r="AH929" s="476"/>
      <c r="AI929" s="472" t="s">
        <v>2477</v>
      </c>
      <c r="AJ929" s="464"/>
    </row>
    <row r="930" spans="1:36" ht="24" hidden="1" customHeight="1">
      <c r="B930" s="463">
        <v>758</v>
      </c>
      <c r="C930" s="464" t="s">
        <v>534</v>
      </c>
      <c r="D930" s="464"/>
      <c r="E930" s="464" t="s">
        <v>535</v>
      </c>
      <c r="F930" s="464"/>
      <c r="G930" s="464" t="s">
        <v>57</v>
      </c>
      <c r="H930" s="464" t="s">
        <v>2478</v>
      </c>
      <c r="I930" s="465" t="s">
        <v>537</v>
      </c>
      <c r="J930" s="466">
        <v>96700</v>
      </c>
      <c r="K930" s="465" t="s">
        <v>537</v>
      </c>
      <c r="L930" s="465" t="s">
        <v>537</v>
      </c>
      <c r="M930" s="466">
        <v>78095</v>
      </c>
      <c r="N930" s="465" t="s">
        <v>537</v>
      </c>
      <c r="O930" s="463" t="s">
        <v>537</v>
      </c>
      <c r="P930" s="463" t="s">
        <v>537</v>
      </c>
      <c r="Q930" s="468">
        <v>18605</v>
      </c>
      <c r="R930" s="470">
        <v>241609</v>
      </c>
      <c r="S930" s="463" t="s">
        <v>2479</v>
      </c>
      <c r="T930" s="463">
        <v>15</v>
      </c>
      <c r="U930" s="463">
        <v>5</v>
      </c>
      <c r="V930" s="463">
        <v>0</v>
      </c>
      <c r="W930" s="463">
        <v>12</v>
      </c>
      <c r="X930" s="463">
        <v>5</v>
      </c>
      <c r="Y930" s="464"/>
      <c r="Z930" s="463" t="s">
        <v>537</v>
      </c>
      <c r="AA930" s="472" t="s">
        <v>2362</v>
      </c>
      <c r="AB930" s="463" t="s">
        <v>539</v>
      </c>
      <c r="AC930" s="463" t="s">
        <v>539</v>
      </c>
      <c r="AD930" s="472" t="s">
        <v>635</v>
      </c>
      <c r="AE930" s="463" t="s">
        <v>539</v>
      </c>
      <c r="AF930" s="463" t="s">
        <v>539</v>
      </c>
      <c r="AG930" s="463" t="s">
        <v>375</v>
      </c>
      <c r="AH930" s="476"/>
      <c r="AI930" s="472" t="s">
        <v>2477</v>
      </c>
      <c r="AJ930" s="464"/>
    </row>
    <row r="931" spans="1:36" ht="24" hidden="1" customHeight="1">
      <c r="B931" s="463">
        <v>759</v>
      </c>
      <c r="C931" s="464" t="s">
        <v>534</v>
      </c>
      <c r="D931" s="464"/>
      <c r="E931" s="464" t="s">
        <v>535</v>
      </c>
      <c r="F931" s="464"/>
      <c r="G931" s="464" t="s">
        <v>57</v>
      </c>
      <c r="H931" s="464" t="s">
        <v>2480</v>
      </c>
      <c r="I931" s="465" t="s">
        <v>537</v>
      </c>
      <c r="J931" s="465" t="s">
        <v>537</v>
      </c>
      <c r="K931" s="466">
        <v>31800</v>
      </c>
      <c r="L931" s="465" t="s">
        <v>537</v>
      </c>
      <c r="M931" s="465" t="s">
        <v>537</v>
      </c>
      <c r="N931" s="466">
        <v>31800</v>
      </c>
      <c r="O931" s="463" t="s">
        <v>537</v>
      </c>
      <c r="P931" s="463" t="s">
        <v>537</v>
      </c>
      <c r="Q931" s="465">
        <v>0</v>
      </c>
      <c r="R931" s="470">
        <v>241428</v>
      </c>
      <c r="S931" s="463" t="s">
        <v>919</v>
      </c>
      <c r="T931" s="463">
        <v>0</v>
      </c>
      <c r="U931" s="463">
        <v>70</v>
      </c>
      <c r="V931" s="463">
        <v>0</v>
      </c>
      <c r="W931" s="464"/>
      <c r="X931" s="463">
        <v>52</v>
      </c>
      <c r="Y931" s="464"/>
      <c r="Z931" s="463">
        <v>95</v>
      </c>
      <c r="AA931" s="472" t="s">
        <v>547</v>
      </c>
      <c r="AB931" s="463" t="s">
        <v>539</v>
      </c>
      <c r="AC931" s="463" t="s">
        <v>539</v>
      </c>
      <c r="AD931" s="472" t="s">
        <v>548</v>
      </c>
      <c r="AE931" s="463">
        <v>80</v>
      </c>
      <c r="AF931" s="463">
        <v>93.02</v>
      </c>
      <c r="AG931" s="463" t="s">
        <v>375</v>
      </c>
      <c r="AH931" s="476"/>
      <c r="AI931" s="472" t="s">
        <v>2367</v>
      </c>
      <c r="AJ931" s="472" t="s">
        <v>543</v>
      </c>
    </row>
    <row r="932" spans="1:36" ht="24" hidden="1" customHeight="1">
      <c r="B932" s="463">
        <v>760</v>
      </c>
      <c r="C932" s="464" t="s">
        <v>534</v>
      </c>
      <c r="D932" s="464"/>
      <c r="E932" s="464" t="s">
        <v>535</v>
      </c>
      <c r="F932" s="464"/>
      <c r="G932" s="464" t="s">
        <v>57</v>
      </c>
      <c r="H932" s="464" t="s">
        <v>2481</v>
      </c>
      <c r="I932" s="465" t="s">
        <v>537</v>
      </c>
      <c r="J932" s="465" t="s">
        <v>537</v>
      </c>
      <c r="K932" s="466">
        <v>19500</v>
      </c>
      <c r="L932" s="465" t="s">
        <v>537</v>
      </c>
      <c r="M932" s="465" t="s">
        <v>537</v>
      </c>
      <c r="N932" s="466">
        <v>19500</v>
      </c>
      <c r="O932" s="463" t="s">
        <v>537</v>
      </c>
      <c r="P932" s="463" t="s">
        <v>537</v>
      </c>
      <c r="Q932" s="465">
        <v>0</v>
      </c>
      <c r="R932" s="470">
        <v>241459</v>
      </c>
      <c r="S932" s="471">
        <v>22326</v>
      </c>
      <c r="T932" s="463">
        <v>130</v>
      </c>
      <c r="U932" s="463">
        <v>20</v>
      </c>
      <c r="V932" s="463">
        <v>0</v>
      </c>
      <c r="W932" s="463">
        <v>130</v>
      </c>
      <c r="X932" s="463">
        <v>20</v>
      </c>
      <c r="Y932" s="463" t="s">
        <v>537</v>
      </c>
      <c r="Z932" s="463">
        <v>92.8</v>
      </c>
      <c r="AA932" s="472" t="s">
        <v>547</v>
      </c>
      <c r="AB932" s="463" t="s">
        <v>539</v>
      </c>
      <c r="AC932" s="463" t="s">
        <v>539</v>
      </c>
      <c r="AD932" s="472" t="s">
        <v>548</v>
      </c>
      <c r="AE932" s="463">
        <v>80</v>
      </c>
      <c r="AF932" s="463">
        <v>85.83</v>
      </c>
      <c r="AG932" s="463" t="s">
        <v>375</v>
      </c>
      <c r="AH932" s="476"/>
      <c r="AI932" s="472" t="s">
        <v>2343</v>
      </c>
      <c r="AJ932" s="472" t="s">
        <v>543</v>
      </c>
    </row>
    <row r="933" spans="1:36" ht="24" hidden="1" customHeight="1">
      <c r="B933" s="463">
        <v>761</v>
      </c>
      <c r="C933" s="464" t="s">
        <v>534</v>
      </c>
      <c r="D933" s="464"/>
      <c r="E933" s="464" t="s">
        <v>535</v>
      </c>
      <c r="F933" s="464"/>
      <c r="G933" s="464" t="s">
        <v>57</v>
      </c>
      <c r="H933" s="464" t="s">
        <v>636</v>
      </c>
      <c r="I933" s="466">
        <v>200000</v>
      </c>
      <c r="J933" s="465" t="s">
        <v>537</v>
      </c>
      <c r="K933" s="465" t="s">
        <v>537</v>
      </c>
      <c r="L933" s="466">
        <v>192295</v>
      </c>
      <c r="M933" s="465" t="s">
        <v>537</v>
      </c>
      <c r="N933" s="465" t="s">
        <v>537</v>
      </c>
      <c r="O933" s="463" t="s">
        <v>537</v>
      </c>
      <c r="P933" s="463" t="s">
        <v>537</v>
      </c>
      <c r="Q933" s="468">
        <v>7705</v>
      </c>
      <c r="R933" s="470">
        <v>241609</v>
      </c>
      <c r="S933" s="463" t="s">
        <v>637</v>
      </c>
      <c r="T933" s="463">
        <v>190</v>
      </c>
      <c r="U933" s="463">
        <v>0</v>
      </c>
      <c r="V933" s="463">
        <v>0</v>
      </c>
      <c r="W933" s="463">
        <v>144</v>
      </c>
      <c r="X933" s="463">
        <v>60</v>
      </c>
      <c r="Y933" s="464"/>
      <c r="Z933" s="464"/>
      <c r="AA933" s="472" t="s">
        <v>728</v>
      </c>
      <c r="AB933" s="463">
        <v>1</v>
      </c>
      <c r="AC933" s="463">
        <v>2</v>
      </c>
      <c r="AD933" s="472" t="s">
        <v>651</v>
      </c>
      <c r="AE933" s="463">
        <v>1</v>
      </c>
      <c r="AF933" s="463">
        <v>2</v>
      </c>
      <c r="AG933" s="463" t="s">
        <v>375</v>
      </c>
      <c r="AH933" s="476"/>
      <c r="AI933" s="472">
        <v>843124488</v>
      </c>
      <c r="AJ933" s="464"/>
    </row>
    <row r="934" spans="1:36" ht="24" hidden="1" customHeight="1">
      <c r="B934" s="463">
        <v>762</v>
      </c>
      <c r="C934" s="464" t="s">
        <v>534</v>
      </c>
      <c r="D934" s="464"/>
      <c r="E934" s="464" t="s">
        <v>535</v>
      </c>
      <c r="F934" s="464"/>
      <c r="G934" s="464" t="s">
        <v>57</v>
      </c>
      <c r="H934" s="464" t="s">
        <v>2482</v>
      </c>
      <c r="I934" s="466">
        <v>50000</v>
      </c>
      <c r="J934" s="465" t="s">
        <v>537</v>
      </c>
      <c r="K934" s="465" t="s">
        <v>537</v>
      </c>
      <c r="L934" s="466">
        <v>33540</v>
      </c>
      <c r="M934" s="465" t="s">
        <v>537</v>
      </c>
      <c r="N934" s="465" t="s">
        <v>537</v>
      </c>
      <c r="O934" s="463" t="s">
        <v>537</v>
      </c>
      <c r="P934" s="463" t="s">
        <v>537</v>
      </c>
      <c r="Q934" s="468">
        <v>16460</v>
      </c>
      <c r="R934" s="470">
        <v>241487</v>
      </c>
      <c r="S934" s="463" t="s">
        <v>2483</v>
      </c>
      <c r="T934" s="463">
        <v>40</v>
      </c>
      <c r="U934" s="463">
        <v>5</v>
      </c>
      <c r="V934" s="463">
        <v>0</v>
      </c>
      <c r="W934" s="463">
        <v>56</v>
      </c>
      <c r="X934" s="463">
        <v>6</v>
      </c>
      <c r="Y934" s="463">
        <v>4</v>
      </c>
      <c r="Z934" s="463">
        <v>91.2</v>
      </c>
      <c r="AA934" s="472" t="s">
        <v>547</v>
      </c>
      <c r="AB934" s="463" t="s">
        <v>539</v>
      </c>
      <c r="AC934" s="463" t="s">
        <v>539</v>
      </c>
      <c r="AD934" s="472" t="s">
        <v>675</v>
      </c>
      <c r="AE934" s="463">
        <v>80</v>
      </c>
      <c r="AF934" s="463">
        <v>91.2</v>
      </c>
      <c r="AG934" s="463" t="s">
        <v>375</v>
      </c>
      <c r="AH934" s="476"/>
      <c r="AI934" s="472" t="s">
        <v>2356</v>
      </c>
      <c r="AJ934" s="464"/>
    </row>
    <row r="935" spans="1:36" ht="24" hidden="1" customHeight="1">
      <c r="B935" s="463">
        <v>763</v>
      </c>
      <c r="C935" s="464" t="s">
        <v>534</v>
      </c>
      <c r="D935" s="464"/>
      <c r="E935" s="464" t="s">
        <v>535</v>
      </c>
      <c r="F935" s="464"/>
      <c r="G935" s="464" t="s">
        <v>57</v>
      </c>
      <c r="H935" s="464" t="s">
        <v>2484</v>
      </c>
      <c r="I935" s="466">
        <v>60000</v>
      </c>
      <c r="J935" s="465" t="s">
        <v>537</v>
      </c>
      <c r="K935" s="465" t="s">
        <v>537</v>
      </c>
      <c r="L935" s="466">
        <v>6400</v>
      </c>
      <c r="M935" s="465" t="s">
        <v>537</v>
      </c>
      <c r="N935" s="465" t="s">
        <v>537</v>
      </c>
      <c r="O935" s="463" t="s">
        <v>537</v>
      </c>
      <c r="P935" s="463" t="s">
        <v>537</v>
      </c>
      <c r="Q935" s="468">
        <v>53600</v>
      </c>
      <c r="R935" s="470">
        <v>241518</v>
      </c>
      <c r="S935" s="463" t="s">
        <v>2370</v>
      </c>
      <c r="T935" s="463">
        <v>0</v>
      </c>
      <c r="U935" s="463">
        <v>2</v>
      </c>
      <c r="V935" s="463">
        <v>0</v>
      </c>
      <c r="W935" s="463" t="s">
        <v>537</v>
      </c>
      <c r="X935" s="463">
        <v>1</v>
      </c>
      <c r="Y935" s="463" t="s">
        <v>537</v>
      </c>
      <c r="Z935" s="463" t="s">
        <v>537</v>
      </c>
      <c r="AA935" s="472" t="s">
        <v>2362</v>
      </c>
      <c r="AB935" s="463" t="s">
        <v>539</v>
      </c>
      <c r="AC935" s="463" t="s">
        <v>539</v>
      </c>
      <c r="AD935" s="472" t="s">
        <v>635</v>
      </c>
      <c r="AE935" s="463" t="s">
        <v>539</v>
      </c>
      <c r="AF935" s="463" t="s">
        <v>539</v>
      </c>
      <c r="AG935" s="463" t="s">
        <v>375</v>
      </c>
      <c r="AH935" s="476"/>
      <c r="AI935" s="472" t="s">
        <v>2356</v>
      </c>
      <c r="AJ935" s="464"/>
    </row>
    <row r="936" spans="1:36" ht="24" hidden="1" customHeight="1">
      <c r="B936" s="463">
        <v>764</v>
      </c>
      <c r="C936" s="464" t="s">
        <v>534</v>
      </c>
      <c r="D936" s="464"/>
      <c r="E936" s="464" t="s">
        <v>535</v>
      </c>
      <c r="F936" s="464"/>
      <c r="G936" s="464" t="s">
        <v>57</v>
      </c>
      <c r="H936" s="464" t="s">
        <v>2485</v>
      </c>
      <c r="I936" s="466">
        <v>87000</v>
      </c>
      <c r="J936" s="465" t="s">
        <v>537</v>
      </c>
      <c r="K936" s="465" t="s">
        <v>537</v>
      </c>
      <c r="L936" s="466">
        <v>12382</v>
      </c>
      <c r="M936" s="465" t="s">
        <v>537</v>
      </c>
      <c r="N936" s="465" t="s">
        <v>537</v>
      </c>
      <c r="O936" s="463" t="s">
        <v>537</v>
      </c>
      <c r="P936" s="463" t="s">
        <v>537</v>
      </c>
      <c r="Q936" s="468">
        <v>74618</v>
      </c>
      <c r="R936" s="463" t="s">
        <v>2109</v>
      </c>
      <c r="S936" s="463" t="s">
        <v>2486</v>
      </c>
      <c r="T936" s="463">
        <v>5</v>
      </c>
      <c r="U936" s="463">
        <v>5</v>
      </c>
      <c r="V936" s="463">
        <v>0</v>
      </c>
      <c r="W936" s="463">
        <v>1</v>
      </c>
      <c r="X936" s="463">
        <v>1</v>
      </c>
      <c r="Y936" s="464"/>
      <c r="Z936" s="463" t="s">
        <v>537</v>
      </c>
      <c r="AA936" s="472" t="s">
        <v>547</v>
      </c>
      <c r="AB936" s="463" t="s">
        <v>539</v>
      </c>
      <c r="AC936" s="463" t="s">
        <v>539</v>
      </c>
      <c r="AD936" s="472" t="s">
        <v>733</v>
      </c>
      <c r="AE936" s="463">
        <v>1</v>
      </c>
      <c r="AF936" s="463">
        <v>1</v>
      </c>
      <c r="AG936" s="463" t="s">
        <v>375</v>
      </c>
      <c r="AH936" s="476"/>
      <c r="AI936" s="472" t="s">
        <v>2356</v>
      </c>
      <c r="AJ936" s="464"/>
    </row>
    <row r="937" spans="1:36" ht="24" hidden="1" customHeight="1">
      <c r="B937" s="701">
        <v>765</v>
      </c>
      <c r="C937" s="699" t="s">
        <v>534</v>
      </c>
      <c r="D937" s="699"/>
      <c r="E937" s="699" t="s">
        <v>577</v>
      </c>
      <c r="F937" s="699"/>
      <c r="G937" s="699" t="s">
        <v>57</v>
      </c>
      <c r="H937" s="699" t="s">
        <v>2487</v>
      </c>
      <c r="I937" s="709" t="s">
        <v>537</v>
      </c>
      <c r="J937" s="709" t="s">
        <v>537</v>
      </c>
      <c r="K937" s="712">
        <v>170000</v>
      </c>
      <c r="L937" s="709" t="s">
        <v>537</v>
      </c>
      <c r="M937" s="709" t="s">
        <v>537</v>
      </c>
      <c r="N937" s="712">
        <v>169330.6</v>
      </c>
      <c r="O937" s="701" t="s">
        <v>537</v>
      </c>
      <c r="P937" s="701" t="s">
        <v>537</v>
      </c>
      <c r="Q937" s="709">
        <v>669</v>
      </c>
      <c r="R937" s="701" t="s">
        <v>2329</v>
      </c>
      <c r="S937" s="701" t="s">
        <v>2488</v>
      </c>
      <c r="T937" s="701">
        <v>0</v>
      </c>
      <c r="U937" s="701">
        <v>0</v>
      </c>
      <c r="V937" s="701">
        <v>0</v>
      </c>
      <c r="W937" s="699"/>
      <c r="X937" s="699"/>
      <c r="Y937" s="699"/>
      <c r="Z937" s="701" t="s">
        <v>537</v>
      </c>
      <c r="AA937" s="458" t="s">
        <v>2489</v>
      </c>
      <c r="AB937" s="459" t="s">
        <v>539</v>
      </c>
      <c r="AC937" s="459" t="s">
        <v>539</v>
      </c>
      <c r="AD937" s="458" t="s">
        <v>2490</v>
      </c>
      <c r="AE937" s="459">
        <v>1</v>
      </c>
      <c r="AF937" s="459">
        <v>1</v>
      </c>
      <c r="AG937" s="701" t="s">
        <v>375</v>
      </c>
      <c r="AH937" s="728"/>
      <c r="AI937" s="697" t="s">
        <v>1027</v>
      </c>
      <c r="AJ937" s="697" t="s">
        <v>543</v>
      </c>
    </row>
    <row r="938" spans="1:36" ht="24" hidden="1" customHeight="1">
      <c r="B938" s="715"/>
      <c r="C938" s="714"/>
      <c r="D938" s="714"/>
      <c r="E938" s="714"/>
      <c r="F938" s="714"/>
      <c r="G938" s="714"/>
      <c r="H938" s="714"/>
      <c r="I938" s="717"/>
      <c r="J938" s="717"/>
      <c r="K938" s="720"/>
      <c r="L938" s="717"/>
      <c r="M938" s="717"/>
      <c r="N938" s="720"/>
      <c r="O938" s="715"/>
      <c r="P938" s="715"/>
      <c r="Q938" s="717"/>
      <c r="R938" s="715"/>
      <c r="S938" s="715"/>
      <c r="T938" s="715"/>
      <c r="U938" s="715"/>
      <c r="V938" s="715"/>
      <c r="W938" s="714"/>
      <c r="X938" s="714"/>
      <c r="Y938" s="714"/>
      <c r="Z938" s="715"/>
      <c r="AA938" s="460" t="s">
        <v>2491</v>
      </c>
      <c r="AB938" s="461" t="s">
        <v>539</v>
      </c>
      <c r="AC938" s="461" t="s">
        <v>539</v>
      </c>
      <c r="AD938" s="460" t="s">
        <v>2492</v>
      </c>
      <c r="AE938" s="461">
        <v>2</v>
      </c>
      <c r="AF938" s="461">
        <v>3</v>
      </c>
      <c r="AG938" s="715"/>
      <c r="AH938" s="730"/>
      <c r="AI938" s="711"/>
      <c r="AJ938" s="711"/>
    </row>
    <row r="939" spans="1:36" ht="24" hidden="1" customHeight="1">
      <c r="B939" s="702"/>
      <c r="C939" s="700"/>
      <c r="D939" s="700"/>
      <c r="E939" s="700"/>
      <c r="F939" s="700"/>
      <c r="G939" s="700"/>
      <c r="H939" s="700"/>
      <c r="I939" s="710"/>
      <c r="J939" s="710"/>
      <c r="K939" s="713"/>
      <c r="L939" s="710"/>
      <c r="M939" s="710"/>
      <c r="N939" s="713"/>
      <c r="O939" s="702"/>
      <c r="P939" s="702"/>
      <c r="Q939" s="710"/>
      <c r="R939" s="702"/>
      <c r="S939" s="702"/>
      <c r="T939" s="702"/>
      <c r="U939" s="702"/>
      <c r="V939" s="702"/>
      <c r="W939" s="700"/>
      <c r="X939" s="700"/>
      <c r="Y939" s="700"/>
      <c r="Z939" s="702"/>
      <c r="AA939" s="473" t="s">
        <v>2493</v>
      </c>
      <c r="AB939" s="474" t="s">
        <v>539</v>
      </c>
      <c r="AC939" s="474" t="s">
        <v>539</v>
      </c>
      <c r="AD939" s="462"/>
      <c r="AE939" s="462"/>
      <c r="AF939" s="462"/>
      <c r="AG939" s="702"/>
      <c r="AH939" s="729"/>
      <c r="AI939" s="698"/>
      <c r="AJ939" s="698"/>
    </row>
    <row r="940" spans="1:36" ht="24" customHeight="1">
      <c r="A940" s="452">
        <v>131</v>
      </c>
      <c r="B940" s="463">
        <v>766</v>
      </c>
      <c r="C940" s="464" t="s">
        <v>337</v>
      </c>
      <c r="D940" s="464"/>
      <c r="E940" s="464" t="s">
        <v>545</v>
      </c>
      <c r="F940" s="464"/>
      <c r="G940" s="464" t="s">
        <v>57</v>
      </c>
      <c r="H940" s="464" t="s">
        <v>2494</v>
      </c>
      <c r="I940" s="465" t="s">
        <v>537</v>
      </c>
      <c r="J940" s="465" t="s">
        <v>537</v>
      </c>
      <c r="K940" s="466">
        <v>60000</v>
      </c>
      <c r="L940" s="465" t="s">
        <v>537</v>
      </c>
      <c r="M940" s="465" t="s">
        <v>537</v>
      </c>
      <c r="N940" s="466">
        <v>53948.79</v>
      </c>
      <c r="O940" s="463" t="s">
        <v>537</v>
      </c>
      <c r="P940" s="463" t="s">
        <v>537</v>
      </c>
      <c r="Q940" s="468">
        <v>6051</v>
      </c>
      <c r="R940" s="463" t="s">
        <v>1214</v>
      </c>
      <c r="S940" s="463" t="s">
        <v>1122</v>
      </c>
      <c r="T940" s="463">
        <v>10</v>
      </c>
      <c r="U940" s="463">
        <v>3</v>
      </c>
      <c r="V940" s="463">
        <v>20</v>
      </c>
      <c r="W940" s="463" t="s">
        <v>537</v>
      </c>
      <c r="X940" s="463" t="s">
        <v>537</v>
      </c>
      <c r="Y940" s="463" t="s">
        <v>537</v>
      </c>
      <c r="Z940" s="463" t="s">
        <v>537</v>
      </c>
      <c r="AA940" s="472" t="s">
        <v>2495</v>
      </c>
      <c r="AB940" s="463" t="s">
        <v>539</v>
      </c>
      <c r="AC940" s="463" t="s">
        <v>539</v>
      </c>
      <c r="AD940" s="472" t="s">
        <v>2496</v>
      </c>
      <c r="AE940" s="463" t="s">
        <v>539</v>
      </c>
      <c r="AF940" s="463" t="s">
        <v>539</v>
      </c>
      <c r="AG940" s="463" t="s">
        <v>375</v>
      </c>
      <c r="AH940" s="476"/>
      <c r="AI940" s="472" t="s">
        <v>1027</v>
      </c>
      <c r="AJ940" s="472" t="s">
        <v>543</v>
      </c>
    </row>
    <row r="941" spans="1:36" ht="24" customHeight="1">
      <c r="A941" s="452">
        <v>132</v>
      </c>
      <c r="B941" s="701">
        <v>767</v>
      </c>
      <c r="C941" s="699" t="s">
        <v>337</v>
      </c>
      <c r="D941" s="699"/>
      <c r="E941" s="699" t="s">
        <v>545</v>
      </c>
      <c r="F941" s="699"/>
      <c r="G941" s="699" t="s">
        <v>57</v>
      </c>
      <c r="H941" s="699" t="s">
        <v>2497</v>
      </c>
      <c r="I941" s="712">
        <v>34000</v>
      </c>
      <c r="J941" s="709" t="s">
        <v>537</v>
      </c>
      <c r="K941" s="709" t="s">
        <v>537</v>
      </c>
      <c r="L941" s="712">
        <v>33592</v>
      </c>
      <c r="M941" s="709" t="s">
        <v>537</v>
      </c>
      <c r="N941" s="709" t="s">
        <v>537</v>
      </c>
      <c r="O941" s="701" t="s">
        <v>537</v>
      </c>
      <c r="P941" s="701" t="s">
        <v>537</v>
      </c>
      <c r="Q941" s="709">
        <v>408</v>
      </c>
      <c r="R941" s="707">
        <v>241609</v>
      </c>
      <c r="S941" s="701" t="s">
        <v>2498</v>
      </c>
      <c r="T941" s="701">
        <v>2</v>
      </c>
      <c r="U941" s="701">
        <v>3</v>
      </c>
      <c r="V941" s="701">
        <v>20</v>
      </c>
      <c r="W941" s="701">
        <v>2</v>
      </c>
      <c r="X941" s="701">
        <v>5</v>
      </c>
      <c r="Y941" s="701">
        <v>25</v>
      </c>
      <c r="Z941" s="701">
        <v>90.2</v>
      </c>
      <c r="AA941" s="458" t="s">
        <v>2499</v>
      </c>
      <c r="AB941" s="459" t="s">
        <v>539</v>
      </c>
      <c r="AC941" s="459" t="s">
        <v>539</v>
      </c>
      <c r="AD941" s="458" t="s">
        <v>2500</v>
      </c>
      <c r="AE941" s="459" t="s">
        <v>539</v>
      </c>
      <c r="AF941" s="459" t="s">
        <v>539</v>
      </c>
      <c r="AG941" s="701" t="s">
        <v>375</v>
      </c>
      <c r="AH941" s="728"/>
      <c r="AI941" s="697" t="s">
        <v>2501</v>
      </c>
      <c r="AJ941" s="699"/>
    </row>
    <row r="942" spans="1:36" ht="24" hidden="1" customHeight="1">
      <c r="B942" s="702"/>
      <c r="C942" s="700"/>
      <c r="D942" s="700"/>
      <c r="E942" s="700"/>
      <c r="F942" s="700"/>
      <c r="G942" s="700"/>
      <c r="H942" s="700"/>
      <c r="I942" s="713"/>
      <c r="J942" s="710"/>
      <c r="K942" s="710"/>
      <c r="L942" s="713"/>
      <c r="M942" s="710"/>
      <c r="N942" s="710"/>
      <c r="O942" s="702"/>
      <c r="P942" s="702"/>
      <c r="Q942" s="710"/>
      <c r="R942" s="708"/>
      <c r="S942" s="702"/>
      <c r="T942" s="702"/>
      <c r="U942" s="702"/>
      <c r="V942" s="702"/>
      <c r="W942" s="702"/>
      <c r="X942" s="702"/>
      <c r="Y942" s="702"/>
      <c r="Z942" s="702"/>
      <c r="AA942" s="473" t="s">
        <v>2502</v>
      </c>
      <c r="AB942" s="474" t="s">
        <v>539</v>
      </c>
      <c r="AC942" s="474" t="s">
        <v>539</v>
      </c>
      <c r="AD942" s="473" t="s">
        <v>1527</v>
      </c>
      <c r="AE942" s="474">
        <v>80</v>
      </c>
      <c r="AF942" s="474">
        <v>90</v>
      </c>
      <c r="AG942" s="702"/>
      <c r="AH942" s="729"/>
      <c r="AI942" s="698"/>
      <c r="AJ942" s="700"/>
    </row>
    <row r="943" spans="1:36" ht="24" customHeight="1">
      <c r="A943" s="452">
        <v>133</v>
      </c>
      <c r="B943" s="701">
        <v>768</v>
      </c>
      <c r="C943" s="699" t="s">
        <v>337</v>
      </c>
      <c r="D943" s="699"/>
      <c r="E943" s="699" t="s">
        <v>545</v>
      </c>
      <c r="F943" s="699"/>
      <c r="G943" s="699" t="s">
        <v>57</v>
      </c>
      <c r="H943" s="699" t="s">
        <v>2503</v>
      </c>
      <c r="I943" s="712">
        <v>24700</v>
      </c>
      <c r="J943" s="709" t="s">
        <v>537</v>
      </c>
      <c r="K943" s="709" t="s">
        <v>537</v>
      </c>
      <c r="L943" s="712">
        <v>22200</v>
      </c>
      <c r="M943" s="709" t="s">
        <v>537</v>
      </c>
      <c r="N943" s="709" t="s">
        <v>537</v>
      </c>
      <c r="O943" s="701" t="s">
        <v>537</v>
      </c>
      <c r="P943" s="701" t="s">
        <v>537</v>
      </c>
      <c r="Q943" s="705">
        <v>2500</v>
      </c>
      <c r="R943" s="707">
        <v>241579</v>
      </c>
      <c r="S943" s="701" t="s">
        <v>2504</v>
      </c>
      <c r="T943" s="701">
        <v>2</v>
      </c>
      <c r="U943" s="701">
        <v>3</v>
      </c>
      <c r="V943" s="701">
        <v>15</v>
      </c>
      <c r="W943" s="701">
        <v>5</v>
      </c>
      <c r="X943" s="701" t="s">
        <v>537</v>
      </c>
      <c r="Y943" s="701">
        <v>20</v>
      </c>
      <c r="Z943" s="701">
        <v>91.6</v>
      </c>
      <c r="AA943" s="458" t="s">
        <v>2505</v>
      </c>
      <c r="AB943" s="459">
        <v>3</v>
      </c>
      <c r="AC943" s="459">
        <v>3</v>
      </c>
      <c r="AD943" s="458" t="s">
        <v>2506</v>
      </c>
      <c r="AE943" s="459" t="s">
        <v>539</v>
      </c>
      <c r="AF943" s="459" t="s">
        <v>539</v>
      </c>
      <c r="AG943" s="701" t="s">
        <v>375</v>
      </c>
      <c r="AH943" s="728"/>
      <c r="AI943" s="697">
        <v>813119507</v>
      </c>
      <c r="AJ943" s="699"/>
    </row>
    <row r="944" spans="1:36" ht="24" hidden="1" customHeight="1">
      <c r="B944" s="702"/>
      <c r="C944" s="700"/>
      <c r="D944" s="700"/>
      <c r="E944" s="700"/>
      <c r="F944" s="700"/>
      <c r="G944" s="700"/>
      <c r="H944" s="700"/>
      <c r="I944" s="713"/>
      <c r="J944" s="710"/>
      <c r="K944" s="710"/>
      <c r="L944" s="713"/>
      <c r="M944" s="710"/>
      <c r="N944" s="710"/>
      <c r="O944" s="702"/>
      <c r="P944" s="702"/>
      <c r="Q944" s="706"/>
      <c r="R944" s="708"/>
      <c r="S944" s="702"/>
      <c r="T944" s="702"/>
      <c r="U944" s="702"/>
      <c r="V944" s="702"/>
      <c r="W944" s="702"/>
      <c r="X944" s="702"/>
      <c r="Y944" s="702"/>
      <c r="Z944" s="702"/>
      <c r="AA944" s="473" t="s">
        <v>2502</v>
      </c>
      <c r="AB944" s="474" t="s">
        <v>539</v>
      </c>
      <c r="AC944" s="474" t="s">
        <v>539</v>
      </c>
      <c r="AD944" s="473" t="s">
        <v>1527</v>
      </c>
      <c r="AE944" s="474">
        <v>80</v>
      </c>
      <c r="AF944" s="474">
        <v>90</v>
      </c>
      <c r="AG944" s="702"/>
      <c r="AH944" s="729"/>
      <c r="AI944" s="698"/>
      <c r="AJ944" s="700"/>
    </row>
    <row r="945" spans="1:36" ht="24" customHeight="1">
      <c r="A945" s="452">
        <v>134</v>
      </c>
      <c r="B945" s="701">
        <v>769</v>
      </c>
      <c r="C945" s="699" t="s">
        <v>337</v>
      </c>
      <c r="D945" s="699"/>
      <c r="E945" s="699" t="s">
        <v>545</v>
      </c>
      <c r="F945" s="699"/>
      <c r="G945" s="699" t="s">
        <v>57</v>
      </c>
      <c r="H945" s="699" t="s">
        <v>2507</v>
      </c>
      <c r="I945" s="712">
        <v>45000</v>
      </c>
      <c r="J945" s="709" t="s">
        <v>537</v>
      </c>
      <c r="K945" s="709" t="s">
        <v>537</v>
      </c>
      <c r="L945" s="712">
        <v>2850</v>
      </c>
      <c r="M945" s="709" t="s">
        <v>537</v>
      </c>
      <c r="N945" s="709" t="s">
        <v>537</v>
      </c>
      <c r="O945" s="701" t="s">
        <v>537</v>
      </c>
      <c r="P945" s="701" t="s">
        <v>537</v>
      </c>
      <c r="Q945" s="705">
        <v>42150</v>
      </c>
      <c r="R945" s="707">
        <v>241518</v>
      </c>
      <c r="S945" s="721">
        <v>22401</v>
      </c>
      <c r="T945" s="701">
        <v>2</v>
      </c>
      <c r="U945" s="701">
        <v>3</v>
      </c>
      <c r="V945" s="701">
        <v>10</v>
      </c>
      <c r="W945" s="701" t="s">
        <v>537</v>
      </c>
      <c r="X945" s="701">
        <v>5</v>
      </c>
      <c r="Y945" s="701">
        <v>10</v>
      </c>
      <c r="Z945" s="701">
        <v>89.6</v>
      </c>
      <c r="AA945" s="458" t="s">
        <v>2508</v>
      </c>
      <c r="AB945" s="459" t="s">
        <v>539</v>
      </c>
      <c r="AC945" s="459" t="s">
        <v>539</v>
      </c>
      <c r="AD945" s="458" t="s">
        <v>2509</v>
      </c>
      <c r="AE945" s="459">
        <v>1</v>
      </c>
      <c r="AF945" s="459">
        <v>1</v>
      </c>
      <c r="AG945" s="701" t="s">
        <v>375</v>
      </c>
      <c r="AH945" s="728"/>
      <c r="AI945" s="697" t="s">
        <v>2510</v>
      </c>
      <c r="AJ945" s="699"/>
    </row>
    <row r="946" spans="1:36" ht="24" hidden="1" customHeight="1">
      <c r="B946" s="702"/>
      <c r="C946" s="700"/>
      <c r="D946" s="700"/>
      <c r="E946" s="700"/>
      <c r="F946" s="700"/>
      <c r="G946" s="700"/>
      <c r="H946" s="700"/>
      <c r="I946" s="713"/>
      <c r="J946" s="710"/>
      <c r="K946" s="710"/>
      <c r="L946" s="713"/>
      <c r="M946" s="710"/>
      <c r="N946" s="710"/>
      <c r="O946" s="702"/>
      <c r="P946" s="702"/>
      <c r="Q946" s="706"/>
      <c r="R946" s="708"/>
      <c r="S946" s="722"/>
      <c r="T946" s="702"/>
      <c r="U946" s="702"/>
      <c r="V946" s="702"/>
      <c r="W946" s="702"/>
      <c r="X946" s="702"/>
      <c r="Y946" s="702"/>
      <c r="Z946" s="702"/>
      <c r="AA946" s="473" t="s">
        <v>2502</v>
      </c>
      <c r="AB946" s="474" t="s">
        <v>539</v>
      </c>
      <c r="AC946" s="474" t="s">
        <v>539</v>
      </c>
      <c r="AD946" s="473" t="s">
        <v>1527</v>
      </c>
      <c r="AE946" s="474">
        <v>80</v>
      </c>
      <c r="AF946" s="474">
        <v>90</v>
      </c>
      <c r="AG946" s="702"/>
      <c r="AH946" s="729"/>
      <c r="AI946" s="698"/>
      <c r="AJ946" s="700"/>
    </row>
    <row r="947" spans="1:36" ht="24" customHeight="1">
      <c r="A947" s="452">
        <v>135</v>
      </c>
      <c r="B947" s="701">
        <v>770</v>
      </c>
      <c r="C947" s="699" t="s">
        <v>337</v>
      </c>
      <c r="D947" s="699"/>
      <c r="E947" s="699" t="s">
        <v>545</v>
      </c>
      <c r="F947" s="699"/>
      <c r="G947" s="699" t="s">
        <v>57</v>
      </c>
      <c r="H947" s="699" t="s">
        <v>2511</v>
      </c>
      <c r="I947" s="712">
        <v>25000</v>
      </c>
      <c r="J947" s="709" t="s">
        <v>537</v>
      </c>
      <c r="K947" s="709" t="s">
        <v>537</v>
      </c>
      <c r="L947" s="712">
        <v>25000</v>
      </c>
      <c r="M947" s="709" t="s">
        <v>537</v>
      </c>
      <c r="N947" s="709" t="s">
        <v>537</v>
      </c>
      <c r="O947" s="701" t="s">
        <v>537</v>
      </c>
      <c r="P947" s="701" t="s">
        <v>537</v>
      </c>
      <c r="Q947" s="709">
        <v>0</v>
      </c>
      <c r="R947" s="707">
        <v>241459</v>
      </c>
      <c r="S947" s="721">
        <v>22333</v>
      </c>
      <c r="T947" s="701">
        <v>2</v>
      </c>
      <c r="U947" s="701">
        <v>3</v>
      </c>
      <c r="V947" s="701">
        <v>10</v>
      </c>
      <c r="W947" s="701">
        <v>2</v>
      </c>
      <c r="X947" s="701">
        <v>3</v>
      </c>
      <c r="Y947" s="701">
        <v>10</v>
      </c>
      <c r="Z947" s="701">
        <v>90.8</v>
      </c>
      <c r="AA947" s="458" t="s">
        <v>2508</v>
      </c>
      <c r="AB947" s="459" t="s">
        <v>539</v>
      </c>
      <c r="AC947" s="459" t="s">
        <v>539</v>
      </c>
      <c r="AD947" s="458" t="s">
        <v>2512</v>
      </c>
      <c r="AE947" s="459">
        <v>1</v>
      </c>
      <c r="AF947" s="459">
        <v>1</v>
      </c>
      <c r="AG947" s="701" t="s">
        <v>375</v>
      </c>
      <c r="AH947" s="728"/>
      <c r="AI947" s="697" t="s">
        <v>1027</v>
      </c>
      <c r="AJ947" s="699"/>
    </row>
    <row r="948" spans="1:36" ht="24" hidden="1" customHeight="1">
      <c r="B948" s="702"/>
      <c r="C948" s="700"/>
      <c r="D948" s="700"/>
      <c r="E948" s="700"/>
      <c r="F948" s="700"/>
      <c r="G948" s="700"/>
      <c r="H948" s="700"/>
      <c r="I948" s="713"/>
      <c r="J948" s="710"/>
      <c r="K948" s="710"/>
      <c r="L948" s="713"/>
      <c r="M948" s="710"/>
      <c r="N948" s="710"/>
      <c r="O948" s="702"/>
      <c r="P948" s="702"/>
      <c r="Q948" s="710"/>
      <c r="R948" s="708"/>
      <c r="S948" s="722"/>
      <c r="T948" s="702"/>
      <c r="U948" s="702"/>
      <c r="V948" s="702"/>
      <c r="W948" s="702"/>
      <c r="X948" s="702"/>
      <c r="Y948" s="702"/>
      <c r="Z948" s="702"/>
      <c r="AA948" s="473" t="s">
        <v>2502</v>
      </c>
      <c r="AB948" s="474" t="s">
        <v>539</v>
      </c>
      <c r="AC948" s="474" t="s">
        <v>539</v>
      </c>
      <c r="AD948" s="473" t="s">
        <v>1527</v>
      </c>
      <c r="AE948" s="474">
        <v>80</v>
      </c>
      <c r="AF948" s="474">
        <v>91.4</v>
      </c>
      <c r="AG948" s="702"/>
      <c r="AH948" s="729"/>
      <c r="AI948" s="698"/>
      <c r="AJ948" s="700"/>
    </row>
    <row r="949" spans="1:36" ht="24" customHeight="1">
      <c r="A949" s="452">
        <v>136</v>
      </c>
      <c r="B949" s="701">
        <v>771</v>
      </c>
      <c r="C949" s="699" t="s">
        <v>337</v>
      </c>
      <c r="D949" s="699"/>
      <c r="E949" s="699" t="s">
        <v>545</v>
      </c>
      <c r="F949" s="699"/>
      <c r="G949" s="699" t="s">
        <v>57</v>
      </c>
      <c r="H949" s="699" t="s">
        <v>2513</v>
      </c>
      <c r="I949" s="712">
        <v>25000</v>
      </c>
      <c r="J949" s="709" t="s">
        <v>537</v>
      </c>
      <c r="K949" s="709" t="s">
        <v>537</v>
      </c>
      <c r="L949" s="712">
        <v>18903</v>
      </c>
      <c r="M949" s="709" t="s">
        <v>537</v>
      </c>
      <c r="N949" s="709" t="s">
        <v>537</v>
      </c>
      <c r="O949" s="701" t="s">
        <v>537</v>
      </c>
      <c r="P949" s="701" t="s">
        <v>537</v>
      </c>
      <c r="Q949" s="705">
        <v>6097</v>
      </c>
      <c r="R949" s="707">
        <v>241518</v>
      </c>
      <c r="S949" s="701" t="s">
        <v>709</v>
      </c>
      <c r="T949" s="701">
        <v>2</v>
      </c>
      <c r="U949" s="701">
        <v>3</v>
      </c>
      <c r="V949" s="701">
        <v>10</v>
      </c>
      <c r="W949" s="701">
        <v>0</v>
      </c>
      <c r="X949" s="701">
        <v>5</v>
      </c>
      <c r="Y949" s="701">
        <v>10</v>
      </c>
      <c r="Z949" s="701">
        <v>93.4</v>
      </c>
      <c r="AA949" s="458" t="s">
        <v>2514</v>
      </c>
      <c r="AB949" s="459" t="s">
        <v>539</v>
      </c>
      <c r="AC949" s="459" t="s">
        <v>539</v>
      </c>
      <c r="AD949" s="458" t="s">
        <v>2515</v>
      </c>
      <c r="AE949" s="459">
        <v>2</v>
      </c>
      <c r="AF949" s="459">
        <v>2</v>
      </c>
      <c r="AG949" s="701" t="s">
        <v>376</v>
      </c>
      <c r="AH949" s="728"/>
      <c r="AI949" s="697" t="s">
        <v>1027</v>
      </c>
      <c r="AJ949" s="699"/>
    </row>
    <row r="950" spans="1:36" ht="24" hidden="1" customHeight="1">
      <c r="B950" s="702"/>
      <c r="C950" s="700"/>
      <c r="D950" s="700"/>
      <c r="E950" s="700"/>
      <c r="F950" s="700"/>
      <c r="G950" s="700"/>
      <c r="H950" s="700"/>
      <c r="I950" s="713"/>
      <c r="J950" s="710"/>
      <c r="K950" s="710"/>
      <c r="L950" s="713"/>
      <c r="M950" s="710"/>
      <c r="N950" s="710"/>
      <c r="O950" s="702"/>
      <c r="P950" s="702"/>
      <c r="Q950" s="706"/>
      <c r="R950" s="708"/>
      <c r="S950" s="702"/>
      <c r="T950" s="702"/>
      <c r="U950" s="702"/>
      <c r="V950" s="702"/>
      <c r="W950" s="702"/>
      <c r="X950" s="702"/>
      <c r="Y950" s="702"/>
      <c r="Z950" s="702"/>
      <c r="AA950" s="473" t="s">
        <v>2502</v>
      </c>
      <c r="AB950" s="474" t="s">
        <v>539</v>
      </c>
      <c r="AC950" s="474" t="s">
        <v>539</v>
      </c>
      <c r="AD950" s="473" t="s">
        <v>1527</v>
      </c>
      <c r="AE950" s="474">
        <v>80</v>
      </c>
      <c r="AF950" s="474" t="s">
        <v>537</v>
      </c>
      <c r="AG950" s="702"/>
      <c r="AH950" s="729"/>
      <c r="AI950" s="698"/>
      <c r="AJ950" s="700"/>
    </row>
    <row r="951" spans="1:36" ht="24" customHeight="1">
      <c r="A951" s="452">
        <v>137</v>
      </c>
      <c r="B951" s="701">
        <v>772</v>
      </c>
      <c r="C951" s="699" t="s">
        <v>337</v>
      </c>
      <c r="D951" s="699"/>
      <c r="E951" s="699" t="s">
        <v>545</v>
      </c>
      <c r="F951" s="699"/>
      <c r="G951" s="699" t="s">
        <v>57</v>
      </c>
      <c r="H951" s="699" t="s">
        <v>2516</v>
      </c>
      <c r="I951" s="712">
        <v>25000</v>
      </c>
      <c r="J951" s="709" t="s">
        <v>537</v>
      </c>
      <c r="K951" s="709" t="s">
        <v>537</v>
      </c>
      <c r="L951" s="709">
        <v>0</v>
      </c>
      <c r="M951" s="709" t="s">
        <v>537</v>
      </c>
      <c r="N951" s="709" t="s">
        <v>537</v>
      </c>
      <c r="O951" s="701" t="s">
        <v>537</v>
      </c>
      <c r="P951" s="701" t="s">
        <v>537</v>
      </c>
      <c r="Q951" s="705">
        <v>25000</v>
      </c>
      <c r="R951" s="701" t="s">
        <v>643</v>
      </c>
      <c r="S951" s="721">
        <v>22447</v>
      </c>
      <c r="T951" s="701">
        <v>2</v>
      </c>
      <c r="U951" s="701">
        <v>3</v>
      </c>
      <c r="V951" s="701">
        <v>10</v>
      </c>
      <c r="W951" s="701">
        <v>2</v>
      </c>
      <c r="X951" s="701">
        <v>3</v>
      </c>
      <c r="Y951" s="701">
        <v>10</v>
      </c>
      <c r="Z951" s="701">
        <v>91.6</v>
      </c>
      <c r="AA951" s="458" t="s">
        <v>2517</v>
      </c>
      <c r="AB951" s="459" t="s">
        <v>539</v>
      </c>
      <c r="AC951" s="459" t="s">
        <v>539</v>
      </c>
      <c r="AD951" s="458" t="s">
        <v>2518</v>
      </c>
      <c r="AE951" s="459" t="s">
        <v>539</v>
      </c>
      <c r="AF951" s="459" t="s">
        <v>539</v>
      </c>
      <c r="AG951" s="701" t="s">
        <v>375</v>
      </c>
      <c r="AH951" s="728"/>
      <c r="AI951" s="697" t="s">
        <v>2519</v>
      </c>
      <c r="AJ951" s="699"/>
    </row>
    <row r="952" spans="1:36" ht="24" hidden="1" customHeight="1">
      <c r="B952" s="702"/>
      <c r="C952" s="700"/>
      <c r="D952" s="700"/>
      <c r="E952" s="700"/>
      <c r="F952" s="700"/>
      <c r="G952" s="700"/>
      <c r="H952" s="700"/>
      <c r="I952" s="713"/>
      <c r="J952" s="710"/>
      <c r="K952" s="710"/>
      <c r="L952" s="710"/>
      <c r="M952" s="710"/>
      <c r="N952" s="710"/>
      <c r="O952" s="702"/>
      <c r="P952" s="702"/>
      <c r="Q952" s="706"/>
      <c r="R952" s="702"/>
      <c r="S952" s="722"/>
      <c r="T952" s="702"/>
      <c r="U952" s="702"/>
      <c r="V952" s="702"/>
      <c r="W952" s="702"/>
      <c r="X952" s="702"/>
      <c r="Y952" s="702"/>
      <c r="Z952" s="702"/>
      <c r="AA952" s="473" t="s">
        <v>2502</v>
      </c>
      <c r="AB952" s="474" t="s">
        <v>539</v>
      </c>
      <c r="AC952" s="474" t="s">
        <v>539</v>
      </c>
      <c r="AD952" s="473" t="s">
        <v>1527</v>
      </c>
      <c r="AE952" s="474">
        <v>80</v>
      </c>
      <c r="AF952" s="474">
        <v>80</v>
      </c>
      <c r="AG952" s="702"/>
      <c r="AH952" s="729"/>
      <c r="AI952" s="698"/>
      <c r="AJ952" s="700"/>
    </row>
    <row r="953" spans="1:36" ht="24" customHeight="1">
      <c r="A953" s="452">
        <v>138</v>
      </c>
      <c r="B953" s="701">
        <v>773</v>
      </c>
      <c r="C953" s="699" t="s">
        <v>337</v>
      </c>
      <c r="D953" s="699"/>
      <c r="E953" s="699" t="s">
        <v>545</v>
      </c>
      <c r="F953" s="699"/>
      <c r="G953" s="699" t="s">
        <v>57</v>
      </c>
      <c r="H953" s="699" t="s">
        <v>2520</v>
      </c>
      <c r="I953" s="712">
        <v>30000</v>
      </c>
      <c r="J953" s="709" t="s">
        <v>537</v>
      </c>
      <c r="K953" s="709" t="s">
        <v>537</v>
      </c>
      <c r="L953" s="712">
        <v>9600</v>
      </c>
      <c r="M953" s="709" t="s">
        <v>537</v>
      </c>
      <c r="N953" s="709" t="s">
        <v>537</v>
      </c>
      <c r="O953" s="701" t="s">
        <v>537</v>
      </c>
      <c r="P953" s="701" t="s">
        <v>537</v>
      </c>
      <c r="Q953" s="705">
        <v>20400</v>
      </c>
      <c r="R953" s="707">
        <v>241609</v>
      </c>
      <c r="S953" s="701" t="s">
        <v>2521</v>
      </c>
      <c r="T953" s="701">
        <v>4</v>
      </c>
      <c r="U953" s="701">
        <v>6</v>
      </c>
      <c r="V953" s="701">
        <v>10</v>
      </c>
      <c r="W953" s="701">
        <v>5</v>
      </c>
      <c r="X953" s="701">
        <v>5</v>
      </c>
      <c r="Y953" s="701">
        <v>10</v>
      </c>
      <c r="Z953" s="701">
        <v>-94</v>
      </c>
      <c r="AA953" s="458" t="s">
        <v>2522</v>
      </c>
      <c r="AB953" s="459" t="s">
        <v>539</v>
      </c>
      <c r="AC953" s="459" t="s">
        <v>539</v>
      </c>
      <c r="AD953" s="458" t="s">
        <v>2523</v>
      </c>
      <c r="AE953" s="459" t="s">
        <v>539</v>
      </c>
      <c r="AF953" s="459" t="s">
        <v>539</v>
      </c>
      <c r="AG953" s="701" t="s">
        <v>375</v>
      </c>
      <c r="AH953" s="728"/>
      <c r="AI953" s="697" t="s">
        <v>2359</v>
      </c>
      <c r="AJ953" s="699"/>
    </row>
    <row r="954" spans="1:36" ht="24" hidden="1" customHeight="1">
      <c r="B954" s="702"/>
      <c r="C954" s="700"/>
      <c r="D954" s="700"/>
      <c r="E954" s="700"/>
      <c r="F954" s="700"/>
      <c r="G954" s="700"/>
      <c r="H954" s="700"/>
      <c r="I954" s="713"/>
      <c r="J954" s="710"/>
      <c r="K954" s="710"/>
      <c r="L954" s="713"/>
      <c r="M954" s="710"/>
      <c r="N954" s="710"/>
      <c r="O954" s="702"/>
      <c r="P954" s="702"/>
      <c r="Q954" s="706"/>
      <c r="R954" s="708"/>
      <c r="S954" s="702"/>
      <c r="T954" s="702"/>
      <c r="U954" s="702"/>
      <c r="V954" s="702"/>
      <c r="W954" s="702"/>
      <c r="X954" s="702"/>
      <c r="Y954" s="702"/>
      <c r="Z954" s="702"/>
      <c r="AA954" s="473" t="s">
        <v>2502</v>
      </c>
      <c r="AB954" s="474" t="s">
        <v>539</v>
      </c>
      <c r="AC954" s="474" t="s">
        <v>539</v>
      </c>
      <c r="AD954" s="473" t="s">
        <v>1527</v>
      </c>
      <c r="AE954" s="474">
        <v>80</v>
      </c>
      <c r="AF954" s="474">
        <v>90</v>
      </c>
      <c r="AG954" s="702"/>
      <c r="AH954" s="729"/>
      <c r="AI954" s="698"/>
      <c r="AJ954" s="700"/>
    </row>
    <row r="955" spans="1:36" ht="24" customHeight="1">
      <c r="A955" s="452">
        <v>139</v>
      </c>
      <c r="B955" s="463">
        <v>774</v>
      </c>
      <c r="C955" s="464" t="s">
        <v>337</v>
      </c>
      <c r="D955" s="464"/>
      <c r="E955" s="464" t="s">
        <v>1070</v>
      </c>
      <c r="F955" s="464"/>
      <c r="G955" s="464" t="s">
        <v>57</v>
      </c>
      <c r="H955" s="464" t="s">
        <v>2524</v>
      </c>
      <c r="I955" s="465" t="s">
        <v>537</v>
      </c>
      <c r="J955" s="465" t="s">
        <v>537</v>
      </c>
      <c r="K955" s="466">
        <v>75000</v>
      </c>
      <c r="L955" s="465" t="s">
        <v>537</v>
      </c>
      <c r="M955" s="465" t="s">
        <v>537</v>
      </c>
      <c r="N955" s="466">
        <v>72000</v>
      </c>
      <c r="O955" s="463" t="s">
        <v>537</v>
      </c>
      <c r="P955" s="463" t="s">
        <v>537</v>
      </c>
      <c r="Q955" s="468">
        <v>3000</v>
      </c>
      <c r="R955" s="470">
        <v>241487</v>
      </c>
      <c r="S955" s="463" t="s">
        <v>2525</v>
      </c>
      <c r="T955" s="463">
        <v>0</v>
      </c>
      <c r="U955" s="463">
        <v>40</v>
      </c>
      <c r="V955" s="463">
        <v>0</v>
      </c>
      <c r="W955" s="464"/>
      <c r="X955" s="463">
        <v>40</v>
      </c>
      <c r="Y955" s="464"/>
      <c r="Z955" s="463">
        <v>90.6</v>
      </c>
      <c r="AA955" s="472" t="s">
        <v>547</v>
      </c>
      <c r="AB955" s="463" t="s">
        <v>539</v>
      </c>
      <c r="AC955" s="463" t="s">
        <v>539</v>
      </c>
      <c r="AD955" s="472" t="s">
        <v>548</v>
      </c>
      <c r="AE955" s="463">
        <v>80</v>
      </c>
      <c r="AF955" s="463">
        <v>100</v>
      </c>
      <c r="AG955" s="463" t="s">
        <v>375</v>
      </c>
      <c r="AH955" s="476"/>
      <c r="AI955" s="472" t="s">
        <v>2526</v>
      </c>
      <c r="AJ955" s="472" t="s">
        <v>543</v>
      </c>
    </row>
    <row r="956" spans="1:36" ht="24" customHeight="1">
      <c r="A956" s="452">
        <v>140</v>
      </c>
      <c r="B956" s="463">
        <v>775</v>
      </c>
      <c r="C956" s="464" t="s">
        <v>337</v>
      </c>
      <c r="D956" s="464"/>
      <c r="E956" s="464" t="s">
        <v>1070</v>
      </c>
      <c r="F956" s="464"/>
      <c r="G956" s="464" t="s">
        <v>57</v>
      </c>
      <c r="H956" s="464" t="s">
        <v>2527</v>
      </c>
      <c r="I956" s="465" t="s">
        <v>537</v>
      </c>
      <c r="J956" s="465" t="s">
        <v>537</v>
      </c>
      <c r="K956" s="466">
        <v>35000</v>
      </c>
      <c r="L956" s="465" t="s">
        <v>537</v>
      </c>
      <c r="M956" s="465" t="s">
        <v>537</v>
      </c>
      <c r="N956" s="466">
        <v>20801</v>
      </c>
      <c r="O956" s="463" t="s">
        <v>537</v>
      </c>
      <c r="P956" s="463" t="s">
        <v>537</v>
      </c>
      <c r="Q956" s="468">
        <v>14199</v>
      </c>
      <c r="R956" s="470">
        <v>241459</v>
      </c>
      <c r="S956" s="463" t="s">
        <v>2528</v>
      </c>
      <c r="T956" s="463">
        <v>0</v>
      </c>
      <c r="U956" s="463">
        <v>50</v>
      </c>
      <c r="V956" s="463">
        <v>0</v>
      </c>
      <c r="W956" s="464"/>
      <c r="X956" s="463">
        <v>42</v>
      </c>
      <c r="Y956" s="464"/>
      <c r="Z956" s="463">
        <v>89.6</v>
      </c>
      <c r="AA956" s="472" t="s">
        <v>547</v>
      </c>
      <c r="AB956" s="463" t="s">
        <v>539</v>
      </c>
      <c r="AC956" s="463" t="s">
        <v>539</v>
      </c>
      <c r="AD956" s="472" t="s">
        <v>2529</v>
      </c>
      <c r="AE956" s="463" t="s">
        <v>539</v>
      </c>
      <c r="AF956" s="463" t="s">
        <v>539</v>
      </c>
      <c r="AG956" s="463" t="s">
        <v>375</v>
      </c>
      <c r="AH956" s="476"/>
      <c r="AI956" s="472" t="s">
        <v>2530</v>
      </c>
      <c r="AJ956" s="472" t="s">
        <v>543</v>
      </c>
    </row>
    <row r="957" spans="1:36" ht="24" customHeight="1">
      <c r="A957" s="452">
        <v>141</v>
      </c>
      <c r="B957" s="463">
        <v>776</v>
      </c>
      <c r="C957" s="464" t="s">
        <v>337</v>
      </c>
      <c r="D957" s="464"/>
      <c r="E957" s="464" t="s">
        <v>1070</v>
      </c>
      <c r="F957" s="464"/>
      <c r="G957" s="464" t="s">
        <v>57</v>
      </c>
      <c r="H957" s="464" t="s">
        <v>2531</v>
      </c>
      <c r="I957" s="465" t="s">
        <v>537</v>
      </c>
      <c r="J957" s="465" t="s">
        <v>537</v>
      </c>
      <c r="K957" s="466">
        <v>35000</v>
      </c>
      <c r="L957" s="465" t="s">
        <v>537</v>
      </c>
      <c r="M957" s="465" t="s">
        <v>537</v>
      </c>
      <c r="N957" s="466">
        <v>23494</v>
      </c>
      <c r="O957" s="463" t="s">
        <v>537</v>
      </c>
      <c r="P957" s="463" t="s">
        <v>537</v>
      </c>
      <c r="Q957" s="468">
        <v>11506</v>
      </c>
      <c r="R957" s="470">
        <v>241609</v>
      </c>
      <c r="S957" s="463" t="s">
        <v>2532</v>
      </c>
      <c r="T957" s="463">
        <v>0</v>
      </c>
      <c r="U957" s="463">
        <v>50</v>
      </c>
      <c r="V957" s="463">
        <v>0</v>
      </c>
      <c r="W957" s="464"/>
      <c r="X957" s="463">
        <v>49</v>
      </c>
      <c r="Y957" s="464"/>
      <c r="Z957" s="463">
        <v>87.6</v>
      </c>
      <c r="AA957" s="472" t="s">
        <v>547</v>
      </c>
      <c r="AB957" s="463" t="s">
        <v>539</v>
      </c>
      <c r="AC957" s="463" t="s">
        <v>539</v>
      </c>
      <c r="AD957" s="472" t="s">
        <v>548</v>
      </c>
      <c r="AE957" s="463" t="s">
        <v>539</v>
      </c>
      <c r="AF957" s="463" t="s">
        <v>539</v>
      </c>
      <c r="AG957" s="463" t="s">
        <v>375</v>
      </c>
      <c r="AH957" s="476"/>
      <c r="AI957" s="472" t="s">
        <v>2530</v>
      </c>
      <c r="AJ957" s="472" t="s">
        <v>543</v>
      </c>
    </row>
    <row r="958" spans="1:36" ht="24" customHeight="1">
      <c r="A958" s="452">
        <v>142</v>
      </c>
      <c r="B958" s="463">
        <v>777</v>
      </c>
      <c r="C958" s="464" t="s">
        <v>337</v>
      </c>
      <c r="D958" s="464"/>
      <c r="E958" s="464" t="s">
        <v>1070</v>
      </c>
      <c r="F958" s="464"/>
      <c r="G958" s="464" t="s">
        <v>57</v>
      </c>
      <c r="H958" s="464" t="s">
        <v>2533</v>
      </c>
      <c r="I958" s="465" t="s">
        <v>537</v>
      </c>
      <c r="J958" s="465" t="s">
        <v>537</v>
      </c>
      <c r="K958" s="466">
        <v>111000</v>
      </c>
      <c r="L958" s="465" t="s">
        <v>537</v>
      </c>
      <c r="M958" s="465" t="s">
        <v>537</v>
      </c>
      <c r="N958" s="466">
        <v>74120</v>
      </c>
      <c r="O958" s="463" t="s">
        <v>537</v>
      </c>
      <c r="P958" s="463" t="s">
        <v>537</v>
      </c>
      <c r="Q958" s="468">
        <v>36880</v>
      </c>
      <c r="R958" s="470">
        <v>241518</v>
      </c>
      <c r="S958" s="463" t="s">
        <v>2534</v>
      </c>
      <c r="T958" s="463">
        <v>0</v>
      </c>
      <c r="U958" s="463">
        <v>23</v>
      </c>
      <c r="V958" s="463">
        <v>0</v>
      </c>
      <c r="W958" s="464"/>
      <c r="X958" s="463">
        <v>20</v>
      </c>
      <c r="Y958" s="464"/>
      <c r="Z958" s="464"/>
      <c r="AA958" s="472" t="s">
        <v>2535</v>
      </c>
      <c r="AB958" s="463" t="s">
        <v>539</v>
      </c>
      <c r="AC958" s="463" t="s">
        <v>539</v>
      </c>
      <c r="AD958" s="472" t="s">
        <v>2536</v>
      </c>
      <c r="AE958" s="463" t="s">
        <v>539</v>
      </c>
      <c r="AF958" s="463" t="s">
        <v>539</v>
      </c>
      <c r="AG958" s="463" t="s">
        <v>375</v>
      </c>
      <c r="AH958" s="476"/>
      <c r="AI958" s="472" t="s">
        <v>2391</v>
      </c>
      <c r="AJ958" s="472" t="s">
        <v>543</v>
      </c>
    </row>
    <row r="959" spans="1:36" ht="24" hidden="1" customHeight="1">
      <c r="B959" s="463">
        <v>778</v>
      </c>
      <c r="C959" s="464" t="s">
        <v>10</v>
      </c>
      <c r="D959" s="464"/>
      <c r="E959" s="464" t="s">
        <v>558</v>
      </c>
      <c r="F959" s="464"/>
      <c r="G959" s="464" t="s">
        <v>57</v>
      </c>
      <c r="H959" s="464" t="s">
        <v>2537</v>
      </c>
      <c r="I959" s="465" t="s">
        <v>537</v>
      </c>
      <c r="J959" s="465" t="s">
        <v>537</v>
      </c>
      <c r="K959" s="466">
        <v>22900</v>
      </c>
      <c r="L959" s="465" t="s">
        <v>537</v>
      </c>
      <c r="M959" s="465" t="s">
        <v>537</v>
      </c>
      <c r="N959" s="466">
        <v>18000</v>
      </c>
      <c r="O959" s="463" t="s">
        <v>537</v>
      </c>
      <c r="P959" s="463" t="s">
        <v>537</v>
      </c>
      <c r="Q959" s="468">
        <v>4900</v>
      </c>
      <c r="R959" s="470">
        <v>241579</v>
      </c>
      <c r="S959" s="463" t="s">
        <v>2538</v>
      </c>
      <c r="T959" s="463">
        <v>120</v>
      </c>
      <c r="U959" s="463">
        <v>10</v>
      </c>
      <c r="V959" s="463">
        <v>0</v>
      </c>
      <c r="W959" s="463">
        <v>145</v>
      </c>
      <c r="X959" s="463">
        <v>7</v>
      </c>
      <c r="Y959" s="464"/>
      <c r="Z959" s="463" t="s">
        <v>537</v>
      </c>
      <c r="AA959" s="472" t="s">
        <v>547</v>
      </c>
      <c r="AB959" s="463" t="s">
        <v>539</v>
      </c>
      <c r="AC959" s="463" t="s">
        <v>539</v>
      </c>
      <c r="AD959" s="472" t="s">
        <v>548</v>
      </c>
      <c r="AE959" s="463">
        <v>80</v>
      </c>
      <c r="AF959" s="463">
        <v>96.2</v>
      </c>
      <c r="AG959" s="463" t="s">
        <v>375</v>
      </c>
      <c r="AH959" s="476"/>
      <c r="AI959" s="472" t="s">
        <v>2356</v>
      </c>
      <c r="AJ959" s="472" t="s">
        <v>562</v>
      </c>
    </row>
    <row r="960" spans="1:36" ht="24" hidden="1" customHeight="1">
      <c r="B960" s="463">
        <v>779</v>
      </c>
      <c r="C960" s="464" t="s">
        <v>10</v>
      </c>
      <c r="D960" s="464"/>
      <c r="E960" s="464" t="s">
        <v>558</v>
      </c>
      <c r="F960" s="464"/>
      <c r="G960" s="464" t="s">
        <v>57</v>
      </c>
      <c r="H960" s="464" t="s">
        <v>2539</v>
      </c>
      <c r="I960" s="465" t="s">
        <v>537</v>
      </c>
      <c r="J960" s="465" t="s">
        <v>537</v>
      </c>
      <c r="K960" s="466">
        <v>33638</v>
      </c>
      <c r="L960" s="465" t="s">
        <v>537</v>
      </c>
      <c r="M960" s="465" t="s">
        <v>537</v>
      </c>
      <c r="N960" s="466">
        <v>27792</v>
      </c>
      <c r="O960" s="463" t="s">
        <v>537</v>
      </c>
      <c r="P960" s="463" t="s">
        <v>537</v>
      </c>
      <c r="Q960" s="468">
        <v>5846</v>
      </c>
      <c r="R960" s="470">
        <v>241640</v>
      </c>
      <c r="S960" s="463" t="s">
        <v>2540</v>
      </c>
      <c r="T960" s="463">
        <v>6</v>
      </c>
      <c r="U960" s="463">
        <v>3</v>
      </c>
      <c r="V960" s="463">
        <v>0</v>
      </c>
      <c r="W960" s="463">
        <v>6</v>
      </c>
      <c r="X960" s="463">
        <v>3</v>
      </c>
      <c r="Y960" s="464"/>
      <c r="Z960" s="463">
        <v>84.8</v>
      </c>
      <c r="AA960" s="472" t="s">
        <v>2541</v>
      </c>
      <c r="AB960" s="463">
        <v>1</v>
      </c>
      <c r="AC960" s="463">
        <v>4</v>
      </c>
      <c r="AD960" s="472" t="s">
        <v>2542</v>
      </c>
      <c r="AE960" s="463">
        <v>1</v>
      </c>
      <c r="AF960" s="463">
        <v>1</v>
      </c>
      <c r="AG960" s="463" t="s">
        <v>375</v>
      </c>
      <c r="AH960" s="476"/>
      <c r="AI960" s="472" t="s">
        <v>2543</v>
      </c>
      <c r="AJ960" s="472" t="s">
        <v>562</v>
      </c>
    </row>
    <row r="961" spans="2:36" ht="24" hidden="1" customHeight="1">
      <c r="B961" s="463">
        <v>780</v>
      </c>
      <c r="C961" s="464" t="s">
        <v>10</v>
      </c>
      <c r="D961" s="464"/>
      <c r="E961" s="464" t="s">
        <v>558</v>
      </c>
      <c r="F961" s="464"/>
      <c r="G961" s="464" t="s">
        <v>57</v>
      </c>
      <c r="H961" s="464" t="s">
        <v>2544</v>
      </c>
      <c r="I961" s="465" t="s">
        <v>537</v>
      </c>
      <c r="J961" s="465" t="s">
        <v>537</v>
      </c>
      <c r="K961" s="466">
        <v>15533</v>
      </c>
      <c r="L961" s="465" t="s">
        <v>537</v>
      </c>
      <c r="M961" s="465" t="s">
        <v>537</v>
      </c>
      <c r="N961" s="466">
        <v>15533</v>
      </c>
      <c r="O961" s="463" t="s">
        <v>537</v>
      </c>
      <c r="P961" s="463" t="s">
        <v>537</v>
      </c>
      <c r="Q961" s="465">
        <v>0</v>
      </c>
      <c r="R961" s="463" t="s">
        <v>2545</v>
      </c>
      <c r="S961" s="463" t="s">
        <v>2546</v>
      </c>
      <c r="T961" s="463">
        <v>30</v>
      </c>
      <c r="U961" s="463">
        <v>15</v>
      </c>
      <c r="V961" s="463">
        <v>1</v>
      </c>
      <c r="W961" s="463">
        <v>28</v>
      </c>
      <c r="X961" s="463">
        <v>2</v>
      </c>
      <c r="Y961" s="463">
        <v>1</v>
      </c>
      <c r="Z961" s="463">
        <v>84</v>
      </c>
      <c r="AA961" s="472" t="s">
        <v>2547</v>
      </c>
      <c r="AB961" s="463" t="s">
        <v>539</v>
      </c>
      <c r="AC961" s="463" t="s">
        <v>539</v>
      </c>
      <c r="AD961" s="472" t="s">
        <v>2548</v>
      </c>
      <c r="AE961" s="463" t="s">
        <v>539</v>
      </c>
      <c r="AF961" s="463" t="s">
        <v>539</v>
      </c>
      <c r="AG961" s="463" t="s">
        <v>375</v>
      </c>
      <c r="AH961" s="476"/>
      <c r="AI961" s="472" t="s">
        <v>2356</v>
      </c>
      <c r="AJ961" s="472" t="s">
        <v>562</v>
      </c>
    </row>
    <row r="962" spans="2:36" ht="24" hidden="1" customHeight="1">
      <c r="B962" s="463">
        <v>781</v>
      </c>
      <c r="C962" s="464" t="s">
        <v>10</v>
      </c>
      <c r="D962" s="464"/>
      <c r="E962" s="464" t="s">
        <v>558</v>
      </c>
      <c r="F962" s="464"/>
      <c r="G962" s="464" t="s">
        <v>57</v>
      </c>
      <c r="H962" s="464" t="s">
        <v>2549</v>
      </c>
      <c r="I962" s="465" t="s">
        <v>537</v>
      </c>
      <c r="J962" s="465" t="s">
        <v>537</v>
      </c>
      <c r="K962" s="466">
        <v>27040</v>
      </c>
      <c r="L962" s="465" t="s">
        <v>537</v>
      </c>
      <c r="M962" s="465" t="s">
        <v>537</v>
      </c>
      <c r="N962" s="466">
        <v>18268</v>
      </c>
      <c r="O962" s="463" t="s">
        <v>537</v>
      </c>
      <c r="P962" s="463" t="s">
        <v>537</v>
      </c>
      <c r="Q962" s="468">
        <v>8772</v>
      </c>
      <c r="R962" s="463" t="s">
        <v>2550</v>
      </c>
      <c r="S962" s="463" t="s">
        <v>2551</v>
      </c>
      <c r="T962" s="463">
        <v>2</v>
      </c>
      <c r="U962" s="463">
        <v>1</v>
      </c>
      <c r="V962" s="463">
        <v>0</v>
      </c>
      <c r="W962" s="463">
        <v>2</v>
      </c>
      <c r="X962" s="463">
        <v>1</v>
      </c>
      <c r="Y962" s="463">
        <v>0</v>
      </c>
      <c r="Z962" s="463">
        <v>88</v>
      </c>
      <c r="AA962" s="472" t="s">
        <v>2552</v>
      </c>
      <c r="AB962" s="463" t="s">
        <v>539</v>
      </c>
      <c r="AC962" s="463" t="s">
        <v>539</v>
      </c>
      <c r="AD962" s="472" t="s">
        <v>2553</v>
      </c>
      <c r="AE962" s="463" t="s">
        <v>539</v>
      </c>
      <c r="AF962" s="463" t="s">
        <v>539</v>
      </c>
      <c r="AG962" s="463" t="s">
        <v>375</v>
      </c>
      <c r="AH962" s="476"/>
      <c r="AI962" s="472" t="s">
        <v>2543</v>
      </c>
      <c r="AJ962" s="472" t="s">
        <v>562</v>
      </c>
    </row>
    <row r="963" spans="2:36" ht="24" hidden="1" customHeight="1">
      <c r="B963" s="463">
        <v>782</v>
      </c>
      <c r="C963" s="464" t="s">
        <v>534</v>
      </c>
      <c r="D963" s="464"/>
      <c r="E963" s="464" t="s">
        <v>535</v>
      </c>
      <c r="F963" s="464"/>
      <c r="G963" s="464" t="s">
        <v>334</v>
      </c>
      <c r="H963" s="464" t="s">
        <v>691</v>
      </c>
      <c r="I963" s="465" t="s">
        <v>537</v>
      </c>
      <c r="J963" s="465" t="s">
        <v>537</v>
      </c>
      <c r="K963" s="466">
        <v>12200</v>
      </c>
      <c r="L963" s="465" t="s">
        <v>537</v>
      </c>
      <c r="M963" s="465" t="s">
        <v>537</v>
      </c>
      <c r="N963" s="466">
        <v>6516</v>
      </c>
      <c r="O963" s="463" t="s">
        <v>537</v>
      </c>
      <c r="P963" s="463" t="s">
        <v>537</v>
      </c>
      <c r="Q963" s="468">
        <v>5684</v>
      </c>
      <c r="R963" s="470">
        <v>241579</v>
      </c>
      <c r="S963" s="471">
        <v>22440</v>
      </c>
      <c r="T963" s="463">
        <v>0</v>
      </c>
      <c r="U963" s="463">
        <v>12</v>
      </c>
      <c r="V963" s="463">
        <v>0</v>
      </c>
      <c r="W963" s="463">
        <v>0</v>
      </c>
      <c r="X963" s="463">
        <v>12</v>
      </c>
      <c r="Y963" s="463">
        <v>0</v>
      </c>
      <c r="Z963" s="463">
        <v>97.8</v>
      </c>
      <c r="AA963" s="472" t="s">
        <v>2554</v>
      </c>
      <c r="AB963" s="463">
        <v>100</v>
      </c>
      <c r="AC963" s="463" t="s">
        <v>539</v>
      </c>
      <c r="AD963" s="472" t="s">
        <v>2555</v>
      </c>
      <c r="AE963" s="463">
        <v>100</v>
      </c>
      <c r="AF963" s="463" t="s">
        <v>539</v>
      </c>
      <c r="AG963" s="463" t="s">
        <v>375</v>
      </c>
      <c r="AH963" s="476"/>
      <c r="AI963" s="472">
        <v>872779019</v>
      </c>
      <c r="AJ963" s="472" t="s">
        <v>792</v>
      </c>
    </row>
    <row r="964" spans="2:36" ht="24" hidden="1" customHeight="1">
      <c r="B964" s="463">
        <v>783</v>
      </c>
      <c r="C964" s="464" t="s">
        <v>534</v>
      </c>
      <c r="D964" s="464"/>
      <c r="E964" s="464" t="s">
        <v>535</v>
      </c>
      <c r="F964" s="464"/>
      <c r="G964" s="464" t="s">
        <v>334</v>
      </c>
      <c r="H964" s="464" t="s">
        <v>667</v>
      </c>
      <c r="I964" s="465" t="s">
        <v>537</v>
      </c>
      <c r="J964" s="466">
        <v>20000</v>
      </c>
      <c r="K964" s="465" t="s">
        <v>537</v>
      </c>
      <c r="L964" s="465" t="s">
        <v>537</v>
      </c>
      <c r="M964" s="466">
        <v>20000</v>
      </c>
      <c r="N964" s="465" t="s">
        <v>537</v>
      </c>
      <c r="O964" s="463" t="s">
        <v>537</v>
      </c>
      <c r="P964" s="463" t="s">
        <v>537</v>
      </c>
      <c r="Q964" s="465">
        <v>0</v>
      </c>
      <c r="R964" s="470">
        <v>241579</v>
      </c>
      <c r="S964" s="471">
        <v>22451</v>
      </c>
      <c r="T964" s="463">
        <v>90</v>
      </c>
      <c r="U964" s="463">
        <v>20</v>
      </c>
      <c r="V964" s="463">
        <v>0</v>
      </c>
      <c r="W964" s="463">
        <v>90</v>
      </c>
      <c r="X964" s="463">
        <v>20</v>
      </c>
      <c r="Y964" s="463">
        <v>0</v>
      </c>
      <c r="Z964" s="463">
        <v>82.6</v>
      </c>
      <c r="AA964" s="472" t="s">
        <v>547</v>
      </c>
      <c r="AB964" s="463" t="s">
        <v>539</v>
      </c>
      <c r="AC964" s="463" t="s">
        <v>539</v>
      </c>
      <c r="AD964" s="472" t="s">
        <v>548</v>
      </c>
      <c r="AE964" s="463">
        <v>80</v>
      </c>
      <c r="AF964" s="463" t="s">
        <v>539</v>
      </c>
      <c r="AG964" s="463" t="s">
        <v>375</v>
      </c>
      <c r="AH964" s="476"/>
      <c r="AI964" s="472" t="s">
        <v>2556</v>
      </c>
      <c r="AJ964" s="464"/>
    </row>
    <row r="965" spans="2:36" ht="24" hidden="1" customHeight="1">
      <c r="B965" s="463">
        <v>784</v>
      </c>
      <c r="C965" s="464" t="s">
        <v>534</v>
      </c>
      <c r="D965" s="464"/>
      <c r="E965" s="464" t="s">
        <v>535</v>
      </c>
      <c r="F965" s="464"/>
      <c r="G965" s="464" t="s">
        <v>334</v>
      </c>
      <c r="H965" s="464" t="s">
        <v>668</v>
      </c>
      <c r="I965" s="465" t="s">
        <v>537</v>
      </c>
      <c r="J965" s="466">
        <v>20000</v>
      </c>
      <c r="K965" s="465" t="s">
        <v>537</v>
      </c>
      <c r="L965" s="465" t="s">
        <v>537</v>
      </c>
      <c r="M965" s="466">
        <v>20000</v>
      </c>
      <c r="N965" s="465" t="s">
        <v>537</v>
      </c>
      <c r="O965" s="463" t="s">
        <v>537</v>
      </c>
      <c r="P965" s="463" t="s">
        <v>537</v>
      </c>
      <c r="Q965" s="465">
        <v>0</v>
      </c>
      <c r="R965" s="470">
        <v>241459</v>
      </c>
      <c r="S965" s="471">
        <v>22361</v>
      </c>
      <c r="T965" s="463">
        <v>60</v>
      </c>
      <c r="U965" s="463">
        <v>20</v>
      </c>
      <c r="V965" s="463">
        <v>0</v>
      </c>
      <c r="W965" s="463">
        <v>65</v>
      </c>
      <c r="X965" s="463">
        <v>15</v>
      </c>
      <c r="Y965" s="463">
        <v>0</v>
      </c>
      <c r="Z965" s="463">
        <v>89.9</v>
      </c>
      <c r="AA965" s="472" t="s">
        <v>547</v>
      </c>
      <c r="AB965" s="463" t="s">
        <v>539</v>
      </c>
      <c r="AC965" s="463" t="s">
        <v>539</v>
      </c>
      <c r="AD965" s="472" t="s">
        <v>548</v>
      </c>
      <c r="AE965" s="463">
        <v>80</v>
      </c>
      <c r="AF965" s="463">
        <v>89.9</v>
      </c>
      <c r="AG965" s="463" t="s">
        <v>375</v>
      </c>
      <c r="AH965" s="476"/>
      <c r="AI965" s="472" t="s">
        <v>2556</v>
      </c>
      <c r="AJ965" s="464"/>
    </row>
    <row r="966" spans="2:36" ht="24" hidden="1" customHeight="1">
      <c r="B966" s="463">
        <v>785</v>
      </c>
      <c r="C966" s="464" t="s">
        <v>534</v>
      </c>
      <c r="D966" s="464"/>
      <c r="E966" s="464" t="s">
        <v>535</v>
      </c>
      <c r="F966" s="464"/>
      <c r="G966" s="464" t="s">
        <v>334</v>
      </c>
      <c r="H966" s="464" t="s">
        <v>2557</v>
      </c>
      <c r="I966" s="465" t="s">
        <v>537</v>
      </c>
      <c r="J966" s="466">
        <v>60000</v>
      </c>
      <c r="K966" s="465" t="s">
        <v>537</v>
      </c>
      <c r="L966" s="465" t="s">
        <v>537</v>
      </c>
      <c r="M966" s="466">
        <v>57520</v>
      </c>
      <c r="N966" s="465" t="s">
        <v>537</v>
      </c>
      <c r="O966" s="463" t="s">
        <v>537</v>
      </c>
      <c r="P966" s="463" t="s">
        <v>537</v>
      </c>
      <c r="Q966" s="468">
        <v>2480</v>
      </c>
      <c r="R966" s="463" t="s">
        <v>646</v>
      </c>
      <c r="S966" s="463" t="s">
        <v>2558</v>
      </c>
      <c r="T966" s="463">
        <v>0</v>
      </c>
      <c r="U966" s="463">
        <v>14</v>
      </c>
      <c r="V966" s="463">
        <v>0</v>
      </c>
      <c r="W966" s="463">
        <v>0</v>
      </c>
      <c r="X966" s="463">
        <v>14</v>
      </c>
      <c r="Y966" s="463">
        <v>0</v>
      </c>
      <c r="Z966" s="463">
        <v>97.8</v>
      </c>
      <c r="AA966" s="472" t="s">
        <v>677</v>
      </c>
      <c r="AB966" s="463" t="s">
        <v>539</v>
      </c>
      <c r="AC966" s="463" t="s">
        <v>539</v>
      </c>
      <c r="AD966" s="472" t="s">
        <v>548</v>
      </c>
      <c r="AE966" s="463">
        <v>80</v>
      </c>
      <c r="AF966" s="463" t="s">
        <v>539</v>
      </c>
      <c r="AG966" s="463" t="s">
        <v>375</v>
      </c>
      <c r="AH966" s="476"/>
      <c r="AI966" s="472">
        <v>810806869</v>
      </c>
      <c r="AJ966" s="464"/>
    </row>
    <row r="967" spans="2:36" ht="24" hidden="1" customHeight="1">
      <c r="B967" s="463">
        <v>786</v>
      </c>
      <c r="C967" s="464" t="s">
        <v>534</v>
      </c>
      <c r="D967" s="464"/>
      <c r="E967" s="464" t="s">
        <v>535</v>
      </c>
      <c r="F967" s="464"/>
      <c r="G967" s="464" t="s">
        <v>334</v>
      </c>
      <c r="H967" s="464" t="s">
        <v>2559</v>
      </c>
      <c r="I967" s="465" t="s">
        <v>537</v>
      </c>
      <c r="J967" s="465" t="s">
        <v>537</v>
      </c>
      <c r="K967" s="466">
        <v>4600</v>
      </c>
      <c r="L967" s="465" t="s">
        <v>537</v>
      </c>
      <c r="M967" s="465" t="s">
        <v>537</v>
      </c>
      <c r="N967" s="466">
        <v>3600</v>
      </c>
      <c r="O967" s="463" t="s">
        <v>537</v>
      </c>
      <c r="P967" s="463" t="s">
        <v>537</v>
      </c>
      <c r="Q967" s="468">
        <v>1000</v>
      </c>
      <c r="R967" s="463" t="s">
        <v>984</v>
      </c>
      <c r="S967" s="463" t="s">
        <v>2560</v>
      </c>
      <c r="T967" s="463">
        <v>29</v>
      </c>
      <c r="U967" s="463">
        <v>0</v>
      </c>
      <c r="V967" s="463">
        <v>0</v>
      </c>
      <c r="W967" s="463">
        <v>29</v>
      </c>
      <c r="X967" s="463">
        <v>0</v>
      </c>
      <c r="Y967" s="463">
        <v>0</v>
      </c>
      <c r="Z967" s="463">
        <v>97.4</v>
      </c>
      <c r="AA967" s="472" t="s">
        <v>2182</v>
      </c>
      <c r="AB967" s="463" t="s">
        <v>539</v>
      </c>
      <c r="AC967" s="463" t="s">
        <v>539</v>
      </c>
      <c r="AD967" s="472" t="s">
        <v>2561</v>
      </c>
      <c r="AE967" s="463" t="s">
        <v>539</v>
      </c>
      <c r="AF967" s="463" t="s">
        <v>539</v>
      </c>
      <c r="AG967" s="463" t="s">
        <v>375</v>
      </c>
      <c r="AH967" s="476"/>
      <c r="AI967" s="472">
        <v>872779219</v>
      </c>
      <c r="AJ967" s="472" t="s">
        <v>543</v>
      </c>
    </row>
    <row r="968" spans="2:36" ht="24" hidden="1" customHeight="1">
      <c r="B968" s="463">
        <v>787</v>
      </c>
      <c r="C968" s="464" t="s">
        <v>534</v>
      </c>
      <c r="D968" s="464"/>
      <c r="E968" s="464" t="s">
        <v>535</v>
      </c>
      <c r="F968" s="464"/>
      <c r="G968" s="464" t="s">
        <v>334</v>
      </c>
      <c r="H968" s="464" t="s">
        <v>2562</v>
      </c>
      <c r="I968" s="465" t="s">
        <v>537</v>
      </c>
      <c r="J968" s="465" t="s">
        <v>537</v>
      </c>
      <c r="K968" s="466">
        <v>200000</v>
      </c>
      <c r="L968" s="465" t="s">
        <v>537</v>
      </c>
      <c r="M968" s="465" t="s">
        <v>537</v>
      </c>
      <c r="N968" s="466">
        <v>176194.84</v>
      </c>
      <c r="O968" s="467">
        <v>23000</v>
      </c>
      <c r="P968" s="463" t="s">
        <v>537</v>
      </c>
      <c r="Q968" s="465">
        <v>805</v>
      </c>
      <c r="R968" s="470">
        <v>241428</v>
      </c>
      <c r="S968" s="463" t="s">
        <v>623</v>
      </c>
      <c r="T968" s="463">
        <v>40</v>
      </c>
      <c r="U968" s="463">
        <v>10</v>
      </c>
      <c r="V968" s="463">
        <v>0</v>
      </c>
      <c r="W968" s="463">
        <v>40</v>
      </c>
      <c r="X968" s="463">
        <v>10</v>
      </c>
      <c r="Y968" s="463">
        <v>0</v>
      </c>
      <c r="Z968" s="463">
        <v>90.2</v>
      </c>
      <c r="AA968" s="472" t="s">
        <v>624</v>
      </c>
      <c r="AB968" s="463" t="s">
        <v>539</v>
      </c>
      <c r="AC968" s="463" t="s">
        <v>539</v>
      </c>
      <c r="AD968" s="472" t="s">
        <v>571</v>
      </c>
      <c r="AE968" s="463">
        <v>80</v>
      </c>
      <c r="AF968" s="463">
        <v>97.2</v>
      </c>
      <c r="AG968" s="463" t="s">
        <v>375</v>
      </c>
      <c r="AH968" s="476"/>
      <c r="AI968" s="472" t="s">
        <v>2563</v>
      </c>
      <c r="AJ968" s="472" t="s">
        <v>543</v>
      </c>
    </row>
    <row r="969" spans="2:36" ht="24" hidden="1" customHeight="1">
      <c r="B969" s="463">
        <v>788</v>
      </c>
      <c r="C969" s="464" t="s">
        <v>534</v>
      </c>
      <c r="D969" s="464"/>
      <c r="E969" s="464" t="s">
        <v>535</v>
      </c>
      <c r="F969" s="464"/>
      <c r="G969" s="464" t="s">
        <v>334</v>
      </c>
      <c r="H969" s="464" t="s">
        <v>2564</v>
      </c>
      <c r="I969" s="465" t="s">
        <v>537</v>
      </c>
      <c r="J969" s="465" t="s">
        <v>537</v>
      </c>
      <c r="K969" s="466">
        <v>6000</v>
      </c>
      <c r="L969" s="465" t="s">
        <v>537</v>
      </c>
      <c r="M969" s="465" t="s">
        <v>537</v>
      </c>
      <c r="N969" s="465">
        <v>0</v>
      </c>
      <c r="O969" s="463" t="s">
        <v>537</v>
      </c>
      <c r="P969" s="463" t="s">
        <v>537</v>
      </c>
      <c r="Q969" s="468">
        <v>6000</v>
      </c>
      <c r="R969" s="463" t="s">
        <v>643</v>
      </c>
      <c r="S969" s="463" t="s">
        <v>2565</v>
      </c>
      <c r="T969" s="463">
        <v>0</v>
      </c>
      <c r="U969" s="463">
        <v>30</v>
      </c>
      <c r="V969" s="463">
        <v>0</v>
      </c>
      <c r="W969" s="463">
        <v>0</v>
      </c>
      <c r="X969" s="463">
        <v>21</v>
      </c>
      <c r="Y969" s="463">
        <v>9</v>
      </c>
      <c r="Z969" s="463">
        <v>98</v>
      </c>
      <c r="AA969" s="472" t="s">
        <v>2566</v>
      </c>
      <c r="AB969" s="463">
        <v>80</v>
      </c>
      <c r="AC969" s="463" t="s">
        <v>539</v>
      </c>
      <c r="AD969" s="472" t="s">
        <v>2567</v>
      </c>
      <c r="AE969" s="463">
        <v>80</v>
      </c>
      <c r="AF969" s="463" t="s">
        <v>539</v>
      </c>
      <c r="AG969" s="463" t="s">
        <v>375</v>
      </c>
      <c r="AH969" s="476"/>
      <c r="AI969" s="472">
        <v>870193943</v>
      </c>
      <c r="AJ969" s="472" t="s">
        <v>543</v>
      </c>
    </row>
    <row r="970" spans="2:36" ht="24" hidden="1" customHeight="1">
      <c r="B970" s="463">
        <v>789</v>
      </c>
      <c r="C970" s="464" t="s">
        <v>534</v>
      </c>
      <c r="D970" s="464"/>
      <c r="E970" s="464" t="s">
        <v>535</v>
      </c>
      <c r="F970" s="464"/>
      <c r="G970" s="464" t="s">
        <v>334</v>
      </c>
      <c r="H970" s="464" t="s">
        <v>2568</v>
      </c>
      <c r="I970" s="465" t="s">
        <v>537</v>
      </c>
      <c r="J970" s="465" t="s">
        <v>537</v>
      </c>
      <c r="K970" s="466">
        <v>10000</v>
      </c>
      <c r="L970" s="465" t="s">
        <v>537</v>
      </c>
      <c r="M970" s="465" t="s">
        <v>537</v>
      </c>
      <c r="N970" s="466">
        <v>10000</v>
      </c>
      <c r="O970" s="463" t="s">
        <v>537</v>
      </c>
      <c r="P970" s="463" t="s">
        <v>537</v>
      </c>
      <c r="Q970" s="465">
        <v>0</v>
      </c>
      <c r="R970" s="463" t="s">
        <v>775</v>
      </c>
      <c r="S970" s="463" t="s">
        <v>2569</v>
      </c>
      <c r="T970" s="463">
        <v>0</v>
      </c>
      <c r="U970" s="463">
        <v>50</v>
      </c>
      <c r="V970" s="463">
        <v>0</v>
      </c>
      <c r="W970" s="463">
        <v>9</v>
      </c>
      <c r="X970" s="463">
        <v>23</v>
      </c>
      <c r="Y970" s="463">
        <v>6</v>
      </c>
      <c r="Z970" s="463">
        <v>92</v>
      </c>
      <c r="AA970" s="472" t="s">
        <v>2566</v>
      </c>
      <c r="AB970" s="463">
        <v>80</v>
      </c>
      <c r="AC970" s="463" t="s">
        <v>539</v>
      </c>
      <c r="AD970" s="472" t="s">
        <v>2567</v>
      </c>
      <c r="AE970" s="463">
        <v>80</v>
      </c>
      <c r="AF970" s="463" t="s">
        <v>539</v>
      </c>
      <c r="AG970" s="463" t="s">
        <v>375</v>
      </c>
      <c r="AH970" s="476"/>
      <c r="AI970" s="472">
        <v>870193943</v>
      </c>
      <c r="AJ970" s="472" t="s">
        <v>543</v>
      </c>
    </row>
    <row r="971" spans="2:36" ht="24" hidden="1" customHeight="1">
      <c r="B971" s="463">
        <v>790</v>
      </c>
      <c r="C971" s="464" t="s">
        <v>534</v>
      </c>
      <c r="D971" s="464"/>
      <c r="E971" s="464" t="s">
        <v>535</v>
      </c>
      <c r="F971" s="464"/>
      <c r="G971" s="464" t="s">
        <v>334</v>
      </c>
      <c r="H971" s="464" t="s">
        <v>2570</v>
      </c>
      <c r="I971" s="465" t="s">
        <v>537</v>
      </c>
      <c r="J971" s="465" t="s">
        <v>537</v>
      </c>
      <c r="K971" s="466">
        <v>7000</v>
      </c>
      <c r="L971" s="465" t="s">
        <v>537</v>
      </c>
      <c r="M971" s="465" t="s">
        <v>537</v>
      </c>
      <c r="N971" s="466">
        <v>6800</v>
      </c>
      <c r="O971" s="463" t="s">
        <v>537</v>
      </c>
      <c r="P971" s="463" t="s">
        <v>537</v>
      </c>
      <c r="Q971" s="465">
        <v>200</v>
      </c>
      <c r="R971" s="470">
        <v>241640</v>
      </c>
      <c r="S971" s="471">
        <v>22488</v>
      </c>
      <c r="T971" s="463">
        <v>0</v>
      </c>
      <c r="U971" s="463">
        <v>35</v>
      </c>
      <c r="V971" s="463">
        <v>0</v>
      </c>
      <c r="W971" s="463">
        <v>8</v>
      </c>
      <c r="X971" s="463">
        <v>23</v>
      </c>
      <c r="Y971" s="463">
        <v>4</v>
      </c>
      <c r="Z971" s="463">
        <v>97</v>
      </c>
      <c r="AA971" s="472" t="s">
        <v>2566</v>
      </c>
      <c r="AB971" s="463">
        <v>80</v>
      </c>
      <c r="AC971" s="463" t="s">
        <v>539</v>
      </c>
      <c r="AD971" s="472" t="s">
        <v>2567</v>
      </c>
      <c r="AE971" s="463">
        <v>80</v>
      </c>
      <c r="AF971" s="463" t="s">
        <v>539</v>
      </c>
      <c r="AG971" s="463" t="s">
        <v>375</v>
      </c>
      <c r="AH971" s="476"/>
      <c r="AI971" s="472">
        <v>870193943</v>
      </c>
      <c r="AJ971" s="472" t="s">
        <v>543</v>
      </c>
    </row>
    <row r="972" spans="2:36" ht="24" hidden="1" customHeight="1">
      <c r="B972" s="463">
        <v>791</v>
      </c>
      <c r="C972" s="464" t="s">
        <v>534</v>
      </c>
      <c r="D972" s="464"/>
      <c r="E972" s="464" t="s">
        <v>535</v>
      </c>
      <c r="F972" s="464"/>
      <c r="G972" s="464" t="s">
        <v>334</v>
      </c>
      <c r="H972" s="464" t="s">
        <v>636</v>
      </c>
      <c r="I972" s="466">
        <v>200000</v>
      </c>
      <c r="J972" s="465" t="s">
        <v>537</v>
      </c>
      <c r="K972" s="465" t="s">
        <v>537</v>
      </c>
      <c r="L972" s="466">
        <v>197390</v>
      </c>
      <c r="M972" s="465" t="s">
        <v>537</v>
      </c>
      <c r="N972" s="465" t="s">
        <v>537</v>
      </c>
      <c r="O972" s="463" t="s">
        <v>537</v>
      </c>
      <c r="P972" s="463" t="s">
        <v>537</v>
      </c>
      <c r="Q972" s="468">
        <v>2610</v>
      </c>
      <c r="R972" s="470">
        <v>241640</v>
      </c>
      <c r="S972" s="463" t="s">
        <v>637</v>
      </c>
      <c r="T972" s="463">
        <v>90</v>
      </c>
      <c r="U972" s="463">
        <v>3</v>
      </c>
      <c r="V972" s="463">
        <v>0</v>
      </c>
      <c r="W972" s="463">
        <v>100</v>
      </c>
      <c r="X972" s="463">
        <v>10</v>
      </c>
      <c r="Y972" s="463">
        <v>0</v>
      </c>
      <c r="Z972" s="463">
        <v>94.2</v>
      </c>
      <c r="AA972" s="472" t="s">
        <v>728</v>
      </c>
      <c r="AB972" s="463">
        <v>1</v>
      </c>
      <c r="AC972" s="463" t="s">
        <v>539</v>
      </c>
      <c r="AD972" s="472" t="s">
        <v>729</v>
      </c>
      <c r="AE972" s="463">
        <v>1</v>
      </c>
      <c r="AF972" s="463" t="s">
        <v>539</v>
      </c>
      <c r="AG972" s="463" t="s">
        <v>375</v>
      </c>
      <c r="AH972" s="476"/>
      <c r="AI972" s="472" t="s">
        <v>2556</v>
      </c>
      <c r="AJ972" s="464"/>
    </row>
    <row r="973" spans="2:36" ht="24" hidden="1" customHeight="1">
      <c r="B973" s="463">
        <v>792</v>
      </c>
      <c r="C973" s="464" t="s">
        <v>534</v>
      </c>
      <c r="D973" s="464"/>
      <c r="E973" s="464" t="s">
        <v>535</v>
      </c>
      <c r="F973" s="464"/>
      <c r="G973" s="464" t="s">
        <v>334</v>
      </c>
      <c r="H973" s="464" t="s">
        <v>2571</v>
      </c>
      <c r="I973" s="466">
        <v>80000</v>
      </c>
      <c r="J973" s="465" t="s">
        <v>537</v>
      </c>
      <c r="K973" s="465" t="s">
        <v>537</v>
      </c>
      <c r="L973" s="466">
        <v>74240</v>
      </c>
      <c r="M973" s="465" t="s">
        <v>537</v>
      </c>
      <c r="N973" s="465" t="s">
        <v>537</v>
      </c>
      <c r="O973" s="463" t="s">
        <v>537</v>
      </c>
      <c r="P973" s="463" t="s">
        <v>537</v>
      </c>
      <c r="Q973" s="468">
        <v>5760</v>
      </c>
      <c r="R973" s="470">
        <v>241518</v>
      </c>
      <c r="S973" s="463" t="s">
        <v>2572</v>
      </c>
      <c r="T973" s="463">
        <v>0</v>
      </c>
      <c r="U973" s="463">
        <v>20</v>
      </c>
      <c r="V973" s="463">
        <v>0</v>
      </c>
      <c r="W973" s="463">
        <v>0</v>
      </c>
      <c r="X973" s="463">
        <v>15</v>
      </c>
      <c r="Y973" s="463">
        <v>0</v>
      </c>
      <c r="Z973" s="463">
        <v>97</v>
      </c>
      <c r="AA973" s="472" t="s">
        <v>547</v>
      </c>
      <c r="AB973" s="463" t="s">
        <v>539</v>
      </c>
      <c r="AC973" s="463" t="s">
        <v>539</v>
      </c>
      <c r="AD973" s="472" t="s">
        <v>548</v>
      </c>
      <c r="AE973" s="463">
        <v>80</v>
      </c>
      <c r="AF973" s="463" t="s">
        <v>539</v>
      </c>
      <c r="AG973" s="463" t="s">
        <v>375</v>
      </c>
      <c r="AH973" s="476"/>
      <c r="AI973" s="472">
        <v>818951165</v>
      </c>
      <c r="AJ973" s="464"/>
    </row>
    <row r="974" spans="2:36" ht="24" hidden="1" customHeight="1">
      <c r="B974" s="463">
        <v>793</v>
      </c>
      <c r="C974" s="464" t="s">
        <v>534</v>
      </c>
      <c r="D974" s="464"/>
      <c r="E974" s="464" t="s">
        <v>535</v>
      </c>
      <c r="F974" s="464"/>
      <c r="G974" s="464" t="s">
        <v>334</v>
      </c>
      <c r="H974" s="464" t="s">
        <v>2573</v>
      </c>
      <c r="I974" s="466">
        <v>60000</v>
      </c>
      <c r="J974" s="465" t="s">
        <v>537</v>
      </c>
      <c r="K974" s="465" t="s">
        <v>537</v>
      </c>
      <c r="L974" s="466">
        <v>43711.55</v>
      </c>
      <c r="M974" s="465" t="s">
        <v>537</v>
      </c>
      <c r="N974" s="465" t="s">
        <v>537</v>
      </c>
      <c r="O974" s="463" t="s">
        <v>537</v>
      </c>
      <c r="P974" s="463" t="s">
        <v>537</v>
      </c>
      <c r="Q974" s="468">
        <v>16288</v>
      </c>
      <c r="R974" s="470">
        <v>241487</v>
      </c>
      <c r="S974" s="471">
        <v>22367</v>
      </c>
      <c r="T974" s="463">
        <v>0</v>
      </c>
      <c r="U974" s="463">
        <v>16</v>
      </c>
      <c r="V974" s="463">
        <v>0</v>
      </c>
      <c r="W974" s="463">
        <v>0</v>
      </c>
      <c r="X974" s="463">
        <v>16</v>
      </c>
      <c r="Y974" s="463">
        <v>0</v>
      </c>
      <c r="Z974" s="463">
        <v>97.6</v>
      </c>
      <c r="AA974" s="472" t="s">
        <v>548</v>
      </c>
      <c r="AB974" s="463">
        <v>80</v>
      </c>
      <c r="AC974" s="463" t="s">
        <v>539</v>
      </c>
      <c r="AD974" s="472" t="s">
        <v>547</v>
      </c>
      <c r="AE974" s="463" t="s">
        <v>539</v>
      </c>
      <c r="AF974" s="463" t="s">
        <v>539</v>
      </c>
      <c r="AG974" s="463" t="s">
        <v>375</v>
      </c>
      <c r="AH974" s="476"/>
      <c r="AI974" s="472" t="s">
        <v>2574</v>
      </c>
      <c r="AJ974" s="464"/>
    </row>
    <row r="975" spans="2:36" ht="24" hidden="1" customHeight="1">
      <c r="B975" s="463">
        <v>794</v>
      </c>
      <c r="C975" s="464" t="s">
        <v>534</v>
      </c>
      <c r="D975" s="464"/>
      <c r="E975" s="464" t="s">
        <v>535</v>
      </c>
      <c r="F975" s="464"/>
      <c r="G975" s="464" t="s">
        <v>334</v>
      </c>
      <c r="H975" s="464" t="s">
        <v>2575</v>
      </c>
      <c r="I975" s="466">
        <v>20000</v>
      </c>
      <c r="J975" s="465" t="s">
        <v>537</v>
      </c>
      <c r="K975" s="465" t="s">
        <v>537</v>
      </c>
      <c r="L975" s="466">
        <v>17578</v>
      </c>
      <c r="M975" s="465" t="s">
        <v>537</v>
      </c>
      <c r="N975" s="465" t="s">
        <v>537</v>
      </c>
      <c r="O975" s="463" t="s">
        <v>537</v>
      </c>
      <c r="P975" s="463" t="s">
        <v>537</v>
      </c>
      <c r="Q975" s="468">
        <v>2422</v>
      </c>
      <c r="R975" s="470">
        <v>241487</v>
      </c>
      <c r="S975" s="471">
        <v>22363</v>
      </c>
      <c r="T975" s="463">
        <v>0</v>
      </c>
      <c r="U975" s="463">
        <v>30</v>
      </c>
      <c r="V975" s="463">
        <v>0</v>
      </c>
      <c r="W975" s="463">
        <v>0</v>
      </c>
      <c r="X975" s="463">
        <v>22</v>
      </c>
      <c r="Y975" s="463">
        <v>0</v>
      </c>
      <c r="Z975" s="463">
        <v>97.8</v>
      </c>
      <c r="AA975" s="472" t="s">
        <v>1413</v>
      </c>
      <c r="AB975" s="463" t="s">
        <v>539</v>
      </c>
      <c r="AC975" s="463" t="s">
        <v>539</v>
      </c>
      <c r="AD975" s="472" t="s">
        <v>548</v>
      </c>
      <c r="AE975" s="463">
        <v>80</v>
      </c>
      <c r="AF975" s="463" t="s">
        <v>539</v>
      </c>
      <c r="AG975" s="463" t="s">
        <v>375</v>
      </c>
      <c r="AH975" s="476"/>
      <c r="AI975" s="472">
        <v>870193943</v>
      </c>
      <c r="AJ975" s="464"/>
    </row>
    <row r="976" spans="2:36" ht="24" hidden="1" customHeight="1">
      <c r="B976" s="463">
        <v>795</v>
      </c>
      <c r="C976" s="464" t="s">
        <v>534</v>
      </c>
      <c r="D976" s="464"/>
      <c r="E976" s="464" t="s">
        <v>535</v>
      </c>
      <c r="F976" s="464"/>
      <c r="G976" s="464" t="s">
        <v>334</v>
      </c>
      <c r="H976" s="464" t="s">
        <v>2576</v>
      </c>
      <c r="I976" s="466">
        <v>100000</v>
      </c>
      <c r="J976" s="465" t="s">
        <v>537</v>
      </c>
      <c r="K976" s="465" t="s">
        <v>537</v>
      </c>
      <c r="L976" s="466">
        <v>99440</v>
      </c>
      <c r="M976" s="465" t="s">
        <v>537</v>
      </c>
      <c r="N976" s="465" t="s">
        <v>537</v>
      </c>
      <c r="O976" s="463" t="s">
        <v>537</v>
      </c>
      <c r="P976" s="463" t="s">
        <v>537</v>
      </c>
      <c r="Q976" s="465">
        <v>560</v>
      </c>
      <c r="R976" s="470">
        <v>241487</v>
      </c>
      <c r="S976" s="471">
        <v>22354</v>
      </c>
      <c r="T976" s="463">
        <v>87</v>
      </c>
      <c r="U976" s="463">
        <v>0</v>
      </c>
      <c r="V976" s="463">
        <v>0</v>
      </c>
      <c r="W976" s="463">
        <v>40</v>
      </c>
      <c r="X976" s="463">
        <v>0</v>
      </c>
      <c r="Y976" s="463">
        <v>0</v>
      </c>
      <c r="Z976" s="463">
        <v>83.2</v>
      </c>
      <c r="AA976" s="472" t="s">
        <v>2577</v>
      </c>
      <c r="AB976" s="463" t="s">
        <v>539</v>
      </c>
      <c r="AC976" s="463" t="s">
        <v>539</v>
      </c>
      <c r="AD976" s="472" t="s">
        <v>548</v>
      </c>
      <c r="AE976" s="463">
        <v>80</v>
      </c>
      <c r="AF976" s="463" t="s">
        <v>539</v>
      </c>
      <c r="AG976" s="463" t="s">
        <v>375</v>
      </c>
      <c r="AH976" s="476"/>
      <c r="AI976" s="472">
        <v>863905156</v>
      </c>
      <c r="AJ976" s="464"/>
    </row>
    <row r="977" spans="1:36" ht="24" hidden="1" customHeight="1">
      <c r="B977" s="463">
        <v>796</v>
      </c>
      <c r="C977" s="464" t="s">
        <v>534</v>
      </c>
      <c r="D977" s="464"/>
      <c r="E977" s="464" t="s">
        <v>535</v>
      </c>
      <c r="F977" s="464"/>
      <c r="G977" s="464" t="s">
        <v>334</v>
      </c>
      <c r="H977" s="464" t="s">
        <v>642</v>
      </c>
      <c r="I977" s="466">
        <v>60000</v>
      </c>
      <c r="J977" s="465" t="s">
        <v>537</v>
      </c>
      <c r="K977" s="465" t="s">
        <v>537</v>
      </c>
      <c r="L977" s="466">
        <v>49760</v>
      </c>
      <c r="M977" s="465" t="s">
        <v>537</v>
      </c>
      <c r="N977" s="465" t="s">
        <v>537</v>
      </c>
      <c r="O977" s="463" t="s">
        <v>537</v>
      </c>
      <c r="P977" s="463" t="s">
        <v>537</v>
      </c>
      <c r="Q977" s="468">
        <v>10240</v>
      </c>
      <c r="R977" s="470">
        <v>241518</v>
      </c>
      <c r="S977" s="463" t="s">
        <v>2578</v>
      </c>
      <c r="T977" s="463">
        <v>0</v>
      </c>
      <c r="U977" s="463">
        <v>2</v>
      </c>
      <c r="V977" s="463">
        <v>0</v>
      </c>
      <c r="W977" s="463">
        <v>0</v>
      </c>
      <c r="X977" s="463">
        <v>2</v>
      </c>
      <c r="Y977" s="463">
        <v>0</v>
      </c>
      <c r="Z977" s="463">
        <v>90</v>
      </c>
      <c r="AA977" s="472" t="s">
        <v>633</v>
      </c>
      <c r="AB977" s="463" t="s">
        <v>539</v>
      </c>
      <c r="AC977" s="463" t="s">
        <v>539</v>
      </c>
      <c r="AD977" s="472" t="s">
        <v>2579</v>
      </c>
      <c r="AE977" s="463" t="s">
        <v>539</v>
      </c>
      <c r="AF977" s="463" t="s">
        <v>539</v>
      </c>
      <c r="AG977" s="463" t="s">
        <v>375</v>
      </c>
      <c r="AH977" s="476"/>
      <c r="AI977" s="472">
        <v>863905156</v>
      </c>
      <c r="AJ977" s="464"/>
    </row>
    <row r="978" spans="1:36" ht="24" hidden="1" customHeight="1">
      <c r="B978" s="463">
        <v>797</v>
      </c>
      <c r="C978" s="464" t="s">
        <v>377</v>
      </c>
      <c r="D978" s="464"/>
      <c r="E978" s="464" t="s">
        <v>602</v>
      </c>
      <c r="F978" s="464"/>
      <c r="G978" s="464" t="s">
        <v>334</v>
      </c>
      <c r="H978" s="464" t="s">
        <v>2580</v>
      </c>
      <c r="I978" s="465" t="s">
        <v>537</v>
      </c>
      <c r="J978" s="466">
        <v>30000</v>
      </c>
      <c r="K978" s="465" t="s">
        <v>537</v>
      </c>
      <c r="L978" s="465" t="s">
        <v>537</v>
      </c>
      <c r="M978" s="466">
        <v>28800</v>
      </c>
      <c r="N978" s="465" t="s">
        <v>537</v>
      </c>
      <c r="O978" s="463" t="s">
        <v>537</v>
      </c>
      <c r="P978" s="463" t="s">
        <v>537</v>
      </c>
      <c r="Q978" s="468">
        <v>1200</v>
      </c>
      <c r="R978" s="470">
        <v>241609</v>
      </c>
      <c r="S978" s="463" t="s">
        <v>988</v>
      </c>
      <c r="T978" s="463">
        <v>80</v>
      </c>
      <c r="U978" s="463">
        <v>10</v>
      </c>
      <c r="V978" s="463">
        <v>0</v>
      </c>
      <c r="W978" s="463">
        <v>90</v>
      </c>
      <c r="X978" s="463">
        <v>10</v>
      </c>
      <c r="Y978" s="463">
        <v>0</v>
      </c>
      <c r="Z978" s="463">
        <v>90</v>
      </c>
      <c r="AA978" s="464"/>
      <c r="AB978" s="464"/>
      <c r="AC978" s="464"/>
      <c r="AD978" s="464"/>
      <c r="AE978" s="464"/>
      <c r="AF978" s="464"/>
      <c r="AG978" s="463" t="s">
        <v>376</v>
      </c>
      <c r="AH978" s="476"/>
      <c r="AI978" s="472" t="s">
        <v>2574</v>
      </c>
      <c r="AJ978" s="464"/>
    </row>
    <row r="979" spans="1:36" ht="24" hidden="1" customHeight="1">
      <c r="B979" s="463">
        <v>798</v>
      </c>
      <c r="C979" s="464" t="s">
        <v>377</v>
      </c>
      <c r="D979" s="464"/>
      <c r="E979" s="464" t="s">
        <v>602</v>
      </c>
      <c r="F979" s="464"/>
      <c r="G979" s="464" t="s">
        <v>334</v>
      </c>
      <c r="H979" s="464" t="s">
        <v>2581</v>
      </c>
      <c r="I979" s="465" t="s">
        <v>537</v>
      </c>
      <c r="J979" s="465" t="s">
        <v>537</v>
      </c>
      <c r="K979" s="466">
        <v>99900</v>
      </c>
      <c r="L979" s="465" t="s">
        <v>537</v>
      </c>
      <c r="M979" s="465" t="s">
        <v>537</v>
      </c>
      <c r="N979" s="466">
        <v>97660</v>
      </c>
      <c r="O979" s="463" t="s">
        <v>537</v>
      </c>
      <c r="P979" s="463" t="s">
        <v>537</v>
      </c>
      <c r="Q979" s="468">
        <v>2240</v>
      </c>
      <c r="R979" s="470">
        <v>241671</v>
      </c>
      <c r="S979" s="463" t="s">
        <v>2582</v>
      </c>
      <c r="T979" s="463">
        <v>0</v>
      </c>
      <c r="U979" s="463">
        <v>57</v>
      </c>
      <c r="V979" s="463">
        <v>3</v>
      </c>
      <c r="W979" s="463">
        <v>40</v>
      </c>
      <c r="X979" s="463">
        <v>7</v>
      </c>
      <c r="Y979" s="463">
        <v>13</v>
      </c>
      <c r="Z979" s="463">
        <v>96.8</v>
      </c>
      <c r="AA979" s="472" t="s">
        <v>605</v>
      </c>
      <c r="AB979" s="463" t="s">
        <v>539</v>
      </c>
      <c r="AC979" s="463" t="s">
        <v>539</v>
      </c>
      <c r="AD979" s="472" t="s">
        <v>565</v>
      </c>
      <c r="AE979" s="463">
        <v>80</v>
      </c>
      <c r="AF979" s="463" t="s">
        <v>539</v>
      </c>
      <c r="AG979" s="463" t="s">
        <v>375</v>
      </c>
      <c r="AH979" s="476"/>
      <c r="AI979" s="472" t="s">
        <v>2583</v>
      </c>
      <c r="AJ979" s="472" t="s">
        <v>543</v>
      </c>
    </row>
    <row r="980" spans="1:36" ht="24" customHeight="1">
      <c r="A980" s="452">
        <v>143</v>
      </c>
      <c r="B980" s="701">
        <v>799</v>
      </c>
      <c r="C980" s="699" t="s">
        <v>337</v>
      </c>
      <c r="D980" s="699"/>
      <c r="E980" s="699" t="s">
        <v>545</v>
      </c>
      <c r="F980" s="699"/>
      <c r="G980" s="699" t="s">
        <v>334</v>
      </c>
      <c r="H980" s="699" t="s">
        <v>2584</v>
      </c>
      <c r="I980" s="712">
        <v>10000</v>
      </c>
      <c r="J980" s="709" t="s">
        <v>537</v>
      </c>
      <c r="K980" s="709" t="s">
        <v>537</v>
      </c>
      <c r="L980" s="712">
        <v>9362</v>
      </c>
      <c r="M980" s="709" t="s">
        <v>537</v>
      </c>
      <c r="N980" s="709" t="s">
        <v>537</v>
      </c>
      <c r="O980" s="701" t="s">
        <v>537</v>
      </c>
      <c r="P980" s="701" t="s">
        <v>537</v>
      </c>
      <c r="Q980" s="709">
        <v>638</v>
      </c>
      <c r="R980" s="707">
        <v>241487</v>
      </c>
      <c r="S980" s="721">
        <v>22371</v>
      </c>
      <c r="T980" s="701">
        <v>3</v>
      </c>
      <c r="U980" s="701">
        <v>5</v>
      </c>
      <c r="V980" s="701">
        <v>10</v>
      </c>
      <c r="W980" s="701">
        <v>3</v>
      </c>
      <c r="X980" s="701">
        <v>5</v>
      </c>
      <c r="Y980" s="701">
        <v>10</v>
      </c>
      <c r="Z980" s="701">
        <v>96.8</v>
      </c>
      <c r="AA980" s="697" t="s">
        <v>547</v>
      </c>
      <c r="AB980" s="701" t="s">
        <v>539</v>
      </c>
      <c r="AC980" s="701" t="s">
        <v>539</v>
      </c>
      <c r="AD980" s="458" t="s">
        <v>548</v>
      </c>
      <c r="AE980" s="459">
        <v>80</v>
      </c>
      <c r="AF980" s="459" t="s">
        <v>539</v>
      </c>
      <c r="AG980" s="701" t="s">
        <v>375</v>
      </c>
      <c r="AH980" s="728"/>
      <c r="AI980" s="697">
        <v>818951165</v>
      </c>
      <c r="AJ980" s="699"/>
    </row>
    <row r="981" spans="1:36" ht="24" hidden="1" customHeight="1">
      <c r="B981" s="702"/>
      <c r="C981" s="700"/>
      <c r="D981" s="700"/>
      <c r="E981" s="700"/>
      <c r="F981" s="700"/>
      <c r="G981" s="700"/>
      <c r="H981" s="700"/>
      <c r="I981" s="713"/>
      <c r="J981" s="710"/>
      <c r="K981" s="710"/>
      <c r="L981" s="713"/>
      <c r="M981" s="710"/>
      <c r="N981" s="710"/>
      <c r="O981" s="702"/>
      <c r="P981" s="702"/>
      <c r="Q981" s="710"/>
      <c r="R981" s="708"/>
      <c r="S981" s="722"/>
      <c r="T981" s="702"/>
      <c r="U981" s="702"/>
      <c r="V981" s="702"/>
      <c r="W981" s="702"/>
      <c r="X981" s="702"/>
      <c r="Y981" s="702"/>
      <c r="Z981" s="702"/>
      <c r="AA981" s="698"/>
      <c r="AB981" s="702"/>
      <c r="AC981" s="702"/>
      <c r="AD981" s="473" t="s">
        <v>2585</v>
      </c>
      <c r="AE981" s="474">
        <v>1</v>
      </c>
      <c r="AF981" s="474" t="s">
        <v>539</v>
      </c>
      <c r="AG981" s="702"/>
      <c r="AH981" s="729"/>
      <c r="AI981" s="698"/>
      <c r="AJ981" s="700"/>
    </row>
    <row r="982" spans="1:36" ht="24" customHeight="1">
      <c r="A982" s="452">
        <v>144</v>
      </c>
      <c r="B982" s="701">
        <v>800</v>
      </c>
      <c r="C982" s="699" t="s">
        <v>337</v>
      </c>
      <c r="D982" s="699"/>
      <c r="E982" s="699" t="s">
        <v>545</v>
      </c>
      <c r="F982" s="699"/>
      <c r="G982" s="699" t="s">
        <v>334</v>
      </c>
      <c r="H982" s="699" t="s">
        <v>2586</v>
      </c>
      <c r="I982" s="712">
        <v>70000</v>
      </c>
      <c r="J982" s="709" t="s">
        <v>537</v>
      </c>
      <c r="K982" s="709" t="s">
        <v>537</v>
      </c>
      <c r="L982" s="712">
        <v>69550</v>
      </c>
      <c r="M982" s="709" t="s">
        <v>537</v>
      </c>
      <c r="N982" s="709" t="s">
        <v>537</v>
      </c>
      <c r="O982" s="701" t="s">
        <v>537</v>
      </c>
      <c r="P982" s="701" t="s">
        <v>537</v>
      </c>
      <c r="Q982" s="709">
        <v>450</v>
      </c>
      <c r="R982" s="701" t="s">
        <v>2587</v>
      </c>
      <c r="S982" s="721">
        <v>22455</v>
      </c>
      <c r="T982" s="701">
        <v>3</v>
      </c>
      <c r="U982" s="701">
        <v>3</v>
      </c>
      <c r="V982" s="701">
        <v>10</v>
      </c>
      <c r="W982" s="701">
        <v>3</v>
      </c>
      <c r="X982" s="701">
        <v>3</v>
      </c>
      <c r="Y982" s="701">
        <v>10</v>
      </c>
      <c r="Z982" s="701">
        <v>89.2</v>
      </c>
      <c r="AA982" s="697" t="s">
        <v>547</v>
      </c>
      <c r="AB982" s="701" t="s">
        <v>539</v>
      </c>
      <c r="AC982" s="701" t="s">
        <v>539</v>
      </c>
      <c r="AD982" s="458" t="s">
        <v>548</v>
      </c>
      <c r="AE982" s="459">
        <v>80</v>
      </c>
      <c r="AF982" s="459" t="s">
        <v>539</v>
      </c>
      <c r="AG982" s="701" t="s">
        <v>375</v>
      </c>
      <c r="AH982" s="728"/>
      <c r="AI982" s="697" t="s">
        <v>2588</v>
      </c>
      <c r="AJ982" s="699"/>
    </row>
    <row r="983" spans="1:36" ht="24" hidden="1" customHeight="1">
      <c r="B983" s="702"/>
      <c r="C983" s="700"/>
      <c r="D983" s="700"/>
      <c r="E983" s="700"/>
      <c r="F983" s="700"/>
      <c r="G983" s="700"/>
      <c r="H983" s="700"/>
      <c r="I983" s="713"/>
      <c r="J983" s="710"/>
      <c r="K983" s="710"/>
      <c r="L983" s="713"/>
      <c r="M983" s="710"/>
      <c r="N983" s="710"/>
      <c r="O983" s="702"/>
      <c r="P983" s="702"/>
      <c r="Q983" s="710"/>
      <c r="R983" s="702"/>
      <c r="S983" s="722"/>
      <c r="T983" s="702"/>
      <c r="U983" s="702"/>
      <c r="V983" s="702"/>
      <c r="W983" s="702"/>
      <c r="X983" s="702"/>
      <c r="Y983" s="702"/>
      <c r="Z983" s="702"/>
      <c r="AA983" s="698"/>
      <c r="AB983" s="702"/>
      <c r="AC983" s="702"/>
      <c r="AD983" s="473" t="s">
        <v>2585</v>
      </c>
      <c r="AE983" s="474">
        <v>1</v>
      </c>
      <c r="AF983" s="474" t="s">
        <v>539</v>
      </c>
      <c r="AG983" s="702"/>
      <c r="AH983" s="729"/>
      <c r="AI983" s="698"/>
      <c r="AJ983" s="700"/>
    </row>
    <row r="984" spans="1:36" ht="24" customHeight="1">
      <c r="A984" s="452">
        <v>145</v>
      </c>
      <c r="B984" s="701">
        <v>801</v>
      </c>
      <c r="C984" s="699" t="s">
        <v>337</v>
      </c>
      <c r="D984" s="699"/>
      <c r="E984" s="699" t="s">
        <v>545</v>
      </c>
      <c r="F984" s="699"/>
      <c r="G984" s="699" t="s">
        <v>334</v>
      </c>
      <c r="H984" s="699" t="s">
        <v>2589</v>
      </c>
      <c r="I984" s="712">
        <v>20000</v>
      </c>
      <c r="J984" s="709" t="s">
        <v>537</v>
      </c>
      <c r="K984" s="709" t="s">
        <v>537</v>
      </c>
      <c r="L984" s="712">
        <v>20000</v>
      </c>
      <c r="M984" s="709" t="s">
        <v>537</v>
      </c>
      <c r="N984" s="709" t="s">
        <v>537</v>
      </c>
      <c r="O984" s="701" t="s">
        <v>537</v>
      </c>
      <c r="P984" s="701" t="s">
        <v>537</v>
      </c>
      <c r="Q984" s="709">
        <v>0</v>
      </c>
      <c r="R984" s="707">
        <v>241459</v>
      </c>
      <c r="S984" s="701" t="s">
        <v>682</v>
      </c>
      <c r="T984" s="701">
        <v>3</v>
      </c>
      <c r="U984" s="701">
        <v>6</v>
      </c>
      <c r="V984" s="701">
        <v>15</v>
      </c>
      <c r="W984" s="701">
        <v>3</v>
      </c>
      <c r="X984" s="701">
        <v>6</v>
      </c>
      <c r="Y984" s="701">
        <v>15</v>
      </c>
      <c r="Z984" s="701">
        <v>93.2</v>
      </c>
      <c r="AA984" s="697" t="s">
        <v>547</v>
      </c>
      <c r="AB984" s="701" t="s">
        <v>539</v>
      </c>
      <c r="AC984" s="701" t="s">
        <v>539</v>
      </c>
      <c r="AD984" s="458" t="s">
        <v>548</v>
      </c>
      <c r="AE984" s="459">
        <v>80</v>
      </c>
      <c r="AF984" s="459" t="s">
        <v>539</v>
      </c>
      <c r="AG984" s="701" t="s">
        <v>375</v>
      </c>
      <c r="AH984" s="728"/>
      <c r="AI984" s="697" t="s">
        <v>2590</v>
      </c>
      <c r="AJ984" s="699"/>
    </row>
    <row r="985" spans="1:36" ht="24" hidden="1" customHeight="1">
      <c r="B985" s="702"/>
      <c r="C985" s="700"/>
      <c r="D985" s="700"/>
      <c r="E985" s="700"/>
      <c r="F985" s="700"/>
      <c r="G985" s="700"/>
      <c r="H985" s="700"/>
      <c r="I985" s="713"/>
      <c r="J985" s="710"/>
      <c r="K985" s="710"/>
      <c r="L985" s="713"/>
      <c r="M985" s="710"/>
      <c r="N985" s="710"/>
      <c r="O985" s="702"/>
      <c r="P985" s="702"/>
      <c r="Q985" s="710"/>
      <c r="R985" s="708"/>
      <c r="S985" s="702"/>
      <c r="T985" s="702"/>
      <c r="U985" s="702"/>
      <c r="V985" s="702"/>
      <c r="W985" s="702"/>
      <c r="X985" s="702"/>
      <c r="Y985" s="702"/>
      <c r="Z985" s="702"/>
      <c r="AA985" s="698"/>
      <c r="AB985" s="702"/>
      <c r="AC985" s="702"/>
      <c r="AD985" s="473" t="s">
        <v>2585</v>
      </c>
      <c r="AE985" s="474">
        <v>1</v>
      </c>
      <c r="AF985" s="474" t="s">
        <v>539</v>
      </c>
      <c r="AG985" s="702"/>
      <c r="AH985" s="729"/>
      <c r="AI985" s="698"/>
      <c r="AJ985" s="700"/>
    </row>
    <row r="986" spans="1:36" ht="24" customHeight="1">
      <c r="A986" s="452">
        <v>146</v>
      </c>
      <c r="B986" s="701">
        <v>802</v>
      </c>
      <c r="C986" s="699" t="s">
        <v>337</v>
      </c>
      <c r="D986" s="699"/>
      <c r="E986" s="699" t="s">
        <v>545</v>
      </c>
      <c r="F986" s="699"/>
      <c r="G986" s="699" t="s">
        <v>334</v>
      </c>
      <c r="H986" s="699" t="s">
        <v>2591</v>
      </c>
      <c r="I986" s="709">
        <v>0</v>
      </c>
      <c r="J986" s="709" t="s">
        <v>537</v>
      </c>
      <c r="K986" s="709" t="s">
        <v>537</v>
      </c>
      <c r="L986" s="709">
        <v>0</v>
      </c>
      <c r="M986" s="709" t="s">
        <v>537</v>
      </c>
      <c r="N986" s="709" t="s">
        <v>537</v>
      </c>
      <c r="O986" s="701" t="s">
        <v>537</v>
      </c>
      <c r="P986" s="701" t="s">
        <v>537</v>
      </c>
      <c r="Q986" s="709">
        <v>0</v>
      </c>
      <c r="R986" s="707">
        <v>241640</v>
      </c>
      <c r="S986" s="721">
        <v>22523</v>
      </c>
      <c r="T986" s="701">
        <v>0</v>
      </c>
      <c r="U986" s="701">
        <v>6</v>
      </c>
      <c r="V986" s="701">
        <v>10</v>
      </c>
      <c r="W986" s="701">
        <v>0</v>
      </c>
      <c r="X986" s="701">
        <v>6</v>
      </c>
      <c r="Y986" s="701">
        <v>10</v>
      </c>
      <c r="Z986" s="701">
        <v>89.4</v>
      </c>
      <c r="AA986" s="697" t="s">
        <v>547</v>
      </c>
      <c r="AB986" s="701" t="s">
        <v>539</v>
      </c>
      <c r="AC986" s="701" t="s">
        <v>539</v>
      </c>
      <c r="AD986" s="458" t="s">
        <v>548</v>
      </c>
      <c r="AE986" s="459">
        <v>80</v>
      </c>
      <c r="AF986" s="459" t="s">
        <v>539</v>
      </c>
      <c r="AG986" s="701" t="s">
        <v>375</v>
      </c>
      <c r="AH986" s="728"/>
      <c r="AI986" s="697" t="s">
        <v>2592</v>
      </c>
      <c r="AJ986" s="699"/>
    </row>
    <row r="987" spans="1:36" ht="24" hidden="1" customHeight="1">
      <c r="B987" s="702"/>
      <c r="C987" s="700"/>
      <c r="D987" s="700"/>
      <c r="E987" s="700"/>
      <c r="F987" s="700"/>
      <c r="G987" s="700"/>
      <c r="H987" s="700"/>
      <c r="I987" s="710"/>
      <c r="J987" s="710"/>
      <c r="K987" s="710"/>
      <c r="L987" s="710"/>
      <c r="M987" s="710"/>
      <c r="N987" s="710"/>
      <c r="O987" s="702"/>
      <c r="P987" s="702"/>
      <c r="Q987" s="710"/>
      <c r="R987" s="708"/>
      <c r="S987" s="722"/>
      <c r="T987" s="702"/>
      <c r="U987" s="702"/>
      <c r="V987" s="702"/>
      <c r="W987" s="702"/>
      <c r="X987" s="702"/>
      <c r="Y987" s="702"/>
      <c r="Z987" s="702"/>
      <c r="AA987" s="698"/>
      <c r="AB987" s="702"/>
      <c r="AC987" s="702"/>
      <c r="AD987" s="473" t="s">
        <v>2585</v>
      </c>
      <c r="AE987" s="474">
        <v>1</v>
      </c>
      <c r="AF987" s="474" t="s">
        <v>539</v>
      </c>
      <c r="AG987" s="702"/>
      <c r="AH987" s="729"/>
      <c r="AI987" s="698"/>
      <c r="AJ987" s="700"/>
    </row>
    <row r="988" spans="1:36" ht="24" customHeight="1">
      <c r="A988" s="452">
        <v>147</v>
      </c>
      <c r="B988" s="463">
        <v>803</v>
      </c>
      <c r="C988" s="464" t="s">
        <v>337</v>
      </c>
      <c r="D988" s="464"/>
      <c r="E988" s="464" t="s">
        <v>545</v>
      </c>
      <c r="F988" s="464"/>
      <c r="G988" s="464" t="s">
        <v>334</v>
      </c>
      <c r="H988" s="464" t="s">
        <v>2593</v>
      </c>
      <c r="I988" s="465" t="s">
        <v>537</v>
      </c>
      <c r="J988" s="465" t="s">
        <v>537</v>
      </c>
      <c r="K988" s="466">
        <v>50000</v>
      </c>
      <c r="L988" s="465" t="s">
        <v>537</v>
      </c>
      <c r="M988" s="465" t="s">
        <v>537</v>
      </c>
      <c r="N988" s="466">
        <v>26950</v>
      </c>
      <c r="O988" s="463" t="s">
        <v>537</v>
      </c>
      <c r="P988" s="463" t="s">
        <v>537</v>
      </c>
      <c r="Q988" s="468">
        <v>23050</v>
      </c>
      <c r="R988" s="470">
        <v>241518</v>
      </c>
      <c r="S988" s="463" t="s">
        <v>2594</v>
      </c>
      <c r="T988" s="463">
        <v>12</v>
      </c>
      <c r="U988" s="463">
        <v>3</v>
      </c>
      <c r="V988" s="463">
        <v>5</v>
      </c>
      <c r="W988" s="463">
        <v>12</v>
      </c>
      <c r="X988" s="463">
        <v>3</v>
      </c>
      <c r="Y988" s="463">
        <v>5</v>
      </c>
      <c r="Z988" s="463">
        <v>90.5</v>
      </c>
      <c r="AA988" s="472" t="s">
        <v>2595</v>
      </c>
      <c r="AB988" s="463" t="s">
        <v>539</v>
      </c>
      <c r="AC988" s="463" t="s">
        <v>539</v>
      </c>
      <c r="AD988" s="472" t="s">
        <v>2596</v>
      </c>
      <c r="AE988" s="463" t="s">
        <v>539</v>
      </c>
      <c r="AF988" s="463" t="s">
        <v>539</v>
      </c>
      <c r="AG988" s="463" t="s">
        <v>375</v>
      </c>
      <c r="AH988" s="476"/>
      <c r="AI988" s="472" t="s">
        <v>2597</v>
      </c>
      <c r="AJ988" s="472" t="s">
        <v>543</v>
      </c>
    </row>
    <row r="989" spans="1:36" ht="24" hidden="1" customHeight="1">
      <c r="B989" s="463">
        <v>804</v>
      </c>
      <c r="C989" s="464" t="s">
        <v>377</v>
      </c>
      <c r="D989" s="464"/>
      <c r="E989" s="464" t="s">
        <v>602</v>
      </c>
      <c r="F989" s="464"/>
      <c r="G989" s="464" t="s">
        <v>419</v>
      </c>
      <c r="H989" s="464" t="s">
        <v>2598</v>
      </c>
      <c r="I989" s="465" t="s">
        <v>537</v>
      </c>
      <c r="J989" s="465" t="s">
        <v>537</v>
      </c>
      <c r="K989" s="466">
        <v>90000</v>
      </c>
      <c r="L989" s="465" t="s">
        <v>537</v>
      </c>
      <c r="M989" s="465" t="s">
        <v>537</v>
      </c>
      <c r="N989" s="466">
        <v>90000</v>
      </c>
      <c r="O989" s="463" t="s">
        <v>537</v>
      </c>
      <c r="P989" s="463" t="s">
        <v>537</v>
      </c>
      <c r="Q989" s="465">
        <v>0</v>
      </c>
      <c r="R989" s="470">
        <v>241640</v>
      </c>
      <c r="S989" s="463" t="s">
        <v>2599</v>
      </c>
      <c r="T989" s="463">
        <v>0</v>
      </c>
      <c r="U989" s="463">
        <v>0</v>
      </c>
      <c r="V989" s="463">
        <v>0</v>
      </c>
      <c r="W989" s="463">
        <v>0</v>
      </c>
      <c r="X989" s="463">
        <v>0</v>
      </c>
      <c r="Y989" s="463">
        <v>0</v>
      </c>
      <c r="Z989" s="463">
        <v>90</v>
      </c>
      <c r="AA989" s="472" t="s">
        <v>2600</v>
      </c>
      <c r="AB989" s="463" t="s">
        <v>539</v>
      </c>
      <c r="AC989" s="463" t="s">
        <v>539</v>
      </c>
      <c r="AD989" s="472" t="s">
        <v>2601</v>
      </c>
      <c r="AE989" s="463" t="s">
        <v>539</v>
      </c>
      <c r="AF989" s="463" t="s">
        <v>539</v>
      </c>
      <c r="AG989" s="463" t="s">
        <v>375</v>
      </c>
      <c r="AH989" s="476"/>
      <c r="AI989" s="472" t="s">
        <v>566</v>
      </c>
      <c r="AJ989" s="472" t="s">
        <v>1105</v>
      </c>
    </row>
    <row r="990" spans="1:36" ht="24" hidden="1" customHeight="1">
      <c r="B990" s="463">
        <v>805</v>
      </c>
      <c r="C990" s="464" t="s">
        <v>377</v>
      </c>
      <c r="D990" s="464" t="s">
        <v>544</v>
      </c>
      <c r="E990" s="464" t="s">
        <v>602</v>
      </c>
      <c r="F990" s="464"/>
      <c r="G990" s="464" t="s">
        <v>419</v>
      </c>
      <c r="H990" s="464" t="s">
        <v>2602</v>
      </c>
      <c r="I990" s="466">
        <v>47520</v>
      </c>
      <c r="J990" s="465" t="s">
        <v>537</v>
      </c>
      <c r="K990" s="465" t="s">
        <v>537</v>
      </c>
      <c r="L990" s="466">
        <v>46520</v>
      </c>
      <c r="M990" s="465" t="s">
        <v>537</v>
      </c>
      <c r="N990" s="465" t="s">
        <v>537</v>
      </c>
      <c r="O990" s="463" t="s">
        <v>537</v>
      </c>
      <c r="P990" s="463" t="s">
        <v>537</v>
      </c>
      <c r="Q990" s="468">
        <v>1000</v>
      </c>
      <c r="R990" s="470">
        <v>241640</v>
      </c>
      <c r="S990" s="463" t="s">
        <v>2603</v>
      </c>
      <c r="T990" s="463">
        <v>40</v>
      </c>
      <c r="U990" s="463">
        <v>6</v>
      </c>
      <c r="V990" s="463">
        <v>0</v>
      </c>
      <c r="W990" s="463">
        <v>82</v>
      </c>
      <c r="X990" s="463">
        <v>9</v>
      </c>
      <c r="Y990" s="463">
        <v>0</v>
      </c>
      <c r="Z990" s="463">
        <v>90</v>
      </c>
      <c r="AA990" s="472" t="s">
        <v>612</v>
      </c>
      <c r="AB990" s="463" t="s">
        <v>539</v>
      </c>
      <c r="AC990" s="463" t="s">
        <v>539</v>
      </c>
      <c r="AD990" s="472" t="s">
        <v>565</v>
      </c>
      <c r="AE990" s="463">
        <v>80</v>
      </c>
      <c r="AF990" s="463">
        <v>90</v>
      </c>
      <c r="AG990" s="463" t="s">
        <v>375</v>
      </c>
      <c r="AH990" s="476"/>
      <c r="AI990" s="472" t="s">
        <v>2604</v>
      </c>
      <c r="AJ990" s="464"/>
    </row>
    <row r="991" spans="1:36" ht="24" hidden="1" customHeight="1">
      <c r="B991" s="463">
        <v>806</v>
      </c>
      <c r="C991" s="464" t="s">
        <v>377</v>
      </c>
      <c r="D991" s="464" t="s">
        <v>544</v>
      </c>
      <c r="E991" s="464" t="s">
        <v>602</v>
      </c>
      <c r="F991" s="464"/>
      <c r="G991" s="464" t="s">
        <v>419</v>
      </c>
      <c r="H991" s="464" t="s">
        <v>2605</v>
      </c>
      <c r="I991" s="466">
        <v>88000</v>
      </c>
      <c r="J991" s="465" t="s">
        <v>537</v>
      </c>
      <c r="K991" s="465" t="s">
        <v>537</v>
      </c>
      <c r="L991" s="466">
        <v>88000</v>
      </c>
      <c r="M991" s="465" t="s">
        <v>537</v>
      </c>
      <c r="N991" s="465" t="s">
        <v>537</v>
      </c>
      <c r="O991" s="463" t="s">
        <v>537</v>
      </c>
      <c r="P991" s="463" t="s">
        <v>537</v>
      </c>
      <c r="Q991" s="465">
        <v>0</v>
      </c>
      <c r="R991" s="463" t="s">
        <v>1898</v>
      </c>
      <c r="S991" s="463" t="s">
        <v>2606</v>
      </c>
      <c r="T991" s="463">
        <v>20</v>
      </c>
      <c r="U991" s="463">
        <v>10</v>
      </c>
      <c r="V991" s="463">
        <v>0</v>
      </c>
      <c r="W991" s="463">
        <v>30</v>
      </c>
      <c r="X991" s="463">
        <v>5</v>
      </c>
      <c r="Y991" s="463">
        <v>5</v>
      </c>
      <c r="Z991" s="463">
        <v>91</v>
      </c>
      <c r="AA991" s="472" t="s">
        <v>612</v>
      </c>
      <c r="AB991" s="463" t="s">
        <v>539</v>
      </c>
      <c r="AC991" s="463" t="s">
        <v>539</v>
      </c>
      <c r="AD991" s="472" t="s">
        <v>565</v>
      </c>
      <c r="AE991" s="463" t="s">
        <v>620</v>
      </c>
      <c r="AF991" s="463">
        <v>90</v>
      </c>
      <c r="AG991" s="463" t="s">
        <v>376</v>
      </c>
      <c r="AH991" s="476"/>
      <c r="AI991" s="472" t="s">
        <v>2607</v>
      </c>
      <c r="AJ991" s="464"/>
    </row>
    <row r="992" spans="1:36" ht="24" hidden="1" customHeight="1">
      <c r="B992" s="463">
        <v>807</v>
      </c>
      <c r="C992" s="464" t="s">
        <v>377</v>
      </c>
      <c r="D992" s="464" t="s">
        <v>544</v>
      </c>
      <c r="E992" s="464" t="s">
        <v>602</v>
      </c>
      <c r="F992" s="464"/>
      <c r="G992" s="464" t="s">
        <v>419</v>
      </c>
      <c r="H992" s="464" t="s">
        <v>2608</v>
      </c>
      <c r="I992" s="466">
        <v>170000</v>
      </c>
      <c r="J992" s="465" t="s">
        <v>537</v>
      </c>
      <c r="K992" s="465" t="s">
        <v>537</v>
      </c>
      <c r="L992" s="466">
        <v>142065</v>
      </c>
      <c r="M992" s="465" t="s">
        <v>537</v>
      </c>
      <c r="N992" s="465" t="s">
        <v>537</v>
      </c>
      <c r="O992" s="463" t="s">
        <v>537</v>
      </c>
      <c r="P992" s="463" t="s">
        <v>537</v>
      </c>
      <c r="Q992" s="468">
        <v>27935</v>
      </c>
      <c r="R992" s="470">
        <v>241459</v>
      </c>
      <c r="S992" s="463" t="s">
        <v>1591</v>
      </c>
      <c r="T992" s="463">
        <v>11</v>
      </c>
      <c r="U992" s="463">
        <v>0</v>
      </c>
      <c r="V992" s="463">
        <v>0</v>
      </c>
      <c r="W992" s="463">
        <v>15</v>
      </c>
      <c r="X992" s="463">
        <v>6</v>
      </c>
      <c r="Y992" s="464"/>
      <c r="Z992" s="463">
        <v>95</v>
      </c>
      <c r="AA992" s="472" t="s">
        <v>612</v>
      </c>
      <c r="AB992" s="463" t="s">
        <v>539</v>
      </c>
      <c r="AC992" s="463" t="s">
        <v>539</v>
      </c>
      <c r="AD992" s="472" t="s">
        <v>565</v>
      </c>
      <c r="AE992" s="463" t="s">
        <v>620</v>
      </c>
      <c r="AF992" s="463">
        <v>95</v>
      </c>
      <c r="AG992" s="463" t="s">
        <v>376</v>
      </c>
      <c r="AH992" s="476"/>
      <c r="AI992" s="472" t="s">
        <v>2607</v>
      </c>
      <c r="AJ992" s="464"/>
    </row>
    <row r="993" spans="2:36" ht="24" hidden="1" customHeight="1">
      <c r="B993" s="463">
        <v>808</v>
      </c>
      <c r="C993" s="464" t="s">
        <v>377</v>
      </c>
      <c r="D993" s="464" t="s">
        <v>544</v>
      </c>
      <c r="E993" s="464" t="s">
        <v>602</v>
      </c>
      <c r="F993" s="464"/>
      <c r="G993" s="464" t="s">
        <v>419</v>
      </c>
      <c r="H993" s="464" t="s">
        <v>2609</v>
      </c>
      <c r="I993" s="466">
        <v>50000</v>
      </c>
      <c r="J993" s="465" t="s">
        <v>537</v>
      </c>
      <c r="K993" s="465" t="s">
        <v>537</v>
      </c>
      <c r="L993" s="466">
        <v>48000</v>
      </c>
      <c r="M993" s="465" t="s">
        <v>537</v>
      </c>
      <c r="N993" s="465" t="s">
        <v>537</v>
      </c>
      <c r="O993" s="463" t="s">
        <v>537</v>
      </c>
      <c r="P993" s="463" t="s">
        <v>537</v>
      </c>
      <c r="Q993" s="468">
        <v>2000</v>
      </c>
      <c r="R993" s="470">
        <v>241579</v>
      </c>
      <c r="S993" s="463" t="s">
        <v>2610</v>
      </c>
      <c r="T993" s="463">
        <v>0</v>
      </c>
      <c r="U993" s="463">
        <v>40</v>
      </c>
      <c r="V993" s="463">
        <v>0</v>
      </c>
      <c r="W993" s="463">
        <v>0</v>
      </c>
      <c r="X993" s="463">
        <v>39</v>
      </c>
      <c r="Y993" s="464"/>
      <c r="Z993" s="463">
        <v>85</v>
      </c>
      <c r="AA993" s="472" t="s">
        <v>612</v>
      </c>
      <c r="AB993" s="463" t="s">
        <v>539</v>
      </c>
      <c r="AC993" s="463" t="s">
        <v>539</v>
      </c>
      <c r="AD993" s="472" t="s">
        <v>565</v>
      </c>
      <c r="AE993" s="463" t="s">
        <v>620</v>
      </c>
      <c r="AF993" s="463">
        <v>85</v>
      </c>
      <c r="AG993" s="463" t="s">
        <v>376</v>
      </c>
      <c r="AH993" s="476"/>
      <c r="AI993" s="472" t="s">
        <v>2611</v>
      </c>
      <c r="AJ993" s="464"/>
    </row>
    <row r="994" spans="2:36" ht="24" hidden="1" customHeight="1">
      <c r="B994" s="463">
        <v>809</v>
      </c>
      <c r="C994" s="464" t="s">
        <v>377</v>
      </c>
      <c r="D994" s="464" t="s">
        <v>544</v>
      </c>
      <c r="E994" s="464" t="s">
        <v>602</v>
      </c>
      <c r="F994" s="464"/>
      <c r="G994" s="464" t="s">
        <v>419</v>
      </c>
      <c r="H994" s="464" t="s">
        <v>2612</v>
      </c>
      <c r="I994" s="466">
        <v>31480</v>
      </c>
      <c r="J994" s="465" t="s">
        <v>537</v>
      </c>
      <c r="K994" s="465" t="s">
        <v>537</v>
      </c>
      <c r="L994" s="466">
        <v>31160</v>
      </c>
      <c r="M994" s="465" t="s">
        <v>537</v>
      </c>
      <c r="N994" s="465" t="s">
        <v>537</v>
      </c>
      <c r="O994" s="463" t="s">
        <v>537</v>
      </c>
      <c r="P994" s="463" t="s">
        <v>537</v>
      </c>
      <c r="Q994" s="465">
        <v>320</v>
      </c>
      <c r="R994" s="470">
        <v>241579</v>
      </c>
      <c r="S994" s="463" t="s">
        <v>2603</v>
      </c>
      <c r="T994" s="463">
        <v>40</v>
      </c>
      <c r="U994" s="463">
        <v>6</v>
      </c>
      <c r="V994" s="463">
        <v>0</v>
      </c>
      <c r="W994" s="463">
        <v>20</v>
      </c>
      <c r="X994" s="463">
        <v>14</v>
      </c>
      <c r="Y994" s="463">
        <v>30</v>
      </c>
      <c r="Z994" s="463">
        <v>96.7</v>
      </c>
      <c r="AA994" s="472" t="s">
        <v>612</v>
      </c>
      <c r="AB994" s="463" t="s">
        <v>539</v>
      </c>
      <c r="AC994" s="463" t="s">
        <v>539</v>
      </c>
      <c r="AD994" s="472" t="s">
        <v>565</v>
      </c>
      <c r="AE994" s="463">
        <v>80</v>
      </c>
      <c r="AF994" s="463">
        <v>96.7</v>
      </c>
      <c r="AG994" s="463" t="s">
        <v>375</v>
      </c>
      <c r="AH994" s="476"/>
      <c r="AI994" s="472" t="s">
        <v>566</v>
      </c>
      <c r="AJ994" s="472" t="s">
        <v>537</v>
      </c>
    </row>
    <row r="995" spans="2:36" ht="24" hidden="1" customHeight="1">
      <c r="B995" s="463">
        <v>810</v>
      </c>
      <c r="C995" s="464" t="s">
        <v>377</v>
      </c>
      <c r="D995" s="464"/>
      <c r="E995" s="464" t="s">
        <v>602</v>
      </c>
      <c r="F995" s="464"/>
      <c r="G995" s="464" t="s">
        <v>419</v>
      </c>
      <c r="H995" s="464" t="s">
        <v>2613</v>
      </c>
      <c r="I995" s="465" t="s">
        <v>537</v>
      </c>
      <c r="J995" s="465" t="s">
        <v>537</v>
      </c>
      <c r="K995" s="466">
        <v>141300</v>
      </c>
      <c r="L995" s="465" t="s">
        <v>537</v>
      </c>
      <c r="M995" s="465" t="s">
        <v>537</v>
      </c>
      <c r="N995" s="466">
        <v>111700</v>
      </c>
      <c r="O995" s="463" t="s">
        <v>537</v>
      </c>
      <c r="P995" s="463" t="s">
        <v>537</v>
      </c>
      <c r="Q995" s="468">
        <v>29600</v>
      </c>
      <c r="R995" s="470">
        <v>241640</v>
      </c>
      <c r="S995" s="463" t="s">
        <v>2599</v>
      </c>
      <c r="T995" s="463">
        <v>48</v>
      </c>
      <c r="U995" s="463">
        <v>21</v>
      </c>
      <c r="V995" s="463">
        <v>10</v>
      </c>
      <c r="W995" s="463">
        <v>48</v>
      </c>
      <c r="X995" s="463">
        <v>23</v>
      </c>
      <c r="Y995" s="463">
        <v>10</v>
      </c>
      <c r="Z995" s="463">
        <v>85</v>
      </c>
      <c r="AA995" s="472" t="s">
        <v>2600</v>
      </c>
      <c r="AB995" s="463" t="s">
        <v>539</v>
      </c>
      <c r="AC995" s="463" t="s">
        <v>539</v>
      </c>
      <c r="AD995" s="472" t="s">
        <v>2601</v>
      </c>
      <c r="AE995" s="463" t="s">
        <v>539</v>
      </c>
      <c r="AF995" s="463">
        <v>85</v>
      </c>
      <c r="AG995" s="463" t="s">
        <v>376</v>
      </c>
      <c r="AH995" s="476"/>
      <c r="AI995" s="472" t="s">
        <v>2607</v>
      </c>
      <c r="AJ995" s="472" t="s">
        <v>543</v>
      </c>
    </row>
    <row r="996" spans="2:36" ht="24" hidden="1" customHeight="1">
      <c r="B996" s="463">
        <v>811</v>
      </c>
      <c r="C996" s="464" t="s">
        <v>377</v>
      </c>
      <c r="D996" s="464"/>
      <c r="E996" s="464" t="s">
        <v>602</v>
      </c>
      <c r="F996" s="464"/>
      <c r="G996" s="464" t="s">
        <v>49</v>
      </c>
      <c r="H996" s="464" t="s">
        <v>2614</v>
      </c>
      <c r="I996" s="465" t="s">
        <v>537</v>
      </c>
      <c r="J996" s="465" t="s">
        <v>537</v>
      </c>
      <c r="K996" s="466">
        <v>100000</v>
      </c>
      <c r="L996" s="465" t="s">
        <v>537</v>
      </c>
      <c r="M996" s="465" t="s">
        <v>537</v>
      </c>
      <c r="N996" s="466">
        <v>100000</v>
      </c>
      <c r="O996" s="463" t="s">
        <v>537</v>
      </c>
      <c r="P996" s="463" t="s">
        <v>537</v>
      </c>
      <c r="Q996" s="465">
        <v>0</v>
      </c>
      <c r="R996" s="470">
        <v>241671</v>
      </c>
      <c r="S996" s="463" t="s">
        <v>1100</v>
      </c>
      <c r="T996" s="463">
        <v>40</v>
      </c>
      <c r="U996" s="463">
        <v>10</v>
      </c>
      <c r="V996" s="463">
        <v>0</v>
      </c>
      <c r="W996" s="463">
        <v>42</v>
      </c>
      <c r="X996" s="463">
        <v>8</v>
      </c>
      <c r="Y996" s="463">
        <v>0</v>
      </c>
      <c r="Z996" s="463">
        <v>94</v>
      </c>
      <c r="AA996" s="472" t="s">
        <v>612</v>
      </c>
      <c r="AB996" s="463" t="s">
        <v>539</v>
      </c>
      <c r="AC996" s="463">
        <v>85</v>
      </c>
      <c r="AD996" s="472" t="s">
        <v>565</v>
      </c>
      <c r="AE996" s="463">
        <v>80</v>
      </c>
      <c r="AF996" s="463">
        <v>94</v>
      </c>
      <c r="AG996" s="463" t="s">
        <v>375</v>
      </c>
      <c r="AH996" s="476"/>
      <c r="AI996" s="472" t="s">
        <v>2615</v>
      </c>
      <c r="AJ996" s="472" t="s">
        <v>543</v>
      </c>
    </row>
    <row r="997" spans="2:36" ht="24" hidden="1" customHeight="1">
      <c r="B997" s="463">
        <v>812</v>
      </c>
      <c r="C997" s="464" t="s">
        <v>377</v>
      </c>
      <c r="D997" s="464"/>
      <c r="E997" s="464" t="s">
        <v>602</v>
      </c>
      <c r="F997" s="464"/>
      <c r="G997" s="464" t="s">
        <v>49</v>
      </c>
      <c r="H997" s="464" t="s">
        <v>2616</v>
      </c>
      <c r="I997" s="466">
        <v>40000</v>
      </c>
      <c r="J997" s="465" t="s">
        <v>537</v>
      </c>
      <c r="K997" s="465" t="s">
        <v>537</v>
      </c>
      <c r="L997" s="466">
        <v>40000</v>
      </c>
      <c r="M997" s="465" t="s">
        <v>537</v>
      </c>
      <c r="N997" s="465" t="s">
        <v>537</v>
      </c>
      <c r="O997" s="463" t="s">
        <v>537</v>
      </c>
      <c r="P997" s="463" t="s">
        <v>537</v>
      </c>
      <c r="Q997" s="465">
        <v>0</v>
      </c>
      <c r="R997" s="463" t="s">
        <v>1898</v>
      </c>
      <c r="S997" s="463" t="s">
        <v>2617</v>
      </c>
      <c r="T997" s="463">
        <v>20</v>
      </c>
      <c r="U997" s="463">
        <v>15</v>
      </c>
      <c r="V997" s="463">
        <v>25</v>
      </c>
      <c r="W997" s="463">
        <v>123</v>
      </c>
      <c r="X997" s="463">
        <v>40</v>
      </c>
      <c r="Y997" s="463">
        <v>41</v>
      </c>
      <c r="Z997" s="463">
        <v>89.34</v>
      </c>
      <c r="AA997" s="472" t="s">
        <v>612</v>
      </c>
      <c r="AB997" s="463" t="s">
        <v>539</v>
      </c>
      <c r="AC997" s="463" t="s">
        <v>539</v>
      </c>
      <c r="AD997" s="472" t="s">
        <v>565</v>
      </c>
      <c r="AE997" s="463">
        <v>80</v>
      </c>
      <c r="AF997" s="463">
        <v>89.18</v>
      </c>
      <c r="AG997" s="463" t="s">
        <v>375</v>
      </c>
      <c r="AH997" s="476"/>
      <c r="AI997" s="472" t="s">
        <v>2618</v>
      </c>
      <c r="AJ997" s="464"/>
    </row>
    <row r="998" spans="2:36" ht="24" hidden="1" customHeight="1">
      <c r="B998" s="463">
        <v>813</v>
      </c>
      <c r="C998" s="464" t="s">
        <v>377</v>
      </c>
      <c r="D998" s="464"/>
      <c r="E998" s="464" t="s">
        <v>602</v>
      </c>
      <c r="F998" s="464"/>
      <c r="G998" s="464" t="s">
        <v>49</v>
      </c>
      <c r="H998" s="464" t="s">
        <v>2619</v>
      </c>
      <c r="I998" s="466">
        <v>50000</v>
      </c>
      <c r="J998" s="465" t="s">
        <v>537</v>
      </c>
      <c r="K998" s="465" t="s">
        <v>537</v>
      </c>
      <c r="L998" s="466">
        <v>50000</v>
      </c>
      <c r="M998" s="465" t="s">
        <v>537</v>
      </c>
      <c r="N998" s="465" t="s">
        <v>537</v>
      </c>
      <c r="O998" s="463" t="s">
        <v>537</v>
      </c>
      <c r="P998" s="463" t="s">
        <v>537</v>
      </c>
      <c r="Q998" s="465">
        <v>0</v>
      </c>
      <c r="R998" s="470">
        <v>241459</v>
      </c>
      <c r="S998" s="471">
        <v>22337</v>
      </c>
      <c r="T998" s="463">
        <v>20</v>
      </c>
      <c r="U998" s="463">
        <v>15</v>
      </c>
      <c r="V998" s="463">
        <v>25</v>
      </c>
      <c r="W998" s="463">
        <v>20</v>
      </c>
      <c r="X998" s="463">
        <v>8</v>
      </c>
      <c r="Y998" s="463">
        <v>41</v>
      </c>
      <c r="Z998" s="463">
        <v>89.18</v>
      </c>
      <c r="AA998" s="472" t="s">
        <v>612</v>
      </c>
      <c r="AB998" s="463" t="s">
        <v>539</v>
      </c>
      <c r="AC998" s="463" t="s">
        <v>539</v>
      </c>
      <c r="AD998" s="472" t="s">
        <v>565</v>
      </c>
      <c r="AE998" s="463">
        <v>80</v>
      </c>
      <c r="AF998" s="463">
        <v>89.18</v>
      </c>
      <c r="AG998" s="463" t="s">
        <v>375</v>
      </c>
      <c r="AH998" s="476"/>
      <c r="AI998" s="472" t="s">
        <v>2620</v>
      </c>
      <c r="AJ998" s="464"/>
    </row>
    <row r="999" spans="2:36" ht="24" hidden="1" customHeight="1">
      <c r="B999" s="463">
        <v>814</v>
      </c>
      <c r="C999" s="464" t="s">
        <v>377</v>
      </c>
      <c r="D999" s="464"/>
      <c r="E999" s="464" t="s">
        <v>602</v>
      </c>
      <c r="F999" s="464"/>
      <c r="G999" s="464" t="s">
        <v>49</v>
      </c>
      <c r="H999" s="464" t="s">
        <v>2621</v>
      </c>
      <c r="I999" s="465" t="s">
        <v>537</v>
      </c>
      <c r="J999" s="466">
        <v>130000</v>
      </c>
      <c r="K999" s="465" t="s">
        <v>537</v>
      </c>
      <c r="L999" s="465" t="s">
        <v>537</v>
      </c>
      <c r="M999" s="466">
        <v>130000</v>
      </c>
      <c r="N999" s="465" t="s">
        <v>537</v>
      </c>
      <c r="O999" s="463" t="s">
        <v>537</v>
      </c>
      <c r="P999" s="463" t="s">
        <v>537</v>
      </c>
      <c r="Q999" s="465">
        <v>0</v>
      </c>
      <c r="R999" s="470">
        <v>241579</v>
      </c>
      <c r="S999" s="463" t="s">
        <v>988</v>
      </c>
      <c r="T999" s="463">
        <v>480</v>
      </c>
      <c r="U999" s="463">
        <v>30</v>
      </c>
      <c r="V999" s="463">
        <v>320</v>
      </c>
      <c r="W999" s="463">
        <v>468</v>
      </c>
      <c r="X999" s="463">
        <v>45</v>
      </c>
      <c r="Y999" s="463">
        <v>368</v>
      </c>
      <c r="Z999" s="463">
        <v>84.98</v>
      </c>
      <c r="AA999" s="472" t="s">
        <v>612</v>
      </c>
      <c r="AB999" s="463" t="s">
        <v>539</v>
      </c>
      <c r="AC999" s="463" t="s">
        <v>539</v>
      </c>
      <c r="AD999" s="472" t="s">
        <v>565</v>
      </c>
      <c r="AE999" s="463">
        <v>80</v>
      </c>
      <c r="AF999" s="463">
        <v>80.290000000000006</v>
      </c>
      <c r="AG999" s="463" t="s">
        <v>375</v>
      </c>
      <c r="AH999" s="476"/>
      <c r="AI999" s="472" t="s">
        <v>2618</v>
      </c>
      <c r="AJ999" s="464"/>
    </row>
    <row r="1000" spans="2:36" ht="24" hidden="1" customHeight="1">
      <c r="B1000" s="463">
        <v>815</v>
      </c>
      <c r="C1000" s="464" t="s">
        <v>534</v>
      </c>
      <c r="D1000" s="464"/>
      <c r="E1000" s="464" t="s">
        <v>535</v>
      </c>
      <c r="F1000" s="464"/>
      <c r="G1000" s="464" t="s">
        <v>49</v>
      </c>
      <c r="H1000" s="464" t="s">
        <v>2622</v>
      </c>
      <c r="I1000" s="466">
        <v>50000</v>
      </c>
      <c r="J1000" s="465" t="s">
        <v>537</v>
      </c>
      <c r="K1000" s="465" t="s">
        <v>537</v>
      </c>
      <c r="L1000" s="466">
        <v>49751</v>
      </c>
      <c r="M1000" s="465" t="s">
        <v>537</v>
      </c>
      <c r="N1000" s="465" t="s">
        <v>537</v>
      </c>
      <c r="O1000" s="463" t="s">
        <v>537</v>
      </c>
      <c r="P1000" s="463" t="s">
        <v>537</v>
      </c>
      <c r="Q1000" s="465">
        <v>249</v>
      </c>
      <c r="R1000" s="470">
        <v>241487</v>
      </c>
      <c r="S1000" s="463" t="s">
        <v>2623</v>
      </c>
      <c r="T1000" s="463">
        <v>1</v>
      </c>
      <c r="U1000" s="463">
        <v>2</v>
      </c>
      <c r="V1000" s="463">
        <v>0</v>
      </c>
      <c r="W1000" s="463">
        <v>2</v>
      </c>
      <c r="X1000" s="463">
        <v>2</v>
      </c>
      <c r="Y1000" s="463">
        <v>0</v>
      </c>
      <c r="Z1000" s="463">
        <v>97.05</v>
      </c>
      <c r="AA1000" s="472" t="s">
        <v>2624</v>
      </c>
      <c r="AB1000" s="463">
        <v>1</v>
      </c>
      <c r="AC1000" s="463">
        <v>0</v>
      </c>
      <c r="AD1000" s="472" t="s">
        <v>651</v>
      </c>
      <c r="AE1000" s="463">
        <v>1</v>
      </c>
      <c r="AF1000" s="463">
        <v>4</v>
      </c>
      <c r="AG1000" s="463" t="s">
        <v>375</v>
      </c>
      <c r="AH1000" s="476"/>
      <c r="AI1000" s="472" t="s">
        <v>2625</v>
      </c>
      <c r="AJ1000" s="464"/>
    </row>
    <row r="1001" spans="2:36" ht="24" hidden="1" customHeight="1">
      <c r="B1001" s="463">
        <v>816</v>
      </c>
      <c r="C1001" s="464" t="s">
        <v>534</v>
      </c>
      <c r="D1001" s="464"/>
      <c r="E1001" s="464" t="s">
        <v>535</v>
      </c>
      <c r="F1001" s="464"/>
      <c r="G1001" s="464" t="s">
        <v>49</v>
      </c>
      <c r="H1001" s="464" t="s">
        <v>2626</v>
      </c>
      <c r="I1001" s="466">
        <v>50000</v>
      </c>
      <c r="J1001" s="465" t="s">
        <v>537</v>
      </c>
      <c r="K1001" s="465" t="s">
        <v>537</v>
      </c>
      <c r="L1001" s="466">
        <v>43390</v>
      </c>
      <c r="M1001" s="465" t="s">
        <v>537</v>
      </c>
      <c r="N1001" s="465" t="s">
        <v>537</v>
      </c>
      <c r="O1001" s="463" t="s">
        <v>537</v>
      </c>
      <c r="P1001" s="463" t="s">
        <v>537</v>
      </c>
      <c r="Q1001" s="468">
        <v>6610</v>
      </c>
      <c r="R1001" s="470">
        <v>241609</v>
      </c>
      <c r="S1001" s="463" t="s">
        <v>2627</v>
      </c>
      <c r="T1001" s="463">
        <v>10</v>
      </c>
      <c r="U1001" s="463">
        <v>2</v>
      </c>
      <c r="V1001" s="463">
        <v>0</v>
      </c>
      <c r="W1001" s="463">
        <v>5</v>
      </c>
      <c r="X1001" s="463">
        <v>2</v>
      </c>
      <c r="Y1001" s="463">
        <v>0</v>
      </c>
      <c r="Z1001" s="463">
        <v>92.82</v>
      </c>
      <c r="AA1001" s="472" t="s">
        <v>2624</v>
      </c>
      <c r="AB1001" s="463">
        <v>1</v>
      </c>
      <c r="AC1001" s="463">
        <v>1</v>
      </c>
      <c r="AD1001" s="472" t="s">
        <v>651</v>
      </c>
      <c r="AE1001" s="463">
        <v>1</v>
      </c>
      <c r="AF1001" s="463">
        <v>1</v>
      </c>
      <c r="AG1001" s="463" t="s">
        <v>375</v>
      </c>
      <c r="AH1001" s="476"/>
      <c r="AI1001" s="472" t="s">
        <v>2628</v>
      </c>
      <c r="AJ1001" s="464"/>
    </row>
    <row r="1002" spans="2:36" ht="24" hidden="1" customHeight="1">
      <c r="B1002" s="463">
        <v>817</v>
      </c>
      <c r="C1002" s="464" t="s">
        <v>165</v>
      </c>
      <c r="D1002" s="464"/>
      <c r="E1002" s="464" t="s">
        <v>535</v>
      </c>
      <c r="F1002" s="464"/>
      <c r="G1002" s="464" t="s">
        <v>49</v>
      </c>
      <c r="H1002" s="464" t="s">
        <v>2629</v>
      </c>
      <c r="I1002" s="465" t="s">
        <v>537</v>
      </c>
      <c r="J1002" s="466">
        <v>54000</v>
      </c>
      <c r="K1002" s="465" t="s">
        <v>537</v>
      </c>
      <c r="L1002" s="465" t="s">
        <v>537</v>
      </c>
      <c r="M1002" s="466">
        <v>34104</v>
      </c>
      <c r="N1002" s="465" t="s">
        <v>537</v>
      </c>
      <c r="O1002" s="463" t="s">
        <v>537</v>
      </c>
      <c r="P1002" s="463" t="s">
        <v>537</v>
      </c>
      <c r="Q1002" s="468">
        <v>19896</v>
      </c>
      <c r="R1002" s="470">
        <v>241671</v>
      </c>
      <c r="S1002" s="463" t="s">
        <v>2630</v>
      </c>
      <c r="T1002" s="463">
        <v>76</v>
      </c>
      <c r="U1002" s="463">
        <v>4</v>
      </c>
      <c r="V1002" s="463">
        <v>0</v>
      </c>
      <c r="W1002" s="463">
        <v>74</v>
      </c>
      <c r="X1002" s="463">
        <v>4</v>
      </c>
      <c r="Y1002" s="463">
        <v>0</v>
      </c>
      <c r="Z1002" s="463">
        <v>89.5</v>
      </c>
      <c r="AA1002" s="472" t="s">
        <v>633</v>
      </c>
      <c r="AB1002" s="463" t="s">
        <v>539</v>
      </c>
      <c r="AC1002" s="463" t="s">
        <v>539</v>
      </c>
      <c r="AD1002" s="472" t="s">
        <v>635</v>
      </c>
      <c r="AE1002" s="463" t="s">
        <v>539</v>
      </c>
      <c r="AF1002" s="463" t="s">
        <v>539</v>
      </c>
      <c r="AG1002" s="463" t="s">
        <v>375</v>
      </c>
      <c r="AH1002" s="476"/>
      <c r="AI1002" s="472" t="s">
        <v>2631</v>
      </c>
      <c r="AJ1002" s="464"/>
    </row>
    <row r="1003" spans="2:36" ht="24" hidden="1" customHeight="1">
      <c r="B1003" s="463">
        <v>818</v>
      </c>
      <c r="C1003" s="464" t="s">
        <v>534</v>
      </c>
      <c r="D1003" s="464"/>
      <c r="E1003" s="464" t="s">
        <v>535</v>
      </c>
      <c r="F1003" s="464"/>
      <c r="G1003" s="464" t="s">
        <v>49</v>
      </c>
      <c r="H1003" s="464" t="s">
        <v>2632</v>
      </c>
      <c r="I1003" s="465" t="s">
        <v>537</v>
      </c>
      <c r="J1003" s="465" t="s">
        <v>537</v>
      </c>
      <c r="K1003" s="466">
        <v>16000</v>
      </c>
      <c r="L1003" s="465" t="s">
        <v>537</v>
      </c>
      <c r="M1003" s="465" t="s">
        <v>537</v>
      </c>
      <c r="N1003" s="466">
        <v>13240</v>
      </c>
      <c r="O1003" s="463" t="s">
        <v>537</v>
      </c>
      <c r="P1003" s="463" t="s">
        <v>537</v>
      </c>
      <c r="Q1003" s="468">
        <v>2760</v>
      </c>
      <c r="R1003" s="463" t="s">
        <v>646</v>
      </c>
      <c r="S1003" s="463" t="s">
        <v>2633</v>
      </c>
      <c r="T1003" s="463">
        <v>37</v>
      </c>
      <c r="U1003" s="463">
        <v>12</v>
      </c>
      <c r="V1003" s="463">
        <v>2</v>
      </c>
      <c r="W1003" s="463">
        <v>37</v>
      </c>
      <c r="X1003" s="463">
        <v>12</v>
      </c>
      <c r="Y1003" s="463">
        <v>2</v>
      </c>
      <c r="Z1003" s="463">
        <v>89.8</v>
      </c>
      <c r="AA1003" s="472" t="s">
        <v>2634</v>
      </c>
      <c r="AB1003" s="463" t="s">
        <v>539</v>
      </c>
      <c r="AC1003" s="463" t="s">
        <v>539</v>
      </c>
      <c r="AD1003" s="472" t="s">
        <v>548</v>
      </c>
      <c r="AE1003" s="463">
        <v>80</v>
      </c>
      <c r="AF1003" s="463">
        <v>93.43</v>
      </c>
      <c r="AG1003" s="463" t="s">
        <v>375</v>
      </c>
      <c r="AH1003" s="476"/>
      <c r="AI1003" s="464"/>
      <c r="AJ1003" s="472" t="s">
        <v>543</v>
      </c>
    </row>
    <row r="1004" spans="2:36" ht="24" hidden="1" customHeight="1">
      <c r="B1004" s="463">
        <v>819</v>
      </c>
      <c r="C1004" s="464" t="s">
        <v>534</v>
      </c>
      <c r="D1004" s="464"/>
      <c r="E1004" s="464" t="s">
        <v>535</v>
      </c>
      <c r="F1004" s="464"/>
      <c r="G1004" s="464" t="s">
        <v>49</v>
      </c>
      <c r="H1004" s="464" t="s">
        <v>2635</v>
      </c>
      <c r="I1004" s="465" t="s">
        <v>537</v>
      </c>
      <c r="J1004" s="465" t="s">
        <v>537</v>
      </c>
      <c r="K1004" s="466">
        <v>16000</v>
      </c>
      <c r="L1004" s="465" t="s">
        <v>537</v>
      </c>
      <c r="M1004" s="465" t="s">
        <v>537</v>
      </c>
      <c r="N1004" s="466">
        <v>12052.55</v>
      </c>
      <c r="O1004" s="463" t="s">
        <v>537</v>
      </c>
      <c r="P1004" s="463" t="s">
        <v>537</v>
      </c>
      <c r="Q1004" s="468">
        <v>3947</v>
      </c>
      <c r="R1004" s="470">
        <v>241459</v>
      </c>
      <c r="S1004" s="463" t="s">
        <v>2636</v>
      </c>
      <c r="T1004" s="463">
        <v>25</v>
      </c>
      <c r="U1004" s="463">
        <v>12</v>
      </c>
      <c r="V1004" s="463">
        <v>2</v>
      </c>
      <c r="W1004" s="463">
        <v>19</v>
      </c>
      <c r="X1004" s="463">
        <v>7</v>
      </c>
      <c r="Y1004" s="463">
        <v>2</v>
      </c>
      <c r="Z1004" s="463">
        <v>90.42</v>
      </c>
      <c r="AA1004" s="472" t="s">
        <v>547</v>
      </c>
      <c r="AB1004" s="463" t="s">
        <v>539</v>
      </c>
      <c r="AC1004" s="463" t="s">
        <v>539</v>
      </c>
      <c r="AD1004" s="472" t="s">
        <v>1075</v>
      </c>
      <c r="AE1004" s="463">
        <v>80</v>
      </c>
      <c r="AF1004" s="463">
        <v>91.67</v>
      </c>
      <c r="AG1004" s="463" t="s">
        <v>375</v>
      </c>
      <c r="AH1004" s="476"/>
      <c r="AI1004" s="472" t="s">
        <v>2637</v>
      </c>
      <c r="AJ1004" s="472" t="s">
        <v>543</v>
      </c>
    </row>
    <row r="1005" spans="2:36" ht="24" hidden="1" customHeight="1">
      <c r="B1005" s="463">
        <v>820</v>
      </c>
      <c r="C1005" s="464" t="s">
        <v>534</v>
      </c>
      <c r="D1005" s="464"/>
      <c r="E1005" s="464" t="s">
        <v>535</v>
      </c>
      <c r="F1005" s="464"/>
      <c r="G1005" s="464" t="s">
        <v>49</v>
      </c>
      <c r="H1005" s="464" t="s">
        <v>2638</v>
      </c>
      <c r="I1005" s="465" t="s">
        <v>537</v>
      </c>
      <c r="J1005" s="465" t="s">
        <v>537</v>
      </c>
      <c r="K1005" s="466">
        <v>28400</v>
      </c>
      <c r="L1005" s="465" t="s">
        <v>537</v>
      </c>
      <c r="M1005" s="465" t="s">
        <v>537</v>
      </c>
      <c r="N1005" s="466">
        <v>26250</v>
      </c>
      <c r="O1005" s="463" t="s">
        <v>537</v>
      </c>
      <c r="P1005" s="463" t="s">
        <v>537</v>
      </c>
      <c r="Q1005" s="468">
        <v>2150</v>
      </c>
      <c r="R1005" s="470">
        <v>241397</v>
      </c>
      <c r="S1005" s="471">
        <v>22264</v>
      </c>
      <c r="T1005" s="463">
        <v>54</v>
      </c>
      <c r="U1005" s="463">
        <v>16</v>
      </c>
      <c r="V1005" s="463">
        <v>0</v>
      </c>
      <c r="W1005" s="463">
        <v>58</v>
      </c>
      <c r="X1005" s="463">
        <v>7</v>
      </c>
      <c r="Y1005" s="463">
        <v>10</v>
      </c>
      <c r="Z1005" s="463">
        <v>94</v>
      </c>
      <c r="AA1005" s="472" t="s">
        <v>2639</v>
      </c>
      <c r="AB1005" s="463">
        <v>80</v>
      </c>
      <c r="AC1005" s="463">
        <v>95</v>
      </c>
      <c r="AD1005" s="472" t="s">
        <v>565</v>
      </c>
      <c r="AE1005" s="463">
        <v>80</v>
      </c>
      <c r="AF1005" s="463">
        <v>95</v>
      </c>
      <c r="AG1005" s="463" t="s">
        <v>375</v>
      </c>
      <c r="AH1005" s="476"/>
      <c r="AI1005" s="472" t="s">
        <v>2640</v>
      </c>
      <c r="AJ1005" s="472" t="s">
        <v>543</v>
      </c>
    </row>
    <row r="1006" spans="2:36" ht="24" hidden="1" customHeight="1">
      <c r="B1006" s="463">
        <v>821</v>
      </c>
      <c r="C1006" s="464" t="s">
        <v>534</v>
      </c>
      <c r="D1006" s="464"/>
      <c r="E1006" s="464" t="s">
        <v>535</v>
      </c>
      <c r="F1006" s="464"/>
      <c r="G1006" s="464" t="s">
        <v>49</v>
      </c>
      <c r="H1006" s="464" t="s">
        <v>2641</v>
      </c>
      <c r="I1006" s="466">
        <v>150000</v>
      </c>
      <c r="J1006" s="465" t="s">
        <v>537</v>
      </c>
      <c r="K1006" s="465" t="s">
        <v>537</v>
      </c>
      <c r="L1006" s="466">
        <v>150000</v>
      </c>
      <c r="M1006" s="465" t="s">
        <v>537</v>
      </c>
      <c r="N1006" s="465" t="s">
        <v>537</v>
      </c>
      <c r="O1006" s="463" t="s">
        <v>537</v>
      </c>
      <c r="P1006" s="463" t="s">
        <v>537</v>
      </c>
      <c r="Q1006" s="465">
        <v>0</v>
      </c>
      <c r="R1006" s="470">
        <v>241487</v>
      </c>
      <c r="S1006" s="463" t="s">
        <v>1466</v>
      </c>
      <c r="T1006" s="463">
        <v>230</v>
      </c>
      <c r="U1006" s="463">
        <v>40</v>
      </c>
      <c r="V1006" s="463">
        <v>10</v>
      </c>
      <c r="W1006" s="463">
        <v>280</v>
      </c>
      <c r="X1006" s="463">
        <v>90</v>
      </c>
      <c r="Y1006" s="463">
        <v>30</v>
      </c>
      <c r="Z1006" s="463">
        <v>84.52</v>
      </c>
      <c r="AA1006" s="472" t="s">
        <v>2624</v>
      </c>
      <c r="AB1006" s="463">
        <v>1</v>
      </c>
      <c r="AC1006" s="463">
        <v>4</v>
      </c>
      <c r="AD1006" s="472" t="s">
        <v>651</v>
      </c>
      <c r="AE1006" s="463">
        <v>1</v>
      </c>
      <c r="AF1006" s="463">
        <v>15</v>
      </c>
      <c r="AG1006" s="463" t="s">
        <v>375</v>
      </c>
      <c r="AH1006" s="476"/>
      <c r="AI1006" s="472" t="s">
        <v>2615</v>
      </c>
      <c r="AJ1006" s="464"/>
    </row>
    <row r="1007" spans="2:36" ht="24" hidden="1" customHeight="1">
      <c r="B1007" s="463">
        <v>822</v>
      </c>
      <c r="C1007" s="464" t="s">
        <v>534</v>
      </c>
      <c r="D1007" s="464"/>
      <c r="E1007" s="464" t="s">
        <v>535</v>
      </c>
      <c r="F1007" s="464"/>
      <c r="G1007" s="464" t="s">
        <v>49</v>
      </c>
      <c r="H1007" s="464" t="s">
        <v>636</v>
      </c>
      <c r="I1007" s="466">
        <v>200000</v>
      </c>
      <c r="J1007" s="465" t="s">
        <v>537</v>
      </c>
      <c r="K1007" s="465" t="s">
        <v>537</v>
      </c>
      <c r="L1007" s="466">
        <v>179280</v>
      </c>
      <c r="M1007" s="465" t="s">
        <v>537</v>
      </c>
      <c r="N1007" s="465" t="s">
        <v>537</v>
      </c>
      <c r="O1007" s="463" t="s">
        <v>537</v>
      </c>
      <c r="P1007" s="463" t="s">
        <v>537</v>
      </c>
      <c r="Q1007" s="468">
        <v>20720</v>
      </c>
      <c r="R1007" s="470">
        <v>241609</v>
      </c>
      <c r="S1007" s="463" t="s">
        <v>637</v>
      </c>
      <c r="T1007" s="463">
        <v>130</v>
      </c>
      <c r="U1007" s="463">
        <v>0</v>
      </c>
      <c r="V1007" s="463">
        <v>0</v>
      </c>
      <c r="W1007" s="463">
        <v>160</v>
      </c>
      <c r="X1007" s="463">
        <v>40</v>
      </c>
      <c r="Y1007" s="463">
        <v>0</v>
      </c>
      <c r="Z1007" s="463">
        <v>84.34</v>
      </c>
      <c r="AA1007" s="472" t="s">
        <v>2624</v>
      </c>
      <c r="AB1007" s="463">
        <v>1</v>
      </c>
      <c r="AC1007" s="463">
        <v>1</v>
      </c>
      <c r="AD1007" s="472" t="s">
        <v>651</v>
      </c>
      <c r="AE1007" s="463">
        <v>1</v>
      </c>
      <c r="AF1007" s="463">
        <v>1</v>
      </c>
      <c r="AG1007" s="463" t="s">
        <v>375</v>
      </c>
      <c r="AH1007" s="476"/>
      <c r="AI1007" s="472" t="s">
        <v>2618</v>
      </c>
      <c r="AJ1007" s="464"/>
    </row>
    <row r="1008" spans="2:36" ht="24" hidden="1" customHeight="1">
      <c r="B1008" s="463">
        <v>823</v>
      </c>
      <c r="C1008" s="464" t="s">
        <v>534</v>
      </c>
      <c r="D1008" s="464"/>
      <c r="E1008" s="464" t="s">
        <v>535</v>
      </c>
      <c r="F1008" s="464"/>
      <c r="G1008" s="464" t="s">
        <v>49</v>
      </c>
      <c r="H1008" s="464" t="s">
        <v>1008</v>
      </c>
      <c r="I1008" s="465" t="s">
        <v>537</v>
      </c>
      <c r="J1008" s="465" t="s">
        <v>537</v>
      </c>
      <c r="K1008" s="466">
        <v>200000</v>
      </c>
      <c r="L1008" s="465" t="s">
        <v>537</v>
      </c>
      <c r="M1008" s="465" t="s">
        <v>537</v>
      </c>
      <c r="N1008" s="466">
        <v>147940</v>
      </c>
      <c r="O1008" s="463" t="s">
        <v>537</v>
      </c>
      <c r="P1008" s="463" t="s">
        <v>537</v>
      </c>
      <c r="Q1008" s="468">
        <v>52060</v>
      </c>
      <c r="R1008" s="470">
        <v>241428</v>
      </c>
      <c r="S1008" s="463" t="s">
        <v>623</v>
      </c>
      <c r="T1008" s="463">
        <v>40</v>
      </c>
      <c r="U1008" s="463">
        <v>10</v>
      </c>
      <c r="V1008" s="463">
        <v>0</v>
      </c>
      <c r="W1008" s="463">
        <v>26</v>
      </c>
      <c r="X1008" s="463">
        <v>24</v>
      </c>
      <c r="Y1008" s="463">
        <v>0</v>
      </c>
      <c r="Z1008" s="463">
        <v>85.6</v>
      </c>
      <c r="AA1008" s="472" t="s">
        <v>624</v>
      </c>
      <c r="AB1008" s="463" t="s">
        <v>539</v>
      </c>
      <c r="AC1008" s="463" t="s">
        <v>539</v>
      </c>
      <c r="AD1008" s="472" t="s">
        <v>675</v>
      </c>
      <c r="AE1008" s="463">
        <v>80</v>
      </c>
      <c r="AF1008" s="463">
        <v>85.6</v>
      </c>
      <c r="AG1008" s="463" t="s">
        <v>375</v>
      </c>
      <c r="AH1008" s="476"/>
      <c r="AI1008" s="472" t="s">
        <v>2642</v>
      </c>
      <c r="AJ1008" s="472" t="s">
        <v>543</v>
      </c>
    </row>
    <row r="1009" spans="2:36" ht="24" hidden="1" customHeight="1">
      <c r="B1009" s="463">
        <v>824</v>
      </c>
      <c r="C1009" s="464" t="s">
        <v>165</v>
      </c>
      <c r="D1009" s="464"/>
      <c r="E1009" s="464" t="s">
        <v>535</v>
      </c>
      <c r="F1009" s="464"/>
      <c r="G1009" s="464" t="s">
        <v>49</v>
      </c>
      <c r="H1009" s="464" t="s">
        <v>2643</v>
      </c>
      <c r="I1009" s="466">
        <v>19410</v>
      </c>
      <c r="J1009" s="465" t="s">
        <v>537</v>
      </c>
      <c r="K1009" s="465" t="s">
        <v>537</v>
      </c>
      <c r="L1009" s="466">
        <v>19353</v>
      </c>
      <c r="M1009" s="465" t="s">
        <v>537</v>
      </c>
      <c r="N1009" s="465" t="s">
        <v>537</v>
      </c>
      <c r="O1009" s="463" t="s">
        <v>537</v>
      </c>
      <c r="P1009" s="463" t="s">
        <v>537</v>
      </c>
      <c r="Q1009" s="465">
        <v>57</v>
      </c>
      <c r="R1009" s="470">
        <v>241428</v>
      </c>
      <c r="S1009" s="471">
        <v>22305</v>
      </c>
      <c r="T1009" s="463">
        <v>60</v>
      </c>
      <c r="U1009" s="463">
        <v>5</v>
      </c>
      <c r="V1009" s="463">
        <v>2</v>
      </c>
      <c r="W1009" s="463">
        <v>69</v>
      </c>
      <c r="X1009" s="463">
        <v>5</v>
      </c>
      <c r="Y1009" s="463">
        <v>2</v>
      </c>
      <c r="Z1009" s="463">
        <v>89</v>
      </c>
      <c r="AA1009" s="472" t="s">
        <v>2644</v>
      </c>
      <c r="AB1009" s="463" t="s">
        <v>539</v>
      </c>
      <c r="AC1009" s="463" t="s">
        <v>539</v>
      </c>
      <c r="AD1009" s="472" t="s">
        <v>606</v>
      </c>
      <c r="AE1009" s="463">
        <v>80</v>
      </c>
      <c r="AF1009" s="463">
        <v>89</v>
      </c>
      <c r="AG1009" s="463" t="s">
        <v>375</v>
      </c>
      <c r="AH1009" s="476"/>
      <c r="AI1009" s="472" t="s">
        <v>2645</v>
      </c>
      <c r="AJ1009" s="464"/>
    </row>
    <row r="1010" spans="2:36" ht="24" hidden="1" customHeight="1">
      <c r="B1010" s="463">
        <v>825</v>
      </c>
      <c r="C1010" s="464" t="s">
        <v>165</v>
      </c>
      <c r="D1010" s="464"/>
      <c r="E1010" s="464" t="s">
        <v>535</v>
      </c>
      <c r="F1010" s="464"/>
      <c r="G1010" s="464" t="s">
        <v>49</v>
      </c>
      <c r="H1010" s="464" t="s">
        <v>2646</v>
      </c>
      <c r="I1010" s="466">
        <v>79500</v>
      </c>
      <c r="J1010" s="465" t="s">
        <v>537</v>
      </c>
      <c r="K1010" s="465" t="s">
        <v>537</v>
      </c>
      <c r="L1010" s="466">
        <v>38490</v>
      </c>
      <c r="M1010" s="465" t="s">
        <v>537</v>
      </c>
      <c r="N1010" s="465" t="s">
        <v>537</v>
      </c>
      <c r="O1010" s="463" t="s">
        <v>537</v>
      </c>
      <c r="P1010" s="463" t="s">
        <v>537</v>
      </c>
      <c r="Q1010" s="468">
        <v>41010</v>
      </c>
      <c r="R1010" s="470">
        <v>241487</v>
      </c>
      <c r="S1010" s="471">
        <v>22362</v>
      </c>
      <c r="T1010" s="463">
        <v>200</v>
      </c>
      <c r="U1010" s="463">
        <v>0</v>
      </c>
      <c r="V1010" s="463">
        <v>100</v>
      </c>
      <c r="W1010" s="463">
        <v>365</v>
      </c>
      <c r="X1010" s="463">
        <v>0</v>
      </c>
      <c r="Y1010" s="463">
        <v>0</v>
      </c>
      <c r="Z1010" s="463">
        <v>92.5</v>
      </c>
      <c r="AA1010" s="472" t="s">
        <v>1907</v>
      </c>
      <c r="AB1010" s="463" t="s">
        <v>539</v>
      </c>
      <c r="AC1010" s="463" t="s">
        <v>539</v>
      </c>
      <c r="AD1010" s="472" t="s">
        <v>606</v>
      </c>
      <c r="AE1010" s="463">
        <v>80</v>
      </c>
      <c r="AF1010" s="463">
        <v>90</v>
      </c>
      <c r="AG1010" s="463" t="s">
        <v>375</v>
      </c>
      <c r="AH1010" s="476"/>
      <c r="AI1010" s="472" t="s">
        <v>2645</v>
      </c>
      <c r="AJ1010" s="464"/>
    </row>
    <row r="1011" spans="2:36" ht="24" hidden="1" customHeight="1">
      <c r="B1011" s="463">
        <v>826</v>
      </c>
      <c r="C1011" s="464" t="s">
        <v>165</v>
      </c>
      <c r="D1011" s="464"/>
      <c r="E1011" s="464" t="s">
        <v>535</v>
      </c>
      <c r="F1011" s="464"/>
      <c r="G1011" s="464" t="s">
        <v>49</v>
      </c>
      <c r="H1011" s="464" t="s">
        <v>2647</v>
      </c>
      <c r="I1011" s="466">
        <v>22020</v>
      </c>
      <c r="J1011" s="465" t="s">
        <v>537</v>
      </c>
      <c r="K1011" s="465" t="s">
        <v>537</v>
      </c>
      <c r="L1011" s="466">
        <v>22020</v>
      </c>
      <c r="M1011" s="465" t="s">
        <v>537</v>
      </c>
      <c r="N1011" s="465" t="s">
        <v>537</v>
      </c>
      <c r="O1011" s="463" t="s">
        <v>537</v>
      </c>
      <c r="P1011" s="463" t="s">
        <v>537</v>
      </c>
      <c r="Q1011" s="465">
        <v>0</v>
      </c>
      <c r="R1011" s="470">
        <v>241518</v>
      </c>
      <c r="S1011" s="471">
        <v>22395</v>
      </c>
      <c r="T1011" s="463">
        <v>0</v>
      </c>
      <c r="U1011" s="463">
        <v>9</v>
      </c>
      <c r="V1011" s="463">
        <v>54</v>
      </c>
      <c r="W1011" s="463">
        <v>75</v>
      </c>
      <c r="X1011" s="463">
        <v>9</v>
      </c>
      <c r="Y1011" s="463">
        <v>4</v>
      </c>
      <c r="Z1011" s="463">
        <v>96.2</v>
      </c>
      <c r="AA1011" s="472" t="s">
        <v>2648</v>
      </c>
      <c r="AB1011" s="463" t="s">
        <v>539</v>
      </c>
      <c r="AC1011" s="463" t="s">
        <v>539</v>
      </c>
      <c r="AD1011" s="472" t="s">
        <v>565</v>
      </c>
      <c r="AE1011" s="463">
        <v>80</v>
      </c>
      <c r="AF1011" s="463">
        <v>96.8</v>
      </c>
      <c r="AG1011" s="463" t="s">
        <v>375</v>
      </c>
      <c r="AH1011" s="476"/>
      <c r="AI1011" s="472" t="s">
        <v>2645</v>
      </c>
      <c r="AJ1011" s="464"/>
    </row>
    <row r="1012" spans="2:36" ht="24" hidden="1" customHeight="1">
      <c r="B1012" s="463">
        <v>827</v>
      </c>
      <c r="C1012" s="464" t="s">
        <v>165</v>
      </c>
      <c r="D1012" s="464"/>
      <c r="E1012" s="464" t="s">
        <v>535</v>
      </c>
      <c r="F1012" s="464"/>
      <c r="G1012" s="464" t="s">
        <v>49</v>
      </c>
      <c r="H1012" s="464" t="s">
        <v>2649</v>
      </c>
      <c r="I1012" s="466">
        <v>25500</v>
      </c>
      <c r="J1012" s="465" t="s">
        <v>537</v>
      </c>
      <c r="K1012" s="465" t="s">
        <v>537</v>
      </c>
      <c r="L1012" s="466">
        <v>25500</v>
      </c>
      <c r="M1012" s="465" t="s">
        <v>537</v>
      </c>
      <c r="N1012" s="465" t="s">
        <v>537</v>
      </c>
      <c r="O1012" s="463" t="s">
        <v>537</v>
      </c>
      <c r="P1012" s="463" t="s">
        <v>537</v>
      </c>
      <c r="Q1012" s="465">
        <v>0</v>
      </c>
      <c r="R1012" s="470">
        <v>241609</v>
      </c>
      <c r="S1012" s="463" t="s">
        <v>2650</v>
      </c>
      <c r="T1012" s="463">
        <v>50</v>
      </c>
      <c r="U1012" s="463">
        <v>0</v>
      </c>
      <c r="V1012" s="463">
        <v>0</v>
      </c>
      <c r="W1012" s="463">
        <v>55</v>
      </c>
      <c r="X1012" s="463">
        <v>0</v>
      </c>
      <c r="Y1012" s="463">
        <v>0</v>
      </c>
      <c r="Z1012" s="463">
        <v>88.6</v>
      </c>
      <c r="AA1012" s="472" t="s">
        <v>2651</v>
      </c>
      <c r="AB1012" s="463" t="s">
        <v>539</v>
      </c>
      <c r="AC1012" s="463" t="s">
        <v>539</v>
      </c>
      <c r="AD1012" s="472" t="s">
        <v>606</v>
      </c>
      <c r="AE1012" s="463">
        <v>80</v>
      </c>
      <c r="AF1012" s="463">
        <v>87.6</v>
      </c>
      <c r="AG1012" s="463" t="s">
        <v>375</v>
      </c>
      <c r="AH1012" s="476"/>
      <c r="AI1012" s="472" t="s">
        <v>2645</v>
      </c>
      <c r="AJ1012" s="464"/>
    </row>
    <row r="1013" spans="2:36" ht="24" hidden="1" customHeight="1">
      <c r="B1013" s="463">
        <v>828</v>
      </c>
      <c r="C1013" s="464" t="s">
        <v>165</v>
      </c>
      <c r="D1013" s="464"/>
      <c r="E1013" s="464" t="s">
        <v>535</v>
      </c>
      <c r="F1013" s="464"/>
      <c r="G1013" s="464" t="s">
        <v>49</v>
      </c>
      <c r="H1013" s="464" t="s">
        <v>2652</v>
      </c>
      <c r="I1013" s="466">
        <v>43180</v>
      </c>
      <c r="J1013" s="465" t="s">
        <v>537</v>
      </c>
      <c r="K1013" s="465" t="s">
        <v>537</v>
      </c>
      <c r="L1013" s="466">
        <v>22480</v>
      </c>
      <c r="M1013" s="465" t="s">
        <v>537</v>
      </c>
      <c r="N1013" s="465" t="s">
        <v>537</v>
      </c>
      <c r="O1013" s="463" t="s">
        <v>537</v>
      </c>
      <c r="P1013" s="463" t="s">
        <v>537</v>
      </c>
      <c r="Q1013" s="468">
        <v>20700</v>
      </c>
      <c r="R1013" s="470">
        <v>241487</v>
      </c>
      <c r="S1013" s="471">
        <v>22364</v>
      </c>
      <c r="T1013" s="463">
        <v>1900</v>
      </c>
      <c r="U1013" s="463">
        <v>0</v>
      </c>
      <c r="V1013" s="463">
        <v>0</v>
      </c>
      <c r="W1013" s="463">
        <v>1385</v>
      </c>
      <c r="X1013" s="463">
        <v>0</v>
      </c>
      <c r="Y1013" s="463">
        <v>0</v>
      </c>
      <c r="Z1013" s="463">
        <v>83.12</v>
      </c>
      <c r="AA1013" s="472" t="s">
        <v>2651</v>
      </c>
      <c r="AB1013" s="463" t="s">
        <v>539</v>
      </c>
      <c r="AC1013" s="463" t="s">
        <v>539</v>
      </c>
      <c r="AD1013" s="472" t="s">
        <v>606</v>
      </c>
      <c r="AE1013" s="463">
        <v>80</v>
      </c>
      <c r="AF1013" s="463">
        <v>82.75</v>
      </c>
      <c r="AG1013" s="463" t="s">
        <v>375</v>
      </c>
      <c r="AH1013" s="476"/>
      <c r="AI1013" s="472" t="s">
        <v>2653</v>
      </c>
      <c r="AJ1013" s="464"/>
    </row>
    <row r="1014" spans="2:36" ht="24" hidden="1" customHeight="1">
      <c r="B1014" s="463">
        <v>829</v>
      </c>
      <c r="C1014" s="464" t="s">
        <v>165</v>
      </c>
      <c r="D1014" s="464"/>
      <c r="E1014" s="464" t="s">
        <v>535</v>
      </c>
      <c r="F1014" s="464"/>
      <c r="G1014" s="464" t="s">
        <v>49</v>
      </c>
      <c r="H1014" s="464" t="s">
        <v>2654</v>
      </c>
      <c r="I1014" s="466">
        <v>93000</v>
      </c>
      <c r="J1014" s="465" t="s">
        <v>537</v>
      </c>
      <c r="K1014" s="465" t="s">
        <v>537</v>
      </c>
      <c r="L1014" s="466">
        <v>45000</v>
      </c>
      <c r="M1014" s="465" t="s">
        <v>537</v>
      </c>
      <c r="N1014" s="465" t="s">
        <v>537</v>
      </c>
      <c r="O1014" s="463" t="s">
        <v>537</v>
      </c>
      <c r="P1014" s="463" t="s">
        <v>537</v>
      </c>
      <c r="Q1014" s="468">
        <v>48000</v>
      </c>
      <c r="R1014" s="463" t="s">
        <v>984</v>
      </c>
      <c r="S1014" s="463" t="s">
        <v>2655</v>
      </c>
      <c r="T1014" s="463">
        <v>600</v>
      </c>
      <c r="U1014" s="463">
        <v>0</v>
      </c>
      <c r="V1014" s="463">
        <v>0</v>
      </c>
      <c r="W1014" s="463">
        <v>658</v>
      </c>
      <c r="X1014" s="463">
        <v>0</v>
      </c>
      <c r="Y1014" s="463">
        <v>0</v>
      </c>
      <c r="Z1014" s="463">
        <v>90.8</v>
      </c>
      <c r="AA1014" s="472" t="s">
        <v>2651</v>
      </c>
      <c r="AB1014" s="463" t="s">
        <v>539</v>
      </c>
      <c r="AC1014" s="463" t="s">
        <v>539</v>
      </c>
      <c r="AD1014" s="472" t="s">
        <v>606</v>
      </c>
      <c r="AE1014" s="463">
        <v>80</v>
      </c>
      <c r="AF1014" s="463">
        <v>90.8</v>
      </c>
      <c r="AG1014" s="463" t="s">
        <v>375</v>
      </c>
      <c r="AH1014" s="476"/>
      <c r="AI1014" s="472" t="s">
        <v>2645</v>
      </c>
      <c r="AJ1014" s="464"/>
    </row>
    <row r="1015" spans="2:36" ht="24" hidden="1" customHeight="1">
      <c r="B1015" s="463">
        <v>830</v>
      </c>
      <c r="C1015" s="464" t="s">
        <v>165</v>
      </c>
      <c r="D1015" s="464"/>
      <c r="E1015" s="464" t="s">
        <v>535</v>
      </c>
      <c r="F1015" s="464"/>
      <c r="G1015" s="464" t="s">
        <v>49</v>
      </c>
      <c r="H1015" s="464" t="s">
        <v>2656</v>
      </c>
      <c r="I1015" s="465">
        <v>0</v>
      </c>
      <c r="J1015" s="465" t="s">
        <v>537</v>
      </c>
      <c r="K1015" s="465" t="s">
        <v>537</v>
      </c>
      <c r="L1015" s="465">
        <v>0</v>
      </c>
      <c r="M1015" s="465" t="s">
        <v>537</v>
      </c>
      <c r="N1015" s="465" t="s">
        <v>537</v>
      </c>
      <c r="O1015" s="463" t="s">
        <v>537</v>
      </c>
      <c r="P1015" s="463" t="s">
        <v>537</v>
      </c>
      <c r="Q1015" s="465">
        <v>0</v>
      </c>
      <c r="R1015" s="470">
        <v>241428</v>
      </c>
      <c r="S1015" s="463" t="s">
        <v>2657</v>
      </c>
      <c r="T1015" s="463">
        <v>50</v>
      </c>
      <c r="U1015" s="463">
        <v>3</v>
      </c>
      <c r="V1015" s="463">
        <v>0</v>
      </c>
      <c r="W1015" s="463">
        <v>60</v>
      </c>
      <c r="X1015" s="463">
        <v>2</v>
      </c>
      <c r="Y1015" s="463">
        <v>0</v>
      </c>
      <c r="Z1015" s="463">
        <v>96</v>
      </c>
      <c r="AA1015" s="472" t="s">
        <v>633</v>
      </c>
      <c r="AB1015" s="463" t="s">
        <v>539</v>
      </c>
      <c r="AC1015" s="463" t="s">
        <v>539</v>
      </c>
      <c r="AD1015" s="472" t="s">
        <v>635</v>
      </c>
      <c r="AE1015" s="463" t="s">
        <v>539</v>
      </c>
      <c r="AF1015" s="463" t="s">
        <v>539</v>
      </c>
      <c r="AG1015" s="463" t="s">
        <v>375</v>
      </c>
      <c r="AH1015" s="476"/>
      <c r="AI1015" s="464"/>
      <c r="AJ1015" s="464"/>
    </row>
    <row r="1016" spans="2:36" ht="24" hidden="1" customHeight="1">
      <c r="B1016" s="463">
        <v>831</v>
      </c>
      <c r="C1016" s="464" t="s">
        <v>165</v>
      </c>
      <c r="D1016" s="464"/>
      <c r="E1016" s="464" t="s">
        <v>535</v>
      </c>
      <c r="F1016" s="464"/>
      <c r="G1016" s="464" t="s">
        <v>49</v>
      </c>
      <c r="H1016" s="464" t="s">
        <v>2658</v>
      </c>
      <c r="I1016" s="466">
        <v>18500</v>
      </c>
      <c r="J1016" s="465" t="s">
        <v>537</v>
      </c>
      <c r="K1016" s="465" t="s">
        <v>537</v>
      </c>
      <c r="L1016" s="466">
        <v>18500</v>
      </c>
      <c r="M1016" s="465" t="s">
        <v>537</v>
      </c>
      <c r="N1016" s="465" t="s">
        <v>537</v>
      </c>
      <c r="O1016" s="463" t="s">
        <v>537</v>
      </c>
      <c r="P1016" s="463" t="s">
        <v>537</v>
      </c>
      <c r="Q1016" s="465">
        <v>0</v>
      </c>
      <c r="R1016" s="470">
        <v>241609</v>
      </c>
      <c r="S1016" s="463" t="s">
        <v>2659</v>
      </c>
      <c r="T1016" s="463">
        <v>50</v>
      </c>
      <c r="U1016" s="463">
        <v>3</v>
      </c>
      <c r="V1016" s="463">
        <v>0</v>
      </c>
      <c r="W1016" s="463">
        <v>50</v>
      </c>
      <c r="X1016" s="463">
        <v>3</v>
      </c>
      <c r="Y1016" s="463">
        <v>0</v>
      </c>
      <c r="Z1016" s="463">
        <v>93</v>
      </c>
      <c r="AA1016" s="472" t="s">
        <v>633</v>
      </c>
      <c r="AB1016" s="463" t="s">
        <v>539</v>
      </c>
      <c r="AC1016" s="463" t="s">
        <v>539</v>
      </c>
      <c r="AD1016" s="472" t="s">
        <v>635</v>
      </c>
      <c r="AE1016" s="463" t="s">
        <v>539</v>
      </c>
      <c r="AF1016" s="463" t="s">
        <v>539</v>
      </c>
      <c r="AG1016" s="463" t="s">
        <v>375</v>
      </c>
      <c r="AH1016" s="476"/>
      <c r="AI1016" s="472" t="s">
        <v>2660</v>
      </c>
      <c r="AJ1016" s="464"/>
    </row>
    <row r="1017" spans="2:36" ht="24" hidden="1" customHeight="1">
      <c r="B1017" s="463">
        <v>832</v>
      </c>
      <c r="C1017" s="464" t="s">
        <v>165</v>
      </c>
      <c r="D1017" s="464"/>
      <c r="E1017" s="464" t="s">
        <v>535</v>
      </c>
      <c r="F1017" s="464"/>
      <c r="G1017" s="464" t="s">
        <v>49</v>
      </c>
      <c r="H1017" s="464" t="s">
        <v>2661</v>
      </c>
      <c r="I1017" s="466">
        <v>31500</v>
      </c>
      <c r="J1017" s="465" t="s">
        <v>537</v>
      </c>
      <c r="K1017" s="465" t="s">
        <v>537</v>
      </c>
      <c r="L1017" s="466">
        <v>31500</v>
      </c>
      <c r="M1017" s="465" t="s">
        <v>537</v>
      </c>
      <c r="N1017" s="465" t="s">
        <v>537</v>
      </c>
      <c r="O1017" s="463" t="s">
        <v>537</v>
      </c>
      <c r="P1017" s="463" t="s">
        <v>537</v>
      </c>
      <c r="Q1017" s="465">
        <v>0</v>
      </c>
      <c r="R1017" s="470">
        <v>241487</v>
      </c>
      <c r="S1017" s="463" t="s">
        <v>2662</v>
      </c>
      <c r="T1017" s="463">
        <v>50</v>
      </c>
      <c r="U1017" s="463">
        <v>3</v>
      </c>
      <c r="V1017" s="463">
        <v>0</v>
      </c>
      <c r="W1017" s="463">
        <v>50</v>
      </c>
      <c r="X1017" s="463">
        <v>3</v>
      </c>
      <c r="Y1017" s="463">
        <v>0</v>
      </c>
      <c r="Z1017" s="463">
        <v>89.5</v>
      </c>
      <c r="AA1017" s="472" t="s">
        <v>633</v>
      </c>
      <c r="AB1017" s="463" t="s">
        <v>539</v>
      </c>
      <c r="AC1017" s="463" t="s">
        <v>539</v>
      </c>
      <c r="AD1017" s="472" t="s">
        <v>635</v>
      </c>
      <c r="AE1017" s="463" t="s">
        <v>539</v>
      </c>
      <c r="AF1017" s="463" t="s">
        <v>539</v>
      </c>
      <c r="AG1017" s="463" t="s">
        <v>375</v>
      </c>
      <c r="AH1017" s="476"/>
      <c r="AI1017" s="472" t="s">
        <v>2663</v>
      </c>
      <c r="AJ1017" s="464"/>
    </row>
    <row r="1018" spans="2:36" ht="24" hidden="1" customHeight="1">
      <c r="B1018" s="463">
        <v>833</v>
      </c>
      <c r="C1018" s="464" t="s">
        <v>165</v>
      </c>
      <c r="D1018" s="464"/>
      <c r="E1018" s="464" t="s">
        <v>535</v>
      </c>
      <c r="F1018" s="464"/>
      <c r="G1018" s="464" t="s">
        <v>49</v>
      </c>
      <c r="H1018" s="464" t="s">
        <v>2664</v>
      </c>
      <c r="I1018" s="466">
        <v>31500</v>
      </c>
      <c r="J1018" s="465" t="s">
        <v>537</v>
      </c>
      <c r="K1018" s="465" t="s">
        <v>537</v>
      </c>
      <c r="L1018" s="466">
        <v>25380</v>
      </c>
      <c r="M1018" s="465" t="s">
        <v>537</v>
      </c>
      <c r="N1018" s="465" t="s">
        <v>537</v>
      </c>
      <c r="O1018" s="463" t="s">
        <v>537</v>
      </c>
      <c r="P1018" s="463" t="s">
        <v>537</v>
      </c>
      <c r="Q1018" s="468">
        <v>6120</v>
      </c>
      <c r="R1018" s="470">
        <v>241579</v>
      </c>
      <c r="S1018" s="463" t="s">
        <v>2665</v>
      </c>
      <c r="T1018" s="463">
        <v>50</v>
      </c>
      <c r="U1018" s="463">
        <v>3</v>
      </c>
      <c r="V1018" s="463">
        <v>0</v>
      </c>
      <c r="W1018" s="463">
        <v>50</v>
      </c>
      <c r="X1018" s="463">
        <v>3</v>
      </c>
      <c r="Y1018" s="463">
        <v>0</v>
      </c>
      <c r="Z1018" s="463">
        <v>92.8</v>
      </c>
      <c r="AA1018" s="472" t="s">
        <v>633</v>
      </c>
      <c r="AB1018" s="463" t="s">
        <v>539</v>
      </c>
      <c r="AC1018" s="463" t="s">
        <v>539</v>
      </c>
      <c r="AD1018" s="472" t="s">
        <v>635</v>
      </c>
      <c r="AE1018" s="463" t="s">
        <v>539</v>
      </c>
      <c r="AF1018" s="463" t="s">
        <v>539</v>
      </c>
      <c r="AG1018" s="463" t="s">
        <v>375</v>
      </c>
      <c r="AH1018" s="476"/>
      <c r="AI1018" s="464"/>
      <c r="AJ1018" s="464"/>
    </row>
    <row r="1019" spans="2:36" ht="24" hidden="1" customHeight="1">
      <c r="B1019" s="463">
        <v>834</v>
      </c>
      <c r="C1019" s="464" t="s">
        <v>165</v>
      </c>
      <c r="D1019" s="464"/>
      <c r="E1019" s="464" t="s">
        <v>535</v>
      </c>
      <c r="F1019" s="464"/>
      <c r="G1019" s="464" t="s">
        <v>49</v>
      </c>
      <c r="H1019" s="464" t="s">
        <v>2666</v>
      </c>
      <c r="I1019" s="466">
        <v>40000</v>
      </c>
      <c r="J1019" s="465" t="s">
        <v>537</v>
      </c>
      <c r="K1019" s="465" t="s">
        <v>537</v>
      </c>
      <c r="L1019" s="466">
        <v>39959</v>
      </c>
      <c r="M1019" s="465" t="s">
        <v>537</v>
      </c>
      <c r="N1019" s="465" t="s">
        <v>537</v>
      </c>
      <c r="O1019" s="463" t="s">
        <v>537</v>
      </c>
      <c r="P1019" s="463" t="s">
        <v>537</v>
      </c>
      <c r="Q1019" s="465">
        <v>41</v>
      </c>
      <c r="R1019" s="470">
        <v>241459</v>
      </c>
      <c r="S1019" s="471">
        <v>22320</v>
      </c>
      <c r="T1019" s="463">
        <v>50</v>
      </c>
      <c r="U1019" s="463">
        <v>10</v>
      </c>
      <c r="V1019" s="463">
        <v>18</v>
      </c>
      <c r="W1019" s="463">
        <v>112</v>
      </c>
      <c r="X1019" s="463">
        <v>24</v>
      </c>
      <c r="Y1019" s="463">
        <v>18</v>
      </c>
      <c r="Z1019" s="463">
        <v>88.65</v>
      </c>
      <c r="AA1019" s="472" t="s">
        <v>1304</v>
      </c>
      <c r="AB1019" s="463" t="s">
        <v>539</v>
      </c>
      <c r="AC1019" s="463" t="s">
        <v>539</v>
      </c>
      <c r="AD1019" s="472" t="s">
        <v>606</v>
      </c>
      <c r="AE1019" s="463">
        <v>80</v>
      </c>
      <c r="AF1019" s="463">
        <v>88.63</v>
      </c>
      <c r="AG1019" s="463" t="s">
        <v>375</v>
      </c>
      <c r="AH1019" s="476"/>
      <c r="AI1019" s="472" t="s">
        <v>2640</v>
      </c>
      <c r="AJ1019" s="464"/>
    </row>
    <row r="1020" spans="2:36" ht="24" hidden="1" customHeight="1">
      <c r="B1020" s="463">
        <v>835</v>
      </c>
      <c r="C1020" s="464" t="s">
        <v>165</v>
      </c>
      <c r="D1020" s="464"/>
      <c r="E1020" s="464" t="s">
        <v>535</v>
      </c>
      <c r="F1020" s="464"/>
      <c r="G1020" s="464" t="s">
        <v>49</v>
      </c>
      <c r="H1020" s="464" t="s">
        <v>2667</v>
      </c>
      <c r="I1020" s="466">
        <v>65500</v>
      </c>
      <c r="J1020" s="465" t="s">
        <v>537</v>
      </c>
      <c r="K1020" s="465" t="s">
        <v>537</v>
      </c>
      <c r="L1020" s="466">
        <v>60740</v>
      </c>
      <c r="M1020" s="465" t="s">
        <v>537</v>
      </c>
      <c r="N1020" s="465" t="s">
        <v>537</v>
      </c>
      <c r="O1020" s="463" t="s">
        <v>537</v>
      </c>
      <c r="P1020" s="463" t="s">
        <v>537</v>
      </c>
      <c r="Q1020" s="468">
        <v>4760</v>
      </c>
      <c r="R1020" s="463" t="s">
        <v>646</v>
      </c>
      <c r="S1020" s="463" t="s">
        <v>2668</v>
      </c>
      <c r="T1020" s="463">
        <v>150</v>
      </c>
      <c r="U1020" s="463">
        <v>8</v>
      </c>
      <c r="V1020" s="463">
        <v>2</v>
      </c>
      <c r="W1020" s="463">
        <v>150</v>
      </c>
      <c r="X1020" s="463">
        <v>4</v>
      </c>
      <c r="Y1020" s="463">
        <v>2</v>
      </c>
      <c r="Z1020" s="463">
        <v>92.07</v>
      </c>
      <c r="AA1020" s="472" t="s">
        <v>633</v>
      </c>
      <c r="AB1020" s="463" t="s">
        <v>539</v>
      </c>
      <c r="AC1020" s="463">
        <v>92.55</v>
      </c>
      <c r="AD1020" s="472" t="s">
        <v>635</v>
      </c>
      <c r="AE1020" s="463" t="s">
        <v>539</v>
      </c>
      <c r="AF1020" s="463">
        <v>96.35</v>
      </c>
      <c r="AG1020" s="463" t="s">
        <v>376</v>
      </c>
      <c r="AH1020" s="476"/>
      <c r="AI1020" s="472">
        <v>840684964</v>
      </c>
      <c r="AJ1020" s="464"/>
    </row>
    <row r="1021" spans="2:36" ht="24" hidden="1" customHeight="1">
      <c r="B1021" s="463">
        <v>836</v>
      </c>
      <c r="C1021" s="464" t="s">
        <v>165</v>
      </c>
      <c r="D1021" s="464"/>
      <c r="E1021" s="464" t="s">
        <v>535</v>
      </c>
      <c r="F1021" s="464"/>
      <c r="G1021" s="464" t="s">
        <v>49</v>
      </c>
      <c r="H1021" s="464" t="s">
        <v>2669</v>
      </c>
      <c r="I1021" s="466">
        <v>26500</v>
      </c>
      <c r="J1021" s="465" t="s">
        <v>537</v>
      </c>
      <c r="K1021" s="465" t="s">
        <v>537</v>
      </c>
      <c r="L1021" s="466">
        <v>26500</v>
      </c>
      <c r="M1021" s="465" t="s">
        <v>537</v>
      </c>
      <c r="N1021" s="465" t="s">
        <v>537</v>
      </c>
      <c r="O1021" s="463" t="s">
        <v>537</v>
      </c>
      <c r="P1021" s="463" t="s">
        <v>537</v>
      </c>
      <c r="Q1021" s="465">
        <v>0</v>
      </c>
      <c r="R1021" s="470">
        <v>241397</v>
      </c>
      <c r="S1021" s="471">
        <v>22266</v>
      </c>
      <c r="T1021" s="463">
        <v>150</v>
      </c>
      <c r="U1021" s="463">
        <v>8</v>
      </c>
      <c r="V1021" s="463">
        <v>2</v>
      </c>
      <c r="W1021" s="463">
        <v>150</v>
      </c>
      <c r="X1021" s="463">
        <v>10</v>
      </c>
      <c r="Y1021" s="463">
        <v>0</v>
      </c>
      <c r="Z1021" s="463">
        <v>96.5</v>
      </c>
      <c r="AA1021" s="472" t="s">
        <v>547</v>
      </c>
      <c r="AB1021" s="463" t="s">
        <v>539</v>
      </c>
      <c r="AC1021" s="463" t="s">
        <v>539</v>
      </c>
      <c r="AD1021" s="472" t="s">
        <v>548</v>
      </c>
      <c r="AE1021" s="463">
        <v>80</v>
      </c>
      <c r="AF1021" s="463">
        <v>95.25</v>
      </c>
      <c r="AG1021" s="463" t="s">
        <v>375</v>
      </c>
      <c r="AH1021" s="476"/>
      <c r="AI1021" s="472" t="s">
        <v>2670</v>
      </c>
      <c r="AJ1021" s="464"/>
    </row>
    <row r="1022" spans="2:36" ht="24" hidden="1" customHeight="1">
      <c r="B1022" s="463">
        <v>837</v>
      </c>
      <c r="C1022" s="464" t="s">
        <v>165</v>
      </c>
      <c r="D1022" s="464"/>
      <c r="E1022" s="464" t="s">
        <v>535</v>
      </c>
      <c r="F1022" s="464"/>
      <c r="G1022" s="464" t="s">
        <v>49</v>
      </c>
      <c r="H1022" s="464" t="s">
        <v>2671</v>
      </c>
      <c r="I1022" s="466">
        <v>6070</v>
      </c>
      <c r="J1022" s="465" t="s">
        <v>537</v>
      </c>
      <c r="K1022" s="465" t="s">
        <v>537</v>
      </c>
      <c r="L1022" s="466">
        <v>5345</v>
      </c>
      <c r="M1022" s="465" t="s">
        <v>537</v>
      </c>
      <c r="N1022" s="465" t="s">
        <v>537</v>
      </c>
      <c r="O1022" s="463" t="s">
        <v>537</v>
      </c>
      <c r="P1022" s="463" t="s">
        <v>537</v>
      </c>
      <c r="Q1022" s="465">
        <v>725</v>
      </c>
      <c r="R1022" s="470">
        <v>241397</v>
      </c>
      <c r="S1022" s="471">
        <v>22294</v>
      </c>
      <c r="T1022" s="463">
        <v>10</v>
      </c>
      <c r="U1022" s="463">
        <v>17</v>
      </c>
      <c r="V1022" s="463">
        <v>2</v>
      </c>
      <c r="W1022" s="463">
        <v>33</v>
      </c>
      <c r="X1022" s="463">
        <v>17</v>
      </c>
      <c r="Y1022" s="463">
        <v>2</v>
      </c>
      <c r="Z1022" s="463">
        <v>83.32</v>
      </c>
      <c r="AA1022" s="472" t="s">
        <v>2672</v>
      </c>
      <c r="AB1022" s="463" t="s">
        <v>539</v>
      </c>
      <c r="AC1022" s="463" t="s">
        <v>539</v>
      </c>
      <c r="AD1022" s="472" t="s">
        <v>925</v>
      </c>
      <c r="AE1022" s="463">
        <v>80</v>
      </c>
      <c r="AF1022" s="463">
        <v>87.83</v>
      </c>
      <c r="AG1022" s="463" t="s">
        <v>375</v>
      </c>
      <c r="AH1022" s="476"/>
      <c r="AI1022" s="472" t="s">
        <v>2673</v>
      </c>
      <c r="AJ1022" s="464"/>
    </row>
    <row r="1023" spans="2:36" ht="24" hidden="1" customHeight="1">
      <c r="B1023" s="463">
        <v>838</v>
      </c>
      <c r="C1023" s="464" t="s">
        <v>165</v>
      </c>
      <c r="D1023" s="464"/>
      <c r="E1023" s="464" t="s">
        <v>535</v>
      </c>
      <c r="F1023" s="464"/>
      <c r="G1023" s="464" t="s">
        <v>49</v>
      </c>
      <c r="H1023" s="464" t="s">
        <v>2674</v>
      </c>
      <c r="I1023" s="466">
        <v>6070</v>
      </c>
      <c r="J1023" s="465" t="s">
        <v>537</v>
      </c>
      <c r="K1023" s="465" t="s">
        <v>537</v>
      </c>
      <c r="L1023" s="466">
        <v>5345</v>
      </c>
      <c r="M1023" s="465" t="s">
        <v>537</v>
      </c>
      <c r="N1023" s="465" t="s">
        <v>537</v>
      </c>
      <c r="O1023" s="463" t="s">
        <v>537</v>
      </c>
      <c r="P1023" s="463" t="s">
        <v>537</v>
      </c>
      <c r="Q1023" s="465">
        <v>725</v>
      </c>
      <c r="R1023" s="470">
        <v>241428</v>
      </c>
      <c r="S1023" s="471">
        <v>22308</v>
      </c>
      <c r="T1023" s="463">
        <v>10</v>
      </c>
      <c r="U1023" s="463">
        <v>17</v>
      </c>
      <c r="V1023" s="463">
        <v>2</v>
      </c>
      <c r="W1023" s="463">
        <v>17</v>
      </c>
      <c r="X1023" s="463">
        <v>19</v>
      </c>
      <c r="Y1023" s="463">
        <v>3</v>
      </c>
      <c r="Z1023" s="463">
        <v>85.83</v>
      </c>
      <c r="AA1023" s="472" t="s">
        <v>2672</v>
      </c>
      <c r="AB1023" s="463" t="s">
        <v>539</v>
      </c>
      <c r="AC1023" s="463" t="s">
        <v>539</v>
      </c>
      <c r="AD1023" s="472" t="s">
        <v>925</v>
      </c>
      <c r="AE1023" s="463">
        <v>80</v>
      </c>
      <c r="AF1023" s="463">
        <v>83.17</v>
      </c>
      <c r="AG1023" s="463" t="s">
        <v>375</v>
      </c>
      <c r="AH1023" s="476"/>
      <c r="AI1023" s="472" t="s">
        <v>2675</v>
      </c>
      <c r="AJ1023" s="464"/>
    </row>
    <row r="1024" spans="2:36" ht="24" hidden="1" customHeight="1">
      <c r="B1024" s="463">
        <v>839</v>
      </c>
      <c r="C1024" s="464" t="s">
        <v>165</v>
      </c>
      <c r="D1024" s="464"/>
      <c r="E1024" s="464" t="s">
        <v>535</v>
      </c>
      <c r="F1024" s="464"/>
      <c r="G1024" s="464" t="s">
        <v>49</v>
      </c>
      <c r="H1024" s="464" t="s">
        <v>2676</v>
      </c>
      <c r="I1024" s="466">
        <v>10860</v>
      </c>
      <c r="J1024" s="465" t="s">
        <v>537</v>
      </c>
      <c r="K1024" s="465" t="s">
        <v>537</v>
      </c>
      <c r="L1024" s="466">
        <v>10860</v>
      </c>
      <c r="M1024" s="465" t="s">
        <v>537</v>
      </c>
      <c r="N1024" s="465" t="s">
        <v>537</v>
      </c>
      <c r="O1024" s="463" t="s">
        <v>537</v>
      </c>
      <c r="P1024" s="463" t="s">
        <v>537</v>
      </c>
      <c r="Q1024" s="465">
        <v>0</v>
      </c>
      <c r="R1024" s="470">
        <v>241487</v>
      </c>
      <c r="S1024" s="471">
        <v>22343</v>
      </c>
      <c r="T1024" s="463">
        <v>10</v>
      </c>
      <c r="U1024" s="463">
        <v>17</v>
      </c>
      <c r="V1024" s="463">
        <v>2</v>
      </c>
      <c r="W1024" s="463">
        <v>40</v>
      </c>
      <c r="X1024" s="463">
        <v>17</v>
      </c>
      <c r="Y1024" s="463">
        <v>5</v>
      </c>
      <c r="Z1024" s="463">
        <v>86.12</v>
      </c>
      <c r="AA1024" s="472" t="s">
        <v>2672</v>
      </c>
      <c r="AB1024" s="463" t="s">
        <v>539</v>
      </c>
      <c r="AC1024" s="463" t="s">
        <v>539</v>
      </c>
      <c r="AD1024" s="472" t="s">
        <v>925</v>
      </c>
      <c r="AE1024" s="463">
        <v>80</v>
      </c>
      <c r="AF1024" s="463">
        <v>85.95</v>
      </c>
      <c r="AG1024" s="463" t="s">
        <v>375</v>
      </c>
      <c r="AH1024" s="476"/>
      <c r="AI1024" s="472" t="s">
        <v>2675</v>
      </c>
      <c r="AJ1024" s="464"/>
    </row>
    <row r="1025" spans="2:36" ht="24" hidden="1" customHeight="1">
      <c r="B1025" s="463">
        <v>840</v>
      </c>
      <c r="C1025" s="464" t="s">
        <v>165</v>
      </c>
      <c r="D1025" s="464"/>
      <c r="E1025" s="464" t="s">
        <v>535</v>
      </c>
      <c r="F1025" s="464"/>
      <c r="G1025" s="464" t="s">
        <v>49</v>
      </c>
      <c r="H1025" s="464" t="s">
        <v>2677</v>
      </c>
      <c r="I1025" s="466">
        <v>6070</v>
      </c>
      <c r="J1025" s="465" t="s">
        <v>537</v>
      </c>
      <c r="K1025" s="465" t="s">
        <v>537</v>
      </c>
      <c r="L1025" s="466">
        <v>5345</v>
      </c>
      <c r="M1025" s="465" t="s">
        <v>537</v>
      </c>
      <c r="N1025" s="465" t="s">
        <v>537</v>
      </c>
      <c r="O1025" s="463" t="s">
        <v>537</v>
      </c>
      <c r="P1025" s="463" t="s">
        <v>537</v>
      </c>
      <c r="Q1025" s="465">
        <v>725</v>
      </c>
      <c r="R1025" s="470">
        <v>241487</v>
      </c>
      <c r="S1025" s="471">
        <v>22357</v>
      </c>
      <c r="T1025" s="463">
        <v>10</v>
      </c>
      <c r="U1025" s="463">
        <v>17</v>
      </c>
      <c r="V1025" s="463">
        <v>2</v>
      </c>
      <c r="W1025" s="463">
        <v>25</v>
      </c>
      <c r="X1025" s="463">
        <v>12</v>
      </c>
      <c r="Y1025" s="463">
        <v>2</v>
      </c>
      <c r="Z1025" s="463">
        <v>84.75</v>
      </c>
      <c r="AA1025" s="472" t="s">
        <v>2672</v>
      </c>
      <c r="AB1025" s="463" t="s">
        <v>539</v>
      </c>
      <c r="AC1025" s="463" t="s">
        <v>539</v>
      </c>
      <c r="AD1025" s="472" t="s">
        <v>925</v>
      </c>
      <c r="AE1025" s="463">
        <v>80</v>
      </c>
      <c r="AF1025" s="463">
        <v>84.45</v>
      </c>
      <c r="AG1025" s="463" t="s">
        <v>375</v>
      </c>
      <c r="AH1025" s="476"/>
      <c r="AI1025" s="472" t="s">
        <v>2675</v>
      </c>
      <c r="AJ1025" s="464"/>
    </row>
    <row r="1026" spans="2:36" ht="24" hidden="1" customHeight="1">
      <c r="B1026" s="463">
        <v>841</v>
      </c>
      <c r="C1026" s="464" t="s">
        <v>534</v>
      </c>
      <c r="D1026" s="464"/>
      <c r="E1026" s="464" t="s">
        <v>535</v>
      </c>
      <c r="F1026" s="464"/>
      <c r="G1026" s="464" t="s">
        <v>49</v>
      </c>
      <c r="H1026" s="464" t="s">
        <v>2678</v>
      </c>
      <c r="I1026" s="465" t="s">
        <v>537</v>
      </c>
      <c r="J1026" s="466">
        <v>30000</v>
      </c>
      <c r="K1026" s="465" t="s">
        <v>537</v>
      </c>
      <c r="L1026" s="465" t="s">
        <v>537</v>
      </c>
      <c r="M1026" s="466">
        <v>30000</v>
      </c>
      <c r="N1026" s="465" t="s">
        <v>537</v>
      </c>
      <c r="O1026" s="463" t="s">
        <v>537</v>
      </c>
      <c r="P1026" s="463" t="s">
        <v>537</v>
      </c>
      <c r="Q1026" s="465">
        <v>0</v>
      </c>
      <c r="R1026" s="470">
        <v>241518</v>
      </c>
      <c r="S1026" s="463" t="s">
        <v>2679</v>
      </c>
      <c r="T1026" s="463">
        <v>100</v>
      </c>
      <c r="U1026" s="463">
        <v>18</v>
      </c>
      <c r="V1026" s="463">
        <v>82</v>
      </c>
      <c r="W1026" s="463">
        <v>200</v>
      </c>
      <c r="X1026" s="463">
        <v>100</v>
      </c>
      <c r="Y1026" s="463">
        <v>0</v>
      </c>
      <c r="Z1026" s="463">
        <v>83.88</v>
      </c>
      <c r="AA1026" s="472" t="s">
        <v>1304</v>
      </c>
      <c r="AB1026" s="463" t="s">
        <v>539</v>
      </c>
      <c r="AC1026" s="463" t="s">
        <v>539</v>
      </c>
      <c r="AD1026" s="472" t="s">
        <v>565</v>
      </c>
      <c r="AE1026" s="463">
        <v>80</v>
      </c>
      <c r="AF1026" s="463">
        <v>83.88</v>
      </c>
      <c r="AG1026" s="463" t="s">
        <v>375</v>
      </c>
      <c r="AH1026" s="476"/>
      <c r="AI1026" s="472" t="s">
        <v>2680</v>
      </c>
      <c r="AJ1026" s="464"/>
    </row>
    <row r="1027" spans="2:36" ht="24" hidden="1" customHeight="1">
      <c r="B1027" s="463">
        <v>842</v>
      </c>
      <c r="C1027" s="464" t="s">
        <v>534</v>
      </c>
      <c r="D1027" s="464"/>
      <c r="E1027" s="464" t="s">
        <v>535</v>
      </c>
      <c r="F1027" s="464"/>
      <c r="G1027" s="464" t="s">
        <v>49</v>
      </c>
      <c r="H1027" s="464" t="s">
        <v>2681</v>
      </c>
      <c r="I1027" s="465" t="s">
        <v>537</v>
      </c>
      <c r="J1027" s="466">
        <v>12400</v>
      </c>
      <c r="K1027" s="465" t="s">
        <v>537</v>
      </c>
      <c r="L1027" s="465" t="s">
        <v>537</v>
      </c>
      <c r="M1027" s="466">
        <v>12400</v>
      </c>
      <c r="N1027" s="465" t="s">
        <v>537</v>
      </c>
      <c r="O1027" s="463" t="s">
        <v>537</v>
      </c>
      <c r="P1027" s="463" t="s">
        <v>537</v>
      </c>
      <c r="Q1027" s="465">
        <v>0</v>
      </c>
      <c r="R1027" s="470">
        <v>241487</v>
      </c>
      <c r="S1027" s="463" t="s">
        <v>2483</v>
      </c>
      <c r="T1027" s="463">
        <v>220</v>
      </c>
      <c r="U1027" s="463">
        <v>30</v>
      </c>
      <c r="V1027" s="463">
        <v>0</v>
      </c>
      <c r="W1027" s="463">
        <v>296</v>
      </c>
      <c r="X1027" s="463">
        <v>37</v>
      </c>
      <c r="Y1027" s="463">
        <v>73</v>
      </c>
      <c r="Z1027" s="463">
        <v>96.62</v>
      </c>
      <c r="AA1027" s="472" t="s">
        <v>2682</v>
      </c>
      <c r="AB1027" s="463" t="s">
        <v>539</v>
      </c>
      <c r="AC1027" s="463" t="s">
        <v>539</v>
      </c>
      <c r="AD1027" s="472" t="s">
        <v>548</v>
      </c>
      <c r="AE1027" s="463">
        <v>80</v>
      </c>
      <c r="AF1027" s="463">
        <v>97.27</v>
      </c>
      <c r="AG1027" s="463" t="s">
        <v>375</v>
      </c>
      <c r="AH1027" s="476"/>
      <c r="AI1027" s="472" t="s">
        <v>2683</v>
      </c>
      <c r="AJ1027" s="464"/>
    </row>
    <row r="1028" spans="2:36" ht="24" hidden="1" customHeight="1">
      <c r="B1028" s="463">
        <v>843</v>
      </c>
      <c r="C1028" s="464" t="s">
        <v>534</v>
      </c>
      <c r="D1028" s="464"/>
      <c r="E1028" s="464" t="s">
        <v>535</v>
      </c>
      <c r="F1028" s="464"/>
      <c r="G1028" s="464" t="s">
        <v>49</v>
      </c>
      <c r="H1028" s="464" t="s">
        <v>2684</v>
      </c>
      <c r="I1028" s="465" t="s">
        <v>537</v>
      </c>
      <c r="J1028" s="466">
        <v>18000</v>
      </c>
      <c r="K1028" s="465" t="s">
        <v>537</v>
      </c>
      <c r="L1028" s="465" t="s">
        <v>537</v>
      </c>
      <c r="M1028" s="466">
        <v>17460</v>
      </c>
      <c r="N1028" s="465" t="s">
        <v>537</v>
      </c>
      <c r="O1028" s="463" t="s">
        <v>537</v>
      </c>
      <c r="P1028" s="463" t="s">
        <v>537</v>
      </c>
      <c r="Q1028" s="465">
        <v>540</v>
      </c>
      <c r="R1028" s="470">
        <v>241487</v>
      </c>
      <c r="S1028" s="463" t="s">
        <v>2483</v>
      </c>
      <c r="T1028" s="463">
        <v>44</v>
      </c>
      <c r="U1028" s="463">
        <v>6</v>
      </c>
      <c r="V1028" s="463">
        <v>50</v>
      </c>
      <c r="W1028" s="463">
        <v>100</v>
      </c>
      <c r="X1028" s="463">
        <v>8</v>
      </c>
      <c r="Y1028" s="463">
        <v>7</v>
      </c>
      <c r="Z1028" s="463">
        <v>89.25</v>
      </c>
      <c r="AA1028" s="472" t="s">
        <v>2624</v>
      </c>
      <c r="AB1028" s="463">
        <v>1</v>
      </c>
      <c r="AC1028" s="463">
        <v>1</v>
      </c>
      <c r="AD1028" s="472" t="s">
        <v>651</v>
      </c>
      <c r="AE1028" s="463">
        <v>1</v>
      </c>
      <c r="AF1028" s="463">
        <v>1</v>
      </c>
      <c r="AG1028" s="463" t="s">
        <v>375</v>
      </c>
      <c r="AH1028" s="476"/>
      <c r="AI1028" s="472" t="s">
        <v>2685</v>
      </c>
      <c r="AJ1028" s="464"/>
    </row>
    <row r="1029" spans="2:36" ht="24" hidden="1" customHeight="1">
      <c r="B1029" s="463">
        <v>844</v>
      </c>
      <c r="C1029" s="464" t="s">
        <v>534</v>
      </c>
      <c r="D1029" s="464"/>
      <c r="E1029" s="464" t="s">
        <v>535</v>
      </c>
      <c r="F1029" s="464"/>
      <c r="G1029" s="464" t="s">
        <v>49</v>
      </c>
      <c r="H1029" s="464" t="s">
        <v>2686</v>
      </c>
      <c r="I1029" s="465" t="s">
        <v>537</v>
      </c>
      <c r="J1029" s="466">
        <v>11000</v>
      </c>
      <c r="K1029" s="465" t="s">
        <v>537</v>
      </c>
      <c r="L1029" s="465" t="s">
        <v>537</v>
      </c>
      <c r="M1029" s="466">
        <v>9900</v>
      </c>
      <c r="N1029" s="465" t="s">
        <v>537</v>
      </c>
      <c r="O1029" s="463" t="s">
        <v>537</v>
      </c>
      <c r="P1029" s="463" t="s">
        <v>537</v>
      </c>
      <c r="Q1029" s="468">
        <v>1100</v>
      </c>
      <c r="R1029" s="463" t="s">
        <v>643</v>
      </c>
      <c r="S1029" s="463" t="s">
        <v>2687</v>
      </c>
      <c r="T1029" s="463">
        <v>80</v>
      </c>
      <c r="U1029" s="463">
        <v>18</v>
      </c>
      <c r="V1029" s="463">
        <v>0</v>
      </c>
      <c r="W1029" s="463">
        <v>88</v>
      </c>
      <c r="X1029" s="463">
        <v>15</v>
      </c>
      <c r="Y1029" s="463">
        <v>0</v>
      </c>
      <c r="Z1029" s="463">
        <v>81.81</v>
      </c>
      <c r="AA1029" s="472" t="s">
        <v>547</v>
      </c>
      <c r="AB1029" s="463" t="s">
        <v>539</v>
      </c>
      <c r="AC1029" s="463" t="s">
        <v>539</v>
      </c>
      <c r="AD1029" s="472" t="s">
        <v>548</v>
      </c>
      <c r="AE1029" s="463">
        <v>80</v>
      </c>
      <c r="AF1029" s="463">
        <v>82.68</v>
      </c>
      <c r="AG1029" s="463" t="s">
        <v>375</v>
      </c>
      <c r="AH1029" s="476"/>
      <c r="AI1029" s="472" t="s">
        <v>2688</v>
      </c>
      <c r="AJ1029" s="464"/>
    </row>
    <row r="1030" spans="2:36" ht="24" hidden="1" customHeight="1">
      <c r="B1030" s="463">
        <v>845</v>
      </c>
      <c r="C1030" s="464" t="s">
        <v>534</v>
      </c>
      <c r="D1030" s="464"/>
      <c r="E1030" s="464" t="s">
        <v>535</v>
      </c>
      <c r="F1030" s="464"/>
      <c r="G1030" s="464" t="s">
        <v>49</v>
      </c>
      <c r="H1030" s="464" t="s">
        <v>2689</v>
      </c>
      <c r="I1030" s="465" t="s">
        <v>537</v>
      </c>
      <c r="J1030" s="466">
        <v>18000</v>
      </c>
      <c r="K1030" s="465" t="s">
        <v>537</v>
      </c>
      <c r="L1030" s="465" t="s">
        <v>537</v>
      </c>
      <c r="M1030" s="466">
        <v>18000</v>
      </c>
      <c r="N1030" s="465" t="s">
        <v>537</v>
      </c>
      <c r="O1030" s="463" t="s">
        <v>537</v>
      </c>
      <c r="P1030" s="463" t="s">
        <v>537</v>
      </c>
      <c r="Q1030" s="465">
        <v>0</v>
      </c>
      <c r="R1030" s="470">
        <v>241579</v>
      </c>
      <c r="S1030" s="471">
        <v>22461</v>
      </c>
      <c r="T1030" s="463">
        <v>35</v>
      </c>
      <c r="U1030" s="463">
        <v>6</v>
      </c>
      <c r="V1030" s="463">
        <v>0</v>
      </c>
      <c r="W1030" s="463">
        <v>35</v>
      </c>
      <c r="X1030" s="463">
        <v>6</v>
      </c>
      <c r="Y1030" s="463">
        <v>1</v>
      </c>
      <c r="Z1030" s="464"/>
      <c r="AA1030" s="472" t="s">
        <v>547</v>
      </c>
      <c r="AB1030" s="463" t="s">
        <v>539</v>
      </c>
      <c r="AC1030" s="463" t="s">
        <v>539</v>
      </c>
      <c r="AD1030" s="472" t="s">
        <v>548</v>
      </c>
      <c r="AE1030" s="463">
        <v>80</v>
      </c>
      <c r="AF1030" s="463">
        <v>93.89</v>
      </c>
      <c r="AG1030" s="463" t="s">
        <v>375</v>
      </c>
      <c r="AH1030" s="476"/>
      <c r="AI1030" s="464"/>
      <c r="AJ1030" s="464"/>
    </row>
    <row r="1031" spans="2:36" ht="24" hidden="1" customHeight="1">
      <c r="B1031" s="463">
        <v>846</v>
      </c>
      <c r="C1031" s="464" t="s">
        <v>534</v>
      </c>
      <c r="D1031" s="464"/>
      <c r="E1031" s="464" t="s">
        <v>535</v>
      </c>
      <c r="F1031" s="464"/>
      <c r="G1031" s="464" t="s">
        <v>49</v>
      </c>
      <c r="H1031" s="464" t="s">
        <v>2690</v>
      </c>
      <c r="I1031" s="465" t="s">
        <v>537</v>
      </c>
      <c r="J1031" s="466">
        <v>6600</v>
      </c>
      <c r="K1031" s="465" t="s">
        <v>537</v>
      </c>
      <c r="L1031" s="465" t="s">
        <v>537</v>
      </c>
      <c r="M1031" s="466">
        <v>6600</v>
      </c>
      <c r="N1031" s="465" t="s">
        <v>537</v>
      </c>
      <c r="O1031" s="463" t="s">
        <v>537</v>
      </c>
      <c r="P1031" s="463" t="s">
        <v>537</v>
      </c>
      <c r="Q1031" s="465">
        <v>0</v>
      </c>
      <c r="R1031" s="470">
        <v>241609</v>
      </c>
      <c r="S1031" s="471">
        <v>22475</v>
      </c>
      <c r="T1031" s="463">
        <v>15</v>
      </c>
      <c r="U1031" s="463">
        <v>15</v>
      </c>
      <c r="V1031" s="463">
        <v>30</v>
      </c>
      <c r="W1031" s="463">
        <v>17</v>
      </c>
      <c r="X1031" s="463">
        <v>14</v>
      </c>
      <c r="Y1031" s="463">
        <v>30</v>
      </c>
      <c r="Z1031" s="463">
        <v>90.93</v>
      </c>
      <c r="AA1031" s="472" t="s">
        <v>547</v>
      </c>
      <c r="AB1031" s="463" t="s">
        <v>539</v>
      </c>
      <c r="AC1031" s="463" t="s">
        <v>539</v>
      </c>
      <c r="AD1031" s="472" t="s">
        <v>548</v>
      </c>
      <c r="AE1031" s="463">
        <v>80</v>
      </c>
      <c r="AF1031" s="463">
        <v>93.89</v>
      </c>
      <c r="AG1031" s="463" t="s">
        <v>375</v>
      </c>
      <c r="AH1031" s="476"/>
      <c r="AI1031" s="472" t="s">
        <v>2691</v>
      </c>
      <c r="AJ1031" s="464"/>
    </row>
    <row r="1032" spans="2:36" ht="24" hidden="1" customHeight="1">
      <c r="B1032" s="463">
        <v>847</v>
      </c>
      <c r="C1032" s="464" t="s">
        <v>534</v>
      </c>
      <c r="D1032" s="464"/>
      <c r="E1032" s="464" t="s">
        <v>535</v>
      </c>
      <c r="F1032" s="464"/>
      <c r="G1032" s="464" t="s">
        <v>49</v>
      </c>
      <c r="H1032" s="464" t="s">
        <v>2692</v>
      </c>
      <c r="I1032" s="465" t="s">
        <v>537</v>
      </c>
      <c r="J1032" s="466">
        <v>14000</v>
      </c>
      <c r="K1032" s="465" t="s">
        <v>537</v>
      </c>
      <c r="L1032" s="465" t="s">
        <v>537</v>
      </c>
      <c r="M1032" s="466">
        <v>14000</v>
      </c>
      <c r="N1032" s="465" t="s">
        <v>537</v>
      </c>
      <c r="O1032" s="463" t="s">
        <v>537</v>
      </c>
      <c r="P1032" s="463" t="s">
        <v>537</v>
      </c>
      <c r="Q1032" s="465">
        <v>0</v>
      </c>
      <c r="R1032" s="470">
        <v>241609</v>
      </c>
      <c r="S1032" s="463" t="s">
        <v>2693</v>
      </c>
      <c r="T1032" s="463">
        <v>40</v>
      </c>
      <c r="U1032" s="463">
        <v>5</v>
      </c>
      <c r="V1032" s="463">
        <v>40</v>
      </c>
      <c r="W1032" s="463">
        <v>44</v>
      </c>
      <c r="X1032" s="463">
        <v>6</v>
      </c>
      <c r="Y1032" s="463">
        <v>66</v>
      </c>
      <c r="Z1032" s="463">
        <v>9216</v>
      </c>
      <c r="AA1032" s="472" t="s">
        <v>547</v>
      </c>
      <c r="AB1032" s="463" t="s">
        <v>539</v>
      </c>
      <c r="AC1032" s="463" t="s">
        <v>539</v>
      </c>
      <c r="AD1032" s="472" t="s">
        <v>548</v>
      </c>
      <c r="AE1032" s="463">
        <v>80</v>
      </c>
      <c r="AF1032" s="463">
        <v>92</v>
      </c>
      <c r="AG1032" s="463" t="s">
        <v>375</v>
      </c>
      <c r="AH1032" s="476"/>
      <c r="AI1032" s="472" t="s">
        <v>2628</v>
      </c>
      <c r="AJ1032" s="464"/>
    </row>
    <row r="1033" spans="2:36" ht="24" hidden="1" customHeight="1">
      <c r="B1033" s="463">
        <v>848</v>
      </c>
      <c r="C1033" s="464" t="s">
        <v>534</v>
      </c>
      <c r="D1033" s="464"/>
      <c r="E1033" s="464" t="s">
        <v>535</v>
      </c>
      <c r="F1033" s="464"/>
      <c r="G1033" s="464" t="s">
        <v>49</v>
      </c>
      <c r="H1033" s="464" t="s">
        <v>2694</v>
      </c>
      <c r="I1033" s="465" t="s">
        <v>537</v>
      </c>
      <c r="J1033" s="466">
        <v>40000</v>
      </c>
      <c r="K1033" s="465" t="s">
        <v>537</v>
      </c>
      <c r="L1033" s="465" t="s">
        <v>537</v>
      </c>
      <c r="M1033" s="466">
        <v>40000</v>
      </c>
      <c r="N1033" s="465" t="s">
        <v>537</v>
      </c>
      <c r="O1033" s="463" t="s">
        <v>537</v>
      </c>
      <c r="P1033" s="463" t="s">
        <v>537</v>
      </c>
      <c r="Q1033" s="465">
        <v>0</v>
      </c>
      <c r="R1033" s="470">
        <v>241487</v>
      </c>
      <c r="S1033" s="463" t="s">
        <v>2335</v>
      </c>
      <c r="T1033" s="463">
        <v>86</v>
      </c>
      <c r="U1033" s="463">
        <v>12</v>
      </c>
      <c r="V1033" s="463">
        <v>2</v>
      </c>
      <c r="W1033" s="463">
        <v>86</v>
      </c>
      <c r="X1033" s="463">
        <v>12</v>
      </c>
      <c r="Y1033" s="463">
        <v>2</v>
      </c>
      <c r="Z1033" s="463">
        <v>91.46</v>
      </c>
      <c r="AA1033" s="472" t="s">
        <v>547</v>
      </c>
      <c r="AB1033" s="463" t="s">
        <v>539</v>
      </c>
      <c r="AC1033" s="463" t="s">
        <v>539</v>
      </c>
      <c r="AD1033" s="472" t="s">
        <v>548</v>
      </c>
      <c r="AE1033" s="463">
        <v>80</v>
      </c>
      <c r="AF1033" s="463">
        <v>91.97</v>
      </c>
      <c r="AG1033" s="463" t="s">
        <v>375</v>
      </c>
      <c r="AH1033" s="476"/>
      <c r="AI1033" s="472" t="s">
        <v>2625</v>
      </c>
      <c r="AJ1033" s="464"/>
    </row>
    <row r="1034" spans="2:36" ht="24" hidden="1" customHeight="1">
      <c r="B1034" s="463">
        <v>849</v>
      </c>
      <c r="C1034" s="464" t="s">
        <v>534</v>
      </c>
      <c r="D1034" s="464"/>
      <c r="E1034" s="464" t="s">
        <v>535</v>
      </c>
      <c r="F1034" s="464"/>
      <c r="G1034" s="464" t="s">
        <v>49</v>
      </c>
      <c r="H1034" s="464" t="s">
        <v>2695</v>
      </c>
      <c r="I1034" s="465" t="s">
        <v>537</v>
      </c>
      <c r="J1034" s="466">
        <v>65000</v>
      </c>
      <c r="K1034" s="465" t="s">
        <v>537</v>
      </c>
      <c r="L1034" s="465" t="s">
        <v>537</v>
      </c>
      <c r="M1034" s="466">
        <v>65000</v>
      </c>
      <c r="N1034" s="465" t="s">
        <v>537</v>
      </c>
      <c r="O1034" s="463" t="s">
        <v>537</v>
      </c>
      <c r="P1034" s="463" t="s">
        <v>537</v>
      </c>
      <c r="Q1034" s="465">
        <v>0</v>
      </c>
      <c r="R1034" s="470">
        <v>241428</v>
      </c>
      <c r="S1034" s="463" t="s">
        <v>1639</v>
      </c>
      <c r="T1034" s="463">
        <v>60</v>
      </c>
      <c r="U1034" s="463">
        <v>4</v>
      </c>
      <c r="V1034" s="463">
        <v>0</v>
      </c>
      <c r="W1034" s="463">
        <v>69</v>
      </c>
      <c r="X1034" s="463">
        <v>6</v>
      </c>
      <c r="Y1034" s="463">
        <v>0</v>
      </c>
      <c r="Z1034" s="463">
        <v>90.28</v>
      </c>
      <c r="AA1034" s="472" t="s">
        <v>2696</v>
      </c>
      <c r="AB1034" s="463">
        <v>80</v>
      </c>
      <c r="AC1034" s="463">
        <v>90.28</v>
      </c>
      <c r="AD1034" s="472" t="s">
        <v>2697</v>
      </c>
      <c r="AE1034" s="463">
        <v>1</v>
      </c>
      <c r="AF1034" s="463">
        <v>1</v>
      </c>
      <c r="AG1034" s="463" t="s">
        <v>375</v>
      </c>
      <c r="AH1034" s="476"/>
      <c r="AI1034" s="472" t="s">
        <v>2698</v>
      </c>
      <c r="AJ1034" s="464"/>
    </row>
    <row r="1035" spans="2:36" ht="24" hidden="1" customHeight="1">
      <c r="B1035" s="463">
        <v>850</v>
      </c>
      <c r="C1035" s="464" t="s">
        <v>534</v>
      </c>
      <c r="D1035" s="464"/>
      <c r="E1035" s="464" t="s">
        <v>535</v>
      </c>
      <c r="F1035" s="464"/>
      <c r="G1035" s="464" t="s">
        <v>49</v>
      </c>
      <c r="H1035" s="464" t="s">
        <v>2699</v>
      </c>
      <c r="I1035" s="465" t="s">
        <v>537</v>
      </c>
      <c r="J1035" s="466">
        <v>32000</v>
      </c>
      <c r="K1035" s="465" t="s">
        <v>537</v>
      </c>
      <c r="L1035" s="465" t="s">
        <v>537</v>
      </c>
      <c r="M1035" s="466">
        <v>30948</v>
      </c>
      <c r="N1035" s="465" t="s">
        <v>537</v>
      </c>
      <c r="O1035" s="463" t="s">
        <v>537</v>
      </c>
      <c r="P1035" s="463" t="s">
        <v>537</v>
      </c>
      <c r="Q1035" s="468">
        <v>1052</v>
      </c>
      <c r="R1035" s="470">
        <v>241487</v>
      </c>
      <c r="S1035" s="471">
        <v>22360</v>
      </c>
      <c r="T1035" s="463">
        <v>350</v>
      </c>
      <c r="U1035" s="463">
        <v>30</v>
      </c>
      <c r="V1035" s="463">
        <v>0</v>
      </c>
      <c r="W1035" s="463">
        <v>309</v>
      </c>
      <c r="X1035" s="463">
        <v>45</v>
      </c>
      <c r="Y1035" s="463">
        <v>0</v>
      </c>
      <c r="Z1035" s="463">
        <v>83.59</v>
      </c>
      <c r="AA1035" s="472" t="s">
        <v>547</v>
      </c>
      <c r="AB1035" s="463" t="s">
        <v>539</v>
      </c>
      <c r="AC1035" s="463" t="s">
        <v>539</v>
      </c>
      <c r="AD1035" s="472" t="s">
        <v>548</v>
      </c>
      <c r="AE1035" s="463">
        <v>80</v>
      </c>
      <c r="AF1035" s="463">
        <v>84.74</v>
      </c>
      <c r="AG1035" s="463" t="s">
        <v>375</v>
      </c>
      <c r="AH1035" s="476"/>
      <c r="AI1035" s="472" t="s">
        <v>2618</v>
      </c>
      <c r="AJ1035" s="464"/>
    </row>
    <row r="1036" spans="2:36" ht="24" hidden="1" customHeight="1">
      <c r="B1036" s="463">
        <v>851</v>
      </c>
      <c r="C1036" s="464" t="s">
        <v>534</v>
      </c>
      <c r="D1036" s="464"/>
      <c r="E1036" s="464" t="s">
        <v>535</v>
      </c>
      <c r="F1036" s="464"/>
      <c r="G1036" s="464" t="s">
        <v>49</v>
      </c>
      <c r="H1036" s="464" t="s">
        <v>667</v>
      </c>
      <c r="I1036" s="465" t="s">
        <v>537</v>
      </c>
      <c r="J1036" s="466">
        <v>42000</v>
      </c>
      <c r="K1036" s="465" t="s">
        <v>537</v>
      </c>
      <c r="L1036" s="465" t="s">
        <v>537</v>
      </c>
      <c r="M1036" s="466">
        <v>41860</v>
      </c>
      <c r="N1036" s="465" t="s">
        <v>537</v>
      </c>
      <c r="O1036" s="463" t="s">
        <v>537</v>
      </c>
      <c r="P1036" s="463" t="s">
        <v>537</v>
      </c>
      <c r="Q1036" s="465">
        <v>140</v>
      </c>
      <c r="R1036" s="470">
        <v>241579</v>
      </c>
      <c r="S1036" s="471">
        <v>22452</v>
      </c>
      <c r="T1036" s="463">
        <v>430</v>
      </c>
      <c r="U1036" s="463">
        <v>30</v>
      </c>
      <c r="V1036" s="463">
        <v>0</v>
      </c>
      <c r="W1036" s="463">
        <v>449</v>
      </c>
      <c r="X1036" s="463">
        <v>73</v>
      </c>
      <c r="Y1036" s="463">
        <v>0</v>
      </c>
      <c r="Z1036" s="463">
        <v>81.36</v>
      </c>
      <c r="AA1036" s="472" t="s">
        <v>547</v>
      </c>
      <c r="AB1036" s="463" t="s">
        <v>539</v>
      </c>
      <c r="AC1036" s="463" t="s">
        <v>539</v>
      </c>
      <c r="AD1036" s="472" t="s">
        <v>548</v>
      </c>
      <c r="AE1036" s="463">
        <v>80</v>
      </c>
      <c r="AF1036" s="463">
        <v>81.36</v>
      </c>
      <c r="AG1036" s="463" t="s">
        <v>375</v>
      </c>
      <c r="AH1036" s="476"/>
      <c r="AI1036" s="472" t="s">
        <v>2618</v>
      </c>
      <c r="AJ1036" s="464"/>
    </row>
    <row r="1037" spans="2:36" ht="24" hidden="1" customHeight="1">
      <c r="B1037" s="463">
        <v>852</v>
      </c>
      <c r="C1037" s="464" t="s">
        <v>165</v>
      </c>
      <c r="D1037" s="464"/>
      <c r="E1037" s="464" t="s">
        <v>535</v>
      </c>
      <c r="F1037" s="464"/>
      <c r="G1037" s="464" t="s">
        <v>49</v>
      </c>
      <c r="H1037" s="464" t="s">
        <v>2700</v>
      </c>
      <c r="I1037" s="465" t="s">
        <v>537</v>
      </c>
      <c r="J1037" s="466">
        <v>17200</v>
      </c>
      <c r="K1037" s="465" t="s">
        <v>537</v>
      </c>
      <c r="L1037" s="465" t="s">
        <v>537</v>
      </c>
      <c r="M1037" s="466">
        <v>17200</v>
      </c>
      <c r="N1037" s="465" t="s">
        <v>537</v>
      </c>
      <c r="O1037" s="463" t="s">
        <v>537</v>
      </c>
      <c r="P1037" s="463" t="s">
        <v>537</v>
      </c>
      <c r="Q1037" s="465">
        <v>0</v>
      </c>
      <c r="R1037" s="470">
        <v>241459</v>
      </c>
      <c r="S1037" s="463" t="s">
        <v>2701</v>
      </c>
      <c r="T1037" s="463">
        <v>150</v>
      </c>
      <c r="U1037" s="463">
        <v>20</v>
      </c>
      <c r="V1037" s="463">
        <v>0</v>
      </c>
      <c r="W1037" s="463">
        <v>150</v>
      </c>
      <c r="X1037" s="463">
        <v>31</v>
      </c>
      <c r="Y1037" s="463">
        <v>0</v>
      </c>
      <c r="Z1037" s="463">
        <v>92.5</v>
      </c>
      <c r="AA1037" s="472" t="s">
        <v>547</v>
      </c>
      <c r="AB1037" s="463" t="s">
        <v>539</v>
      </c>
      <c r="AC1037" s="463" t="s">
        <v>539</v>
      </c>
      <c r="AD1037" s="472" t="s">
        <v>2702</v>
      </c>
      <c r="AE1037" s="463" t="s">
        <v>539</v>
      </c>
      <c r="AF1037" s="463">
        <v>92.86</v>
      </c>
      <c r="AG1037" s="463" t="s">
        <v>376</v>
      </c>
      <c r="AH1037" s="476"/>
      <c r="AI1037" s="472" t="s">
        <v>2653</v>
      </c>
      <c r="AJ1037" s="464"/>
    </row>
    <row r="1038" spans="2:36" ht="24" hidden="1" customHeight="1">
      <c r="B1038" s="463">
        <v>853</v>
      </c>
      <c r="C1038" s="464" t="s">
        <v>165</v>
      </c>
      <c r="D1038" s="464"/>
      <c r="E1038" s="464" t="s">
        <v>535</v>
      </c>
      <c r="F1038" s="464"/>
      <c r="G1038" s="464" t="s">
        <v>49</v>
      </c>
      <c r="H1038" s="464" t="s">
        <v>2703</v>
      </c>
      <c r="I1038" s="465" t="s">
        <v>537</v>
      </c>
      <c r="J1038" s="466">
        <v>191400</v>
      </c>
      <c r="K1038" s="465" t="s">
        <v>537</v>
      </c>
      <c r="L1038" s="465" t="s">
        <v>537</v>
      </c>
      <c r="M1038" s="466">
        <v>168034</v>
      </c>
      <c r="N1038" s="465" t="s">
        <v>537</v>
      </c>
      <c r="O1038" s="463" t="s">
        <v>537</v>
      </c>
      <c r="P1038" s="463" t="s">
        <v>537</v>
      </c>
      <c r="Q1038" s="468">
        <v>23366</v>
      </c>
      <c r="R1038" s="470">
        <v>241518</v>
      </c>
      <c r="S1038" s="463" t="s">
        <v>2704</v>
      </c>
      <c r="T1038" s="463">
        <v>20</v>
      </c>
      <c r="U1038" s="463">
        <v>2</v>
      </c>
      <c r="V1038" s="463">
        <v>0</v>
      </c>
      <c r="W1038" s="463">
        <v>20</v>
      </c>
      <c r="X1038" s="463">
        <v>4</v>
      </c>
      <c r="Y1038" s="463">
        <v>0</v>
      </c>
      <c r="Z1038" s="463">
        <v>90.56</v>
      </c>
      <c r="AA1038" s="472" t="s">
        <v>633</v>
      </c>
      <c r="AB1038" s="463" t="s">
        <v>539</v>
      </c>
      <c r="AC1038" s="463" t="s">
        <v>539</v>
      </c>
      <c r="AD1038" s="472" t="s">
        <v>635</v>
      </c>
      <c r="AE1038" s="463" t="s">
        <v>539</v>
      </c>
      <c r="AF1038" s="463" t="s">
        <v>539</v>
      </c>
      <c r="AG1038" s="463" t="s">
        <v>375</v>
      </c>
      <c r="AH1038" s="476"/>
      <c r="AI1038" s="472" t="s">
        <v>2653</v>
      </c>
      <c r="AJ1038" s="464"/>
    </row>
    <row r="1039" spans="2:36" ht="24" hidden="1" customHeight="1">
      <c r="B1039" s="463">
        <v>854</v>
      </c>
      <c r="C1039" s="464" t="s">
        <v>165</v>
      </c>
      <c r="D1039" s="464"/>
      <c r="E1039" s="464" t="s">
        <v>535</v>
      </c>
      <c r="F1039" s="464"/>
      <c r="G1039" s="464" t="s">
        <v>49</v>
      </c>
      <c r="H1039" s="464" t="s">
        <v>2705</v>
      </c>
      <c r="I1039" s="465" t="s">
        <v>537</v>
      </c>
      <c r="J1039" s="466">
        <v>191400</v>
      </c>
      <c r="K1039" s="465" t="s">
        <v>537</v>
      </c>
      <c r="L1039" s="465" t="s">
        <v>537</v>
      </c>
      <c r="M1039" s="466">
        <v>171054</v>
      </c>
      <c r="N1039" s="465" t="s">
        <v>537</v>
      </c>
      <c r="O1039" s="463" t="s">
        <v>537</v>
      </c>
      <c r="P1039" s="463" t="s">
        <v>537</v>
      </c>
      <c r="Q1039" s="468">
        <v>20346</v>
      </c>
      <c r="R1039" s="463" t="s">
        <v>643</v>
      </c>
      <c r="S1039" s="463" t="s">
        <v>2706</v>
      </c>
      <c r="T1039" s="463">
        <v>20</v>
      </c>
      <c r="U1039" s="463">
        <v>0</v>
      </c>
      <c r="V1039" s="463">
        <v>0</v>
      </c>
      <c r="W1039" s="463">
        <v>0</v>
      </c>
      <c r="X1039" s="463">
        <v>18</v>
      </c>
      <c r="Y1039" s="463">
        <v>0</v>
      </c>
      <c r="Z1039" s="463">
        <v>93.34</v>
      </c>
      <c r="AA1039" s="472" t="s">
        <v>633</v>
      </c>
      <c r="AB1039" s="463" t="s">
        <v>539</v>
      </c>
      <c r="AC1039" s="463" t="s">
        <v>539</v>
      </c>
      <c r="AD1039" s="472" t="s">
        <v>635</v>
      </c>
      <c r="AE1039" s="463" t="s">
        <v>539</v>
      </c>
      <c r="AF1039" s="463" t="s">
        <v>539</v>
      </c>
      <c r="AG1039" s="463" t="s">
        <v>375</v>
      </c>
      <c r="AH1039" s="476"/>
      <c r="AI1039" s="472" t="s">
        <v>2653</v>
      </c>
      <c r="AJ1039" s="464"/>
    </row>
    <row r="1040" spans="2:36" ht="24" hidden="1" customHeight="1">
      <c r="B1040" s="463">
        <v>855</v>
      </c>
      <c r="C1040" s="464" t="s">
        <v>165</v>
      </c>
      <c r="D1040" s="464"/>
      <c r="E1040" s="464" t="s">
        <v>535</v>
      </c>
      <c r="F1040" s="464"/>
      <c r="G1040" s="464" t="s">
        <v>49</v>
      </c>
      <c r="H1040" s="464" t="s">
        <v>2707</v>
      </c>
      <c r="I1040" s="465" t="s">
        <v>537</v>
      </c>
      <c r="J1040" s="466">
        <v>117000</v>
      </c>
      <c r="K1040" s="465" t="s">
        <v>537</v>
      </c>
      <c r="L1040" s="465" t="s">
        <v>537</v>
      </c>
      <c r="M1040" s="466">
        <v>63168</v>
      </c>
      <c r="N1040" s="465" t="s">
        <v>537</v>
      </c>
      <c r="O1040" s="463" t="s">
        <v>537</v>
      </c>
      <c r="P1040" s="463" t="s">
        <v>537</v>
      </c>
      <c r="Q1040" s="468">
        <v>53832</v>
      </c>
      <c r="R1040" s="470">
        <v>241640</v>
      </c>
      <c r="S1040" s="463" t="s">
        <v>2708</v>
      </c>
      <c r="T1040" s="463">
        <v>24</v>
      </c>
      <c r="U1040" s="463">
        <v>6</v>
      </c>
      <c r="V1040" s="463">
        <v>0</v>
      </c>
      <c r="W1040" s="463">
        <v>7</v>
      </c>
      <c r="X1040" s="463">
        <v>8</v>
      </c>
      <c r="Y1040" s="463">
        <v>0</v>
      </c>
      <c r="Z1040" s="463">
        <v>92.85</v>
      </c>
      <c r="AA1040" s="472" t="s">
        <v>2709</v>
      </c>
      <c r="AB1040" s="463" t="s">
        <v>539</v>
      </c>
      <c r="AC1040" s="463" t="s">
        <v>539</v>
      </c>
      <c r="AD1040" s="472" t="s">
        <v>2710</v>
      </c>
      <c r="AE1040" s="463">
        <v>1</v>
      </c>
      <c r="AF1040" s="463">
        <v>2</v>
      </c>
      <c r="AG1040" s="463" t="s">
        <v>375</v>
      </c>
      <c r="AH1040" s="476"/>
      <c r="AI1040" s="472" t="s">
        <v>2711</v>
      </c>
      <c r="AJ1040" s="464"/>
    </row>
    <row r="1041" spans="1:36" ht="24" hidden="1" customHeight="1">
      <c r="B1041" s="463">
        <v>856</v>
      </c>
      <c r="C1041" s="464" t="s">
        <v>165</v>
      </c>
      <c r="D1041" s="464"/>
      <c r="E1041" s="464" t="s">
        <v>535</v>
      </c>
      <c r="F1041" s="464"/>
      <c r="G1041" s="464" t="s">
        <v>49</v>
      </c>
      <c r="H1041" s="464" t="s">
        <v>2712</v>
      </c>
      <c r="I1041" s="465" t="s">
        <v>537</v>
      </c>
      <c r="J1041" s="466">
        <v>24000</v>
      </c>
      <c r="K1041" s="465" t="s">
        <v>537</v>
      </c>
      <c r="L1041" s="465" t="s">
        <v>537</v>
      </c>
      <c r="M1041" s="466">
        <v>22000</v>
      </c>
      <c r="N1041" s="465" t="s">
        <v>537</v>
      </c>
      <c r="O1041" s="463" t="s">
        <v>537</v>
      </c>
      <c r="P1041" s="463" t="s">
        <v>537</v>
      </c>
      <c r="Q1041" s="468">
        <v>2000</v>
      </c>
      <c r="R1041" s="470">
        <v>241487</v>
      </c>
      <c r="S1041" s="471">
        <v>22362</v>
      </c>
      <c r="T1041" s="463">
        <v>60</v>
      </c>
      <c r="U1041" s="463">
        <v>15</v>
      </c>
      <c r="V1041" s="463">
        <v>15</v>
      </c>
      <c r="W1041" s="463">
        <v>71</v>
      </c>
      <c r="X1041" s="463">
        <v>25</v>
      </c>
      <c r="Y1041" s="463">
        <v>0</v>
      </c>
      <c r="Z1041" s="463">
        <v>91.11</v>
      </c>
      <c r="AA1041" s="472" t="s">
        <v>1304</v>
      </c>
      <c r="AB1041" s="463" t="s">
        <v>539</v>
      </c>
      <c r="AC1041" s="463" t="s">
        <v>539</v>
      </c>
      <c r="AD1041" s="472" t="s">
        <v>606</v>
      </c>
      <c r="AE1041" s="463">
        <v>80</v>
      </c>
      <c r="AF1041" s="463">
        <v>93.72</v>
      </c>
      <c r="AG1041" s="463" t="s">
        <v>375</v>
      </c>
      <c r="AH1041" s="476"/>
      <c r="AI1041" s="472" t="s">
        <v>2713</v>
      </c>
      <c r="AJ1041" s="464"/>
    </row>
    <row r="1042" spans="1:36" ht="24" hidden="1" customHeight="1">
      <c r="B1042" s="463">
        <v>857</v>
      </c>
      <c r="C1042" s="464" t="s">
        <v>165</v>
      </c>
      <c r="D1042" s="464"/>
      <c r="E1042" s="464" t="s">
        <v>535</v>
      </c>
      <c r="F1042" s="464"/>
      <c r="G1042" s="464" t="s">
        <v>49</v>
      </c>
      <c r="H1042" s="464" t="s">
        <v>2714</v>
      </c>
      <c r="I1042" s="465" t="s">
        <v>537</v>
      </c>
      <c r="J1042" s="466">
        <v>110000</v>
      </c>
      <c r="K1042" s="465" t="s">
        <v>537</v>
      </c>
      <c r="L1042" s="465" t="s">
        <v>537</v>
      </c>
      <c r="M1042" s="466">
        <v>88981.25</v>
      </c>
      <c r="N1042" s="465" t="s">
        <v>537</v>
      </c>
      <c r="O1042" s="463" t="s">
        <v>537</v>
      </c>
      <c r="P1042" s="463" t="s">
        <v>537</v>
      </c>
      <c r="Q1042" s="468">
        <v>21019</v>
      </c>
      <c r="R1042" s="463" t="s">
        <v>747</v>
      </c>
      <c r="S1042" s="463" t="s">
        <v>1064</v>
      </c>
      <c r="T1042" s="463">
        <v>0</v>
      </c>
      <c r="U1042" s="463">
        <v>0</v>
      </c>
      <c r="V1042" s="463">
        <v>250</v>
      </c>
      <c r="W1042" s="463">
        <v>0</v>
      </c>
      <c r="X1042" s="463">
        <v>0</v>
      </c>
      <c r="Y1042" s="463">
        <v>0</v>
      </c>
      <c r="Z1042" s="463">
        <v>90</v>
      </c>
      <c r="AA1042" s="472" t="s">
        <v>2715</v>
      </c>
      <c r="AB1042" s="463" t="s">
        <v>539</v>
      </c>
      <c r="AC1042" s="463" t="s">
        <v>539</v>
      </c>
      <c r="AD1042" s="472" t="s">
        <v>1016</v>
      </c>
      <c r="AE1042" s="463">
        <v>80</v>
      </c>
      <c r="AF1042" s="463">
        <v>90</v>
      </c>
      <c r="AG1042" s="463" t="s">
        <v>375</v>
      </c>
      <c r="AH1042" s="476"/>
      <c r="AI1042" s="472" t="s">
        <v>2653</v>
      </c>
      <c r="AJ1042" s="464"/>
    </row>
    <row r="1043" spans="1:36" ht="24" hidden="1" customHeight="1">
      <c r="B1043" s="463">
        <v>858</v>
      </c>
      <c r="C1043" s="464" t="s">
        <v>165</v>
      </c>
      <c r="D1043" s="464"/>
      <c r="E1043" s="464" t="s">
        <v>535</v>
      </c>
      <c r="F1043" s="464"/>
      <c r="G1043" s="464" t="s">
        <v>49</v>
      </c>
      <c r="H1043" s="464" t="s">
        <v>2716</v>
      </c>
      <c r="I1043" s="465" t="s">
        <v>537</v>
      </c>
      <c r="J1043" s="466">
        <v>30000</v>
      </c>
      <c r="K1043" s="465" t="s">
        <v>537</v>
      </c>
      <c r="L1043" s="465" t="s">
        <v>537</v>
      </c>
      <c r="M1043" s="466">
        <v>29945</v>
      </c>
      <c r="N1043" s="465" t="s">
        <v>537</v>
      </c>
      <c r="O1043" s="463" t="s">
        <v>537</v>
      </c>
      <c r="P1043" s="463" t="s">
        <v>537</v>
      </c>
      <c r="Q1043" s="465">
        <v>55</v>
      </c>
      <c r="R1043" s="470">
        <v>241459</v>
      </c>
      <c r="S1043" s="471">
        <v>22321</v>
      </c>
      <c r="T1043" s="463">
        <v>60</v>
      </c>
      <c r="U1043" s="463">
        <v>8</v>
      </c>
      <c r="V1043" s="463">
        <v>38</v>
      </c>
      <c r="W1043" s="463">
        <v>122</v>
      </c>
      <c r="X1043" s="463">
        <v>24</v>
      </c>
      <c r="Y1043" s="463">
        <v>56</v>
      </c>
      <c r="Z1043" s="463">
        <v>92</v>
      </c>
      <c r="AA1043" s="472" t="s">
        <v>1304</v>
      </c>
      <c r="AB1043" s="463" t="s">
        <v>539</v>
      </c>
      <c r="AC1043" s="463" t="s">
        <v>539</v>
      </c>
      <c r="AD1043" s="472" t="s">
        <v>606</v>
      </c>
      <c r="AE1043" s="463">
        <v>80</v>
      </c>
      <c r="AF1043" s="463">
        <v>95</v>
      </c>
      <c r="AG1043" s="463" t="s">
        <v>375</v>
      </c>
      <c r="AH1043" s="476"/>
      <c r="AI1043" s="464"/>
      <c r="AJ1043" s="464"/>
    </row>
    <row r="1044" spans="1:36" ht="24" hidden="1" customHeight="1">
      <c r="B1044" s="463">
        <v>859</v>
      </c>
      <c r="C1044" s="464" t="s">
        <v>165</v>
      </c>
      <c r="D1044" s="464"/>
      <c r="E1044" s="464" t="s">
        <v>535</v>
      </c>
      <c r="F1044" s="464"/>
      <c r="G1044" s="464" t="s">
        <v>49</v>
      </c>
      <c r="H1044" s="464" t="s">
        <v>2717</v>
      </c>
      <c r="I1044" s="465" t="s">
        <v>537</v>
      </c>
      <c r="J1044" s="466">
        <v>70000</v>
      </c>
      <c r="K1044" s="465" t="s">
        <v>537</v>
      </c>
      <c r="L1044" s="465" t="s">
        <v>537</v>
      </c>
      <c r="M1044" s="466">
        <v>70000</v>
      </c>
      <c r="N1044" s="465" t="s">
        <v>537</v>
      </c>
      <c r="O1044" s="463" t="s">
        <v>537</v>
      </c>
      <c r="P1044" s="463" t="s">
        <v>537</v>
      </c>
      <c r="Q1044" s="465">
        <v>0</v>
      </c>
      <c r="R1044" s="470">
        <v>241609</v>
      </c>
      <c r="S1044" s="471">
        <v>22494</v>
      </c>
      <c r="T1044" s="463">
        <v>59</v>
      </c>
      <c r="U1044" s="463">
        <v>6</v>
      </c>
      <c r="V1044" s="463">
        <v>7</v>
      </c>
      <c r="W1044" s="463">
        <v>59</v>
      </c>
      <c r="X1044" s="463">
        <v>7</v>
      </c>
      <c r="Y1044" s="463">
        <v>7</v>
      </c>
      <c r="Z1044" s="463">
        <v>92.19</v>
      </c>
      <c r="AA1044" s="472" t="s">
        <v>1304</v>
      </c>
      <c r="AB1044" s="463" t="s">
        <v>539</v>
      </c>
      <c r="AC1044" s="463" t="s">
        <v>539</v>
      </c>
      <c r="AD1044" s="472" t="s">
        <v>606</v>
      </c>
      <c r="AE1044" s="463">
        <v>80</v>
      </c>
      <c r="AF1044" s="463">
        <v>91.32</v>
      </c>
      <c r="AG1044" s="463" t="s">
        <v>375</v>
      </c>
      <c r="AH1044" s="476"/>
      <c r="AI1044" s="472" t="s">
        <v>2640</v>
      </c>
      <c r="AJ1044" s="464"/>
    </row>
    <row r="1045" spans="1:36" ht="24" hidden="1" customHeight="1">
      <c r="B1045" s="463">
        <v>860</v>
      </c>
      <c r="C1045" s="464" t="s">
        <v>165</v>
      </c>
      <c r="D1045" s="464"/>
      <c r="E1045" s="464" t="s">
        <v>535</v>
      </c>
      <c r="F1045" s="464"/>
      <c r="G1045" s="464" t="s">
        <v>49</v>
      </c>
      <c r="H1045" s="464" t="s">
        <v>2718</v>
      </c>
      <c r="I1045" s="465" t="s">
        <v>537</v>
      </c>
      <c r="J1045" s="466">
        <v>26500</v>
      </c>
      <c r="K1045" s="465" t="s">
        <v>537</v>
      </c>
      <c r="L1045" s="465" t="s">
        <v>537</v>
      </c>
      <c r="M1045" s="466">
        <v>26500</v>
      </c>
      <c r="N1045" s="465" t="s">
        <v>537</v>
      </c>
      <c r="O1045" s="463" t="s">
        <v>537</v>
      </c>
      <c r="P1045" s="463" t="s">
        <v>537</v>
      </c>
      <c r="Q1045" s="465">
        <v>0</v>
      </c>
      <c r="R1045" s="463" t="s">
        <v>646</v>
      </c>
      <c r="S1045" s="463" t="s">
        <v>2719</v>
      </c>
      <c r="T1045" s="463">
        <v>190</v>
      </c>
      <c r="U1045" s="463">
        <v>10</v>
      </c>
      <c r="V1045" s="463">
        <v>0</v>
      </c>
      <c r="W1045" s="463">
        <v>182</v>
      </c>
      <c r="X1045" s="463">
        <v>22</v>
      </c>
      <c r="Y1045" s="463">
        <v>0</v>
      </c>
      <c r="Z1045" s="463">
        <v>91.1</v>
      </c>
      <c r="AA1045" s="472" t="s">
        <v>1304</v>
      </c>
      <c r="AB1045" s="463" t="s">
        <v>539</v>
      </c>
      <c r="AC1045" s="463" t="s">
        <v>539</v>
      </c>
      <c r="AD1045" s="472" t="s">
        <v>606</v>
      </c>
      <c r="AE1045" s="463">
        <v>80</v>
      </c>
      <c r="AF1045" s="463">
        <v>91.1</v>
      </c>
      <c r="AG1045" s="463" t="s">
        <v>375</v>
      </c>
      <c r="AH1045" s="476"/>
      <c r="AI1045" s="472" t="s">
        <v>2720</v>
      </c>
      <c r="AJ1045" s="464"/>
    </row>
    <row r="1046" spans="1:36" ht="24" hidden="1" customHeight="1">
      <c r="B1046" s="463">
        <v>861</v>
      </c>
      <c r="C1046" s="464" t="s">
        <v>165</v>
      </c>
      <c r="D1046" s="464"/>
      <c r="E1046" s="464" t="s">
        <v>535</v>
      </c>
      <c r="F1046" s="464"/>
      <c r="G1046" s="464" t="s">
        <v>49</v>
      </c>
      <c r="H1046" s="464" t="s">
        <v>669</v>
      </c>
      <c r="I1046" s="465" t="s">
        <v>537</v>
      </c>
      <c r="J1046" s="466">
        <v>200000</v>
      </c>
      <c r="K1046" s="465" t="s">
        <v>537</v>
      </c>
      <c r="L1046" s="465" t="s">
        <v>537</v>
      </c>
      <c r="M1046" s="466">
        <v>200000</v>
      </c>
      <c r="N1046" s="465" t="s">
        <v>537</v>
      </c>
      <c r="O1046" s="463" t="s">
        <v>537</v>
      </c>
      <c r="P1046" s="463" t="s">
        <v>537</v>
      </c>
      <c r="Q1046" s="465">
        <v>0</v>
      </c>
      <c r="R1046" s="463" t="s">
        <v>727</v>
      </c>
      <c r="S1046" s="471">
        <v>22498</v>
      </c>
      <c r="T1046" s="463">
        <v>100</v>
      </c>
      <c r="U1046" s="463">
        <v>15</v>
      </c>
      <c r="V1046" s="463">
        <v>0</v>
      </c>
      <c r="W1046" s="463">
        <v>100</v>
      </c>
      <c r="X1046" s="463">
        <v>15</v>
      </c>
      <c r="Y1046" s="463">
        <v>0</v>
      </c>
      <c r="Z1046" s="463">
        <v>83.81</v>
      </c>
      <c r="AA1046" s="472" t="s">
        <v>728</v>
      </c>
      <c r="AB1046" s="463">
        <v>1</v>
      </c>
      <c r="AC1046" s="463">
        <v>1</v>
      </c>
      <c r="AD1046" s="472" t="s">
        <v>729</v>
      </c>
      <c r="AE1046" s="463">
        <v>1</v>
      </c>
      <c r="AF1046" s="463">
        <v>1</v>
      </c>
      <c r="AG1046" s="463" t="s">
        <v>375</v>
      </c>
      <c r="AH1046" s="476"/>
      <c r="AI1046" s="472" t="s">
        <v>2618</v>
      </c>
      <c r="AJ1046" s="464"/>
    </row>
    <row r="1047" spans="1:36" ht="24" hidden="1" customHeight="1">
      <c r="B1047" s="463">
        <v>862</v>
      </c>
      <c r="C1047" s="464" t="s">
        <v>165</v>
      </c>
      <c r="D1047" s="464"/>
      <c r="E1047" s="464" t="s">
        <v>535</v>
      </c>
      <c r="F1047" s="464"/>
      <c r="G1047" s="464" t="s">
        <v>49</v>
      </c>
      <c r="H1047" s="464" t="s">
        <v>668</v>
      </c>
      <c r="I1047" s="465" t="s">
        <v>537</v>
      </c>
      <c r="J1047" s="466">
        <v>15000</v>
      </c>
      <c r="K1047" s="465" t="s">
        <v>537</v>
      </c>
      <c r="L1047" s="465" t="s">
        <v>537</v>
      </c>
      <c r="M1047" s="466">
        <v>15000</v>
      </c>
      <c r="N1047" s="465" t="s">
        <v>537</v>
      </c>
      <c r="O1047" s="463" t="s">
        <v>537</v>
      </c>
      <c r="P1047" s="463" t="s">
        <v>537</v>
      </c>
      <c r="Q1047" s="465">
        <v>0</v>
      </c>
      <c r="R1047" s="470">
        <v>241487</v>
      </c>
      <c r="S1047" s="471">
        <v>22359</v>
      </c>
      <c r="T1047" s="463">
        <v>350</v>
      </c>
      <c r="U1047" s="463">
        <v>30</v>
      </c>
      <c r="V1047" s="463">
        <v>0</v>
      </c>
      <c r="W1047" s="463">
        <v>323</v>
      </c>
      <c r="X1047" s="463">
        <v>58</v>
      </c>
      <c r="Y1047" s="463">
        <v>0</v>
      </c>
      <c r="Z1047" s="463">
        <v>89.42</v>
      </c>
      <c r="AA1047" s="472" t="s">
        <v>547</v>
      </c>
      <c r="AB1047" s="463" t="s">
        <v>539</v>
      </c>
      <c r="AC1047" s="463" t="s">
        <v>539</v>
      </c>
      <c r="AD1047" s="472" t="s">
        <v>2702</v>
      </c>
      <c r="AE1047" s="463">
        <v>80</v>
      </c>
      <c r="AF1047" s="463">
        <v>88.83</v>
      </c>
      <c r="AG1047" s="463" t="s">
        <v>375</v>
      </c>
      <c r="AH1047" s="476"/>
      <c r="AI1047" s="472" t="s">
        <v>2618</v>
      </c>
      <c r="AJ1047" s="464"/>
    </row>
    <row r="1048" spans="1:36" ht="24" hidden="1" customHeight="1">
      <c r="B1048" s="463">
        <v>863</v>
      </c>
      <c r="C1048" s="464" t="s">
        <v>165</v>
      </c>
      <c r="D1048" s="464"/>
      <c r="E1048" s="464" t="s">
        <v>535</v>
      </c>
      <c r="F1048" s="464"/>
      <c r="G1048" s="464" t="s">
        <v>49</v>
      </c>
      <c r="H1048" s="464" t="s">
        <v>2721</v>
      </c>
      <c r="I1048" s="465" t="s">
        <v>537</v>
      </c>
      <c r="J1048" s="466">
        <v>200000</v>
      </c>
      <c r="K1048" s="465" t="s">
        <v>537</v>
      </c>
      <c r="L1048" s="465" t="s">
        <v>537</v>
      </c>
      <c r="M1048" s="466">
        <v>191525</v>
      </c>
      <c r="N1048" s="465" t="s">
        <v>537</v>
      </c>
      <c r="O1048" s="463" t="s">
        <v>537</v>
      </c>
      <c r="P1048" s="463" t="s">
        <v>537</v>
      </c>
      <c r="Q1048" s="468">
        <v>8475</v>
      </c>
      <c r="R1048" s="470">
        <v>241459</v>
      </c>
      <c r="S1048" s="463" t="s">
        <v>666</v>
      </c>
      <c r="T1048" s="463">
        <v>33</v>
      </c>
      <c r="U1048" s="463">
        <v>15</v>
      </c>
      <c r="V1048" s="463">
        <v>0</v>
      </c>
      <c r="W1048" s="463">
        <v>30</v>
      </c>
      <c r="X1048" s="463">
        <v>18</v>
      </c>
      <c r="Y1048" s="463">
        <v>0</v>
      </c>
      <c r="Z1048" s="463">
        <v>91.04</v>
      </c>
      <c r="AA1048" s="472" t="s">
        <v>2722</v>
      </c>
      <c r="AB1048" s="463">
        <v>1</v>
      </c>
      <c r="AC1048" s="463">
        <v>15</v>
      </c>
      <c r="AD1048" s="472" t="s">
        <v>729</v>
      </c>
      <c r="AE1048" s="463">
        <v>1</v>
      </c>
      <c r="AF1048" s="463">
        <v>1</v>
      </c>
      <c r="AG1048" s="463" t="s">
        <v>375</v>
      </c>
      <c r="AH1048" s="476"/>
      <c r="AI1048" s="472" t="s">
        <v>2637</v>
      </c>
      <c r="AJ1048" s="464"/>
    </row>
    <row r="1049" spans="1:36" ht="24" customHeight="1">
      <c r="A1049" s="452">
        <v>148</v>
      </c>
      <c r="B1049" s="701">
        <v>864</v>
      </c>
      <c r="C1049" s="699" t="s">
        <v>337</v>
      </c>
      <c r="D1049" s="699"/>
      <c r="E1049" s="699" t="s">
        <v>545</v>
      </c>
      <c r="F1049" s="699"/>
      <c r="G1049" s="699" t="s">
        <v>49</v>
      </c>
      <c r="H1049" s="699" t="s">
        <v>2723</v>
      </c>
      <c r="I1049" s="712">
        <v>26000</v>
      </c>
      <c r="J1049" s="709" t="s">
        <v>537</v>
      </c>
      <c r="K1049" s="709" t="s">
        <v>537</v>
      </c>
      <c r="L1049" s="712">
        <v>25992</v>
      </c>
      <c r="M1049" s="709" t="s">
        <v>537</v>
      </c>
      <c r="N1049" s="709" t="s">
        <v>537</v>
      </c>
      <c r="O1049" s="701" t="s">
        <v>537</v>
      </c>
      <c r="P1049" s="701" t="s">
        <v>537</v>
      </c>
      <c r="Q1049" s="709">
        <v>8</v>
      </c>
      <c r="R1049" s="707">
        <v>241518</v>
      </c>
      <c r="S1049" s="721">
        <v>22390</v>
      </c>
      <c r="T1049" s="701">
        <v>0</v>
      </c>
      <c r="U1049" s="701">
        <v>3</v>
      </c>
      <c r="V1049" s="701">
        <v>35</v>
      </c>
      <c r="W1049" s="701">
        <v>0</v>
      </c>
      <c r="X1049" s="701">
        <v>10</v>
      </c>
      <c r="Y1049" s="701">
        <v>31</v>
      </c>
      <c r="Z1049" s="701">
        <v>86.1</v>
      </c>
      <c r="AA1049" s="458" t="s">
        <v>1074</v>
      </c>
      <c r="AB1049" s="459" t="s">
        <v>539</v>
      </c>
      <c r="AC1049" s="459" t="s">
        <v>539</v>
      </c>
      <c r="AD1049" s="697" t="s">
        <v>2724</v>
      </c>
      <c r="AE1049" s="701">
        <v>80</v>
      </c>
      <c r="AF1049" s="701">
        <v>85.69</v>
      </c>
      <c r="AG1049" s="701" t="s">
        <v>375</v>
      </c>
      <c r="AH1049" s="728"/>
      <c r="AI1049" s="697" t="s">
        <v>2640</v>
      </c>
      <c r="AJ1049" s="699"/>
    </row>
    <row r="1050" spans="1:36" ht="24" hidden="1" customHeight="1">
      <c r="B1050" s="702"/>
      <c r="C1050" s="700"/>
      <c r="D1050" s="700"/>
      <c r="E1050" s="700"/>
      <c r="F1050" s="700"/>
      <c r="G1050" s="700"/>
      <c r="H1050" s="700"/>
      <c r="I1050" s="713"/>
      <c r="J1050" s="710"/>
      <c r="K1050" s="710"/>
      <c r="L1050" s="713"/>
      <c r="M1050" s="710"/>
      <c r="N1050" s="710"/>
      <c r="O1050" s="702"/>
      <c r="P1050" s="702"/>
      <c r="Q1050" s="710"/>
      <c r="R1050" s="708"/>
      <c r="S1050" s="722"/>
      <c r="T1050" s="702"/>
      <c r="U1050" s="702"/>
      <c r="V1050" s="702"/>
      <c r="W1050" s="702"/>
      <c r="X1050" s="702"/>
      <c r="Y1050" s="702"/>
      <c r="Z1050" s="702"/>
      <c r="AA1050" s="473" t="s">
        <v>2725</v>
      </c>
      <c r="AB1050" s="474" t="s">
        <v>539</v>
      </c>
      <c r="AC1050" s="474" t="s">
        <v>539</v>
      </c>
      <c r="AD1050" s="698"/>
      <c r="AE1050" s="702"/>
      <c r="AF1050" s="702"/>
      <c r="AG1050" s="702"/>
      <c r="AH1050" s="729"/>
      <c r="AI1050" s="698"/>
      <c r="AJ1050" s="700"/>
    </row>
    <row r="1051" spans="1:36" ht="24" customHeight="1">
      <c r="A1051" s="452">
        <v>149</v>
      </c>
      <c r="B1051" s="463">
        <v>865</v>
      </c>
      <c r="C1051" s="464" t="s">
        <v>337</v>
      </c>
      <c r="D1051" s="464"/>
      <c r="E1051" s="464" t="s">
        <v>545</v>
      </c>
      <c r="F1051" s="464"/>
      <c r="G1051" s="464" t="s">
        <v>49</v>
      </c>
      <c r="H1051" s="464" t="s">
        <v>2726</v>
      </c>
      <c r="I1051" s="466">
        <v>10000</v>
      </c>
      <c r="J1051" s="465" t="s">
        <v>537</v>
      </c>
      <c r="K1051" s="465" t="s">
        <v>537</v>
      </c>
      <c r="L1051" s="466">
        <v>10000</v>
      </c>
      <c r="M1051" s="465" t="s">
        <v>537</v>
      </c>
      <c r="N1051" s="465" t="s">
        <v>537</v>
      </c>
      <c r="O1051" s="463" t="s">
        <v>537</v>
      </c>
      <c r="P1051" s="463" t="s">
        <v>537</v>
      </c>
      <c r="Q1051" s="465">
        <v>0</v>
      </c>
      <c r="R1051" s="470">
        <v>241428</v>
      </c>
      <c r="S1051" s="471">
        <v>22305</v>
      </c>
      <c r="T1051" s="463">
        <v>0</v>
      </c>
      <c r="U1051" s="463">
        <v>3</v>
      </c>
      <c r="V1051" s="463">
        <v>30</v>
      </c>
      <c r="W1051" s="463">
        <v>0</v>
      </c>
      <c r="X1051" s="463">
        <v>16</v>
      </c>
      <c r="Y1051" s="463">
        <v>30</v>
      </c>
      <c r="Z1051" s="463">
        <v>86.56</v>
      </c>
      <c r="AA1051" s="472" t="s">
        <v>1074</v>
      </c>
      <c r="AB1051" s="463" t="s">
        <v>539</v>
      </c>
      <c r="AC1051" s="463" t="s">
        <v>539</v>
      </c>
      <c r="AD1051" s="472" t="s">
        <v>606</v>
      </c>
      <c r="AE1051" s="463">
        <v>80</v>
      </c>
      <c r="AF1051" s="463">
        <v>86.56</v>
      </c>
      <c r="AG1051" s="463" t="s">
        <v>375</v>
      </c>
      <c r="AH1051" s="476"/>
      <c r="AI1051" s="472" t="s">
        <v>2727</v>
      </c>
      <c r="AJ1051" s="464"/>
    </row>
    <row r="1052" spans="1:36" ht="24" customHeight="1">
      <c r="A1052" s="452">
        <v>150</v>
      </c>
      <c r="B1052" s="463">
        <v>866</v>
      </c>
      <c r="C1052" s="464" t="s">
        <v>337</v>
      </c>
      <c r="D1052" s="464"/>
      <c r="E1052" s="464" t="s">
        <v>545</v>
      </c>
      <c r="F1052" s="464"/>
      <c r="G1052" s="464" t="s">
        <v>49</v>
      </c>
      <c r="H1052" s="464" t="s">
        <v>2728</v>
      </c>
      <c r="I1052" s="466">
        <v>27000</v>
      </c>
      <c r="J1052" s="465" t="s">
        <v>537</v>
      </c>
      <c r="K1052" s="465" t="s">
        <v>537</v>
      </c>
      <c r="L1052" s="466">
        <v>26200</v>
      </c>
      <c r="M1052" s="465" t="s">
        <v>537</v>
      </c>
      <c r="N1052" s="465" t="s">
        <v>537</v>
      </c>
      <c r="O1052" s="463" t="s">
        <v>537</v>
      </c>
      <c r="P1052" s="463" t="s">
        <v>537</v>
      </c>
      <c r="Q1052" s="465">
        <v>800</v>
      </c>
      <c r="R1052" s="470">
        <v>241487</v>
      </c>
      <c r="S1052" s="471">
        <v>22367</v>
      </c>
      <c r="T1052" s="463">
        <v>0</v>
      </c>
      <c r="U1052" s="463">
        <v>2</v>
      </c>
      <c r="V1052" s="463">
        <v>20</v>
      </c>
      <c r="W1052" s="463">
        <v>0</v>
      </c>
      <c r="X1052" s="463">
        <v>8</v>
      </c>
      <c r="Y1052" s="463">
        <v>23</v>
      </c>
      <c r="Z1052" s="463">
        <v>93.82</v>
      </c>
      <c r="AA1052" s="472" t="s">
        <v>1074</v>
      </c>
      <c r="AB1052" s="463" t="s">
        <v>539</v>
      </c>
      <c r="AC1052" s="463" t="s">
        <v>539</v>
      </c>
      <c r="AD1052" s="472" t="s">
        <v>548</v>
      </c>
      <c r="AE1052" s="463">
        <v>80</v>
      </c>
      <c r="AF1052" s="463">
        <v>94.91</v>
      </c>
      <c r="AG1052" s="463" t="s">
        <v>375</v>
      </c>
      <c r="AH1052" s="476"/>
      <c r="AI1052" s="472" t="s">
        <v>2729</v>
      </c>
      <c r="AJ1052" s="464"/>
    </row>
    <row r="1053" spans="1:36" ht="24" customHeight="1">
      <c r="A1053" s="452">
        <v>151</v>
      </c>
      <c r="B1053" s="701">
        <v>867</v>
      </c>
      <c r="C1053" s="699" t="s">
        <v>337</v>
      </c>
      <c r="D1053" s="699"/>
      <c r="E1053" s="699" t="s">
        <v>545</v>
      </c>
      <c r="F1053" s="699"/>
      <c r="G1053" s="699" t="s">
        <v>49</v>
      </c>
      <c r="H1053" s="699" t="s">
        <v>2730</v>
      </c>
      <c r="I1053" s="712">
        <v>25000</v>
      </c>
      <c r="J1053" s="709" t="s">
        <v>537</v>
      </c>
      <c r="K1053" s="709" t="s">
        <v>537</v>
      </c>
      <c r="L1053" s="712">
        <v>25000</v>
      </c>
      <c r="M1053" s="709" t="s">
        <v>537</v>
      </c>
      <c r="N1053" s="709" t="s">
        <v>537</v>
      </c>
      <c r="O1053" s="701" t="s">
        <v>537</v>
      </c>
      <c r="P1053" s="701" t="s">
        <v>537</v>
      </c>
      <c r="Q1053" s="709">
        <v>0</v>
      </c>
      <c r="R1053" s="701" t="s">
        <v>643</v>
      </c>
      <c r="S1053" s="701" t="s">
        <v>2105</v>
      </c>
      <c r="T1053" s="701">
        <v>0</v>
      </c>
      <c r="U1053" s="701">
        <v>3</v>
      </c>
      <c r="V1053" s="701">
        <v>30</v>
      </c>
      <c r="W1053" s="701">
        <v>0</v>
      </c>
      <c r="X1053" s="701">
        <v>9</v>
      </c>
      <c r="Y1053" s="701">
        <v>42</v>
      </c>
      <c r="Z1053" s="701">
        <v>93.82</v>
      </c>
      <c r="AA1053" s="458" t="s">
        <v>1074</v>
      </c>
      <c r="AB1053" s="459" t="s">
        <v>539</v>
      </c>
      <c r="AC1053" s="459" t="s">
        <v>539</v>
      </c>
      <c r="AD1053" s="458" t="s">
        <v>548</v>
      </c>
      <c r="AE1053" s="459">
        <v>80</v>
      </c>
      <c r="AF1053" s="459">
        <v>94.24</v>
      </c>
      <c r="AG1053" s="701" t="s">
        <v>375</v>
      </c>
      <c r="AH1053" s="728"/>
      <c r="AI1053" s="697" t="s">
        <v>2685</v>
      </c>
      <c r="AJ1053" s="699"/>
    </row>
    <row r="1054" spans="1:36" ht="24" hidden="1" customHeight="1">
      <c r="B1054" s="715"/>
      <c r="C1054" s="714"/>
      <c r="D1054" s="714"/>
      <c r="E1054" s="714"/>
      <c r="F1054" s="714"/>
      <c r="G1054" s="714"/>
      <c r="H1054" s="714"/>
      <c r="I1054" s="720"/>
      <c r="J1054" s="717"/>
      <c r="K1054" s="717"/>
      <c r="L1054" s="720"/>
      <c r="M1054" s="717"/>
      <c r="N1054" s="717"/>
      <c r="O1054" s="715"/>
      <c r="P1054" s="715"/>
      <c r="Q1054" s="717"/>
      <c r="R1054" s="715"/>
      <c r="S1054" s="715"/>
      <c r="T1054" s="715"/>
      <c r="U1054" s="715"/>
      <c r="V1054" s="715"/>
      <c r="W1054" s="715"/>
      <c r="X1054" s="715"/>
      <c r="Y1054" s="715"/>
      <c r="Z1054" s="715"/>
      <c r="AA1054" s="460" t="s">
        <v>2731</v>
      </c>
      <c r="AB1054" s="461" t="s">
        <v>539</v>
      </c>
      <c r="AC1054" s="461" t="s">
        <v>539</v>
      </c>
      <c r="AD1054" s="460" t="s">
        <v>2732</v>
      </c>
      <c r="AE1054" s="461" t="s">
        <v>539</v>
      </c>
      <c r="AF1054" s="461" t="s">
        <v>539</v>
      </c>
      <c r="AG1054" s="715"/>
      <c r="AH1054" s="730"/>
      <c r="AI1054" s="711"/>
      <c r="AJ1054" s="714"/>
    </row>
    <row r="1055" spans="1:36" ht="24" hidden="1" customHeight="1">
      <c r="B1055" s="702"/>
      <c r="C1055" s="700"/>
      <c r="D1055" s="700"/>
      <c r="E1055" s="700"/>
      <c r="F1055" s="700"/>
      <c r="G1055" s="700"/>
      <c r="H1055" s="700"/>
      <c r="I1055" s="713"/>
      <c r="J1055" s="710"/>
      <c r="K1055" s="710"/>
      <c r="L1055" s="713"/>
      <c r="M1055" s="710"/>
      <c r="N1055" s="710"/>
      <c r="O1055" s="702"/>
      <c r="P1055" s="702"/>
      <c r="Q1055" s="710"/>
      <c r="R1055" s="702"/>
      <c r="S1055" s="702"/>
      <c r="T1055" s="702"/>
      <c r="U1055" s="702"/>
      <c r="V1055" s="702"/>
      <c r="W1055" s="702"/>
      <c r="X1055" s="702"/>
      <c r="Y1055" s="702"/>
      <c r="Z1055" s="702"/>
      <c r="AA1055" s="462"/>
      <c r="AB1055" s="462"/>
      <c r="AC1055" s="462"/>
      <c r="AD1055" s="473" t="s">
        <v>2733</v>
      </c>
      <c r="AE1055" s="474" t="s">
        <v>539</v>
      </c>
      <c r="AF1055" s="474" t="s">
        <v>539</v>
      </c>
      <c r="AG1055" s="702"/>
      <c r="AH1055" s="729"/>
      <c r="AI1055" s="698"/>
      <c r="AJ1055" s="700"/>
    </row>
    <row r="1056" spans="1:36" ht="24" customHeight="1">
      <c r="A1056" s="452">
        <v>152</v>
      </c>
      <c r="B1056" s="701">
        <v>868</v>
      </c>
      <c r="C1056" s="699" t="s">
        <v>337</v>
      </c>
      <c r="D1056" s="699"/>
      <c r="E1056" s="699" t="s">
        <v>545</v>
      </c>
      <c r="F1056" s="699"/>
      <c r="G1056" s="699" t="s">
        <v>49</v>
      </c>
      <c r="H1056" s="699" t="s">
        <v>2734</v>
      </c>
      <c r="I1056" s="712">
        <v>35000</v>
      </c>
      <c r="J1056" s="709" t="s">
        <v>537</v>
      </c>
      <c r="K1056" s="709" t="s">
        <v>537</v>
      </c>
      <c r="L1056" s="712">
        <v>35000</v>
      </c>
      <c r="M1056" s="709" t="s">
        <v>537</v>
      </c>
      <c r="N1056" s="709" t="s">
        <v>537</v>
      </c>
      <c r="O1056" s="701" t="s">
        <v>537</v>
      </c>
      <c r="P1056" s="701" t="s">
        <v>537</v>
      </c>
      <c r="Q1056" s="709">
        <v>0</v>
      </c>
      <c r="R1056" s="701" t="s">
        <v>643</v>
      </c>
      <c r="S1056" s="701" t="s">
        <v>2735</v>
      </c>
      <c r="T1056" s="701">
        <v>0</v>
      </c>
      <c r="U1056" s="701">
        <v>3</v>
      </c>
      <c r="V1056" s="701">
        <v>30</v>
      </c>
      <c r="W1056" s="701">
        <v>0</v>
      </c>
      <c r="X1056" s="701">
        <v>5</v>
      </c>
      <c r="Y1056" s="701">
        <v>30</v>
      </c>
      <c r="Z1056" s="701">
        <v>96.17</v>
      </c>
      <c r="AA1056" s="697" t="s">
        <v>1074</v>
      </c>
      <c r="AB1056" s="701" t="s">
        <v>539</v>
      </c>
      <c r="AC1056" s="701" t="s">
        <v>539</v>
      </c>
      <c r="AD1056" s="458" t="s">
        <v>548</v>
      </c>
      <c r="AE1056" s="459">
        <v>80</v>
      </c>
      <c r="AF1056" s="459">
        <v>95.81</v>
      </c>
      <c r="AG1056" s="701" t="s">
        <v>375</v>
      </c>
      <c r="AH1056" s="728"/>
      <c r="AI1056" s="697" t="s">
        <v>2736</v>
      </c>
      <c r="AJ1056" s="699"/>
    </row>
    <row r="1057" spans="1:36" ht="24" hidden="1" customHeight="1">
      <c r="B1057" s="715"/>
      <c r="C1057" s="714"/>
      <c r="D1057" s="714"/>
      <c r="E1057" s="714"/>
      <c r="F1057" s="714"/>
      <c r="G1057" s="714"/>
      <c r="H1057" s="714"/>
      <c r="I1057" s="720"/>
      <c r="J1057" s="717"/>
      <c r="K1057" s="717"/>
      <c r="L1057" s="720"/>
      <c r="M1057" s="717"/>
      <c r="N1057" s="717"/>
      <c r="O1057" s="715"/>
      <c r="P1057" s="715"/>
      <c r="Q1057" s="717"/>
      <c r="R1057" s="715"/>
      <c r="S1057" s="715"/>
      <c r="T1057" s="715"/>
      <c r="U1057" s="715"/>
      <c r="V1057" s="715"/>
      <c r="W1057" s="715"/>
      <c r="X1057" s="715"/>
      <c r="Y1057" s="715"/>
      <c r="Z1057" s="715"/>
      <c r="AA1057" s="711"/>
      <c r="AB1057" s="715"/>
      <c r="AC1057" s="715"/>
      <c r="AD1057" s="460" t="s">
        <v>2737</v>
      </c>
      <c r="AE1057" s="461">
        <v>33</v>
      </c>
      <c r="AF1057" s="461">
        <v>35</v>
      </c>
      <c r="AG1057" s="715"/>
      <c r="AH1057" s="730"/>
      <c r="AI1057" s="711"/>
      <c r="AJ1057" s="714"/>
    </row>
    <row r="1058" spans="1:36" ht="24" hidden="1" customHeight="1">
      <c r="B1058" s="702"/>
      <c r="C1058" s="700"/>
      <c r="D1058" s="700"/>
      <c r="E1058" s="700"/>
      <c r="F1058" s="700"/>
      <c r="G1058" s="700"/>
      <c r="H1058" s="700"/>
      <c r="I1058" s="713"/>
      <c r="J1058" s="710"/>
      <c r="K1058" s="710"/>
      <c r="L1058" s="713"/>
      <c r="M1058" s="710"/>
      <c r="N1058" s="710"/>
      <c r="O1058" s="702"/>
      <c r="P1058" s="702"/>
      <c r="Q1058" s="710"/>
      <c r="R1058" s="702"/>
      <c r="S1058" s="702"/>
      <c r="T1058" s="702"/>
      <c r="U1058" s="702"/>
      <c r="V1058" s="702"/>
      <c r="W1058" s="702"/>
      <c r="X1058" s="702"/>
      <c r="Y1058" s="702"/>
      <c r="Z1058" s="702"/>
      <c r="AA1058" s="698"/>
      <c r="AB1058" s="702"/>
      <c r="AC1058" s="702"/>
      <c r="AD1058" s="473" t="s">
        <v>2738</v>
      </c>
      <c r="AE1058" s="474" t="s">
        <v>539</v>
      </c>
      <c r="AF1058" s="474" t="s">
        <v>539</v>
      </c>
      <c r="AG1058" s="702"/>
      <c r="AH1058" s="729"/>
      <c r="AI1058" s="698"/>
      <c r="AJ1058" s="700"/>
    </row>
    <row r="1059" spans="1:36" ht="24" customHeight="1">
      <c r="A1059" s="452">
        <v>153</v>
      </c>
      <c r="B1059" s="701">
        <v>869</v>
      </c>
      <c r="C1059" s="699" t="s">
        <v>337</v>
      </c>
      <c r="D1059" s="699"/>
      <c r="E1059" s="699" t="s">
        <v>545</v>
      </c>
      <c r="F1059" s="699"/>
      <c r="G1059" s="699" t="s">
        <v>49</v>
      </c>
      <c r="H1059" s="699" t="s">
        <v>2739</v>
      </c>
      <c r="I1059" s="712">
        <v>27000</v>
      </c>
      <c r="J1059" s="709" t="s">
        <v>537</v>
      </c>
      <c r="K1059" s="709" t="s">
        <v>537</v>
      </c>
      <c r="L1059" s="712">
        <v>27000</v>
      </c>
      <c r="M1059" s="709" t="s">
        <v>537</v>
      </c>
      <c r="N1059" s="709" t="s">
        <v>537</v>
      </c>
      <c r="O1059" s="701" t="s">
        <v>537</v>
      </c>
      <c r="P1059" s="701" t="s">
        <v>537</v>
      </c>
      <c r="Q1059" s="709">
        <v>0</v>
      </c>
      <c r="R1059" s="707">
        <v>241640</v>
      </c>
      <c r="S1059" s="701" t="s">
        <v>2599</v>
      </c>
      <c r="T1059" s="701">
        <v>0</v>
      </c>
      <c r="U1059" s="701">
        <v>2</v>
      </c>
      <c r="V1059" s="701">
        <v>20</v>
      </c>
      <c r="W1059" s="701">
        <v>0</v>
      </c>
      <c r="X1059" s="701">
        <v>6</v>
      </c>
      <c r="Y1059" s="701">
        <v>25</v>
      </c>
      <c r="Z1059" s="701">
        <v>88.79</v>
      </c>
      <c r="AA1059" s="458" t="s">
        <v>1074</v>
      </c>
      <c r="AB1059" s="459" t="s">
        <v>539</v>
      </c>
      <c r="AC1059" s="459" t="s">
        <v>539</v>
      </c>
      <c r="AD1059" s="458" t="s">
        <v>548</v>
      </c>
      <c r="AE1059" s="459">
        <v>80</v>
      </c>
      <c r="AF1059" s="459">
        <v>89.29</v>
      </c>
      <c r="AG1059" s="701" t="s">
        <v>375</v>
      </c>
      <c r="AH1059" s="728"/>
      <c r="AI1059" s="697" t="s">
        <v>2740</v>
      </c>
      <c r="AJ1059" s="699"/>
    </row>
    <row r="1060" spans="1:36" ht="24" hidden="1" customHeight="1">
      <c r="B1060" s="702"/>
      <c r="C1060" s="700"/>
      <c r="D1060" s="700"/>
      <c r="E1060" s="700"/>
      <c r="F1060" s="700"/>
      <c r="G1060" s="700"/>
      <c r="H1060" s="700"/>
      <c r="I1060" s="713"/>
      <c r="J1060" s="710"/>
      <c r="K1060" s="710"/>
      <c r="L1060" s="713"/>
      <c r="M1060" s="710"/>
      <c r="N1060" s="710"/>
      <c r="O1060" s="702"/>
      <c r="P1060" s="702"/>
      <c r="Q1060" s="710"/>
      <c r="R1060" s="708"/>
      <c r="S1060" s="702"/>
      <c r="T1060" s="702"/>
      <c r="U1060" s="702"/>
      <c r="V1060" s="702"/>
      <c r="W1060" s="702"/>
      <c r="X1060" s="702"/>
      <c r="Y1060" s="702"/>
      <c r="Z1060" s="702"/>
      <c r="AA1060" s="473" t="s">
        <v>2741</v>
      </c>
      <c r="AB1060" s="474" t="s">
        <v>539</v>
      </c>
      <c r="AC1060" s="474" t="s">
        <v>539</v>
      </c>
      <c r="AD1060" s="473" t="s">
        <v>2742</v>
      </c>
      <c r="AE1060" s="474">
        <v>80</v>
      </c>
      <c r="AF1060" s="474">
        <v>93.29</v>
      </c>
      <c r="AG1060" s="702"/>
      <c r="AH1060" s="729"/>
      <c r="AI1060" s="698"/>
      <c r="AJ1060" s="700"/>
    </row>
    <row r="1061" spans="1:36" ht="24" customHeight="1">
      <c r="A1061" s="452">
        <v>154</v>
      </c>
      <c r="B1061" s="701">
        <v>870</v>
      </c>
      <c r="C1061" s="699" t="s">
        <v>337</v>
      </c>
      <c r="D1061" s="699"/>
      <c r="E1061" s="699" t="s">
        <v>545</v>
      </c>
      <c r="F1061" s="699"/>
      <c r="G1061" s="699" t="s">
        <v>49</v>
      </c>
      <c r="H1061" s="699" t="s">
        <v>2743</v>
      </c>
      <c r="I1061" s="709">
        <v>0</v>
      </c>
      <c r="J1061" s="709" t="s">
        <v>537</v>
      </c>
      <c r="K1061" s="709" t="s">
        <v>537</v>
      </c>
      <c r="L1061" s="709">
        <v>0</v>
      </c>
      <c r="M1061" s="709" t="s">
        <v>537</v>
      </c>
      <c r="N1061" s="709" t="s">
        <v>537</v>
      </c>
      <c r="O1061" s="701" t="s">
        <v>537</v>
      </c>
      <c r="P1061" s="701" t="s">
        <v>537</v>
      </c>
      <c r="Q1061" s="709">
        <v>0</v>
      </c>
      <c r="R1061" s="707">
        <v>241671</v>
      </c>
      <c r="S1061" s="721">
        <v>22529</v>
      </c>
      <c r="T1061" s="701">
        <v>0</v>
      </c>
      <c r="U1061" s="701">
        <v>5</v>
      </c>
      <c r="V1061" s="701">
        <v>55</v>
      </c>
      <c r="W1061" s="701">
        <v>0</v>
      </c>
      <c r="X1061" s="701">
        <v>31</v>
      </c>
      <c r="Y1061" s="701">
        <v>37</v>
      </c>
      <c r="Z1061" s="701">
        <v>95.76</v>
      </c>
      <c r="AA1061" s="458" t="s">
        <v>1074</v>
      </c>
      <c r="AB1061" s="459" t="s">
        <v>539</v>
      </c>
      <c r="AC1061" s="459" t="s">
        <v>539</v>
      </c>
      <c r="AD1061" s="458" t="s">
        <v>548</v>
      </c>
      <c r="AE1061" s="459">
        <v>80</v>
      </c>
      <c r="AF1061" s="459">
        <v>97.94</v>
      </c>
      <c r="AG1061" s="701" t="s">
        <v>375</v>
      </c>
      <c r="AH1061" s="728"/>
      <c r="AI1061" s="697" t="s">
        <v>2615</v>
      </c>
      <c r="AJ1061" s="699"/>
    </row>
    <row r="1062" spans="1:36" ht="24" hidden="1" customHeight="1">
      <c r="B1062" s="702"/>
      <c r="C1062" s="700"/>
      <c r="D1062" s="700"/>
      <c r="E1062" s="700"/>
      <c r="F1062" s="700"/>
      <c r="G1062" s="700"/>
      <c r="H1062" s="700"/>
      <c r="I1062" s="710"/>
      <c r="J1062" s="710"/>
      <c r="K1062" s="710"/>
      <c r="L1062" s="710"/>
      <c r="M1062" s="710"/>
      <c r="N1062" s="710"/>
      <c r="O1062" s="702"/>
      <c r="P1062" s="702"/>
      <c r="Q1062" s="710"/>
      <c r="R1062" s="708"/>
      <c r="S1062" s="722"/>
      <c r="T1062" s="702"/>
      <c r="U1062" s="702"/>
      <c r="V1062" s="702"/>
      <c r="W1062" s="702"/>
      <c r="X1062" s="702"/>
      <c r="Y1062" s="702"/>
      <c r="Z1062" s="702"/>
      <c r="AA1062" s="473" t="s">
        <v>2744</v>
      </c>
      <c r="AB1062" s="474" t="s">
        <v>539</v>
      </c>
      <c r="AC1062" s="474" t="s">
        <v>539</v>
      </c>
      <c r="AD1062" s="473" t="s">
        <v>2745</v>
      </c>
      <c r="AE1062" s="474">
        <v>80</v>
      </c>
      <c r="AF1062" s="474">
        <v>97.65</v>
      </c>
      <c r="AG1062" s="702"/>
      <c r="AH1062" s="729"/>
      <c r="AI1062" s="698"/>
      <c r="AJ1062" s="700"/>
    </row>
    <row r="1063" spans="1:36" ht="24" customHeight="1">
      <c r="A1063" s="452">
        <v>155</v>
      </c>
      <c r="B1063" s="701">
        <v>871</v>
      </c>
      <c r="C1063" s="699" t="s">
        <v>337</v>
      </c>
      <c r="D1063" s="699"/>
      <c r="E1063" s="699" t="s">
        <v>545</v>
      </c>
      <c r="F1063" s="699"/>
      <c r="G1063" s="699" t="s">
        <v>49</v>
      </c>
      <c r="H1063" s="699" t="s">
        <v>2746</v>
      </c>
      <c r="I1063" s="709" t="s">
        <v>537</v>
      </c>
      <c r="J1063" s="709" t="s">
        <v>537</v>
      </c>
      <c r="K1063" s="712">
        <v>25000</v>
      </c>
      <c r="L1063" s="709" t="s">
        <v>537</v>
      </c>
      <c r="M1063" s="709" t="s">
        <v>537</v>
      </c>
      <c r="N1063" s="712">
        <v>25000</v>
      </c>
      <c r="O1063" s="701" t="s">
        <v>537</v>
      </c>
      <c r="P1063" s="701" t="s">
        <v>537</v>
      </c>
      <c r="Q1063" s="709">
        <v>0</v>
      </c>
      <c r="R1063" s="701" t="s">
        <v>2747</v>
      </c>
      <c r="S1063" s="701" t="s">
        <v>2748</v>
      </c>
      <c r="T1063" s="701">
        <v>2</v>
      </c>
      <c r="U1063" s="701">
        <v>3</v>
      </c>
      <c r="V1063" s="701">
        <v>5</v>
      </c>
      <c r="W1063" s="701">
        <v>0</v>
      </c>
      <c r="X1063" s="701">
        <v>7</v>
      </c>
      <c r="Y1063" s="701">
        <v>10</v>
      </c>
      <c r="Z1063" s="701">
        <v>97.5</v>
      </c>
      <c r="AA1063" s="458" t="s">
        <v>2749</v>
      </c>
      <c r="AB1063" s="459" t="s">
        <v>539</v>
      </c>
      <c r="AC1063" s="459" t="s">
        <v>539</v>
      </c>
      <c r="AD1063" s="458" t="s">
        <v>2750</v>
      </c>
      <c r="AE1063" s="459" t="s">
        <v>539</v>
      </c>
      <c r="AF1063" s="459" t="s">
        <v>539</v>
      </c>
      <c r="AG1063" s="701" t="s">
        <v>375</v>
      </c>
      <c r="AH1063" s="728"/>
      <c r="AI1063" s="699"/>
      <c r="AJ1063" s="697" t="s">
        <v>543</v>
      </c>
    </row>
    <row r="1064" spans="1:36" ht="24" hidden="1" customHeight="1">
      <c r="B1064" s="702"/>
      <c r="C1064" s="700"/>
      <c r="D1064" s="700"/>
      <c r="E1064" s="700"/>
      <c r="F1064" s="700"/>
      <c r="G1064" s="700"/>
      <c r="H1064" s="700"/>
      <c r="I1064" s="710"/>
      <c r="J1064" s="710"/>
      <c r="K1064" s="713"/>
      <c r="L1064" s="710"/>
      <c r="M1064" s="710"/>
      <c r="N1064" s="713"/>
      <c r="O1064" s="702"/>
      <c r="P1064" s="702"/>
      <c r="Q1064" s="710"/>
      <c r="R1064" s="702"/>
      <c r="S1064" s="702"/>
      <c r="T1064" s="702"/>
      <c r="U1064" s="702"/>
      <c r="V1064" s="702"/>
      <c r="W1064" s="702"/>
      <c r="X1064" s="702"/>
      <c r="Y1064" s="702"/>
      <c r="Z1064" s="702"/>
      <c r="AA1064" s="473" t="s">
        <v>2751</v>
      </c>
      <c r="AB1064" s="474" t="s">
        <v>539</v>
      </c>
      <c r="AC1064" s="474" t="s">
        <v>539</v>
      </c>
      <c r="AD1064" s="473" t="s">
        <v>2752</v>
      </c>
      <c r="AE1064" s="474" t="s">
        <v>539</v>
      </c>
      <c r="AF1064" s="474" t="s">
        <v>539</v>
      </c>
      <c r="AG1064" s="702"/>
      <c r="AH1064" s="729"/>
      <c r="AI1064" s="700"/>
      <c r="AJ1064" s="698"/>
    </row>
    <row r="1065" spans="1:36" ht="24" customHeight="1">
      <c r="A1065" s="452">
        <v>156</v>
      </c>
      <c r="B1065" s="701">
        <v>872</v>
      </c>
      <c r="C1065" s="699" t="s">
        <v>337</v>
      </c>
      <c r="D1065" s="699"/>
      <c r="E1065" s="699" t="s">
        <v>545</v>
      </c>
      <c r="F1065" s="699"/>
      <c r="G1065" s="699" t="s">
        <v>49</v>
      </c>
      <c r="H1065" s="699" t="s">
        <v>2753</v>
      </c>
      <c r="I1065" s="709" t="s">
        <v>537</v>
      </c>
      <c r="J1065" s="709" t="s">
        <v>537</v>
      </c>
      <c r="K1065" s="712">
        <v>15000</v>
      </c>
      <c r="L1065" s="709" t="s">
        <v>537</v>
      </c>
      <c r="M1065" s="709" t="s">
        <v>537</v>
      </c>
      <c r="N1065" s="712">
        <v>15000</v>
      </c>
      <c r="O1065" s="701" t="s">
        <v>537</v>
      </c>
      <c r="P1065" s="701" t="s">
        <v>537</v>
      </c>
      <c r="Q1065" s="709">
        <v>0</v>
      </c>
      <c r="R1065" s="707">
        <v>241609</v>
      </c>
      <c r="S1065" s="721">
        <v>22480</v>
      </c>
      <c r="T1065" s="701">
        <v>0</v>
      </c>
      <c r="U1065" s="701">
        <v>3</v>
      </c>
      <c r="V1065" s="701">
        <v>25</v>
      </c>
      <c r="W1065" s="701">
        <v>0</v>
      </c>
      <c r="X1065" s="701">
        <v>3</v>
      </c>
      <c r="Y1065" s="701">
        <v>25</v>
      </c>
      <c r="Z1065" s="701">
        <v>95</v>
      </c>
      <c r="AA1065" s="458" t="s">
        <v>2754</v>
      </c>
      <c r="AB1065" s="459" t="s">
        <v>539</v>
      </c>
      <c r="AC1065" s="459" t="s">
        <v>539</v>
      </c>
      <c r="AD1065" s="458" t="s">
        <v>2755</v>
      </c>
      <c r="AE1065" s="459" t="s">
        <v>539</v>
      </c>
      <c r="AF1065" s="459" t="s">
        <v>539</v>
      </c>
      <c r="AG1065" s="701" t="s">
        <v>375</v>
      </c>
      <c r="AH1065" s="728"/>
      <c r="AI1065" s="697" t="s">
        <v>2756</v>
      </c>
      <c r="AJ1065" s="697" t="s">
        <v>543</v>
      </c>
    </row>
    <row r="1066" spans="1:36" ht="24" hidden="1" customHeight="1">
      <c r="B1066" s="715"/>
      <c r="C1066" s="714"/>
      <c r="D1066" s="714"/>
      <c r="E1066" s="714"/>
      <c r="F1066" s="714"/>
      <c r="G1066" s="714"/>
      <c r="H1066" s="714"/>
      <c r="I1066" s="717"/>
      <c r="J1066" s="717"/>
      <c r="K1066" s="720"/>
      <c r="L1066" s="717"/>
      <c r="M1066" s="717"/>
      <c r="N1066" s="720"/>
      <c r="O1066" s="715"/>
      <c r="P1066" s="715"/>
      <c r="Q1066" s="717"/>
      <c r="R1066" s="719"/>
      <c r="S1066" s="731"/>
      <c r="T1066" s="715"/>
      <c r="U1066" s="715"/>
      <c r="V1066" s="715"/>
      <c r="W1066" s="715"/>
      <c r="X1066" s="715"/>
      <c r="Y1066" s="715"/>
      <c r="Z1066" s="715"/>
      <c r="AA1066" s="460" t="s">
        <v>2757</v>
      </c>
      <c r="AB1066" s="461" t="s">
        <v>539</v>
      </c>
      <c r="AC1066" s="461" t="s">
        <v>539</v>
      </c>
      <c r="AD1066" s="460" t="s">
        <v>2758</v>
      </c>
      <c r="AE1066" s="461" t="s">
        <v>539</v>
      </c>
      <c r="AF1066" s="461" t="s">
        <v>539</v>
      </c>
      <c r="AG1066" s="715"/>
      <c r="AH1066" s="730"/>
      <c r="AI1066" s="711"/>
      <c r="AJ1066" s="711"/>
    </row>
    <row r="1067" spans="1:36" ht="24" hidden="1" customHeight="1">
      <c r="B1067" s="702"/>
      <c r="C1067" s="700"/>
      <c r="D1067" s="700"/>
      <c r="E1067" s="700"/>
      <c r="F1067" s="700"/>
      <c r="G1067" s="700"/>
      <c r="H1067" s="700"/>
      <c r="I1067" s="710"/>
      <c r="J1067" s="710"/>
      <c r="K1067" s="713"/>
      <c r="L1067" s="710"/>
      <c r="M1067" s="710"/>
      <c r="N1067" s="713"/>
      <c r="O1067" s="702"/>
      <c r="P1067" s="702"/>
      <c r="Q1067" s="710"/>
      <c r="R1067" s="708"/>
      <c r="S1067" s="722"/>
      <c r="T1067" s="702"/>
      <c r="U1067" s="702"/>
      <c r="V1067" s="702"/>
      <c r="W1067" s="702"/>
      <c r="X1067" s="702"/>
      <c r="Y1067" s="702"/>
      <c r="Z1067" s="702"/>
      <c r="AA1067" s="473" t="s">
        <v>2759</v>
      </c>
      <c r="AB1067" s="474" t="s">
        <v>539</v>
      </c>
      <c r="AC1067" s="474" t="s">
        <v>539</v>
      </c>
      <c r="AD1067" s="473" t="s">
        <v>2760</v>
      </c>
      <c r="AE1067" s="474" t="s">
        <v>539</v>
      </c>
      <c r="AF1067" s="474" t="s">
        <v>539</v>
      </c>
      <c r="AG1067" s="702"/>
      <c r="AH1067" s="729"/>
      <c r="AI1067" s="698"/>
      <c r="AJ1067" s="698"/>
    </row>
    <row r="1068" spans="1:36" ht="24" customHeight="1">
      <c r="A1068" s="452">
        <v>157</v>
      </c>
      <c r="B1068" s="463">
        <v>873</v>
      </c>
      <c r="C1068" s="464" t="s">
        <v>337</v>
      </c>
      <c r="D1068" s="464"/>
      <c r="E1068" s="464" t="s">
        <v>545</v>
      </c>
      <c r="F1068" s="464"/>
      <c r="G1068" s="464" t="s">
        <v>49</v>
      </c>
      <c r="H1068" s="464" t="s">
        <v>2761</v>
      </c>
      <c r="I1068" s="465" t="s">
        <v>537</v>
      </c>
      <c r="J1068" s="465" t="s">
        <v>537</v>
      </c>
      <c r="K1068" s="466">
        <v>18000</v>
      </c>
      <c r="L1068" s="465" t="s">
        <v>537</v>
      </c>
      <c r="M1068" s="465" t="s">
        <v>537</v>
      </c>
      <c r="N1068" s="466">
        <v>18000</v>
      </c>
      <c r="O1068" s="463" t="s">
        <v>537</v>
      </c>
      <c r="P1068" s="463" t="s">
        <v>537</v>
      </c>
      <c r="Q1068" s="465">
        <v>0</v>
      </c>
      <c r="R1068" s="463" t="s">
        <v>643</v>
      </c>
      <c r="S1068" s="463" t="s">
        <v>2031</v>
      </c>
      <c r="T1068" s="463">
        <v>0</v>
      </c>
      <c r="U1068" s="463">
        <v>2</v>
      </c>
      <c r="V1068" s="463">
        <v>10</v>
      </c>
      <c r="W1068" s="463">
        <v>0</v>
      </c>
      <c r="X1068" s="463">
        <v>2</v>
      </c>
      <c r="Y1068" s="463">
        <v>15</v>
      </c>
      <c r="Z1068" s="463">
        <v>90</v>
      </c>
      <c r="AA1068" s="472" t="s">
        <v>2762</v>
      </c>
      <c r="AB1068" s="463" t="s">
        <v>539</v>
      </c>
      <c r="AC1068" s="463" t="s">
        <v>539</v>
      </c>
      <c r="AD1068" s="472" t="s">
        <v>2763</v>
      </c>
      <c r="AE1068" s="463" t="s">
        <v>539</v>
      </c>
      <c r="AF1068" s="463" t="s">
        <v>539</v>
      </c>
      <c r="AG1068" s="463" t="s">
        <v>375</v>
      </c>
      <c r="AH1068" s="476"/>
      <c r="AI1068" s="472" t="s">
        <v>2756</v>
      </c>
      <c r="AJ1068" s="472" t="s">
        <v>543</v>
      </c>
    </row>
    <row r="1069" spans="1:36" ht="24" hidden="1" customHeight="1">
      <c r="B1069" s="463">
        <v>874</v>
      </c>
      <c r="C1069" s="464" t="s">
        <v>165</v>
      </c>
      <c r="D1069" s="464"/>
      <c r="E1069" s="464" t="s">
        <v>535</v>
      </c>
      <c r="F1069" s="464"/>
      <c r="G1069" s="464" t="s">
        <v>49</v>
      </c>
      <c r="H1069" s="464" t="s">
        <v>642</v>
      </c>
      <c r="I1069" s="466">
        <v>60000</v>
      </c>
      <c r="J1069" s="465" t="s">
        <v>537</v>
      </c>
      <c r="K1069" s="465" t="s">
        <v>537</v>
      </c>
      <c r="L1069" s="466">
        <v>43969</v>
      </c>
      <c r="M1069" s="465" t="s">
        <v>537</v>
      </c>
      <c r="N1069" s="465" t="s">
        <v>537</v>
      </c>
      <c r="O1069" s="463" t="s">
        <v>537</v>
      </c>
      <c r="P1069" s="463" t="s">
        <v>537</v>
      </c>
      <c r="Q1069" s="468">
        <v>16031</v>
      </c>
      <c r="R1069" s="463" t="s">
        <v>643</v>
      </c>
      <c r="S1069" s="463" t="s">
        <v>2764</v>
      </c>
      <c r="T1069" s="463">
        <v>0</v>
      </c>
      <c r="U1069" s="463">
        <v>1</v>
      </c>
      <c r="V1069" s="463">
        <v>0</v>
      </c>
      <c r="W1069" s="463">
        <v>0</v>
      </c>
      <c r="X1069" s="463">
        <v>1</v>
      </c>
      <c r="Y1069" s="463">
        <v>0</v>
      </c>
      <c r="Z1069" s="463">
        <v>97.14</v>
      </c>
      <c r="AA1069" s="472" t="s">
        <v>633</v>
      </c>
      <c r="AB1069" s="463" t="s">
        <v>539</v>
      </c>
      <c r="AC1069" s="463" t="s">
        <v>539</v>
      </c>
      <c r="AD1069" s="472" t="s">
        <v>635</v>
      </c>
      <c r="AE1069" s="463" t="s">
        <v>539</v>
      </c>
      <c r="AF1069" s="463" t="s">
        <v>539</v>
      </c>
      <c r="AG1069" s="463" t="s">
        <v>375</v>
      </c>
      <c r="AH1069" s="476"/>
      <c r="AI1069" s="472" t="s">
        <v>2765</v>
      </c>
      <c r="AJ1069" s="464"/>
    </row>
    <row r="1070" spans="1:36" ht="24" hidden="1" customHeight="1">
      <c r="B1070" s="701">
        <v>875</v>
      </c>
      <c r="C1070" s="699" t="s">
        <v>534</v>
      </c>
      <c r="D1070" s="699"/>
      <c r="E1070" s="699" t="s">
        <v>577</v>
      </c>
      <c r="F1070" s="699"/>
      <c r="G1070" s="699" t="s">
        <v>49</v>
      </c>
      <c r="H1070" s="699" t="s">
        <v>2766</v>
      </c>
      <c r="I1070" s="709" t="s">
        <v>537</v>
      </c>
      <c r="J1070" s="709" t="s">
        <v>537</v>
      </c>
      <c r="K1070" s="712">
        <v>50000</v>
      </c>
      <c r="L1070" s="709" t="s">
        <v>537</v>
      </c>
      <c r="M1070" s="709" t="s">
        <v>537</v>
      </c>
      <c r="N1070" s="712">
        <v>50000</v>
      </c>
      <c r="O1070" s="701" t="s">
        <v>537</v>
      </c>
      <c r="P1070" s="701" t="s">
        <v>537</v>
      </c>
      <c r="Q1070" s="709">
        <v>0</v>
      </c>
      <c r="R1070" s="707">
        <v>241609</v>
      </c>
      <c r="S1070" s="701" t="s">
        <v>2767</v>
      </c>
      <c r="T1070" s="701">
        <v>0</v>
      </c>
      <c r="U1070" s="701">
        <v>0</v>
      </c>
      <c r="V1070" s="701">
        <v>0</v>
      </c>
      <c r="W1070" s="701">
        <v>10</v>
      </c>
      <c r="X1070" s="701">
        <v>5</v>
      </c>
      <c r="Y1070" s="701">
        <v>5</v>
      </c>
      <c r="Z1070" s="701">
        <v>100</v>
      </c>
      <c r="AA1070" s="697" t="s">
        <v>2768</v>
      </c>
      <c r="AB1070" s="701" t="s">
        <v>539</v>
      </c>
      <c r="AC1070" s="701" t="s">
        <v>539</v>
      </c>
      <c r="AD1070" s="458" t="s">
        <v>2769</v>
      </c>
      <c r="AE1070" s="459" t="s">
        <v>539</v>
      </c>
      <c r="AF1070" s="459">
        <v>5</v>
      </c>
      <c r="AG1070" s="701" t="s">
        <v>376</v>
      </c>
      <c r="AH1070" s="728"/>
      <c r="AI1070" s="697" t="s">
        <v>2770</v>
      </c>
      <c r="AJ1070" s="697" t="s">
        <v>543</v>
      </c>
    </row>
    <row r="1071" spans="1:36" ht="24" hidden="1" customHeight="1">
      <c r="B1071" s="702"/>
      <c r="C1071" s="700"/>
      <c r="D1071" s="700"/>
      <c r="E1071" s="700"/>
      <c r="F1071" s="700"/>
      <c r="G1071" s="700"/>
      <c r="H1071" s="700"/>
      <c r="I1071" s="710"/>
      <c r="J1071" s="710"/>
      <c r="K1071" s="713"/>
      <c r="L1071" s="710"/>
      <c r="M1071" s="710"/>
      <c r="N1071" s="713"/>
      <c r="O1071" s="702"/>
      <c r="P1071" s="702"/>
      <c r="Q1071" s="710"/>
      <c r="R1071" s="708"/>
      <c r="S1071" s="702"/>
      <c r="T1071" s="702"/>
      <c r="U1071" s="702"/>
      <c r="V1071" s="702"/>
      <c r="W1071" s="702"/>
      <c r="X1071" s="702"/>
      <c r="Y1071" s="702"/>
      <c r="Z1071" s="702"/>
      <c r="AA1071" s="698"/>
      <c r="AB1071" s="702"/>
      <c r="AC1071" s="702"/>
      <c r="AD1071" s="473" t="s">
        <v>2771</v>
      </c>
      <c r="AE1071" s="474" t="s">
        <v>539</v>
      </c>
      <c r="AF1071" s="474">
        <v>5</v>
      </c>
      <c r="AG1071" s="702"/>
      <c r="AH1071" s="729"/>
      <c r="AI1071" s="698"/>
      <c r="AJ1071" s="698"/>
    </row>
    <row r="1072" spans="1:36" ht="24" hidden="1" customHeight="1">
      <c r="B1072" s="463">
        <v>876</v>
      </c>
      <c r="C1072" s="464" t="s">
        <v>10</v>
      </c>
      <c r="D1072" s="464"/>
      <c r="E1072" s="464" t="s">
        <v>558</v>
      </c>
      <c r="F1072" s="464"/>
      <c r="G1072" s="464" t="s">
        <v>49</v>
      </c>
      <c r="H1072" s="464" t="s">
        <v>2772</v>
      </c>
      <c r="I1072" s="465" t="s">
        <v>537</v>
      </c>
      <c r="J1072" s="465" t="s">
        <v>537</v>
      </c>
      <c r="K1072" s="466">
        <v>13950</v>
      </c>
      <c r="L1072" s="465" t="s">
        <v>537</v>
      </c>
      <c r="M1072" s="465" t="s">
        <v>537</v>
      </c>
      <c r="N1072" s="466">
        <v>13950</v>
      </c>
      <c r="O1072" s="463" t="s">
        <v>537</v>
      </c>
      <c r="P1072" s="463" t="s">
        <v>537</v>
      </c>
      <c r="Q1072" s="465">
        <v>0</v>
      </c>
      <c r="R1072" s="470">
        <v>241671</v>
      </c>
      <c r="S1072" s="471">
        <v>22528</v>
      </c>
      <c r="T1072" s="463">
        <v>0</v>
      </c>
      <c r="U1072" s="463">
        <v>18</v>
      </c>
      <c r="V1072" s="463">
        <v>3</v>
      </c>
      <c r="W1072" s="463">
        <v>0</v>
      </c>
      <c r="X1072" s="463">
        <v>18</v>
      </c>
      <c r="Y1072" s="463">
        <v>3</v>
      </c>
      <c r="Z1072" s="463">
        <v>92.5</v>
      </c>
      <c r="AA1072" s="472" t="s">
        <v>2773</v>
      </c>
      <c r="AB1072" s="463">
        <v>80</v>
      </c>
      <c r="AC1072" s="463">
        <v>91.8</v>
      </c>
      <c r="AD1072" s="472" t="s">
        <v>2774</v>
      </c>
      <c r="AE1072" s="463">
        <v>80</v>
      </c>
      <c r="AF1072" s="463">
        <v>90.25</v>
      </c>
      <c r="AG1072" s="463" t="s">
        <v>375</v>
      </c>
      <c r="AH1072" s="476"/>
      <c r="AI1072" s="472" t="s">
        <v>2775</v>
      </c>
      <c r="AJ1072" s="472" t="s">
        <v>562</v>
      </c>
    </row>
    <row r="1073" spans="2:36" ht="24" hidden="1" customHeight="1">
      <c r="B1073" s="463">
        <v>877</v>
      </c>
      <c r="C1073" s="464" t="s">
        <v>10</v>
      </c>
      <c r="D1073" s="464"/>
      <c r="E1073" s="464" t="s">
        <v>558</v>
      </c>
      <c r="F1073" s="464"/>
      <c r="G1073" s="464" t="s">
        <v>49</v>
      </c>
      <c r="H1073" s="464" t="s">
        <v>2776</v>
      </c>
      <c r="I1073" s="465" t="s">
        <v>537</v>
      </c>
      <c r="J1073" s="465" t="s">
        <v>537</v>
      </c>
      <c r="K1073" s="466">
        <v>22800</v>
      </c>
      <c r="L1073" s="465" t="s">
        <v>537</v>
      </c>
      <c r="M1073" s="465" t="s">
        <v>537</v>
      </c>
      <c r="N1073" s="466">
        <v>14516</v>
      </c>
      <c r="O1073" s="463" t="s">
        <v>537</v>
      </c>
      <c r="P1073" s="463" t="s">
        <v>537</v>
      </c>
      <c r="Q1073" s="468">
        <v>8284</v>
      </c>
      <c r="R1073" s="470">
        <v>241671</v>
      </c>
      <c r="S1073" s="471">
        <v>22531</v>
      </c>
      <c r="T1073" s="463">
        <v>0</v>
      </c>
      <c r="U1073" s="463">
        <v>14</v>
      </c>
      <c r="V1073" s="463">
        <v>2</v>
      </c>
      <c r="W1073" s="463">
        <v>0</v>
      </c>
      <c r="X1073" s="463">
        <v>14</v>
      </c>
      <c r="Y1073" s="463">
        <v>2</v>
      </c>
      <c r="Z1073" s="463">
        <v>92.5</v>
      </c>
      <c r="AA1073" s="472" t="s">
        <v>547</v>
      </c>
      <c r="AB1073" s="463" t="s">
        <v>539</v>
      </c>
      <c r="AC1073" s="463">
        <v>90.25</v>
      </c>
      <c r="AD1073" s="472" t="s">
        <v>548</v>
      </c>
      <c r="AE1073" s="463">
        <v>80</v>
      </c>
      <c r="AF1073" s="463">
        <v>88.25</v>
      </c>
      <c r="AG1073" s="463" t="s">
        <v>375</v>
      </c>
      <c r="AH1073" s="476"/>
      <c r="AI1073" s="472" t="s">
        <v>2775</v>
      </c>
      <c r="AJ1073" s="472" t="s">
        <v>562</v>
      </c>
    </row>
    <row r="1074" spans="2:36" ht="24" hidden="1" customHeight="1">
      <c r="B1074" s="463">
        <v>878</v>
      </c>
      <c r="C1074" s="464" t="s">
        <v>10</v>
      </c>
      <c r="D1074" s="464"/>
      <c r="E1074" s="464" t="s">
        <v>558</v>
      </c>
      <c r="F1074" s="464"/>
      <c r="G1074" s="464" t="s">
        <v>49</v>
      </c>
      <c r="H1074" s="464" t="s">
        <v>2777</v>
      </c>
      <c r="I1074" s="465" t="s">
        <v>537</v>
      </c>
      <c r="J1074" s="465" t="s">
        <v>537</v>
      </c>
      <c r="K1074" s="466">
        <v>8700</v>
      </c>
      <c r="L1074" s="465" t="s">
        <v>537</v>
      </c>
      <c r="M1074" s="465" t="s">
        <v>537</v>
      </c>
      <c r="N1074" s="466">
        <v>8700</v>
      </c>
      <c r="O1074" s="463" t="s">
        <v>537</v>
      </c>
      <c r="P1074" s="463" t="s">
        <v>537</v>
      </c>
      <c r="Q1074" s="465">
        <v>0</v>
      </c>
      <c r="R1074" s="470">
        <v>241609</v>
      </c>
      <c r="S1074" s="471">
        <v>22486</v>
      </c>
      <c r="T1074" s="463">
        <v>60</v>
      </c>
      <c r="U1074" s="463">
        <v>9</v>
      </c>
      <c r="V1074" s="463">
        <v>0</v>
      </c>
      <c r="W1074" s="463">
        <v>65</v>
      </c>
      <c r="X1074" s="463">
        <v>17</v>
      </c>
      <c r="Y1074" s="463">
        <v>0</v>
      </c>
      <c r="Z1074" s="463">
        <v>84.47</v>
      </c>
      <c r="AA1074" s="472" t="s">
        <v>547</v>
      </c>
      <c r="AB1074" s="463" t="s">
        <v>539</v>
      </c>
      <c r="AC1074" s="463" t="s">
        <v>539</v>
      </c>
      <c r="AD1074" s="472" t="s">
        <v>548</v>
      </c>
      <c r="AE1074" s="463">
        <v>80</v>
      </c>
      <c r="AF1074" s="463">
        <v>83.84</v>
      </c>
      <c r="AG1074" s="463" t="s">
        <v>375</v>
      </c>
      <c r="AH1074" s="476"/>
      <c r="AI1074" s="472" t="s">
        <v>2778</v>
      </c>
      <c r="AJ1074" s="472" t="s">
        <v>562</v>
      </c>
    </row>
    <row r="1075" spans="2:36" ht="24" hidden="1" customHeight="1">
      <c r="B1075" s="463">
        <v>879</v>
      </c>
      <c r="C1075" s="464" t="s">
        <v>10</v>
      </c>
      <c r="D1075" s="464"/>
      <c r="E1075" s="464" t="s">
        <v>558</v>
      </c>
      <c r="F1075" s="464"/>
      <c r="G1075" s="464" t="s">
        <v>49</v>
      </c>
      <c r="H1075" s="464" t="s">
        <v>2779</v>
      </c>
      <c r="I1075" s="465" t="s">
        <v>537</v>
      </c>
      <c r="J1075" s="465" t="s">
        <v>537</v>
      </c>
      <c r="K1075" s="466">
        <v>7600</v>
      </c>
      <c r="L1075" s="465" t="s">
        <v>537</v>
      </c>
      <c r="M1075" s="465" t="s">
        <v>537</v>
      </c>
      <c r="N1075" s="466">
        <v>7600</v>
      </c>
      <c r="O1075" s="463" t="s">
        <v>537</v>
      </c>
      <c r="P1075" s="463" t="s">
        <v>537</v>
      </c>
      <c r="Q1075" s="465">
        <v>0</v>
      </c>
      <c r="R1075" s="463" t="s">
        <v>727</v>
      </c>
      <c r="S1075" s="463" t="s">
        <v>2780</v>
      </c>
      <c r="T1075" s="463">
        <v>40</v>
      </c>
      <c r="U1075" s="463">
        <v>6</v>
      </c>
      <c r="V1075" s="463">
        <v>0</v>
      </c>
      <c r="W1075" s="463">
        <v>40</v>
      </c>
      <c r="X1075" s="463">
        <v>10</v>
      </c>
      <c r="Y1075" s="463">
        <v>0</v>
      </c>
      <c r="Z1075" s="463">
        <v>88</v>
      </c>
      <c r="AA1075" s="472" t="s">
        <v>547</v>
      </c>
      <c r="AB1075" s="463" t="s">
        <v>539</v>
      </c>
      <c r="AC1075" s="463" t="s">
        <v>539</v>
      </c>
      <c r="AD1075" s="472" t="s">
        <v>548</v>
      </c>
      <c r="AE1075" s="463">
        <v>80</v>
      </c>
      <c r="AF1075" s="463">
        <v>90</v>
      </c>
      <c r="AG1075" s="463" t="s">
        <v>375</v>
      </c>
      <c r="AH1075" s="476"/>
      <c r="AI1075" s="472" t="s">
        <v>2756</v>
      </c>
      <c r="AJ1075" s="472" t="s">
        <v>562</v>
      </c>
    </row>
    <row r="1076" spans="2:36" ht="24" hidden="1" customHeight="1">
      <c r="B1076" s="463">
        <v>880</v>
      </c>
      <c r="C1076" s="464" t="s">
        <v>10</v>
      </c>
      <c r="D1076" s="464"/>
      <c r="E1076" s="464" t="s">
        <v>558</v>
      </c>
      <c r="F1076" s="464"/>
      <c r="G1076" s="464" t="s">
        <v>49</v>
      </c>
      <c r="H1076" s="464" t="s">
        <v>2781</v>
      </c>
      <c r="I1076" s="465" t="s">
        <v>537</v>
      </c>
      <c r="J1076" s="465" t="s">
        <v>537</v>
      </c>
      <c r="K1076" s="466">
        <v>38300</v>
      </c>
      <c r="L1076" s="465" t="s">
        <v>537</v>
      </c>
      <c r="M1076" s="465" t="s">
        <v>537</v>
      </c>
      <c r="N1076" s="466">
        <v>26100</v>
      </c>
      <c r="O1076" s="463" t="s">
        <v>537</v>
      </c>
      <c r="P1076" s="463" t="s">
        <v>537</v>
      </c>
      <c r="Q1076" s="468">
        <v>12200</v>
      </c>
      <c r="R1076" s="463" t="s">
        <v>643</v>
      </c>
      <c r="S1076" s="463" t="s">
        <v>2460</v>
      </c>
      <c r="T1076" s="463">
        <v>86</v>
      </c>
      <c r="U1076" s="463">
        <v>4</v>
      </c>
      <c r="V1076" s="463">
        <v>0</v>
      </c>
      <c r="W1076" s="463">
        <v>86</v>
      </c>
      <c r="X1076" s="463">
        <v>25</v>
      </c>
      <c r="Y1076" s="463">
        <v>0</v>
      </c>
      <c r="Z1076" s="463">
        <v>88.85</v>
      </c>
      <c r="AA1076" s="472" t="s">
        <v>2782</v>
      </c>
      <c r="AB1076" s="463" t="s">
        <v>539</v>
      </c>
      <c r="AC1076" s="463" t="s">
        <v>539</v>
      </c>
      <c r="AD1076" s="472" t="s">
        <v>2783</v>
      </c>
      <c r="AE1076" s="463" t="s">
        <v>539</v>
      </c>
      <c r="AF1076" s="463" t="s">
        <v>539</v>
      </c>
      <c r="AG1076" s="463" t="s">
        <v>375</v>
      </c>
      <c r="AH1076" s="476"/>
      <c r="AI1076" s="472" t="s">
        <v>537</v>
      </c>
      <c r="AJ1076" s="472" t="s">
        <v>562</v>
      </c>
    </row>
    <row r="1077" spans="2:36" ht="24" hidden="1" customHeight="1">
      <c r="B1077" s="463">
        <v>881</v>
      </c>
      <c r="C1077" s="464" t="s">
        <v>10</v>
      </c>
      <c r="D1077" s="464"/>
      <c r="E1077" s="464" t="s">
        <v>558</v>
      </c>
      <c r="F1077" s="464"/>
      <c r="G1077" s="464" t="s">
        <v>49</v>
      </c>
      <c r="H1077" s="464" t="s">
        <v>2784</v>
      </c>
      <c r="I1077" s="465" t="s">
        <v>537</v>
      </c>
      <c r="J1077" s="465" t="s">
        <v>537</v>
      </c>
      <c r="K1077" s="466">
        <v>265000</v>
      </c>
      <c r="L1077" s="465" t="s">
        <v>537</v>
      </c>
      <c r="M1077" s="465" t="s">
        <v>537</v>
      </c>
      <c r="N1077" s="466">
        <v>240039</v>
      </c>
      <c r="O1077" s="463" t="s">
        <v>537</v>
      </c>
      <c r="P1077" s="463" t="s">
        <v>537</v>
      </c>
      <c r="Q1077" s="468">
        <v>24961</v>
      </c>
      <c r="R1077" s="470">
        <v>241579</v>
      </c>
      <c r="S1077" s="463" t="s">
        <v>743</v>
      </c>
      <c r="T1077" s="463">
        <v>0</v>
      </c>
      <c r="U1077" s="463">
        <v>86</v>
      </c>
      <c r="V1077" s="463">
        <v>2</v>
      </c>
      <c r="W1077" s="463">
        <v>0</v>
      </c>
      <c r="X1077" s="463">
        <v>84</v>
      </c>
      <c r="Y1077" s="463">
        <v>2</v>
      </c>
      <c r="Z1077" s="463">
        <v>92.03</v>
      </c>
      <c r="AA1077" s="472" t="s">
        <v>547</v>
      </c>
      <c r="AB1077" s="463" t="s">
        <v>539</v>
      </c>
      <c r="AC1077" s="463" t="s">
        <v>539</v>
      </c>
      <c r="AD1077" s="472" t="s">
        <v>548</v>
      </c>
      <c r="AE1077" s="463">
        <v>80</v>
      </c>
      <c r="AF1077" s="463">
        <v>90.71</v>
      </c>
      <c r="AG1077" s="463" t="s">
        <v>375</v>
      </c>
      <c r="AH1077" s="476"/>
      <c r="AI1077" s="472" t="s">
        <v>2785</v>
      </c>
      <c r="AJ1077" s="472" t="s">
        <v>562</v>
      </c>
    </row>
    <row r="1078" spans="2:36" ht="24" hidden="1" customHeight="1">
      <c r="B1078" s="463">
        <v>882</v>
      </c>
      <c r="C1078" s="464" t="s">
        <v>10</v>
      </c>
      <c r="D1078" s="464"/>
      <c r="E1078" s="464" t="s">
        <v>558</v>
      </c>
      <c r="F1078" s="464"/>
      <c r="G1078" s="464" t="s">
        <v>49</v>
      </c>
      <c r="H1078" s="464" t="s">
        <v>2786</v>
      </c>
      <c r="I1078" s="465" t="s">
        <v>537</v>
      </c>
      <c r="J1078" s="465" t="s">
        <v>537</v>
      </c>
      <c r="K1078" s="466">
        <v>35000</v>
      </c>
      <c r="L1078" s="465" t="s">
        <v>537</v>
      </c>
      <c r="M1078" s="465" t="s">
        <v>537</v>
      </c>
      <c r="N1078" s="466">
        <v>35000</v>
      </c>
      <c r="O1078" s="463" t="s">
        <v>537</v>
      </c>
      <c r="P1078" s="463" t="s">
        <v>537</v>
      </c>
      <c r="Q1078" s="465">
        <v>0</v>
      </c>
      <c r="R1078" s="470">
        <v>241640</v>
      </c>
      <c r="S1078" s="471">
        <v>22511</v>
      </c>
      <c r="T1078" s="463">
        <v>150</v>
      </c>
      <c r="U1078" s="463">
        <v>80</v>
      </c>
      <c r="V1078" s="463">
        <v>0</v>
      </c>
      <c r="W1078" s="463">
        <v>150</v>
      </c>
      <c r="X1078" s="463">
        <v>30</v>
      </c>
      <c r="Y1078" s="463">
        <v>70</v>
      </c>
      <c r="Z1078" s="463">
        <v>85.77</v>
      </c>
      <c r="AA1078" s="472" t="s">
        <v>2787</v>
      </c>
      <c r="AB1078" s="463" t="s">
        <v>539</v>
      </c>
      <c r="AC1078" s="463" t="s">
        <v>539</v>
      </c>
      <c r="AD1078" s="472" t="s">
        <v>565</v>
      </c>
      <c r="AE1078" s="463">
        <v>80</v>
      </c>
      <c r="AF1078" s="463">
        <v>82.6</v>
      </c>
      <c r="AG1078" s="463" t="s">
        <v>375</v>
      </c>
      <c r="AH1078" s="476"/>
      <c r="AI1078" s="472" t="s">
        <v>2788</v>
      </c>
      <c r="AJ1078" s="472" t="s">
        <v>562</v>
      </c>
    </row>
    <row r="1079" spans="2:36" ht="24" hidden="1" customHeight="1">
      <c r="B1079" s="463">
        <v>883</v>
      </c>
      <c r="C1079" s="464" t="s">
        <v>534</v>
      </c>
      <c r="D1079" s="464" t="s">
        <v>544</v>
      </c>
      <c r="E1079" s="464" t="s">
        <v>535</v>
      </c>
      <c r="F1079" s="464"/>
      <c r="G1079" s="464" t="s">
        <v>467</v>
      </c>
      <c r="H1079" s="464" t="s">
        <v>2789</v>
      </c>
      <c r="I1079" s="465" t="s">
        <v>537</v>
      </c>
      <c r="J1079" s="466">
        <v>28000</v>
      </c>
      <c r="K1079" s="465" t="s">
        <v>537</v>
      </c>
      <c r="L1079" s="465" t="s">
        <v>537</v>
      </c>
      <c r="M1079" s="466">
        <v>28000</v>
      </c>
      <c r="N1079" s="465" t="s">
        <v>537</v>
      </c>
      <c r="O1079" s="463" t="s">
        <v>537</v>
      </c>
      <c r="P1079" s="463" t="s">
        <v>537</v>
      </c>
      <c r="Q1079" s="465">
        <v>0</v>
      </c>
      <c r="R1079" s="470">
        <v>241640</v>
      </c>
      <c r="S1079" s="471">
        <v>22493</v>
      </c>
      <c r="T1079" s="463">
        <v>100</v>
      </c>
      <c r="U1079" s="463">
        <v>0</v>
      </c>
      <c r="V1079" s="463">
        <v>0</v>
      </c>
      <c r="W1079" s="463">
        <v>119</v>
      </c>
      <c r="X1079" s="463">
        <v>0</v>
      </c>
      <c r="Y1079" s="463">
        <v>0</v>
      </c>
      <c r="Z1079" s="463">
        <v>84.2</v>
      </c>
      <c r="AA1079" s="472" t="s">
        <v>547</v>
      </c>
      <c r="AB1079" s="463" t="s">
        <v>539</v>
      </c>
      <c r="AC1079" s="463" t="s">
        <v>539</v>
      </c>
      <c r="AD1079" s="472" t="s">
        <v>548</v>
      </c>
      <c r="AE1079" s="463">
        <v>80</v>
      </c>
      <c r="AF1079" s="463">
        <v>100</v>
      </c>
      <c r="AG1079" s="463" t="s">
        <v>375</v>
      </c>
      <c r="AH1079" s="476"/>
      <c r="AI1079" s="472" t="s">
        <v>1598</v>
      </c>
      <c r="AJ1079" s="464"/>
    </row>
    <row r="1080" spans="2:36" ht="24" hidden="1" customHeight="1">
      <c r="B1080" s="463">
        <v>884</v>
      </c>
      <c r="C1080" s="464" t="s">
        <v>534</v>
      </c>
      <c r="D1080" s="464" t="s">
        <v>544</v>
      </c>
      <c r="E1080" s="464" t="s">
        <v>535</v>
      </c>
      <c r="F1080" s="464"/>
      <c r="G1080" s="464" t="s">
        <v>467</v>
      </c>
      <c r="H1080" s="464" t="s">
        <v>2790</v>
      </c>
      <c r="I1080" s="465" t="s">
        <v>537</v>
      </c>
      <c r="J1080" s="466">
        <v>50000</v>
      </c>
      <c r="K1080" s="465" t="s">
        <v>537</v>
      </c>
      <c r="L1080" s="465" t="s">
        <v>537</v>
      </c>
      <c r="M1080" s="466">
        <v>47480</v>
      </c>
      <c r="N1080" s="465" t="s">
        <v>537</v>
      </c>
      <c r="O1080" s="463" t="s">
        <v>537</v>
      </c>
      <c r="P1080" s="463" t="s">
        <v>537</v>
      </c>
      <c r="Q1080" s="468">
        <v>2520</v>
      </c>
      <c r="R1080" s="470">
        <v>241579</v>
      </c>
      <c r="S1080" s="471">
        <v>22454</v>
      </c>
      <c r="T1080" s="463">
        <v>500</v>
      </c>
      <c r="U1080" s="463">
        <v>20</v>
      </c>
      <c r="V1080" s="463">
        <v>180</v>
      </c>
      <c r="W1080" s="463">
        <v>212</v>
      </c>
      <c r="X1080" s="463">
        <v>19</v>
      </c>
      <c r="Y1080" s="463">
        <v>499</v>
      </c>
      <c r="Z1080" s="463">
        <v>80</v>
      </c>
      <c r="AA1080" s="472" t="s">
        <v>1119</v>
      </c>
      <c r="AB1080" s="463" t="s">
        <v>539</v>
      </c>
      <c r="AC1080" s="463" t="s">
        <v>539</v>
      </c>
      <c r="AD1080" s="472" t="s">
        <v>1016</v>
      </c>
      <c r="AE1080" s="463">
        <v>80</v>
      </c>
      <c r="AF1080" s="463">
        <v>80</v>
      </c>
      <c r="AG1080" s="463" t="s">
        <v>375</v>
      </c>
      <c r="AH1080" s="476"/>
      <c r="AI1080" s="472" t="s">
        <v>1613</v>
      </c>
      <c r="AJ1080" s="464"/>
    </row>
    <row r="1081" spans="2:36" ht="24" hidden="1" customHeight="1">
      <c r="B1081" s="463">
        <v>885</v>
      </c>
      <c r="C1081" s="464" t="s">
        <v>534</v>
      </c>
      <c r="D1081" s="464"/>
      <c r="E1081" s="464" t="s">
        <v>535</v>
      </c>
      <c r="F1081" s="464"/>
      <c r="G1081" s="464" t="s">
        <v>467</v>
      </c>
      <c r="H1081" s="464" t="s">
        <v>2791</v>
      </c>
      <c r="I1081" s="465" t="s">
        <v>537</v>
      </c>
      <c r="J1081" s="466">
        <v>40000</v>
      </c>
      <c r="K1081" s="465" t="s">
        <v>537</v>
      </c>
      <c r="L1081" s="465" t="s">
        <v>537</v>
      </c>
      <c r="M1081" s="466">
        <v>40000</v>
      </c>
      <c r="N1081" s="465" t="s">
        <v>537</v>
      </c>
      <c r="O1081" s="463" t="s">
        <v>537</v>
      </c>
      <c r="P1081" s="463" t="s">
        <v>537</v>
      </c>
      <c r="Q1081" s="465">
        <v>0</v>
      </c>
      <c r="R1081" s="470">
        <v>241579</v>
      </c>
      <c r="S1081" s="471">
        <v>22437</v>
      </c>
      <c r="T1081" s="463">
        <v>0</v>
      </c>
      <c r="U1081" s="463">
        <v>200</v>
      </c>
      <c r="V1081" s="463">
        <v>0</v>
      </c>
      <c r="W1081" s="463">
        <v>0</v>
      </c>
      <c r="X1081" s="463">
        <v>200</v>
      </c>
      <c r="Y1081" s="463">
        <v>0</v>
      </c>
      <c r="Z1081" s="463">
        <v>95</v>
      </c>
      <c r="AA1081" s="472" t="s">
        <v>612</v>
      </c>
      <c r="AB1081" s="463" t="s">
        <v>539</v>
      </c>
      <c r="AC1081" s="463" t="s">
        <v>539</v>
      </c>
      <c r="AD1081" s="472" t="s">
        <v>613</v>
      </c>
      <c r="AE1081" s="463">
        <v>85</v>
      </c>
      <c r="AF1081" s="463">
        <v>95</v>
      </c>
      <c r="AG1081" s="463" t="s">
        <v>375</v>
      </c>
      <c r="AH1081" s="476"/>
      <c r="AI1081" s="472" t="s">
        <v>566</v>
      </c>
      <c r="AJ1081" s="472" t="s">
        <v>537</v>
      </c>
    </row>
    <row r="1082" spans="2:36" ht="24" hidden="1" customHeight="1">
      <c r="B1082" s="463">
        <v>886</v>
      </c>
      <c r="C1082" s="464" t="s">
        <v>534</v>
      </c>
      <c r="D1082" s="464"/>
      <c r="E1082" s="464" t="s">
        <v>535</v>
      </c>
      <c r="F1082" s="464"/>
      <c r="G1082" s="464" t="s">
        <v>467</v>
      </c>
      <c r="H1082" s="464" t="s">
        <v>2792</v>
      </c>
      <c r="I1082" s="465" t="s">
        <v>537</v>
      </c>
      <c r="J1082" s="465" t="s">
        <v>537</v>
      </c>
      <c r="K1082" s="466">
        <v>505000</v>
      </c>
      <c r="L1082" s="465" t="s">
        <v>537</v>
      </c>
      <c r="M1082" s="465" t="s">
        <v>537</v>
      </c>
      <c r="N1082" s="466">
        <v>505000</v>
      </c>
      <c r="O1082" s="463" t="s">
        <v>537</v>
      </c>
      <c r="P1082" s="463" t="s">
        <v>537</v>
      </c>
      <c r="Q1082" s="465">
        <v>0</v>
      </c>
      <c r="R1082" s="470">
        <v>241459</v>
      </c>
      <c r="S1082" s="463" t="s">
        <v>1591</v>
      </c>
      <c r="T1082" s="463">
        <v>15</v>
      </c>
      <c r="U1082" s="463">
        <v>0</v>
      </c>
      <c r="V1082" s="463">
        <v>0</v>
      </c>
      <c r="W1082" s="463">
        <v>15</v>
      </c>
      <c r="X1082" s="463">
        <v>0</v>
      </c>
      <c r="Y1082" s="463">
        <v>0</v>
      </c>
      <c r="Z1082" s="463">
        <v>92.22</v>
      </c>
      <c r="AA1082" s="472" t="s">
        <v>2787</v>
      </c>
      <c r="AB1082" s="463" t="s">
        <v>539</v>
      </c>
      <c r="AC1082" s="463" t="s">
        <v>539</v>
      </c>
      <c r="AD1082" s="472" t="s">
        <v>606</v>
      </c>
      <c r="AE1082" s="463">
        <v>80</v>
      </c>
      <c r="AF1082" s="463">
        <v>93.4</v>
      </c>
      <c r="AG1082" s="463" t="s">
        <v>375</v>
      </c>
      <c r="AH1082" s="476"/>
      <c r="AI1082" s="472" t="s">
        <v>537</v>
      </c>
      <c r="AJ1082" s="472" t="s">
        <v>792</v>
      </c>
    </row>
    <row r="1083" spans="2:36" ht="24" hidden="1" customHeight="1">
      <c r="B1083" s="463">
        <v>887</v>
      </c>
      <c r="C1083" s="464" t="s">
        <v>534</v>
      </c>
      <c r="D1083" s="464"/>
      <c r="E1083" s="464" t="s">
        <v>535</v>
      </c>
      <c r="F1083" s="464"/>
      <c r="G1083" s="464" t="s">
        <v>467</v>
      </c>
      <c r="H1083" s="464" t="s">
        <v>2793</v>
      </c>
      <c r="I1083" s="465" t="s">
        <v>537</v>
      </c>
      <c r="J1083" s="465" t="s">
        <v>537</v>
      </c>
      <c r="K1083" s="466">
        <v>384200</v>
      </c>
      <c r="L1083" s="465" t="s">
        <v>537</v>
      </c>
      <c r="M1083" s="465" t="s">
        <v>537</v>
      </c>
      <c r="N1083" s="466">
        <v>384200</v>
      </c>
      <c r="O1083" s="463" t="s">
        <v>537</v>
      </c>
      <c r="P1083" s="463" t="s">
        <v>537</v>
      </c>
      <c r="Q1083" s="465">
        <v>0</v>
      </c>
      <c r="R1083" s="470">
        <v>241459</v>
      </c>
      <c r="S1083" s="463" t="s">
        <v>2794</v>
      </c>
      <c r="T1083" s="463">
        <v>100</v>
      </c>
      <c r="U1083" s="463">
        <v>150</v>
      </c>
      <c r="V1083" s="463">
        <v>200</v>
      </c>
      <c r="W1083" s="463">
        <v>100</v>
      </c>
      <c r="X1083" s="463">
        <v>150</v>
      </c>
      <c r="Y1083" s="463">
        <v>200</v>
      </c>
      <c r="Z1083" s="463">
        <v>89.5</v>
      </c>
      <c r="AA1083" s="472" t="s">
        <v>2795</v>
      </c>
      <c r="AB1083" s="463">
        <v>80</v>
      </c>
      <c r="AC1083" s="463">
        <v>89.5</v>
      </c>
      <c r="AD1083" s="472" t="s">
        <v>2796</v>
      </c>
      <c r="AE1083" s="463">
        <v>50</v>
      </c>
      <c r="AF1083" s="463">
        <v>50</v>
      </c>
      <c r="AG1083" s="463" t="s">
        <v>375</v>
      </c>
      <c r="AH1083" s="476"/>
      <c r="AI1083" s="472" t="s">
        <v>537</v>
      </c>
      <c r="AJ1083" s="472" t="s">
        <v>792</v>
      </c>
    </row>
    <row r="1084" spans="2:36" ht="24" hidden="1" customHeight="1">
      <c r="B1084" s="463">
        <v>888</v>
      </c>
      <c r="C1084" s="464" t="s">
        <v>534</v>
      </c>
      <c r="D1084" s="464"/>
      <c r="E1084" s="464" t="s">
        <v>535</v>
      </c>
      <c r="F1084" s="464"/>
      <c r="G1084" s="464" t="s">
        <v>467</v>
      </c>
      <c r="H1084" s="464" t="s">
        <v>2797</v>
      </c>
      <c r="I1084" s="465" t="s">
        <v>537</v>
      </c>
      <c r="J1084" s="465" t="s">
        <v>537</v>
      </c>
      <c r="K1084" s="466">
        <v>32000</v>
      </c>
      <c r="L1084" s="465" t="s">
        <v>537</v>
      </c>
      <c r="M1084" s="465" t="s">
        <v>537</v>
      </c>
      <c r="N1084" s="466">
        <v>32000</v>
      </c>
      <c r="O1084" s="463" t="s">
        <v>537</v>
      </c>
      <c r="P1084" s="463" t="s">
        <v>537</v>
      </c>
      <c r="Q1084" s="465">
        <v>0</v>
      </c>
      <c r="R1084" s="470">
        <v>241459</v>
      </c>
      <c r="S1084" s="463" t="s">
        <v>2798</v>
      </c>
      <c r="T1084" s="463">
        <v>100</v>
      </c>
      <c r="U1084" s="463">
        <v>50</v>
      </c>
      <c r="V1084" s="463">
        <v>150</v>
      </c>
      <c r="W1084" s="463">
        <v>100</v>
      </c>
      <c r="X1084" s="463">
        <v>50</v>
      </c>
      <c r="Y1084" s="463">
        <v>150</v>
      </c>
      <c r="Z1084" s="463">
        <v>92.89</v>
      </c>
      <c r="AA1084" s="472" t="s">
        <v>1304</v>
      </c>
      <c r="AB1084" s="463" t="s">
        <v>539</v>
      </c>
      <c r="AC1084" s="463" t="s">
        <v>539</v>
      </c>
      <c r="AD1084" s="472" t="s">
        <v>565</v>
      </c>
      <c r="AE1084" s="463">
        <v>80</v>
      </c>
      <c r="AF1084" s="463">
        <v>92.8</v>
      </c>
      <c r="AG1084" s="463" t="s">
        <v>375</v>
      </c>
      <c r="AH1084" s="476"/>
      <c r="AI1084" s="472" t="s">
        <v>537</v>
      </c>
      <c r="AJ1084" s="472" t="s">
        <v>792</v>
      </c>
    </row>
    <row r="1085" spans="2:36" ht="24" hidden="1" customHeight="1">
      <c r="B1085" s="463">
        <v>889</v>
      </c>
      <c r="C1085" s="464" t="s">
        <v>534</v>
      </c>
      <c r="D1085" s="464"/>
      <c r="E1085" s="464" t="s">
        <v>535</v>
      </c>
      <c r="F1085" s="464"/>
      <c r="G1085" s="464" t="s">
        <v>467</v>
      </c>
      <c r="H1085" s="464" t="s">
        <v>2799</v>
      </c>
      <c r="I1085" s="465" t="s">
        <v>537</v>
      </c>
      <c r="J1085" s="465" t="s">
        <v>537</v>
      </c>
      <c r="K1085" s="466">
        <v>30000</v>
      </c>
      <c r="L1085" s="465" t="s">
        <v>537</v>
      </c>
      <c r="M1085" s="465" t="s">
        <v>537</v>
      </c>
      <c r="N1085" s="466">
        <v>27958</v>
      </c>
      <c r="O1085" s="463" t="s">
        <v>537</v>
      </c>
      <c r="P1085" s="463" t="s">
        <v>537</v>
      </c>
      <c r="Q1085" s="468">
        <v>2042</v>
      </c>
      <c r="R1085" s="470">
        <v>241459</v>
      </c>
      <c r="S1085" s="463" t="s">
        <v>2800</v>
      </c>
      <c r="T1085" s="463">
        <v>58</v>
      </c>
      <c r="U1085" s="463">
        <v>10</v>
      </c>
      <c r="V1085" s="463">
        <v>2</v>
      </c>
      <c r="W1085" s="463">
        <v>58</v>
      </c>
      <c r="X1085" s="463">
        <v>10</v>
      </c>
      <c r="Y1085" s="463">
        <v>2</v>
      </c>
      <c r="Z1085" s="463">
        <v>90.75</v>
      </c>
      <c r="AA1085" s="472" t="s">
        <v>2787</v>
      </c>
      <c r="AB1085" s="463" t="s">
        <v>539</v>
      </c>
      <c r="AC1085" s="463" t="s">
        <v>539</v>
      </c>
      <c r="AD1085" s="472" t="s">
        <v>565</v>
      </c>
      <c r="AE1085" s="463">
        <v>80</v>
      </c>
      <c r="AF1085" s="463">
        <v>90.5</v>
      </c>
      <c r="AG1085" s="463" t="s">
        <v>375</v>
      </c>
      <c r="AH1085" s="476"/>
      <c r="AI1085" s="472" t="s">
        <v>537</v>
      </c>
      <c r="AJ1085" s="472" t="s">
        <v>792</v>
      </c>
    </row>
    <row r="1086" spans="2:36" ht="24" hidden="1" customHeight="1">
      <c r="B1086" s="463">
        <v>890</v>
      </c>
      <c r="C1086" s="464" t="s">
        <v>534</v>
      </c>
      <c r="D1086" s="464"/>
      <c r="E1086" s="464" t="s">
        <v>535</v>
      </c>
      <c r="F1086" s="464"/>
      <c r="G1086" s="464" t="s">
        <v>467</v>
      </c>
      <c r="H1086" s="464" t="s">
        <v>2801</v>
      </c>
      <c r="I1086" s="465" t="s">
        <v>537</v>
      </c>
      <c r="J1086" s="465" t="s">
        <v>537</v>
      </c>
      <c r="K1086" s="466">
        <v>131400</v>
      </c>
      <c r="L1086" s="465" t="s">
        <v>537</v>
      </c>
      <c r="M1086" s="465" t="s">
        <v>537</v>
      </c>
      <c r="N1086" s="466">
        <v>121303</v>
      </c>
      <c r="O1086" s="463" t="s">
        <v>537</v>
      </c>
      <c r="P1086" s="463" t="s">
        <v>537</v>
      </c>
      <c r="Q1086" s="468">
        <v>10097</v>
      </c>
      <c r="R1086" s="470">
        <v>241459</v>
      </c>
      <c r="S1086" s="463" t="s">
        <v>2794</v>
      </c>
      <c r="T1086" s="463">
        <v>400</v>
      </c>
      <c r="U1086" s="463">
        <v>60</v>
      </c>
      <c r="V1086" s="463">
        <v>100</v>
      </c>
      <c r="W1086" s="463">
        <v>400</v>
      </c>
      <c r="X1086" s="463">
        <v>60</v>
      </c>
      <c r="Y1086" s="463">
        <v>100</v>
      </c>
      <c r="Z1086" s="463">
        <v>95</v>
      </c>
      <c r="AA1086" s="472" t="s">
        <v>2802</v>
      </c>
      <c r="AB1086" s="463" t="s">
        <v>539</v>
      </c>
      <c r="AC1086" s="463" t="s">
        <v>539</v>
      </c>
      <c r="AD1086" s="472" t="s">
        <v>2803</v>
      </c>
      <c r="AE1086" s="463">
        <v>80</v>
      </c>
      <c r="AF1086" s="463">
        <v>95</v>
      </c>
      <c r="AG1086" s="463" t="s">
        <v>375</v>
      </c>
      <c r="AH1086" s="476"/>
      <c r="AI1086" s="472" t="s">
        <v>537</v>
      </c>
      <c r="AJ1086" s="472" t="s">
        <v>2804</v>
      </c>
    </row>
    <row r="1087" spans="2:36" ht="24" hidden="1" customHeight="1">
      <c r="B1087" s="463">
        <v>891</v>
      </c>
      <c r="C1087" s="464" t="s">
        <v>534</v>
      </c>
      <c r="D1087" s="464"/>
      <c r="E1087" s="464" t="s">
        <v>535</v>
      </c>
      <c r="F1087" s="464"/>
      <c r="G1087" s="464" t="s">
        <v>467</v>
      </c>
      <c r="H1087" s="464" t="s">
        <v>2805</v>
      </c>
      <c r="I1087" s="465" t="s">
        <v>537</v>
      </c>
      <c r="J1087" s="465" t="s">
        <v>537</v>
      </c>
      <c r="K1087" s="466">
        <v>104500</v>
      </c>
      <c r="L1087" s="465" t="s">
        <v>537</v>
      </c>
      <c r="M1087" s="465" t="s">
        <v>537</v>
      </c>
      <c r="N1087" s="466">
        <v>104500</v>
      </c>
      <c r="O1087" s="463" t="s">
        <v>537</v>
      </c>
      <c r="P1087" s="463" t="s">
        <v>537</v>
      </c>
      <c r="Q1087" s="465">
        <v>0</v>
      </c>
      <c r="R1087" s="470">
        <v>241459</v>
      </c>
      <c r="S1087" s="463" t="s">
        <v>2794</v>
      </c>
      <c r="T1087" s="463">
        <v>800</v>
      </c>
      <c r="U1087" s="463">
        <v>0</v>
      </c>
      <c r="V1087" s="463">
        <v>0</v>
      </c>
      <c r="W1087" s="463">
        <v>800</v>
      </c>
      <c r="X1087" s="463">
        <v>0</v>
      </c>
      <c r="Y1087" s="463">
        <v>0</v>
      </c>
      <c r="Z1087" s="463">
        <v>95</v>
      </c>
      <c r="AA1087" s="472" t="s">
        <v>2802</v>
      </c>
      <c r="AB1087" s="463" t="s">
        <v>539</v>
      </c>
      <c r="AC1087" s="463" t="s">
        <v>539</v>
      </c>
      <c r="AD1087" s="472" t="s">
        <v>2803</v>
      </c>
      <c r="AE1087" s="463">
        <v>80</v>
      </c>
      <c r="AF1087" s="463">
        <v>95</v>
      </c>
      <c r="AG1087" s="463" t="s">
        <v>375</v>
      </c>
      <c r="AH1087" s="476"/>
      <c r="AI1087" s="472" t="s">
        <v>537</v>
      </c>
      <c r="AJ1087" s="472" t="s">
        <v>2804</v>
      </c>
    </row>
    <row r="1088" spans="2:36" ht="24" hidden="1" customHeight="1">
      <c r="B1088" s="463">
        <v>892</v>
      </c>
      <c r="C1088" s="464" t="s">
        <v>534</v>
      </c>
      <c r="D1088" s="464"/>
      <c r="E1088" s="464" t="s">
        <v>535</v>
      </c>
      <c r="F1088" s="464"/>
      <c r="G1088" s="464" t="s">
        <v>467</v>
      </c>
      <c r="H1088" s="464" t="s">
        <v>2806</v>
      </c>
      <c r="I1088" s="465" t="s">
        <v>537</v>
      </c>
      <c r="J1088" s="465" t="s">
        <v>537</v>
      </c>
      <c r="K1088" s="466">
        <v>330000</v>
      </c>
      <c r="L1088" s="465" t="s">
        <v>537</v>
      </c>
      <c r="M1088" s="465" t="s">
        <v>537</v>
      </c>
      <c r="N1088" s="466">
        <v>327332</v>
      </c>
      <c r="O1088" s="463" t="s">
        <v>537</v>
      </c>
      <c r="P1088" s="463" t="s">
        <v>537</v>
      </c>
      <c r="Q1088" s="468">
        <v>2668</v>
      </c>
      <c r="R1088" s="470">
        <v>241459</v>
      </c>
      <c r="S1088" s="463" t="s">
        <v>2794</v>
      </c>
      <c r="T1088" s="463">
        <v>198</v>
      </c>
      <c r="U1088" s="463">
        <v>0</v>
      </c>
      <c r="V1088" s="463">
        <v>0</v>
      </c>
      <c r="W1088" s="463">
        <v>198</v>
      </c>
      <c r="X1088" s="463">
        <v>0</v>
      </c>
      <c r="Y1088" s="463">
        <v>0</v>
      </c>
      <c r="Z1088" s="463">
        <v>94.8</v>
      </c>
      <c r="AA1088" s="472" t="s">
        <v>2802</v>
      </c>
      <c r="AB1088" s="463" t="s">
        <v>539</v>
      </c>
      <c r="AC1088" s="463" t="s">
        <v>539</v>
      </c>
      <c r="AD1088" s="472" t="s">
        <v>2803</v>
      </c>
      <c r="AE1088" s="463">
        <v>80</v>
      </c>
      <c r="AF1088" s="463">
        <v>94.8</v>
      </c>
      <c r="AG1088" s="463" t="s">
        <v>375</v>
      </c>
      <c r="AH1088" s="476"/>
      <c r="AI1088" s="472" t="s">
        <v>537</v>
      </c>
      <c r="AJ1088" s="472" t="s">
        <v>2804</v>
      </c>
    </row>
    <row r="1089" spans="2:36" ht="24" hidden="1" customHeight="1">
      <c r="B1089" s="463">
        <v>893</v>
      </c>
      <c r="C1089" s="464" t="s">
        <v>534</v>
      </c>
      <c r="D1089" s="464"/>
      <c r="E1089" s="464" t="s">
        <v>535</v>
      </c>
      <c r="F1089" s="464"/>
      <c r="G1089" s="464" t="s">
        <v>467</v>
      </c>
      <c r="H1089" s="464" t="s">
        <v>2807</v>
      </c>
      <c r="I1089" s="465" t="s">
        <v>537</v>
      </c>
      <c r="J1089" s="465" t="s">
        <v>537</v>
      </c>
      <c r="K1089" s="466">
        <v>51000</v>
      </c>
      <c r="L1089" s="465" t="s">
        <v>537</v>
      </c>
      <c r="M1089" s="465" t="s">
        <v>537</v>
      </c>
      <c r="N1089" s="466">
        <v>51000</v>
      </c>
      <c r="O1089" s="463" t="s">
        <v>537</v>
      </c>
      <c r="P1089" s="463" t="s">
        <v>537</v>
      </c>
      <c r="Q1089" s="465">
        <v>0</v>
      </c>
      <c r="R1089" s="470">
        <v>241487</v>
      </c>
      <c r="S1089" s="463" t="s">
        <v>1495</v>
      </c>
      <c r="T1089" s="463">
        <v>222</v>
      </c>
      <c r="U1089" s="463">
        <v>9</v>
      </c>
      <c r="V1089" s="463">
        <v>0</v>
      </c>
      <c r="W1089" s="463">
        <v>229</v>
      </c>
      <c r="X1089" s="463">
        <v>7</v>
      </c>
      <c r="Y1089" s="463">
        <v>0</v>
      </c>
      <c r="Z1089" s="463">
        <v>95</v>
      </c>
      <c r="AA1089" s="472" t="s">
        <v>547</v>
      </c>
      <c r="AB1089" s="463" t="s">
        <v>539</v>
      </c>
      <c r="AC1089" s="463" t="s">
        <v>539</v>
      </c>
      <c r="AD1089" s="472" t="s">
        <v>675</v>
      </c>
      <c r="AE1089" s="463">
        <v>80</v>
      </c>
      <c r="AF1089" s="463">
        <v>96.35</v>
      </c>
      <c r="AG1089" s="463" t="s">
        <v>375</v>
      </c>
      <c r="AH1089" s="476"/>
      <c r="AI1089" s="472" t="s">
        <v>537</v>
      </c>
      <c r="AJ1089" s="472" t="s">
        <v>792</v>
      </c>
    </row>
    <row r="1090" spans="2:36" ht="24" hidden="1" customHeight="1">
      <c r="B1090" s="463">
        <v>894</v>
      </c>
      <c r="C1090" s="464" t="s">
        <v>534</v>
      </c>
      <c r="D1090" s="464"/>
      <c r="E1090" s="464" t="s">
        <v>535</v>
      </c>
      <c r="F1090" s="464"/>
      <c r="G1090" s="464" t="s">
        <v>467</v>
      </c>
      <c r="H1090" s="464" t="s">
        <v>2808</v>
      </c>
      <c r="I1090" s="465" t="s">
        <v>537</v>
      </c>
      <c r="J1090" s="465" t="s">
        <v>537</v>
      </c>
      <c r="K1090" s="466">
        <v>35500</v>
      </c>
      <c r="L1090" s="465" t="s">
        <v>537</v>
      </c>
      <c r="M1090" s="465" t="s">
        <v>537</v>
      </c>
      <c r="N1090" s="466">
        <v>35500</v>
      </c>
      <c r="O1090" s="463" t="s">
        <v>537</v>
      </c>
      <c r="P1090" s="463" t="s">
        <v>537</v>
      </c>
      <c r="Q1090" s="465">
        <v>0</v>
      </c>
      <c r="R1090" s="470">
        <v>241487</v>
      </c>
      <c r="S1090" s="463" t="s">
        <v>1495</v>
      </c>
      <c r="T1090" s="463">
        <v>34</v>
      </c>
      <c r="U1090" s="463">
        <v>6</v>
      </c>
      <c r="V1090" s="463">
        <v>60</v>
      </c>
      <c r="W1090" s="463">
        <v>34</v>
      </c>
      <c r="X1090" s="463">
        <v>6</v>
      </c>
      <c r="Y1090" s="463">
        <v>60</v>
      </c>
      <c r="Z1090" s="463">
        <v>96</v>
      </c>
      <c r="AA1090" s="472" t="s">
        <v>547</v>
      </c>
      <c r="AB1090" s="463" t="s">
        <v>539</v>
      </c>
      <c r="AC1090" s="463" t="s">
        <v>539</v>
      </c>
      <c r="AD1090" s="472" t="s">
        <v>675</v>
      </c>
      <c r="AE1090" s="463">
        <v>80</v>
      </c>
      <c r="AF1090" s="463">
        <v>96</v>
      </c>
      <c r="AG1090" s="463" t="s">
        <v>375</v>
      </c>
      <c r="AH1090" s="476"/>
      <c r="AI1090" s="472" t="s">
        <v>566</v>
      </c>
      <c r="AJ1090" s="472" t="s">
        <v>2804</v>
      </c>
    </row>
    <row r="1091" spans="2:36" ht="24" hidden="1" customHeight="1">
      <c r="B1091" s="463">
        <v>895</v>
      </c>
      <c r="C1091" s="464" t="s">
        <v>534</v>
      </c>
      <c r="D1091" s="464"/>
      <c r="E1091" s="464" t="s">
        <v>535</v>
      </c>
      <c r="F1091" s="464"/>
      <c r="G1091" s="464" t="s">
        <v>467</v>
      </c>
      <c r="H1091" s="464" t="s">
        <v>2809</v>
      </c>
      <c r="I1091" s="465" t="s">
        <v>537</v>
      </c>
      <c r="J1091" s="465" t="s">
        <v>537</v>
      </c>
      <c r="K1091" s="466">
        <v>163500</v>
      </c>
      <c r="L1091" s="465" t="s">
        <v>537</v>
      </c>
      <c r="M1091" s="465" t="s">
        <v>537</v>
      </c>
      <c r="N1091" s="466">
        <v>128340</v>
      </c>
      <c r="O1091" s="463" t="s">
        <v>537</v>
      </c>
      <c r="P1091" s="463" t="s">
        <v>537</v>
      </c>
      <c r="Q1091" s="468">
        <v>35160</v>
      </c>
      <c r="R1091" s="470">
        <v>241487</v>
      </c>
      <c r="S1091" s="463" t="s">
        <v>2483</v>
      </c>
      <c r="T1091" s="463">
        <v>70</v>
      </c>
      <c r="U1091" s="463">
        <v>30</v>
      </c>
      <c r="V1091" s="463">
        <v>0</v>
      </c>
      <c r="W1091" s="463">
        <v>123</v>
      </c>
      <c r="X1091" s="463">
        <v>37</v>
      </c>
      <c r="Y1091" s="463">
        <v>0</v>
      </c>
      <c r="Z1091" s="463">
        <v>90.68</v>
      </c>
      <c r="AA1091" s="472" t="s">
        <v>547</v>
      </c>
      <c r="AB1091" s="463" t="s">
        <v>539</v>
      </c>
      <c r="AC1091" s="463" t="s">
        <v>539</v>
      </c>
      <c r="AD1091" s="472" t="s">
        <v>675</v>
      </c>
      <c r="AE1091" s="463">
        <v>80</v>
      </c>
      <c r="AF1091" s="463">
        <v>91.07</v>
      </c>
      <c r="AG1091" s="463" t="s">
        <v>375</v>
      </c>
      <c r="AH1091" s="476"/>
      <c r="AI1091" s="472" t="s">
        <v>537</v>
      </c>
      <c r="AJ1091" s="472" t="s">
        <v>792</v>
      </c>
    </row>
    <row r="1092" spans="2:36" ht="24" hidden="1" customHeight="1">
      <c r="B1092" s="463">
        <v>896</v>
      </c>
      <c r="C1092" s="464" t="s">
        <v>534</v>
      </c>
      <c r="D1092" s="464"/>
      <c r="E1092" s="464" t="s">
        <v>535</v>
      </c>
      <c r="F1092" s="464"/>
      <c r="G1092" s="464" t="s">
        <v>467</v>
      </c>
      <c r="H1092" s="464" t="s">
        <v>2810</v>
      </c>
      <c r="I1092" s="465" t="s">
        <v>537</v>
      </c>
      <c r="J1092" s="465" t="s">
        <v>537</v>
      </c>
      <c r="K1092" s="466">
        <v>350000</v>
      </c>
      <c r="L1092" s="465" t="s">
        <v>537</v>
      </c>
      <c r="M1092" s="465" t="s">
        <v>537</v>
      </c>
      <c r="N1092" s="466">
        <v>285490</v>
      </c>
      <c r="O1092" s="463" t="s">
        <v>537</v>
      </c>
      <c r="P1092" s="463" t="s">
        <v>537</v>
      </c>
      <c r="Q1092" s="468">
        <v>64510</v>
      </c>
      <c r="R1092" s="470">
        <v>241487</v>
      </c>
      <c r="S1092" s="463" t="s">
        <v>2483</v>
      </c>
      <c r="T1092" s="463">
        <v>70</v>
      </c>
      <c r="U1092" s="463">
        <v>80</v>
      </c>
      <c r="V1092" s="463">
        <v>850</v>
      </c>
      <c r="W1092" s="463">
        <v>1395</v>
      </c>
      <c r="X1092" s="463">
        <v>114</v>
      </c>
      <c r="Y1092" s="463">
        <v>506</v>
      </c>
      <c r="Z1092" s="463">
        <v>89.78</v>
      </c>
      <c r="AA1092" s="472" t="s">
        <v>547</v>
      </c>
      <c r="AB1092" s="463" t="s">
        <v>539</v>
      </c>
      <c r="AC1092" s="463" t="s">
        <v>539</v>
      </c>
      <c r="AD1092" s="472" t="s">
        <v>2811</v>
      </c>
      <c r="AE1092" s="463">
        <v>80</v>
      </c>
      <c r="AF1092" s="463">
        <v>89.78</v>
      </c>
      <c r="AG1092" s="463" t="s">
        <v>375</v>
      </c>
      <c r="AH1092" s="476"/>
      <c r="AI1092" s="472" t="s">
        <v>2356</v>
      </c>
      <c r="AJ1092" s="472" t="s">
        <v>792</v>
      </c>
    </row>
    <row r="1093" spans="2:36" ht="24" hidden="1" customHeight="1">
      <c r="B1093" s="463">
        <v>897</v>
      </c>
      <c r="C1093" s="464" t="s">
        <v>534</v>
      </c>
      <c r="D1093" s="464"/>
      <c r="E1093" s="464" t="s">
        <v>535</v>
      </c>
      <c r="F1093" s="464"/>
      <c r="G1093" s="464" t="s">
        <v>195</v>
      </c>
      <c r="H1093" s="464" t="s">
        <v>2812</v>
      </c>
      <c r="I1093" s="465" t="s">
        <v>537</v>
      </c>
      <c r="J1093" s="465" t="s">
        <v>537</v>
      </c>
      <c r="K1093" s="466">
        <v>150000</v>
      </c>
      <c r="L1093" s="465" t="s">
        <v>537</v>
      </c>
      <c r="M1093" s="465" t="s">
        <v>537</v>
      </c>
      <c r="N1093" s="466">
        <v>149800</v>
      </c>
      <c r="O1093" s="463" t="s">
        <v>537</v>
      </c>
      <c r="P1093" s="463" t="s">
        <v>537</v>
      </c>
      <c r="Q1093" s="465">
        <v>200</v>
      </c>
      <c r="R1093" s="470">
        <v>241428</v>
      </c>
      <c r="S1093" s="463" t="s">
        <v>623</v>
      </c>
      <c r="T1093" s="463">
        <v>0</v>
      </c>
      <c r="U1093" s="463">
        <v>0</v>
      </c>
      <c r="V1093" s="463">
        <v>500</v>
      </c>
      <c r="W1093" s="463">
        <v>500</v>
      </c>
      <c r="X1093" s="464"/>
      <c r="Y1093" s="463">
        <v>500</v>
      </c>
      <c r="Z1093" s="463">
        <v>86</v>
      </c>
      <c r="AA1093" s="472" t="s">
        <v>1119</v>
      </c>
      <c r="AB1093" s="463" t="s">
        <v>539</v>
      </c>
      <c r="AC1093" s="463" t="s">
        <v>539</v>
      </c>
      <c r="AD1093" s="472" t="s">
        <v>2813</v>
      </c>
      <c r="AE1093" s="463">
        <v>80</v>
      </c>
      <c r="AF1093" s="463">
        <v>86</v>
      </c>
      <c r="AG1093" s="463" t="s">
        <v>375</v>
      </c>
      <c r="AH1093" s="476"/>
      <c r="AI1093" s="472">
        <v>896555747</v>
      </c>
      <c r="AJ1093" s="472" t="s">
        <v>543</v>
      </c>
    </row>
    <row r="1094" spans="2:36" ht="24" hidden="1" customHeight="1">
      <c r="B1094" s="463">
        <v>898</v>
      </c>
      <c r="C1094" s="464" t="s">
        <v>534</v>
      </c>
      <c r="D1094" s="464"/>
      <c r="E1094" s="464" t="s">
        <v>535</v>
      </c>
      <c r="F1094" s="464"/>
      <c r="G1094" s="464" t="s">
        <v>195</v>
      </c>
      <c r="H1094" s="464" t="s">
        <v>2814</v>
      </c>
      <c r="I1094" s="465" t="s">
        <v>537</v>
      </c>
      <c r="J1094" s="465" t="s">
        <v>537</v>
      </c>
      <c r="K1094" s="466">
        <v>30000</v>
      </c>
      <c r="L1094" s="465" t="s">
        <v>537</v>
      </c>
      <c r="M1094" s="465" t="s">
        <v>537</v>
      </c>
      <c r="N1094" s="466">
        <v>20160</v>
      </c>
      <c r="O1094" s="463" t="s">
        <v>537</v>
      </c>
      <c r="P1094" s="463" t="s">
        <v>537</v>
      </c>
      <c r="Q1094" s="468">
        <v>9840</v>
      </c>
      <c r="R1094" s="470">
        <v>241428</v>
      </c>
      <c r="S1094" s="463" t="s">
        <v>2815</v>
      </c>
      <c r="T1094" s="463">
        <v>0</v>
      </c>
      <c r="U1094" s="463">
        <v>15</v>
      </c>
      <c r="V1094" s="463">
        <v>500</v>
      </c>
      <c r="W1094" s="463">
        <v>1000</v>
      </c>
      <c r="X1094" s="463">
        <v>15</v>
      </c>
      <c r="Y1094" s="464"/>
      <c r="Z1094" s="463">
        <v>85.25</v>
      </c>
      <c r="AA1094" s="472" t="s">
        <v>2816</v>
      </c>
      <c r="AB1094" s="463" t="s">
        <v>539</v>
      </c>
      <c r="AC1094" s="463">
        <v>85.25</v>
      </c>
      <c r="AD1094" s="472" t="s">
        <v>548</v>
      </c>
      <c r="AE1094" s="463">
        <v>80</v>
      </c>
      <c r="AF1094" s="463">
        <v>86.78</v>
      </c>
      <c r="AG1094" s="463" t="s">
        <v>375</v>
      </c>
      <c r="AH1094" s="476"/>
      <c r="AI1094" s="472">
        <v>816082425</v>
      </c>
      <c r="AJ1094" s="472" t="s">
        <v>543</v>
      </c>
    </row>
    <row r="1095" spans="2:36" ht="24" hidden="1" customHeight="1">
      <c r="B1095" s="463">
        <v>899</v>
      </c>
      <c r="C1095" s="464" t="s">
        <v>534</v>
      </c>
      <c r="D1095" s="464"/>
      <c r="E1095" s="464" t="s">
        <v>535</v>
      </c>
      <c r="F1095" s="464"/>
      <c r="G1095" s="464" t="s">
        <v>195</v>
      </c>
      <c r="H1095" s="464" t="s">
        <v>2817</v>
      </c>
      <c r="I1095" s="465" t="s">
        <v>537</v>
      </c>
      <c r="J1095" s="465" t="s">
        <v>537</v>
      </c>
      <c r="K1095" s="466">
        <v>89300</v>
      </c>
      <c r="L1095" s="465" t="s">
        <v>537</v>
      </c>
      <c r="M1095" s="465" t="s">
        <v>537</v>
      </c>
      <c r="N1095" s="466">
        <v>60240</v>
      </c>
      <c r="O1095" s="463" t="s">
        <v>537</v>
      </c>
      <c r="P1095" s="463" t="s">
        <v>537</v>
      </c>
      <c r="Q1095" s="468">
        <v>29060</v>
      </c>
      <c r="R1095" s="470">
        <v>241609</v>
      </c>
      <c r="S1095" s="463" t="s">
        <v>1995</v>
      </c>
      <c r="T1095" s="463">
        <v>0</v>
      </c>
      <c r="U1095" s="463">
        <v>15</v>
      </c>
      <c r="V1095" s="463">
        <v>500</v>
      </c>
      <c r="W1095" s="463">
        <v>2500</v>
      </c>
      <c r="X1095" s="463">
        <v>14</v>
      </c>
      <c r="Y1095" s="463">
        <v>0</v>
      </c>
      <c r="Z1095" s="463">
        <v>88.53</v>
      </c>
      <c r="AA1095" s="472" t="s">
        <v>2816</v>
      </c>
      <c r="AB1095" s="463" t="s">
        <v>539</v>
      </c>
      <c r="AC1095" s="463" t="s">
        <v>539</v>
      </c>
      <c r="AD1095" s="472" t="s">
        <v>548</v>
      </c>
      <c r="AE1095" s="463">
        <v>80</v>
      </c>
      <c r="AF1095" s="463">
        <v>87</v>
      </c>
      <c r="AG1095" s="463" t="s">
        <v>375</v>
      </c>
      <c r="AH1095" s="476"/>
      <c r="AI1095" s="472">
        <v>816082425</v>
      </c>
      <c r="AJ1095" s="472" t="s">
        <v>543</v>
      </c>
    </row>
    <row r="1096" spans="2:36" ht="24" hidden="1" customHeight="1">
      <c r="B1096" s="463">
        <v>900</v>
      </c>
      <c r="C1096" s="464" t="s">
        <v>534</v>
      </c>
      <c r="D1096" s="464"/>
      <c r="E1096" s="464" t="s">
        <v>535</v>
      </c>
      <c r="F1096" s="464"/>
      <c r="G1096" s="464" t="s">
        <v>195</v>
      </c>
      <c r="H1096" s="464" t="s">
        <v>2818</v>
      </c>
      <c r="I1096" s="465" t="s">
        <v>537</v>
      </c>
      <c r="J1096" s="465" t="s">
        <v>537</v>
      </c>
      <c r="K1096" s="466">
        <v>29000</v>
      </c>
      <c r="L1096" s="465" t="s">
        <v>537</v>
      </c>
      <c r="M1096" s="465" t="s">
        <v>537</v>
      </c>
      <c r="N1096" s="466">
        <v>23520</v>
      </c>
      <c r="O1096" s="463" t="s">
        <v>537</v>
      </c>
      <c r="P1096" s="463" t="s">
        <v>537</v>
      </c>
      <c r="Q1096" s="468">
        <v>5480</v>
      </c>
      <c r="R1096" s="470">
        <v>241640</v>
      </c>
      <c r="S1096" s="463" t="s">
        <v>2819</v>
      </c>
      <c r="T1096" s="463">
        <v>0</v>
      </c>
      <c r="U1096" s="463">
        <v>15</v>
      </c>
      <c r="V1096" s="463">
        <v>50</v>
      </c>
      <c r="W1096" s="463">
        <v>2000</v>
      </c>
      <c r="X1096" s="463">
        <v>14</v>
      </c>
      <c r="Y1096" s="463">
        <v>0</v>
      </c>
      <c r="Z1096" s="463">
        <v>89.55</v>
      </c>
      <c r="AA1096" s="472" t="s">
        <v>2816</v>
      </c>
      <c r="AB1096" s="463" t="s">
        <v>539</v>
      </c>
      <c r="AC1096" s="463" t="s">
        <v>539</v>
      </c>
      <c r="AD1096" s="472" t="s">
        <v>548</v>
      </c>
      <c r="AE1096" s="463">
        <v>80</v>
      </c>
      <c r="AF1096" s="463">
        <v>87.64</v>
      </c>
      <c r="AG1096" s="463" t="s">
        <v>375</v>
      </c>
      <c r="AH1096" s="476"/>
      <c r="AI1096" s="472">
        <v>816082425</v>
      </c>
      <c r="AJ1096" s="472" t="s">
        <v>543</v>
      </c>
    </row>
    <row r="1097" spans="2:36" ht="24" hidden="1" customHeight="1">
      <c r="B1097" s="463">
        <v>901</v>
      </c>
      <c r="C1097" s="464" t="s">
        <v>534</v>
      </c>
      <c r="D1097" s="464"/>
      <c r="E1097" s="464" t="s">
        <v>535</v>
      </c>
      <c r="F1097" s="464"/>
      <c r="G1097" s="464" t="s">
        <v>195</v>
      </c>
      <c r="H1097" s="464" t="s">
        <v>2820</v>
      </c>
      <c r="I1097" s="465" t="s">
        <v>537</v>
      </c>
      <c r="J1097" s="465" t="s">
        <v>537</v>
      </c>
      <c r="K1097" s="466">
        <v>61700</v>
      </c>
      <c r="L1097" s="465" t="s">
        <v>537</v>
      </c>
      <c r="M1097" s="465" t="s">
        <v>537</v>
      </c>
      <c r="N1097" s="466">
        <v>51000</v>
      </c>
      <c r="O1097" s="463" t="s">
        <v>537</v>
      </c>
      <c r="P1097" s="463" t="s">
        <v>537</v>
      </c>
      <c r="Q1097" s="468">
        <v>10700</v>
      </c>
      <c r="R1097" s="470">
        <v>241609</v>
      </c>
      <c r="S1097" s="471">
        <v>22488</v>
      </c>
      <c r="T1097" s="463">
        <v>0</v>
      </c>
      <c r="U1097" s="463">
        <v>20</v>
      </c>
      <c r="V1097" s="463">
        <v>80</v>
      </c>
      <c r="W1097" s="463">
        <v>12</v>
      </c>
      <c r="X1097" s="463">
        <v>47</v>
      </c>
      <c r="Y1097" s="463">
        <v>75</v>
      </c>
      <c r="Z1097" s="463">
        <v>89.45</v>
      </c>
      <c r="AA1097" s="472" t="s">
        <v>2816</v>
      </c>
      <c r="AB1097" s="463" t="s">
        <v>539</v>
      </c>
      <c r="AC1097" s="463" t="s">
        <v>539</v>
      </c>
      <c r="AD1097" s="472" t="s">
        <v>548</v>
      </c>
      <c r="AE1097" s="463">
        <v>80</v>
      </c>
      <c r="AF1097" s="463">
        <v>85</v>
      </c>
      <c r="AG1097" s="463" t="s">
        <v>375</v>
      </c>
      <c r="AH1097" s="476"/>
      <c r="AI1097" s="472">
        <v>816082425</v>
      </c>
      <c r="AJ1097" s="472" t="s">
        <v>543</v>
      </c>
    </row>
    <row r="1098" spans="2:36" ht="24" hidden="1" customHeight="1">
      <c r="B1098" s="463">
        <v>902</v>
      </c>
      <c r="C1098" s="464" t="s">
        <v>165</v>
      </c>
      <c r="D1098" s="464"/>
      <c r="E1098" s="464" t="s">
        <v>535</v>
      </c>
      <c r="F1098" s="464"/>
      <c r="G1098" s="464" t="s">
        <v>195</v>
      </c>
      <c r="H1098" s="464" t="s">
        <v>2821</v>
      </c>
      <c r="I1098" s="465" t="s">
        <v>537</v>
      </c>
      <c r="J1098" s="465" t="s">
        <v>537</v>
      </c>
      <c r="K1098" s="466">
        <v>28100</v>
      </c>
      <c r="L1098" s="465" t="s">
        <v>537</v>
      </c>
      <c r="M1098" s="465" t="s">
        <v>537</v>
      </c>
      <c r="N1098" s="466">
        <v>8520</v>
      </c>
      <c r="O1098" s="463" t="s">
        <v>537</v>
      </c>
      <c r="P1098" s="463" t="s">
        <v>537</v>
      </c>
      <c r="Q1098" s="468">
        <v>19580</v>
      </c>
      <c r="R1098" s="470">
        <v>241640</v>
      </c>
      <c r="S1098" s="471">
        <v>22503</v>
      </c>
      <c r="T1098" s="463">
        <v>0</v>
      </c>
      <c r="U1098" s="463">
        <v>15</v>
      </c>
      <c r="V1098" s="463">
        <v>55</v>
      </c>
      <c r="W1098" s="463">
        <v>0</v>
      </c>
      <c r="X1098" s="463">
        <v>32</v>
      </c>
      <c r="Y1098" s="464"/>
      <c r="Z1098" s="463">
        <v>86.5</v>
      </c>
      <c r="AA1098" s="472" t="s">
        <v>547</v>
      </c>
      <c r="AB1098" s="463" t="s">
        <v>539</v>
      </c>
      <c r="AC1098" s="463" t="s">
        <v>539</v>
      </c>
      <c r="AD1098" s="472" t="s">
        <v>1075</v>
      </c>
      <c r="AE1098" s="463">
        <v>80</v>
      </c>
      <c r="AF1098" s="463">
        <v>88.7</v>
      </c>
      <c r="AG1098" s="463" t="s">
        <v>375</v>
      </c>
      <c r="AH1098" s="476"/>
      <c r="AI1098" s="472">
        <v>929679129</v>
      </c>
      <c r="AJ1098" s="472" t="s">
        <v>543</v>
      </c>
    </row>
    <row r="1099" spans="2:36" ht="24" hidden="1" customHeight="1">
      <c r="B1099" s="701">
        <v>903</v>
      </c>
      <c r="C1099" s="699" t="s">
        <v>377</v>
      </c>
      <c r="D1099" s="699"/>
      <c r="E1099" s="699" t="s">
        <v>602</v>
      </c>
      <c r="F1099" s="699"/>
      <c r="G1099" s="699" t="s">
        <v>47</v>
      </c>
      <c r="H1099" s="699" t="s">
        <v>2822</v>
      </c>
      <c r="I1099" s="712">
        <v>200000</v>
      </c>
      <c r="J1099" s="709" t="s">
        <v>537</v>
      </c>
      <c r="K1099" s="709" t="s">
        <v>537</v>
      </c>
      <c r="L1099" s="712">
        <v>196800</v>
      </c>
      <c r="M1099" s="709" t="s">
        <v>537</v>
      </c>
      <c r="N1099" s="709" t="s">
        <v>537</v>
      </c>
      <c r="O1099" s="701" t="s">
        <v>537</v>
      </c>
      <c r="P1099" s="701" t="s">
        <v>537</v>
      </c>
      <c r="Q1099" s="705">
        <v>3200</v>
      </c>
      <c r="R1099" s="707">
        <v>241428</v>
      </c>
      <c r="S1099" s="701" t="s">
        <v>2823</v>
      </c>
      <c r="T1099" s="701">
        <v>38</v>
      </c>
      <c r="U1099" s="701">
        <v>8</v>
      </c>
      <c r="V1099" s="701">
        <v>0</v>
      </c>
      <c r="W1099" s="701">
        <v>40</v>
      </c>
      <c r="X1099" s="701">
        <v>6</v>
      </c>
      <c r="Y1099" s="701">
        <v>0</v>
      </c>
      <c r="Z1099" s="701">
        <v>90</v>
      </c>
      <c r="AA1099" s="697" t="s">
        <v>612</v>
      </c>
      <c r="AB1099" s="701" t="s">
        <v>539</v>
      </c>
      <c r="AC1099" s="701" t="s">
        <v>539</v>
      </c>
      <c r="AD1099" s="458" t="s">
        <v>2824</v>
      </c>
      <c r="AE1099" s="459">
        <v>80</v>
      </c>
      <c r="AF1099" s="459">
        <v>89</v>
      </c>
      <c r="AG1099" s="701" t="s">
        <v>375</v>
      </c>
      <c r="AH1099" s="728"/>
      <c r="AI1099" s="697">
        <v>635911094</v>
      </c>
      <c r="AJ1099" s="699"/>
    </row>
    <row r="1100" spans="2:36" ht="24" hidden="1" customHeight="1">
      <c r="B1100" s="702"/>
      <c r="C1100" s="700"/>
      <c r="D1100" s="700"/>
      <c r="E1100" s="700"/>
      <c r="F1100" s="700"/>
      <c r="G1100" s="700"/>
      <c r="H1100" s="700"/>
      <c r="I1100" s="713"/>
      <c r="J1100" s="710"/>
      <c r="K1100" s="710"/>
      <c r="L1100" s="713"/>
      <c r="M1100" s="710"/>
      <c r="N1100" s="710"/>
      <c r="O1100" s="702"/>
      <c r="P1100" s="702"/>
      <c r="Q1100" s="706"/>
      <c r="R1100" s="708"/>
      <c r="S1100" s="702"/>
      <c r="T1100" s="702"/>
      <c r="U1100" s="702"/>
      <c r="V1100" s="702"/>
      <c r="W1100" s="702"/>
      <c r="X1100" s="702"/>
      <c r="Y1100" s="702"/>
      <c r="Z1100" s="702"/>
      <c r="AA1100" s="698"/>
      <c r="AB1100" s="702"/>
      <c r="AC1100" s="702"/>
      <c r="AD1100" s="473" t="s">
        <v>2825</v>
      </c>
      <c r="AE1100" s="474">
        <v>38</v>
      </c>
      <c r="AF1100" s="474">
        <v>46</v>
      </c>
      <c r="AG1100" s="702"/>
      <c r="AH1100" s="729"/>
      <c r="AI1100" s="698"/>
      <c r="AJ1100" s="700"/>
    </row>
    <row r="1101" spans="2:36" ht="24" hidden="1" customHeight="1">
      <c r="B1101" s="701">
        <v>904</v>
      </c>
      <c r="C1101" s="699" t="s">
        <v>377</v>
      </c>
      <c r="D1101" s="699"/>
      <c r="E1101" s="699" t="s">
        <v>602</v>
      </c>
      <c r="F1101" s="699"/>
      <c r="G1101" s="699" t="s">
        <v>47</v>
      </c>
      <c r="H1101" s="699" t="s">
        <v>2826</v>
      </c>
      <c r="I1101" s="712">
        <v>200000</v>
      </c>
      <c r="J1101" s="709" t="s">
        <v>537</v>
      </c>
      <c r="K1101" s="709" t="s">
        <v>537</v>
      </c>
      <c r="L1101" s="712">
        <v>109000</v>
      </c>
      <c r="M1101" s="709" t="s">
        <v>537</v>
      </c>
      <c r="N1101" s="709" t="s">
        <v>537</v>
      </c>
      <c r="O1101" s="701" t="s">
        <v>537</v>
      </c>
      <c r="P1101" s="701" t="s">
        <v>537</v>
      </c>
      <c r="Q1101" s="705">
        <v>91000</v>
      </c>
      <c r="R1101" s="707">
        <v>241579</v>
      </c>
      <c r="S1101" s="701" t="s">
        <v>2827</v>
      </c>
      <c r="T1101" s="701">
        <v>35</v>
      </c>
      <c r="U1101" s="701">
        <v>6</v>
      </c>
      <c r="V1101" s="701">
        <v>4</v>
      </c>
      <c r="W1101" s="701">
        <v>31</v>
      </c>
      <c r="X1101" s="701">
        <v>5</v>
      </c>
      <c r="Y1101" s="701">
        <v>4</v>
      </c>
      <c r="Z1101" s="701">
        <v>91</v>
      </c>
      <c r="AA1101" s="697" t="s">
        <v>612</v>
      </c>
      <c r="AB1101" s="701" t="s">
        <v>539</v>
      </c>
      <c r="AC1101" s="701" t="s">
        <v>539</v>
      </c>
      <c r="AD1101" s="458" t="s">
        <v>2824</v>
      </c>
      <c r="AE1101" s="459">
        <v>80</v>
      </c>
      <c r="AF1101" s="459">
        <v>91</v>
      </c>
      <c r="AG1101" s="701" t="s">
        <v>375</v>
      </c>
      <c r="AH1101" s="728"/>
      <c r="AI1101" s="697">
        <v>937133243</v>
      </c>
      <c r="AJ1101" s="699"/>
    </row>
    <row r="1102" spans="2:36" ht="24" hidden="1" customHeight="1">
      <c r="B1102" s="702"/>
      <c r="C1102" s="700"/>
      <c r="D1102" s="700"/>
      <c r="E1102" s="700"/>
      <c r="F1102" s="700"/>
      <c r="G1102" s="700"/>
      <c r="H1102" s="700"/>
      <c r="I1102" s="713"/>
      <c r="J1102" s="710"/>
      <c r="K1102" s="710"/>
      <c r="L1102" s="713"/>
      <c r="M1102" s="710"/>
      <c r="N1102" s="710"/>
      <c r="O1102" s="702"/>
      <c r="P1102" s="702"/>
      <c r="Q1102" s="706"/>
      <c r="R1102" s="708"/>
      <c r="S1102" s="702"/>
      <c r="T1102" s="702"/>
      <c r="U1102" s="702"/>
      <c r="V1102" s="702"/>
      <c r="W1102" s="702"/>
      <c r="X1102" s="702"/>
      <c r="Y1102" s="702"/>
      <c r="Z1102" s="702"/>
      <c r="AA1102" s="698"/>
      <c r="AB1102" s="702"/>
      <c r="AC1102" s="702"/>
      <c r="AD1102" s="473" t="s">
        <v>2828</v>
      </c>
      <c r="AE1102" s="474">
        <v>80</v>
      </c>
      <c r="AF1102" s="474">
        <v>91</v>
      </c>
      <c r="AG1102" s="702"/>
      <c r="AH1102" s="729"/>
      <c r="AI1102" s="698"/>
      <c r="AJ1102" s="700"/>
    </row>
    <row r="1103" spans="2:36" ht="24" hidden="1" customHeight="1">
      <c r="B1103" s="463">
        <v>905</v>
      </c>
      <c r="C1103" s="464" t="s">
        <v>377</v>
      </c>
      <c r="D1103" s="464"/>
      <c r="E1103" s="464" t="s">
        <v>602</v>
      </c>
      <c r="F1103" s="464"/>
      <c r="G1103" s="464" t="s">
        <v>47</v>
      </c>
      <c r="H1103" s="464" t="s">
        <v>2829</v>
      </c>
      <c r="I1103" s="465" t="s">
        <v>537</v>
      </c>
      <c r="J1103" s="465" t="s">
        <v>537</v>
      </c>
      <c r="K1103" s="466">
        <v>94920</v>
      </c>
      <c r="L1103" s="465" t="s">
        <v>537</v>
      </c>
      <c r="M1103" s="465" t="s">
        <v>537</v>
      </c>
      <c r="N1103" s="466">
        <v>91570</v>
      </c>
      <c r="O1103" s="463" t="s">
        <v>537</v>
      </c>
      <c r="P1103" s="463" t="s">
        <v>537</v>
      </c>
      <c r="Q1103" s="468">
        <v>3350</v>
      </c>
      <c r="R1103" s="470">
        <v>241671</v>
      </c>
      <c r="S1103" s="463" t="s">
        <v>1389</v>
      </c>
      <c r="T1103" s="463">
        <v>45</v>
      </c>
      <c r="U1103" s="463">
        <v>5</v>
      </c>
      <c r="V1103" s="463">
        <v>0</v>
      </c>
      <c r="W1103" s="463">
        <v>45</v>
      </c>
      <c r="X1103" s="463">
        <v>5</v>
      </c>
      <c r="Y1103" s="463">
        <v>0</v>
      </c>
      <c r="Z1103" s="463">
        <v>90</v>
      </c>
      <c r="AA1103" s="472" t="s">
        <v>2830</v>
      </c>
      <c r="AB1103" s="463" t="s">
        <v>539</v>
      </c>
      <c r="AC1103" s="463" t="s">
        <v>539</v>
      </c>
      <c r="AD1103" s="472" t="s">
        <v>2831</v>
      </c>
      <c r="AE1103" s="463">
        <v>80</v>
      </c>
      <c r="AF1103" s="463">
        <v>90</v>
      </c>
      <c r="AG1103" s="463" t="s">
        <v>375</v>
      </c>
      <c r="AH1103" s="476"/>
      <c r="AI1103" s="472">
        <v>973458487</v>
      </c>
      <c r="AJ1103" s="472" t="s">
        <v>543</v>
      </c>
    </row>
    <row r="1104" spans="2:36" ht="24" hidden="1" customHeight="1">
      <c r="B1104" s="463">
        <v>906</v>
      </c>
      <c r="C1104" s="464" t="s">
        <v>377</v>
      </c>
      <c r="D1104" s="464"/>
      <c r="E1104" s="464" t="s">
        <v>602</v>
      </c>
      <c r="F1104" s="464"/>
      <c r="G1104" s="464" t="s">
        <v>47</v>
      </c>
      <c r="H1104" s="464" t="s">
        <v>1229</v>
      </c>
      <c r="I1104" s="465" t="s">
        <v>537</v>
      </c>
      <c r="J1104" s="466">
        <v>80000</v>
      </c>
      <c r="K1104" s="465" t="s">
        <v>537</v>
      </c>
      <c r="L1104" s="465" t="s">
        <v>537</v>
      </c>
      <c r="M1104" s="466">
        <v>80000</v>
      </c>
      <c r="N1104" s="465" t="s">
        <v>537</v>
      </c>
      <c r="O1104" s="463" t="s">
        <v>537</v>
      </c>
      <c r="P1104" s="463" t="s">
        <v>537</v>
      </c>
      <c r="Q1104" s="465">
        <v>0</v>
      </c>
      <c r="R1104" s="463" t="s">
        <v>643</v>
      </c>
      <c r="S1104" s="463" t="s">
        <v>2832</v>
      </c>
      <c r="T1104" s="463">
        <v>180</v>
      </c>
      <c r="U1104" s="463">
        <v>20</v>
      </c>
      <c r="V1104" s="463">
        <v>0</v>
      </c>
      <c r="W1104" s="463">
        <v>183</v>
      </c>
      <c r="X1104" s="463">
        <v>23</v>
      </c>
      <c r="Y1104" s="463">
        <v>0</v>
      </c>
      <c r="Z1104" s="463">
        <v>83</v>
      </c>
      <c r="AA1104" s="472" t="s">
        <v>612</v>
      </c>
      <c r="AB1104" s="463" t="s">
        <v>539</v>
      </c>
      <c r="AC1104" s="463" t="s">
        <v>539</v>
      </c>
      <c r="AD1104" s="472" t="s">
        <v>565</v>
      </c>
      <c r="AE1104" s="463">
        <v>80</v>
      </c>
      <c r="AF1104" s="463">
        <v>84.75</v>
      </c>
      <c r="AG1104" s="463" t="s">
        <v>375</v>
      </c>
      <c r="AH1104" s="476"/>
      <c r="AI1104" s="472">
        <v>887823563</v>
      </c>
      <c r="AJ1104" s="464"/>
    </row>
    <row r="1105" spans="2:36" ht="24" hidden="1" customHeight="1">
      <c r="B1105" s="463">
        <v>907</v>
      </c>
      <c r="C1105" s="464" t="s">
        <v>534</v>
      </c>
      <c r="D1105" s="464"/>
      <c r="E1105" s="464" t="s">
        <v>535</v>
      </c>
      <c r="F1105" s="464"/>
      <c r="G1105" s="464" t="s">
        <v>47</v>
      </c>
      <c r="H1105" s="464" t="s">
        <v>667</v>
      </c>
      <c r="I1105" s="465" t="s">
        <v>537</v>
      </c>
      <c r="J1105" s="466">
        <v>20000</v>
      </c>
      <c r="K1105" s="465" t="s">
        <v>537</v>
      </c>
      <c r="L1105" s="465" t="s">
        <v>537</v>
      </c>
      <c r="M1105" s="466">
        <v>20000</v>
      </c>
      <c r="N1105" s="465" t="s">
        <v>537</v>
      </c>
      <c r="O1105" s="463" t="s">
        <v>537</v>
      </c>
      <c r="P1105" s="463" t="s">
        <v>537</v>
      </c>
      <c r="Q1105" s="465">
        <v>0</v>
      </c>
      <c r="R1105" s="463" t="s">
        <v>643</v>
      </c>
      <c r="S1105" s="471">
        <v>22448</v>
      </c>
      <c r="T1105" s="463">
        <v>200</v>
      </c>
      <c r="U1105" s="463">
        <v>0</v>
      </c>
      <c r="V1105" s="463">
        <v>0</v>
      </c>
      <c r="W1105" s="463">
        <v>157</v>
      </c>
      <c r="X1105" s="463">
        <v>27</v>
      </c>
      <c r="Y1105" s="463">
        <v>118</v>
      </c>
      <c r="Z1105" s="463">
        <v>93</v>
      </c>
      <c r="AA1105" s="472" t="s">
        <v>2071</v>
      </c>
      <c r="AB1105" s="463" t="s">
        <v>539</v>
      </c>
      <c r="AC1105" s="463" t="s">
        <v>539</v>
      </c>
      <c r="AD1105" s="472" t="s">
        <v>2833</v>
      </c>
      <c r="AE1105" s="463">
        <v>80</v>
      </c>
      <c r="AF1105" s="463">
        <v>89.5</v>
      </c>
      <c r="AG1105" s="463" t="s">
        <v>375</v>
      </c>
      <c r="AH1105" s="476"/>
      <c r="AI1105" s="472">
        <v>836523856</v>
      </c>
      <c r="AJ1105" s="464"/>
    </row>
    <row r="1106" spans="2:36" ht="24" hidden="1" customHeight="1">
      <c r="B1106" s="463">
        <v>908</v>
      </c>
      <c r="C1106" s="464" t="s">
        <v>534</v>
      </c>
      <c r="D1106" s="464"/>
      <c r="E1106" s="464" t="s">
        <v>535</v>
      </c>
      <c r="F1106" s="464"/>
      <c r="G1106" s="464" t="s">
        <v>47</v>
      </c>
      <c r="H1106" s="464" t="s">
        <v>668</v>
      </c>
      <c r="I1106" s="465" t="s">
        <v>537</v>
      </c>
      <c r="J1106" s="466">
        <v>20000</v>
      </c>
      <c r="K1106" s="465" t="s">
        <v>537</v>
      </c>
      <c r="L1106" s="465" t="s">
        <v>537</v>
      </c>
      <c r="M1106" s="466">
        <v>20000</v>
      </c>
      <c r="N1106" s="465" t="s">
        <v>537</v>
      </c>
      <c r="O1106" s="463" t="s">
        <v>537</v>
      </c>
      <c r="P1106" s="463" t="s">
        <v>537</v>
      </c>
      <c r="Q1106" s="465">
        <v>0</v>
      </c>
      <c r="R1106" s="470">
        <v>241487</v>
      </c>
      <c r="S1106" s="471">
        <v>22350</v>
      </c>
      <c r="T1106" s="463">
        <v>187</v>
      </c>
      <c r="U1106" s="463">
        <v>13</v>
      </c>
      <c r="V1106" s="463">
        <v>0</v>
      </c>
      <c r="W1106" s="463">
        <v>173</v>
      </c>
      <c r="X1106" s="463">
        <v>31</v>
      </c>
      <c r="Y1106" s="463">
        <v>1</v>
      </c>
      <c r="Z1106" s="463">
        <v>92.25</v>
      </c>
      <c r="AA1106" s="472" t="s">
        <v>2071</v>
      </c>
      <c r="AB1106" s="463" t="s">
        <v>539</v>
      </c>
      <c r="AC1106" s="463" t="s">
        <v>539</v>
      </c>
      <c r="AD1106" s="472" t="s">
        <v>2833</v>
      </c>
      <c r="AE1106" s="463">
        <v>80</v>
      </c>
      <c r="AF1106" s="463">
        <v>91</v>
      </c>
      <c r="AG1106" s="463" t="s">
        <v>375</v>
      </c>
      <c r="AH1106" s="476"/>
      <c r="AI1106" s="472">
        <v>836523856</v>
      </c>
      <c r="AJ1106" s="464"/>
    </row>
    <row r="1107" spans="2:36" ht="24" hidden="1" customHeight="1">
      <c r="B1107" s="701">
        <v>909</v>
      </c>
      <c r="C1107" s="699" t="s">
        <v>534</v>
      </c>
      <c r="D1107" s="699"/>
      <c r="E1107" s="699" t="s">
        <v>535</v>
      </c>
      <c r="F1107" s="699"/>
      <c r="G1107" s="699" t="s">
        <v>47</v>
      </c>
      <c r="H1107" s="699" t="s">
        <v>669</v>
      </c>
      <c r="I1107" s="709" t="s">
        <v>537</v>
      </c>
      <c r="J1107" s="712">
        <v>220000</v>
      </c>
      <c r="K1107" s="709" t="s">
        <v>537</v>
      </c>
      <c r="L1107" s="709" t="s">
        <v>537</v>
      </c>
      <c r="M1107" s="712">
        <v>219540.65</v>
      </c>
      <c r="N1107" s="709" t="s">
        <v>537</v>
      </c>
      <c r="O1107" s="701" t="s">
        <v>537</v>
      </c>
      <c r="P1107" s="701" t="s">
        <v>537</v>
      </c>
      <c r="Q1107" s="709">
        <v>459</v>
      </c>
      <c r="R1107" s="707">
        <v>241609</v>
      </c>
      <c r="S1107" s="701" t="s">
        <v>583</v>
      </c>
      <c r="T1107" s="701">
        <v>130</v>
      </c>
      <c r="U1107" s="701">
        <v>10</v>
      </c>
      <c r="V1107" s="701">
        <v>0</v>
      </c>
      <c r="W1107" s="701">
        <v>130</v>
      </c>
      <c r="X1107" s="701">
        <v>10</v>
      </c>
      <c r="Y1107" s="701">
        <v>0</v>
      </c>
      <c r="Z1107" s="701">
        <v>98</v>
      </c>
      <c r="AA1107" s="697" t="s">
        <v>899</v>
      </c>
      <c r="AB1107" s="701" t="s">
        <v>539</v>
      </c>
      <c r="AC1107" s="701" t="s">
        <v>539</v>
      </c>
      <c r="AD1107" s="458" t="s">
        <v>2834</v>
      </c>
      <c r="AE1107" s="459">
        <v>1</v>
      </c>
      <c r="AF1107" s="459">
        <v>1</v>
      </c>
      <c r="AG1107" s="701" t="s">
        <v>375</v>
      </c>
      <c r="AH1107" s="728"/>
      <c r="AI1107" s="697">
        <v>869602490</v>
      </c>
      <c r="AJ1107" s="699"/>
    </row>
    <row r="1108" spans="2:36" ht="24" hidden="1" customHeight="1">
      <c r="B1108" s="715"/>
      <c r="C1108" s="714"/>
      <c r="D1108" s="714"/>
      <c r="E1108" s="714"/>
      <c r="F1108" s="714"/>
      <c r="G1108" s="714"/>
      <c r="H1108" s="714"/>
      <c r="I1108" s="717"/>
      <c r="J1108" s="720"/>
      <c r="K1108" s="717"/>
      <c r="L1108" s="717"/>
      <c r="M1108" s="720"/>
      <c r="N1108" s="717"/>
      <c r="O1108" s="715"/>
      <c r="P1108" s="715"/>
      <c r="Q1108" s="717"/>
      <c r="R1108" s="719"/>
      <c r="S1108" s="715"/>
      <c r="T1108" s="715"/>
      <c r="U1108" s="715"/>
      <c r="V1108" s="715"/>
      <c r="W1108" s="715"/>
      <c r="X1108" s="715"/>
      <c r="Y1108" s="715"/>
      <c r="Z1108" s="715"/>
      <c r="AA1108" s="711"/>
      <c r="AB1108" s="715"/>
      <c r="AC1108" s="715"/>
      <c r="AD1108" s="460" t="s">
        <v>2835</v>
      </c>
      <c r="AE1108" s="461">
        <v>80</v>
      </c>
      <c r="AF1108" s="461">
        <v>100</v>
      </c>
      <c r="AG1108" s="715"/>
      <c r="AH1108" s="730"/>
      <c r="AI1108" s="711"/>
      <c r="AJ1108" s="714"/>
    </row>
    <row r="1109" spans="2:36" ht="24" hidden="1" customHeight="1">
      <c r="B1109" s="702"/>
      <c r="C1109" s="700"/>
      <c r="D1109" s="700"/>
      <c r="E1109" s="700"/>
      <c r="F1109" s="700"/>
      <c r="G1109" s="700"/>
      <c r="H1109" s="700"/>
      <c r="I1109" s="710"/>
      <c r="J1109" s="713"/>
      <c r="K1109" s="710"/>
      <c r="L1109" s="710"/>
      <c r="M1109" s="713"/>
      <c r="N1109" s="710"/>
      <c r="O1109" s="702"/>
      <c r="P1109" s="702"/>
      <c r="Q1109" s="710"/>
      <c r="R1109" s="708"/>
      <c r="S1109" s="702"/>
      <c r="T1109" s="702"/>
      <c r="U1109" s="702"/>
      <c r="V1109" s="702"/>
      <c r="W1109" s="702"/>
      <c r="X1109" s="702"/>
      <c r="Y1109" s="702"/>
      <c r="Z1109" s="702"/>
      <c r="AA1109" s="698"/>
      <c r="AB1109" s="702"/>
      <c r="AC1109" s="702"/>
      <c r="AD1109" s="473" t="s">
        <v>2836</v>
      </c>
      <c r="AE1109" s="474">
        <v>1</v>
      </c>
      <c r="AF1109" s="474">
        <v>1</v>
      </c>
      <c r="AG1109" s="702"/>
      <c r="AH1109" s="729"/>
      <c r="AI1109" s="698"/>
      <c r="AJ1109" s="700"/>
    </row>
    <row r="1110" spans="2:36" ht="24" hidden="1" customHeight="1">
      <c r="B1110" s="463">
        <v>910</v>
      </c>
      <c r="C1110" s="464" t="s">
        <v>534</v>
      </c>
      <c r="D1110" s="464"/>
      <c r="E1110" s="464" t="s">
        <v>535</v>
      </c>
      <c r="F1110" s="464"/>
      <c r="G1110" s="464" t="s">
        <v>47</v>
      </c>
      <c r="H1110" s="464" t="s">
        <v>2837</v>
      </c>
      <c r="I1110" s="465" t="s">
        <v>537</v>
      </c>
      <c r="J1110" s="466">
        <v>20000</v>
      </c>
      <c r="K1110" s="465" t="s">
        <v>537</v>
      </c>
      <c r="L1110" s="465" t="s">
        <v>537</v>
      </c>
      <c r="M1110" s="466">
        <v>20000</v>
      </c>
      <c r="N1110" s="465" t="s">
        <v>537</v>
      </c>
      <c r="O1110" s="463" t="s">
        <v>537</v>
      </c>
      <c r="P1110" s="463" t="s">
        <v>537</v>
      </c>
      <c r="Q1110" s="465">
        <v>0</v>
      </c>
      <c r="R1110" s="470">
        <v>241487</v>
      </c>
      <c r="S1110" s="471">
        <v>22350</v>
      </c>
      <c r="T1110" s="463">
        <v>187</v>
      </c>
      <c r="U1110" s="463">
        <v>13</v>
      </c>
      <c r="V1110" s="463">
        <v>0</v>
      </c>
      <c r="W1110" s="463">
        <v>193</v>
      </c>
      <c r="X1110" s="463">
        <v>26</v>
      </c>
      <c r="Y1110" s="463">
        <v>1</v>
      </c>
      <c r="Z1110" s="463">
        <v>92.75</v>
      </c>
      <c r="AA1110" s="472" t="s">
        <v>547</v>
      </c>
      <c r="AB1110" s="463" t="s">
        <v>539</v>
      </c>
      <c r="AC1110" s="463" t="s">
        <v>539</v>
      </c>
      <c r="AD1110" s="472" t="s">
        <v>548</v>
      </c>
      <c r="AE1110" s="463">
        <v>80</v>
      </c>
      <c r="AF1110" s="463">
        <v>89</v>
      </c>
      <c r="AG1110" s="463" t="s">
        <v>375</v>
      </c>
      <c r="AH1110" s="476"/>
      <c r="AI1110" s="472">
        <v>869602490</v>
      </c>
      <c r="AJ1110" s="464"/>
    </row>
    <row r="1111" spans="2:36" ht="24" hidden="1" customHeight="1">
      <c r="B1111" s="463">
        <v>911</v>
      </c>
      <c r="C1111" s="464" t="s">
        <v>534</v>
      </c>
      <c r="D1111" s="464"/>
      <c r="E1111" s="464" t="s">
        <v>535</v>
      </c>
      <c r="F1111" s="464"/>
      <c r="G1111" s="464" t="s">
        <v>47</v>
      </c>
      <c r="H1111" s="464" t="s">
        <v>2838</v>
      </c>
      <c r="I1111" s="465" t="s">
        <v>537</v>
      </c>
      <c r="J1111" s="466">
        <v>34000</v>
      </c>
      <c r="K1111" s="465" t="s">
        <v>537</v>
      </c>
      <c r="L1111" s="465" t="s">
        <v>537</v>
      </c>
      <c r="M1111" s="466">
        <v>34000</v>
      </c>
      <c r="N1111" s="465" t="s">
        <v>537</v>
      </c>
      <c r="O1111" s="463" t="s">
        <v>537</v>
      </c>
      <c r="P1111" s="463" t="s">
        <v>537</v>
      </c>
      <c r="Q1111" s="465">
        <v>0</v>
      </c>
      <c r="R1111" s="470">
        <v>241671</v>
      </c>
      <c r="S1111" s="463" t="s">
        <v>2839</v>
      </c>
      <c r="T1111" s="463">
        <v>0</v>
      </c>
      <c r="U1111" s="463">
        <v>50</v>
      </c>
      <c r="V1111" s="463">
        <v>0</v>
      </c>
      <c r="W1111" s="463">
        <v>0</v>
      </c>
      <c r="X1111" s="463">
        <v>50</v>
      </c>
      <c r="Y1111" s="463">
        <v>0</v>
      </c>
      <c r="Z1111" s="463">
        <v>90</v>
      </c>
      <c r="AA1111" s="472" t="s">
        <v>547</v>
      </c>
      <c r="AB1111" s="463" t="s">
        <v>539</v>
      </c>
      <c r="AC1111" s="463" t="s">
        <v>539</v>
      </c>
      <c r="AD1111" s="472" t="s">
        <v>548</v>
      </c>
      <c r="AE1111" s="463">
        <v>80</v>
      </c>
      <c r="AF1111" s="463">
        <v>89.5</v>
      </c>
      <c r="AG1111" s="463" t="s">
        <v>375</v>
      </c>
      <c r="AH1111" s="476"/>
      <c r="AI1111" s="472">
        <v>841953351</v>
      </c>
      <c r="AJ1111" s="464"/>
    </row>
    <row r="1112" spans="2:36" ht="24" hidden="1" customHeight="1">
      <c r="B1112" s="463">
        <v>912</v>
      </c>
      <c r="C1112" s="464" t="s">
        <v>534</v>
      </c>
      <c r="D1112" s="464"/>
      <c r="E1112" s="464" t="s">
        <v>535</v>
      </c>
      <c r="F1112" s="464"/>
      <c r="G1112" s="464" t="s">
        <v>47</v>
      </c>
      <c r="H1112" s="464" t="s">
        <v>2840</v>
      </c>
      <c r="I1112" s="465" t="s">
        <v>537</v>
      </c>
      <c r="J1112" s="465" t="s">
        <v>537</v>
      </c>
      <c r="K1112" s="466">
        <v>200000</v>
      </c>
      <c r="L1112" s="465" t="s">
        <v>537</v>
      </c>
      <c r="M1112" s="465" t="s">
        <v>537</v>
      </c>
      <c r="N1112" s="466">
        <v>196460</v>
      </c>
      <c r="O1112" s="463" t="s">
        <v>537</v>
      </c>
      <c r="P1112" s="463" t="s">
        <v>537</v>
      </c>
      <c r="Q1112" s="468">
        <v>3540</v>
      </c>
      <c r="R1112" s="470">
        <v>241428</v>
      </c>
      <c r="S1112" s="463" t="s">
        <v>2841</v>
      </c>
      <c r="T1112" s="463">
        <v>8</v>
      </c>
      <c r="U1112" s="463">
        <v>5</v>
      </c>
      <c r="V1112" s="463">
        <v>100</v>
      </c>
      <c r="W1112" s="463">
        <v>20</v>
      </c>
      <c r="X1112" s="463">
        <v>5</v>
      </c>
      <c r="Y1112" s="463">
        <v>300</v>
      </c>
      <c r="Z1112" s="463">
        <v>90.33</v>
      </c>
      <c r="AA1112" s="472" t="s">
        <v>624</v>
      </c>
      <c r="AB1112" s="463" t="s">
        <v>539</v>
      </c>
      <c r="AC1112" s="463" t="s">
        <v>539</v>
      </c>
      <c r="AD1112" s="472" t="s">
        <v>571</v>
      </c>
      <c r="AE1112" s="463">
        <v>80</v>
      </c>
      <c r="AF1112" s="463">
        <v>92.29</v>
      </c>
      <c r="AG1112" s="463" t="s">
        <v>375</v>
      </c>
      <c r="AH1112" s="476"/>
      <c r="AI1112" s="472">
        <v>818972480</v>
      </c>
      <c r="AJ1112" s="472" t="s">
        <v>543</v>
      </c>
    </row>
    <row r="1113" spans="2:36" ht="24" hidden="1" customHeight="1">
      <c r="B1113" s="463">
        <v>913</v>
      </c>
      <c r="C1113" s="464" t="s">
        <v>534</v>
      </c>
      <c r="D1113" s="464"/>
      <c r="E1113" s="464" t="s">
        <v>535</v>
      </c>
      <c r="F1113" s="464"/>
      <c r="G1113" s="464" t="s">
        <v>47</v>
      </c>
      <c r="H1113" s="464" t="s">
        <v>636</v>
      </c>
      <c r="I1113" s="466">
        <v>200000</v>
      </c>
      <c r="J1113" s="465" t="s">
        <v>537</v>
      </c>
      <c r="K1113" s="465" t="s">
        <v>537</v>
      </c>
      <c r="L1113" s="466">
        <v>200000</v>
      </c>
      <c r="M1113" s="465" t="s">
        <v>537</v>
      </c>
      <c r="N1113" s="465" t="s">
        <v>537</v>
      </c>
      <c r="O1113" s="463" t="s">
        <v>537</v>
      </c>
      <c r="P1113" s="463" t="s">
        <v>537</v>
      </c>
      <c r="Q1113" s="465">
        <v>0</v>
      </c>
      <c r="R1113" s="470">
        <v>241609</v>
      </c>
      <c r="S1113" s="463" t="s">
        <v>637</v>
      </c>
      <c r="T1113" s="463">
        <v>120</v>
      </c>
      <c r="U1113" s="463">
        <v>30</v>
      </c>
      <c r="V1113" s="463">
        <v>0</v>
      </c>
      <c r="W1113" s="463">
        <v>171</v>
      </c>
      <c r="X1113" s="463">
        <v>0</v>
      </c>
      <c r="Y1113" s="463">
        <v>0</v>
      </c>
      <c r="Z1113" s="463">
        <v>90.25</v>
      </c>
      <c r="AA1113" s="472" t="s">
        <v>728</v>
      </c>
      <c r="AB1113" s="463">
        <v>1</v>
      </c>
      <c r="AC1113" s="463">
        <v>11</v>
      </c>
      <c r="AD1113" s="472" t="s">
        <v>729</v>
      </c>
      <c r="AE1113" s="463">
        <v>1</v>
      </c>
      <c r="AF1113" s="463">
        <v>1</v>
      </c>
      <c r="AG1113" s="463" t="s">
        <v>375</v>
      </c>
      <c r="AH1113" s="476"/>
      <c r="AI1113" s="472">
        <v>869602490</v>
      </c>
      <c r="AJ1113" s="464"/>
    </row>
    <row r="1114" spans="2:36" ht="24" hidden="1" customHeight="1">
      <c r="B1114" s="463">
        <v>914</v>
      </c>
      <c r="C1114" s="464" t="s">
        <v>534</v>
      </c>
      <c r="D1114" s="464"/>
      <c r="E1114" s="464" t="s">
        <v>535</v>
      </c>
      <c r="F1114" s="464"/>
      <c r="G1114" s="464" t="s">
        <v>47</v>
      </c>
      <c r="H1114" s="464" t="s">
        <v>2842</v>
      </c>
      <c r="I1114" s="466">
        <v>150000</v>
      </c>
      <c r="J1114" s="465" t="s">
        <v>537</v>
      </c>
      <c r="K1114" s="465" t="s">
        <v>537</v>
      </c>
      <c r="L1114" s="466">
        <v>138180</v>
      </c>
      <c r="M1114" s="465" t="s">
        <v>537</v>
      </c>
      <c r="N1114" s="465" t="s">
        <v>537</v>
      </c>
      <c r="O1114" s="463" t="s">
        <v>537</v>
      </c>
      <c r="P1114" s="463" t="s">
        <v>537</v>
      </c>
      <c r="Q1114" s="468">
        <v>11820</v>
      </c>
      <c r="R1114" s="463" t="s">
        <v>643</v>
      </c>
      <c r="S1114" s="463" t="s">
        <v>2843</v>
      </c>
      <c r="T1114" s="463">
        <v>60</v>
      </c>
      <c r="U1114" s="463">
        <v>30</v>
      </c>
      <c r="V1114" s="463">
        <v>60</v>
      </c>
      <c r="W1114" s="463">
        <v>206</v>
      </c>
      <c r="X1114" s="463">
        <v>45</v>
      </c>
      <c r="Y1114" s="463">
        <v>150</v>
      </c>
      <c r="Z1114" s="463">
        <v>94.4</v>
      </c>
      <c r="AA1114" s="472" t="s">
        <v>547</v>
      </c>
      <c r="AB1114" s="463" t="s">
        <v>539</v>
      </c>
      <c r="AC1114" s="463" t="s">
        <v>539</v>
      </c>
      <c r="AD1114" s="472" t="s">
        <v>675</v>
      </c>
      <c r="AE1114" s="463">
        <v>80</v>
      </c>
      <c r="AF1114" s="463">
        <v>95.64</v>
      </c>
      <c r="AG1114" s="463" t="s">
        <v>375</v>
      </c>
      <c r="AH1114" s="476"/>
      <c r="AI1114" s="472">
        <v>824165207</v>
      </c>
      <c r="AJ1114" s="464"/>
    </row>
    <row r="1115" spans="2:36" ht="24" hidden="1" customHeight="1">
      <c r="B1115" s="701">
        <v>915</v>
      </c>
      <c r="C1115" s="699" t="s">
        <v>534</v>
      </c>
      <c r="D1115" s="699"/>
      <c r="E1115" s="699" t="s">
        <v>535</v>
      </c>
      <c r="F1115" s="699"/>
      <c r="G1115" s="699" t="s">
        <v>47</v>
      </c>
      <c r="H1115" s="699" t="s">
        <v>2844</v>
      </c>
      <c r="I1115" s="712">
        <v>300000</v>
      </c>
      <c r="J1115" s="709" t="s">
        <v>537</v>
      </c>
      <c r="K1115" s="709" t="s">
        <v>537</v>
      </c>
      <c r="L1115" s="712">
        <v>291600</v>
      </c>
      <c r="M1115" s="709" t="s">
        <v>537</v>
      </c>
      <c r="N1115" s="709" t="s">
        <v>537</v>
      </c>
      <c r="O1115" s="701" t="s">
        <v>537</v>
      </c>
      <c r="P1115" s="701" t="s">
        <v>537</v>
      </c>
      <c r="Q1115" s="705">
        <v>8400</v>
      </c>
      <c r="R1115" s="701" t="s">
        <v>643</v>
      </c>
      <c r="S1115" s="701" t="s">
        <v>2845</v>
      </c>
      <c r="T1115" s="701">
        <v>30</v>
      </c>
      <c r="U1115" s="701">
        <v>5</v>
      </c>
      <c r="V1115" s="701">
        <v>0</v>
      </c>
      <c r="W1115" s="701">
        <v>30</v>
      </c>
      <c r="X1115" s="701">
        <v>5</v>
      </c>
      <c r="Y1115" s="701">
        <v>0</v>
      </c>
      <c r="Z1115" s="701">
        <v>89.14</v>
      </c>
      <c r="AA1115" s="697" t="s">
        <v>547</v>
      </c>
      <c r="AB1115" s="701" t="s">
        <v>539</v>
      </c>
      <c r="AC1115" s="701" t="s">
        <v>539</v>
      </c>
      <c r="AD1115" s="458" t="s">
        <v>2846</v>
      </c>
      <c r="AE1115" s="459">
        <v>80</v>
      </c>
      <c r="AF1115" s="459">
        <v>94.48</v>
      </c>
      <c r="AG1115" s="701" t="s">
        <v>375</v>
      </c>
      <c r="AH1115" s="728"/>
      <c r="AI1115" s="697">
        <v>894634204</v>
      </c>
      <c r="AJ1115" s="699"/>
    </row>
    <row r="1116" spans="2:36" ht="24" hidden="1" customHeight="1">
      <c r="B1116" s="702"/>
      <c r="C1116" s="700"/>
      <c r="D1116" s="700"/>
      <c r="E1116" s="700"/>
      <c r="F1116" s="700"/>
      <c r="G1116" s="700"/>
      <c r="H1116" s="700"/>
      <c r="I1116" s="713"/>
      <c r="J1116" s="710"/>
      <c r="K1116" s="710"/>
      <c r="L1116" s="713"/>
      <c r="M1116" s="710"/>
      <c r="N1116" s="710"/>
      <c r="O1116" s="702"/>
      <c r="P1116" s="702"/>
      <c r="Q1116" s="706"/>
      <c r="R1116" s="702"/>
      <c r="S1116" s="702"/>
      <c r="T1116" s="702"/>
      <c r="U1116" s="702"/>
      <c r="V1116" s="702"/>
      <c r="W1116" s="702"/>
      <c r="X1116" s="702"/>
      <c r="Y1116" s="702"/>
      <c r="Z1116" s="702"/>
      <c r="AA1116" s="698"/>
      <c r="AB1116" s="702"/>
      <c r="AC1116" s="702"/>
      <c r="AD1116" s="473" t="s">
        <v>2847</v>
      </c>
      <c r="AE1116" s="474">
        <v>1</v>
      </c>
      <c r="AF1116" s="474">
        <v>1</v>
      </c>
      <c r="AG1116" s="702"/>
      <c r="AH1116" s="729"/>
      <c r="AI1116" s="698"/>
      <c r="AJ1116" s="700"/>
    </row>
    <row r="1117" spans="2:36" ht="24" hidden="1" customHeight="1">
      <c r="B1117" s="701">
        <v>916</v>
      </c>
      <c r="C1117" s="699" t="s">
        <v>534</v>
      </c>
      <c r="D1117" s="699"/>
      <c r="E1117" s="699" t="s">
        <v>535</v>
      </c>
      <c r="F1117" s="699"/>
      <c r="G1117" s="699" t="s">
        <v>47</v>
      </c>
      <c r="H1117" s="699" t="s">
        <v>2848</v>
      </c>
      <c r="I1117" s="712">
        <v>108920</v>
      </c>
      <c r="J1117" s="709" t="s">
        <v>537</v>
      </c>
      <c r="K1117" s="709" t="s">
        <v>537</v>
      </c>
      <c r="L1117" s="712">
        <v>108920</v>
      </c>
      <c r="M1117" s="709" t="s">
        <v>537</v>
      </c>
      <c r="N1117" s="709" t="s">
        <v>537</v>
      </c>
      <c r="O1117" s="701" t="s">
        <v>537</v>
      </c>
      <c r="P1117" s="701" t="s">
        <v>537</v>
      </c>
      <c r="Q1117" s="709">
        <v>0</v>
      </c>
      <c r="R1117" s="707">
        <v>241397</v>
      </c>
      <c r="S1117" s="701" t="s">
        <v>2849</v>
      </c>
      <c r="T1117" s="701">
        <v>76</v>
      </c>
      <c r="U1117" s="701">
        <v>20</v>
      </c>
      <c r="V1117" s="701">
        <v>4</v>
      </c>
      <c r="W1117" s="701">
        <v>130</v>
      </c>
      <c r="X1117" s="701">
        <v>24</v>
      </c>
      <c r="Y1117" s="701">
        <v>4</v>
      </c>
      <c r="Z1117" s="701">
        <v>92.54</v>
      </c>
      <c r="AA1117" s="697" t="s">
        <v>677</v>
      </c>
      <c r="AB1117" s="701" t="s">
        <v>539</v>
      </c>
      <c r="AC1117" s="701" t="s">
        <v>539</v>
      </c>
      <c r="AD1117" s="458" t="s">
        <v>2204</v>
      </c>
      <c r="AE1117" s="459">
        <v>80</v>
      </c>
      <c r="AF1117" s="459">
        <v>92.81</v>
      </c>
      <c r="AG1117" s="701" t="s">
        <v>375</v>
      </c>
      <c r="AH1117" s="728"/>
      <c r="AI1117" s="697" t="s">
        <v>2850</v>
      </c>
      <c r="AJ1117" s="699"/>
    </row>
    <row r="1118" spans="2:36" ht="24" hidden="1" customHeight="1">
      <c r="B1118" s="702"/>
      <c r="C1118" s="700"/>
      <c r="D1118" s="700"/>
      <c r="E1118" s="700"/>
      <c r="F1118" s="700"/>
      <c r="G1118" s="700"/>
      <c r="H1118" s="700"/>
      <c r="I1118" s="713"/>
      <c r="J1118" s="710"/>
      <c r="K1118" s="710"/>
      <c r="L1118" s="713"/>
      <c r="M1118" s="710"/>
      <c r="N1118" s="710"/>
      <c r="O1118" s="702"/>
      <c r="P1118" s="702"/>
      <c r="Q1118" s="710"/>
      <c r="R1118" s="708"/>
      <c r="S1118" s="702"/>
      <c r="T1118" s="702"/>
      <c r="U1118" s="702"/>
      <c r="V1118" s="702"/>
      <c r="W1118" s="702"/>
      <c r="X1118" s="702"/>
      <c r="Y1118" s="702"/>
      <c r="Z1118" s="702"/>
      <c r="AA1118" s="698"/>
      <c r="AB1118" s="702"/>
      <c r="AC1118" s="702"/>
      <c r="AD1118" s="473" t="s">
        <v>2851</v>
      </c>
      <c r="AE1118" s="474">
        <v>65</v>
      </c>
      <c r="AF1118" s="474">
        <v>73</v>
      </c>
      <c r="AG1118" s="702"/>
      <c r="AH1118" s="729"/>
      <c r="AI1118" s="698"/>
      <c r="AJ1118" s="700"/>
    </row>
    <row r="1119" spans="2:36" ht="24" hidden="1" customHeight="1">
      <c r="B1119" s="701">
        <v>917</v>
      </c>
      <c r="C1119" s="699" t="s">
        <v>534</v>
      </c>
      <c r="D1119" s="699"/>
      <c r="E1119" s="699" t="s">
        <v>535</v>
      </c>
      <c r="F1119" s="699"/>
      <c r="G1119" s="699" t="s">
        <v>47</v>
      </c>
      <c r="H1119" s="699" t="s">
        <v>2852</v>
      </c>
      <c r="I1119" s="712">
        <v>84823</v>
      </c>
      <c r="J1119" s="709" t="s">
        <v>537</v>
      </c>
      <c r="K1119" s="709" t="s">
        <v>537</v>
      </c>
      <c r="L1119" s="712">
        <v>84823</v>
      </c>
      <c r="M1119" s="709" t="s">
        <v>537</v>
      </c>
      <c r="N1119" s="709" t="s">
        <v>537</v>
      </c>
      <c r="O1119" s="701" t="s">
        <v>537</v>
      </c>
      <c r="P1119" s="701" t="s">
        <v>537</v>
      </c>
      <c r="Q1119" s="709">
        <v>0</v>
      </c>
      <c r="R1119" s="707">
        <v>241518</v>
      </c>
      <c r="S1119" s="701" t="s">
        <v>2853</v>
      </c>
      <c r="T1119" s="701">
        <v>76</v>
      </c>
      <c r="U1119" s="701">
        <v>20</v>
      </c>
      <c r="V1119" s="701">
        <v>4</v>
      </c>
      <c r="W1119" s="701">
        <v>120</v>
      </c>
      <c r="X1119" s="701">
        <v>26</v>
      </c>
      <c r="Y1119" s="701">
        <v>4</v>
      </c>
      <c r="Z1119" s="701">
        <v>89.64</v>
      </c>
      <c r="AA1119" s="697" t="s">
        <v>677</v>
      </c>
      <c r="AB1119" s="701" t="s">
        <v>539</v>
      </c>
      <c r="AC1119" s="701" t="s">
        <v>539</v>
      </c>
      <c r="AD1119" s="458" t="s">
        <v>2204</v>
      </c>
      <c r="AE1119" s="459">
        <v>80</v>
      </c>
      <c r="AF1119" s="459">
        <v>92.87</v>
      </c>
      <c r="AG1119" s="701" t="s">
        <v>375</v>
      </c>
      <c r="AH1119" s="728"/>
      <c r="AI1119" s="697" t="s">
        <v>2850</v>
      </c>
      <c r="AJ1119" s="699"/>
    </row>
    <row r="1120" spans="2:36" ht="24" hidden="1" customHeight="1">
      <c r="B1120" s="702"/>
      <c r="C1120" s="700"/>
      <c r="D1120" s="700"/>
      <c r="E1120" s="700"/>
      <c r="F1120" s="700"/>
      <c r="G1120" s="700"/>
      <c r="H1120" s="700"/>
      <c r="I1120" s="713"/>
      <c r="J1120" s="710"/>
      <c r="K1120" s="710"/>
      <c r="L1120" s="713"/>
      <c r="M1120" s="710"/>
      <c r="N1120" s="710"/>
      <c r="O1120" s="702"/>
      <c r="P1120" s="702"/>
      <c r="Q1120" s="710"/>
      <c r="R1120" s="708"/>
      <c r="S1120" s="702"/>
      <c r="T1120" s="702"/>
      <c r="U1120" s="702"/>
      <c r="V1120" s="702"/>
      <c r="W1120" s="702"/>
      <c r="X1120" s="702"/>
      <c r="Y1120" s="702"/>
      <c r="Z1120" s="702"/>
      <c r="AA1120" s="698"/>
      <c r="AB1120" s="702"/>
      <c r="AC1120" s="702"/>
      <c r="AD1120" s="473" t="s">
        <v>2854</v>
      </c>
      <c r="AE1120" s="474">
        <v>50</v>
      </c>
      <c r="AF1120" s="474">
        <v>65</v>
      </c>
      <c r="AG1120" s="702"/>
      <c r="AH1120" s="729"/>
      <c r="AI1120" s="698"/>
      <c r="AJ1120" s="700"/>
    </row>
    <row r="1121" spans="2:36" ht="24" hidden="1" customHeight="1">
      <c r="B1121" s="701">
        <v>918</v>
      </c>
      <c r="C1121" s="699" t="s">
        <v>534</v>
      </c>
      <c r="D1121" s="699"/>
      <c r="E1121" s="699" t="s">
        <v>535</v>
      </c>
      <c r="F1121" s="699"/>
      <c r="G1121" s="699" t="s">
        <v>47</v>
      </c>
      <c r="H1121" s="699" t="s">
        <v>2855</v>
      </c>
      <c r="I1121" s="712">
        <v>106257</v>
      </c>
      <c r="J1121" s="709" t="s">
        <v>537</v>
      </c>
      <c r="K1121" s="709" t="s">
        <v>537</v>
      </c>
      <c r="L1121" s="712">
        <v>99768</v>
      </c>
      <c r="M1121" s="709" t="s">
        <v>537</v>
      </c>
      <c r="N1121" s="709" t="s">
        <v>537</v>
      </c>
      <c r="O1121" s="701" t="s">
        <v>537</v>
      </c>
      <c r="P1121" s="701" t="s">
        <v>537</v>
      </c>
      <c r="Q1121" s="705">
        <v>6489</v>
      </c>
      <c r="R1121" s="707">
        <v>241640</v>
      </c>
      <c r="S1121" s="701" t="s">
        <v>2856</v>
      </c>
      <c r="T1121" s="701">
        <v>76</v>
      </c>
      <c r="U1121" s="701">
        <v>20</v>
      </c>
      <c r="V1121" s="701">
        <v>4</v>
      </c>
      <c r="W1121" s="701">
        <v>120</v>
      </c>
      <c r="X1121" s="701">
        <v>25</v>
      </c>
      <c r="Y1121" s="701">
        <v>4</v>
      </c>
      <c r="Z1121" s="701">
        <v>89.62</v>
      </c>
      <c r="AA1121" s="697" t="s">
        <v>677</v>
      </c>
      <c r="AB1121" s="701" t="s">
        <v>539</v>
      </c>
      <c r="AC1121" s="701" t="s">
        <v>539</v>
      </c>
      <c r="AD1121" s="458" t="s">
        <v>548</v>
      </c>
      <c r="AE1121" s="459">
        <v>80</v>
      </c>
      <c r="AF1121" s="459">
        <v>90.94</v>
      </c>
      <c r="AG1121" s="701" t="s">
        <v>375</v>
      </c>
      <c r="AH1121" s="728"/>
      <c r="AI1121" s="697" t="s">
        <v>2850</v>
      </c>
      <c r="AJ1121" s="699"/>
    </row>
    <row r="1122" spans="2:36" ht="24" hidden="1" customHeight="1">
      <c r="B1122" s="702"/>
      <c r="C1122" s="700"/>
      <c r="D1122" s="700"/>
      <c r="E1122" s="700"/>
      <c r="F1122" s="700"/>
      <c r="G1122" s="700"/>
      <c r="H1122" s="700"/>
      <c r="I1122" s="713"/>
      <c r="J1122" s="710"/>
      <c r="K1122" s="710"/>
      <c r="L1122" s="713"/>
      <c r="M1122" s="710"/>
      <c r="N1122" s="710"/>
      <c r="O1122" s="702"/>
      <c r="P1122" s="702"/>
      <c r="Q1122" s="706"/>
      <c r="R1122" s="708"/>
      <c r="S1122" s="702"/>
      <c r="T1122" s="702"/>
      <c r="U1122" s="702"/>
      <c r="V1122" s="702"/>
      <c r="W1122" s="702"/>
      <c r="X1122" s="702"/>
      <c r="Y1122" s="702"/>
      <c r="Z1122" s="702"/>
      <c r="AA1122" s="698"/>
      <c r="AB1122" s="702"/>
      <c r="AC1122" s="702"/>
      <c r="AD1122" s="473" t="s">
        <v>2857</v>
      </c>
      <c r="AE1122" s="474">
        <v>50</v>
      </c>
      <c r="AF1122" s="474">
        <v>66</v>
      </c>
      <c r="AG1122" s="702"/>
      <c r="AH1122" s="729"/>
      <c r="AI1122" s="698"/>
      <c r="AJ1122" s="700"/>
    </row>
    <row r="1123" spans="2:36" ht="24" hidden="1" customHeight="1">
      <c r="B1123" s="463">
        <v>919</v>
      </c>
      <c r="C1123" s="464" t="s">
        <v>534</v>
      </c>
      <c r="D1123" s="464"/>
      <c r="E1123" s="464" t="s">
        <v>535</v>
      </c>
      <c r="F1123" s="464"/>
      <c r="G1123" s="464" t="s">
        <v>47</v>
      </c>
      <c r="H1123" s="464" t="s">
        <v>2858</v>
      </c>
      <c r="I1123" s="466">
        <v>40000</v>
      </c>
      <c r="J1123" s="465" t="s">
        <v>537</v>
      </c>
      <c r="K1123" s="465" t="s">
        <v>537</v>
      </c>
      <c r="L1123" s="466">
        <v>38000</v>
      </c>
      <c r="M1123" s="465" t="s">
        <v>537</v>
      </c>
      <c r="N1123" s="465" t="s">
        <v>537</v>
      </c>
      <c r="O1123" s="463" t="s">
        <v>537</v>
      </c>
      <c r="P1123" s="463" t="s">
        <v>537</v>
      </c>
      <c r="Q1123" s="468">
        <v>2000</v>
      </c>
      <c r="R1123" s="470">
        <v>241487</v>
      </c>
      <c r="S1123" s="463" t="s">
        <v>2859</v>
      </c>
      <c r="T1123" s="463">
        <v>62</v>
      </c>
      <c r="U1123" s="463">
        <v>10</v>
      </c>
      <c r="V1123" s="463">
        <v>4</v>
      </c>
      <c r="W1123" s="463">
        <v>86</v>
      </c>
      <c r="X1123" s="463">
        <v>11</v>
      </c>
      <c r="Y1123" s="463">
        <v>4</v>
      </c>
      <c r="Z1123" s="463">
        <v>88.65</v>
      </c>
      <c r="AA1123" s="472" t="s">
        <v>677</v>
      </c>
      <c r="AB1123" s="463" t="s">
        <v>539</v>
      </c>
      <c r="AC1123" s="463" t="s">
        <v>539</v>
      </c>
      <c r="AD1123" s="472" t="s">
        <v>548</v>
      </c>
      <c r="AE1123" s="463">
        <v>80</v>
      </c>
      <c r="AF1123" s="463">
        <v>93.27</v>
      </c>
      <c r="AG1123" s="463" t="s">
        <v>375</v>
      </c>
      <c r="AH1123" s="476"/>
      <c r="AI1123" s="472">
        <v>850726101</v>
      </c>
      <c r="AJ1123" s="464"/>
    </row>
    <row r="1124" spans="2:36" ht="24" hidden="1" customHeight="1">
      <c r="B1124" s="701">
        <v>920</v>
      </c>
      <c r="C1124" s="699" t="s">
        <v>534</v>
      </c>
      <c r="D1124" s="699"/>
      <c r="E1124" s="699" t="s">
        <v>535</v>
      </c>
      <c r="F1124" s="699"/>
      <c r="G1124" s="699" t="s">
        <v>47</v>
      </c>
      <c r="H1124" s="699" t="s">
        <v>2860</v>
      </c>
      <c r="I1124" s="712">
        <v>200000</v>
      </c>
      <c r="J1124" s="709" t="s">
        <v>537</v>
      </c>
      <c r="K1124" s="709" t="s">
        <v>537</v>
      </c>
      <c r="L1124" s="712">
        <v>126180</v>
      </c>
      <c r="M1124" s="709" t="s">
        <v>537</v>
      </c>
      <c r="N1124" s="709" t="s">
        <v>537</v>
      </c>
      <c r="O1124" s="701" t="s">
        <v>537</v>
      </c>
      <c r="P1124" s="701" t="s">
        <v>537</v>
      </c>
      <c r="Q1124" s="705">
        <v>73820</v>
      </c>
      <c r="R1124" s="707">
        <v>241397</v>
      </c>
      <c r="S1124" s="701" t="s">
        <v>2861</v>
      </c>
      <c r="T1124" s="701">
        <v>3</v>
      </c>
      <c r="U1124" s="701">
        <v>5</v>
      </c>
      <c r="V1124" s="701">
        <v>43</v>
      </c>
      <c r="W1124" s="701">
        <v>43</v>
      </c>
      <c r="X1124" s="701">
        <v>8</v>
      </c>
      <c r="Y1124" s="701">
        <v>3</v>
      </c>
      <c r="Z1124" s="701">
        <v>89.26</v>
      </c>
      <c r="AA1124" s="458" t="s">
        <v>2862</v>
      </c>
      <c r="AB1124" s="459" t="s">
        <v>539</v>
      </c>
      <c r="AC1124" s="459" t="s">
        <v>539</v>
      </c>
      <c r="AD1124" s="458" t="s">
        <v>2204</v>
      </c>
      <c r="AE1124" s="459">
        <v>80</v>
      </c>
      <c r="AF1124" s="459">
        <v>94.72</v>
      </c>
      <c r="AG1124" s="701" t="s">
        <v>375</v>
      </c>
      <c r="AH1124" s="728"/>
      <c r="AI1124" s="697">
        <v>850726101</v>
      </c>
      <c r="AJ1124" s="699"/>
    </row>
    <row r="1125" spans="2:36" ht="24" hidden="1" customHeight="1">
      <c r="B1125" s="702"/>
      <c r="C1125" s="700"/>
      <c r="D1125" s="700"/>
      <c r="E1125" s="700"/>
      <c r="F1125" s="700"/>
      <c r="G1125" s="700"/>
      <c r="H1125" s="700"/>
      <c r="I1125" s="713"/>
      <c r="J1125" s="710"/>
      <c r="K1125" s="710"/>
      <c r="L1125" s="713"/>
      <c r="M1125" s="710"/>
      <c r="N1125" s="710"/>
      <c r="O1125" s="702"/>
      <c r="P1125" s="702"/>
      <c r="Q1125" s="706"/>
      <c r="R1125" s="708"/>
      <c r="S1125" s="702"/>
      <c r="T1125" s="702"/>
      <c r="U1125" s="702"/>
      <c r="V1125" s="702"/>
      <c r="W1125" s="702"/>
      <c r="X1125" s="702"/>
      <c r="Y1125" s="702"/>
      <c r="Z1125" s="702"/>
      <c r="AA1125" s="473" t="s">
        <v>2863</v>
      </c>
      <c r="AB1125" s="474" t="s">
        <v>539</v>
      </c>
      <c r="AC1125" s="474" t="s">
        <v>539</v>
      </c>
      <c r="AD1125" s="473" t="s">
        <v>2864</v>
      </c>
      <c r="AE1125" s="474">
        <v>80</v>
      </c>
      <c r="AF1125" s="474">
        <v>92.96</v>
      </c>
      <c r="AG1125" s="702"/>
      <c r="AH1125" s="729"/>
      <c r="AI1125" s="698"/>
      <c r="AJ1125" s="700"/>
    </row>
    <row r="1126" spans="2:36" ht="24" hidden="1" customHeight="1">
      <c r="B1126" s="701">
        <v>921</v>
      </c>
      <c r="C1126" s="699" t="s">
        <v>534</v>
      </c>
      <c r="D1126" s="699"/>
      <c r="E1126" s="699" t="s">
        <v>535</v>
      </c>
      <c r="F1126" s="699"/>
      <c r="G1126" s="699" t="s">
        <v>47</v>
      </c>
      <c r="H1126" s="699" t="s">
        <v>2865</v>
      </c>
      <c r="I1126" s="709">
        <v>0</v>
      </c>
      <c r="J1126" s="709" t="s">
        <v>537</v>
      </c>
      <c r="K1126" s="709" t="s">
        <v>537</v>
      </c>
      <c r="L1126" s="709">
        <v>0</v>
      </c>
      <c r="M1126" s="709" t="s">
        <v>537</v>
      </c>
      <c r="N1126" s="709" t="s">
        <v>537</v>
      </c>
      <c r="O1126" s="701" t="s">
        <v>537</v>
      </c>
      <c r="P1126" s="701" t="s">
        <v>537</v>
      </c>
      <c r="Q1126" s="709">
        <v>0</v>
      </c>
      <c r="R1126" s="707">
        <v>241428</v>
      </c>
      <c r="S1126" s="701" t="s">
        <v>2866</v>
      </c>
      <c r="T1126" s="701">
        <v>3</v>
      </c>
      <c r="U1126" s="701">
        <v>5</v>
      </c>
      <c r="V1126" s="701">
        <v>43</v>
      </c>
      <c r="W1126" s="701">
        <v>43</v>
      </c>
      <c r="X1126" s="701">
        <v>8</v>
      </c>
      <c r="Y1126" s="701">
        <v>0</v>
      </c>
      <c r="Z1126" s="701">
        <v>89.26</v>
      </c>
      <c r="AA1126" s="697" t="s">
        <v>677</v>
      </c>
      <c r="AB1126" s="701" t="s">
        <v>539</v>
      </c>
      <c r="AC1126" s="701" t="s">
        <v>539</v>
      </c>
      <c r="AD1126" s="458" t="s">
        <v>2282</v>
      </c>
      <c r="AE1126" s="459">
        <v>1</v>
      </c>
      <c r="AF1126" s="459">
        <v>1</v>
      </c>
      <c r="AG1126" s="701" t="s">
        <v>375</v>
      </c>
      <c r="AH1126" s="728"/>
      <c r="AI1126" s="697">
        <v>850726101</v>
      </c>
      <c r="AJ1126" s="699"/>
    </row>
    <row r="1127" spans="2:36" ht="24" hidden="1" customHeight="1">
      <c r="B1127" s="702"/>
      <c r="C1127" s="700"/>
      <c r="D1127" s="700"/>
      <c r="E1127" s="700"/>
      <c r="F1127" s="700"/>
      <c r="G1127" s="700"/>
      <c r="H1127" s="700"/>
      <c r="I1127" s="710"/>
      <c r="J1127" s="710"/>
      <c r="K1127" s="710"/>
      <c r="L1127" s="710"/>
      <c r="M1127" s="710"/>
      <c r="N1127" s="710"/>
      <c r="O1127" s="702"/>
      <c r="P1127" s="702"/>
      <c r="Q1127" s="710"/>
      <c r="R1127" s="708"/>
      <c r="S1127" s="702"/>
      <c r="T1127" s="702"/>
      <c r="U1127" s="702"/>
      <c r="V1127" s="702"/>
      <c r="W1127" s="702"/>
      <c r="X1127" s="702"/>
      <c r="Y1127" s="702"/>
      <c r="Z1127" s="702"/>
      <c r="AA1127" s="698"/>
      <c r="AB1127" s="702"/>
      <c r="AC1127" s="702"/>
      <c r="AD1127" s="473" t="s">
        <v>2867</v>
      </c>
      <c r="AE1127" s="474">
        <v>80</v>
      </c>
      <c r="AF1127" s="474">
        <v>92.96</v>
      </c>
      <c r="AG1127" s="702"/>
      <c r="AH1127" s="729"/>
      <c r="AI1127" s="698"/>
      <c r="AJ1127" s="700"/>
    </row>
    <row r="1128" spans="2:36" ht="24" hidden="1" customHeight="1">
      <c r="B1128" s="701">
        <v>922</v>
      </c>
      <c r="C1128" s="699" t="s">
        <v>534</v>
      </c>
      <c r="D1128" s="699"/>
      <c r="E1128" s="699" t="s">
        <v>535</v>
      </c>
      <c r="F1128" s="699"/>
      <c r="G1128" s="699" t="s">
        <v>47</v>
      </c>
      <c r="H1128" s="699" t="s">
        <v>2868</v>
      </c>
      <c r="I1128" s="712">
        <v>102000</v>
      </c>
      <c r="J1128" s="709" t="s">
        <v>537</v>
      </c>
      <c r="K1128" s="709" t="s">
        <v>537</v>
      </c>
      <c r="L1128" s="712">
        <v>102000</v>
      </c>
      <c r="M1128" s="709" t="s">
        <v>537</v>
      </c>
      <c r="N1128" s="709" t="s">
        <v>537</v>
      </c>
      <c r="O1128" s="701" t="s">
        <v>537</v>
      </c>
      <c r="P1128" s="701" t="s">
        <v>537</v>
      </c>
      <c r="Q1128" s="709">
        <v>0</v>
      </c>
      <c r="R1128" s="707">
        <v>241487</v>
      </c>
      <c r="S1128" s="721">
        <v>22288</v>
      </c>
      <c r="T1128" s="701">
        <v>17</v>
      </c>
      <c r="U1128" s="701">
        <v>2</v>
      </c>
      <c r="V1128" s="701">
        <v>6</v>
      </c>
      <c r="W1128" s="701">
        <v>17</v>
      </c>
      <c r="X1128" s="701">
        <v>2</v>
      </c>
      <c r="Y1128" s="701">
        <v>6</v>
      </c>
      <c r="Z1128" s="701">
        <v>92</v>
      </c>
      <c r="AA1128" s="458" t="s">
        <v>2286</v>
      </c>
      <c r="AB1128" s="459" t="s">
        <v>539</v>
      </c>
      <c r="AC1128" s="459" t="s">
        <v>539</v>
      </c>
      <c r="AD1128" s="697" t="s">
        <v>675</v>
      </c>
      <c r="AE1128" s="701">
        <v>80</v>
      </c>
      <c r="AF1128" s="701">
        <v>90</v>
      </c>
      <c r="AG1128" s="701" t="s">
        <v>375</v>
      </c>
      <c r="AH1128" s="728"/>
      <c r="AI1128" s="697">
        <v>849974176</v>
      </c>
      <c r="AJ1128" s="699"/>
    </row>
    <row r="1129" spans="2:36" ht="24" hidden="1" customHeight="1">
      <c r="B1129" s="702"/>
      <c r="C1129" s="700"/>
      <c r="D1129" s="700"/>
      <c r="E1129" s="700"/>
      <c r="F1129" s="700"/>
      <c r="G1129" s="700"/>
      <c r="H1129" s="700"/>
      <c r="I1129" s="713"/>
      <c r="J1129" s="710"/>
      <c r="K1129" s="710"/>
      <c r="L1129" s="713"/>
      <c r="M1129" s="710"/>
      <c r="N1129" s="710"/>
      <c r="O1129" s="702"/>
      <c r="P1129" s="702"/>
      <c r="Q1129" s="710"/>
      <c r="R1129" s="708"/>
      <c r="S1129" s="722"/>
      <c r="T1129" s="702"/>
      <c r="U1129" s="702"/>
      <c r="V1129" s="702"/>
      <c r="W1129" s="702"/>
      <c r="X1129" s="702"/>
      <c r="Y1129" s="702"/>
      <c r="Z1129" s="702"/>
      <c r="AA1129" s="473" t="s">
        <v>2869</v>
      </c>
      <c r="AB1129" s="474" t="s">
        <v>539</v>
      </c>
      <c r="AC1129" s="474" t="s">
        <v>539</v>
      </c>
      <c r="AD1129" s="698"/>
      <c r="AE1129" s="702"/>
      <c r="AF1129" s="702"/>
      <c r="AG1129" s="702"/>
      <c r="AH1129" s="729"/>
      <c r="AI1129" s="698"/>
      <c r="AJ1129" s="700"/>
    </row>
    <row r="1130" spans="2:36" ht="24" hidden="1" customHeight="1">
      <c r="B1130" s="701">
        <v>923</v>
      </c>
      <c r="C1130" s="699" t="s">
        <v>534</v>
      </c>
      <c r="D1130" s="699"/>
      <c r="E1130" s="699" t="s">
        <v>535</v>
      </c>
      <c r="F1130" s="699"/>
      <c r="G1130" s="699" t="s">
        <v>47</v>
      </c>
      <c r="H1130" s="699" t="s">
        <v>2870</v>
      </c>
      <c r="I1130" s="712">
        <v>198000</v>
      </c>
      <c r="J1130" s="709" t="s">
        <v>537</v>
      </c>
      <c r="K1130" s="709" t="s">
        <v>537</v>
      </c>
      <c r="L1130" s="712">
        <v>198000</v>
      </c>
      <c r="M1130" s="709" t="s">
        <v>537</v>
      </c>
      <c r="N1130" s="709" t="s">
        <v>537</v>
      </c>
      <c r="O1130" s="701" t="s">
        <v>537</v>
      </c>
      <c r="P1130" s="701" t="s">
        <v>537</v>
      </c>
      <c r="Q1130" s="709">
        <v>0</v>
      </c>
      <c r="R1130" s="701" t="s">
        <v>643</v>
      </c>
      <c r="S1130" s="721">
        <v>22349</v>
      </c>
      <c r="T1130" s="701">
        <v>100</v>
      </c>
      <c r="U1130" s="701">
        <v>10</v>
      </c>
      <c r="V1130" s="701">
        <v>30</v>
      </c>
      <c r="W1130" s="701">
        <v>87</v>
      </c>
      <c r="X1130" s="701">
        <v>23</v>
      </c>
      <c r="Y1130" s="701">
        <v>149</v>
      </c>
      <c r="Z1130" s="701">
        <v>92</v>
      </c>
      <c r="AA1130" s="458" t="s">
        <v>2286</v>
      </c>
      <c r="AB1130" s="459" t="s">
        <v>539</v>
      </c>
      <c r="AC1130" s="459" t="s">
        <v>539</v>
      </c>
      <c r="AD1130" s="458" t="s">
        <v>2871</v>
      </c>
      <c r="AE1130" s="459">
        <v>80</v>
      </c>
      <c r="AF1130" s="459">
        <v>90</v>
      </c>
      <c r="AG1130" s="701" t="s">
        <v>375</v>
      </c>
      <c r="AH1130" s="728"/>
      <c r="AI1130" s="697">
        <v>849974176</v>
      </c>
      <c r="AJ1130" s="697" t="s">
        <v>537</v>
      </c>
    </row>
    <row r="1131" spans="2:36" ht="24" hidden="1" customHeight="1">
      <c r="B1131" s="702"/>
      <c r="C1131" s="700"/>
      <c r="D1131" s="700"/>
      <c r="E1131" s="700"/>
      <c r="F1131" s="700"/>
      <c r="G1131" s="700"/>
      <c r="H1131" s="700"/>
      <c r="I1131" s="713"/>
      <c r="J1131" s="710"/>
      <c r="K1131" s="710"/>
      <c r="L1131" s="713"/>
      <c r="M1131" s="710"/>
      <c r="N1131" s="710"/>
      <c r="O1131" s="702"/>
      <c r="P1131" s="702"/>
      <c r="Q1131" s="710"/>
      <c r="R1131" s="702"/>
      <c r="S1131" s="722"/>
      <c r="T1131" s="702"/>
      <c r="U1131" s="702"/>
      <c r="V1131" s="702"/>
      <c r="W1131" s="702"/>
      <c r="X1131" s="702"/>
      <c r="Y1131" s="702"/>
      <c r="Z1131" s="702"/>
      <c r="AA1131" s="473" t="s">
        <v>2869</v>
      </c>
      <c r="AB1131" s="474" t="s">
        <v>539</v>
      </c>
      <c r="AC1131" s="474" t="s">
        <v>539</v>
      </c>
      <c r="AD1131" s="473" t="s">
        <v>2872</v>
      </c>
      <c r="AE1131" s="474">
        <v>136</v>
      </c>
      <c r="AF1131" s="474">
        <v>136</v>
      </c>
      <c r="AG1131" s="702"/>
      <c r="AH1131" s="729"/>
      <c r="AI1131" s="698"/>
      <c r="AJ1131" s="698"/>
    </row>
    <row r="1132" spans="2:36" ht="24" hidden="1" customHeight="1">
      <c r="B1132" s="701">
        <v>924</v>
      </c>
      <c r="C1132" s="699" t="s">
        <v>534</v>
      </c>
      <c r="D1132" s="699"/>
      <c r="E1132" s="699" t="s">
        <v>535</v>
      </c>
      <c r="F1132" s="699"/>
      <c r="G1132" s="699" t="s">
        <v>47</v>
      </c>
      <c r="H1132" s="699" t="s">
        <v>2873</v>
      </c>
      <c r="I1132" s="712">
        <v>200000</v>
      </c>
      <c r="J1132" s="709" t="s">
        <v>537</v>
      </c>
      <c r="K1132" s="709" t="s">
        <v>537</v>
      </c>
      <c r="L1132" s="712">
        <v>199604</v>
      </c>
      <c r="M1132" s="709" t="s">
        <v>537</v>
      </c>
      <c r="N1132" s="709" t="s">
        <v>537</v>
      </c>
      <c r="O1132" s="701" t="s">
        <v>537</v>
      </c>
      <c r="P1132" s="701" t="s">
        <v>537</v>
      </c>
      <c r="Q1132" s="709">
        <v>396</v>
      </c>
      <c r="R1132" s="707">
        <v>241459</v>
      </c>
      <c r="S1132" s="701" t="s">
        <v>2874</v>
      </c>
      <c r="T1132" s="701">
        <v>80</v>
      </c>
      <c r="U1132" s="701">
        <v>10</v>
      </c>
      <c r="V1132" s="701">
        <v>20</v>
      </c>
      <c r="W1132" s="701">
        <v>80</v>
      </c>
      <c r="X1132" s="701">
        <v>10</v>
      </c>
      <c r="Y1132" s="701">
        <v>35</v>
      </c>
      <c r="Z1132" s="701">
        <v>84.95</v>
      </c>
      <c r="AA1132" s="458" t="s">
        <v>2286</v>
      </c>
      <c r="AB1132" s="459" t="s">
        <v>539</v>
      </c>
      <c r="AC1132" s="459" t="s">
        <v>539</v>
      </c>
      <c r="AD1132" s="458" t="s">
        <v>2204</v>
      </c>
      <c r="AE1132" s="459">
        <v>80</v>
      </c>
      <c r="AF1132" s="459">
        <v>89.07</v>
      </c>
      <c r="AG1132" s="701" t="s">
        <v>375</v>
      </c>
      <c r="AH1132" s="728"/>
      <c r="AI1132" s="697">
        <v>810961595</v>
      </c>
      <c r="AJ1132" s="699"/>
    </row>
    <row r="1133" spans="2:36" ht="24" hidden="1" customHeight="1">
      <c r="B1133" s="715"/>
      <c r="C1133" s="714"/>
      <c r="D1133" s="714"/>
      <c r="E1133" s="714"/>
      <c r="F1133" s="714"/>
      <c r="G1133" s="714"/>
      <c r="H1133" s="714"/>
      <c r="I1133" s="720"/>
      <c r="J1133" s="717"/>
      <c r="K1133" s="717"/>
      <c r="L1133" s="720"/>
      <c r="M1133" s="717"/>
      <c r="N1133" s="717"/>
      <c r="O1133" s="715"/>
      <c r="P1133" s="715"/>
      <c r="Q1133" s="717"/>
      <c r="R1133" s="719"/>
      <c r="S1133" s="715"/>
      <c r="T1133" s="715"/>
      <c r="U1133" s="715"/>
      <c r="V1133" s="715"/>
      <c r="W1133" s="715"/>
      <c r="X1133" s="715"/>
      <c r="Y1133" s="715"/>
      <c r="Z1133" s="715"/>
      <c r="AA1133" s="460" t="s">
        <v>2875</v>
      </c>
      <c r="AB1133" s="461" t="s">
        <v>539</v>
      </c>
      <c r="AC1133" s="461" t="s">
        <v>539</v>
      </c>
      <c r="AD1133" s="460" t="s">
        <v>2876</v>
      </c>
      <c r="AE1133" s="461">
        <v>80</v>
      </c>
      <c r="AF1133" s="461">
        <v>92.29</v>
      </c>
      <c r="AG1133" s="715"/>
      <c r="AH1133" s="730"/>
      <c r="AI1133" s="711"/>
      <c r="AJ1133" s="714"/>
    </row>
    <row r="1134" spans="2:36" ht="24" hidden="1" customHeight="1">
      <c r="B1134" s="715"/>
      <c r="C1134" s="714"/>
      <c r="D1134" s="714"/>
      <c r="E1134" s="714"/>
      <c r="F1134" s="714"/>
      <c r="G1134" s="714"/>
      <c r="H1134" s="714"/>
      <c r="I1134" s="720"/>
      <c r="J1134" s="717"/>
      <c r="K1134" s="717"/>
      <c r="L1134" s="720"/>
      <c r="M1134" s="717"/>
      <c r="N1134" s="717"/>
      <c r="O1134" s="715"/>
      <c r="P1134" s="715"/>
      <c r="Q1134" s="717"/>
      <c r="R1134" s="719"/>
      <c r="S1134" s="715"/>
      <c r="T1134" s="715"/>
      <c r="U1134" s="715"/>
      <c r="V1134" s="715"/>
      <c r="W1134" s="715"/>
      <c r="X1134" s="715"/>
      <c r="Y1134" s="715"/>
      <c r="Z1134" s="715"/>
      <c r="AA1134" s="460" t="s">
        <v>2877</v>
      </c>
      <c r="AB1134" s="461">
        <v>3</v>
      </c>
      <c r="AC1134" s="461">
        <v>5</v>
      </c>
      <c r="AD1134" s="477"/>
      <c r="AE1134" s="477"/>
      <c r="AF1134" s="477"/>
      <c r="AG1134" s="715"/>
      <c r="AH1134" s="730"/>
      <c r="AI1134" s="711"/>
      <c r="AJ1134" s="714"/>
    </row>
    <row r="1135" spans="2:36" ht="24" hidden="1" customHeight="1">
      <c r="B1135" s="702"/>
      <c r="C1135" s="700"/>
      <c r="D1135" s="700"/>
      <c r="E1135" s="700"/>
      <c r="F1135" s="700"/>
      <c r="G1135" s="700"/>
      <c r="H1135" s="700"/>
      <c r="I1135" s="713"/>
      <c r="J1135" s="710"/>
      <c r="K1135" s="710"/>
      <c r="L1135" s="713"/>
      <c r="M1135" s="710"/>
      <c r="N1135" s="710"/>
      <c r="O1135" s="702"/>
      <c r="P1135" s="702"/>
      <c r="Q1135" s="710"/>
      <c r="R1135" s="708"/>
      <c r="S1135" s="702"/>
      <c r="T1135" s="702"/>
      <c r="U1135" s="702"/>
      <c r="V1135" s="702"/>
      <c r="W1135" s="702"/>
      <c r="X1135" s="702"/>
      <c r="Y1135" s="702"/>
      <c r="Z1135" s="702"/>
      <c r="AA1135" s="473" t="s">
        <v>2878</v>
      </c>
      <c r="AB1135" s="474" t="s">
        <v>539</v>
      </c>
      <c r="AC1135" s="474" t="s">
        <v>539</v>
      </c>
      <c r="AD1135" s="462"/>
      <c r="AE1135" s="462"/>
      <c r="AF1135" s="462"/>
      <c r="AG1135" s="702"/>
      <c r="AH1135" s="729"/>
      <c r="AI1135" s="698"/>
      <c r="AJ1135" s="700"/>
    </row>
    <row r="1136" spans="2:36" ht="24" hidden="1" customHeight="1">
      <c r="B1136" s="701">
        <v>925</v>
      </c>
      <c r="C1136" s="699" t="s">
        <v>534</v>
      </c>
      <c r="D1136" s="699"/>
      <c r="E1136" s="699" t="s">
        <v>535</v>
      </c>
      <c r="F1136" s="699"/>
      <c r="G1136" s="699" t="s">
        <v>47</v>
      </c>
      <c r="H1136" s="699" t="s">
        <v>2879</v>
      </c>
      <c r="I1136" s="712">
        <v>35000</v>
      </c>
      <c r="J1136" s="709" t="s">
        <v>537</v>
      </c>
      <c r="K1136" s="709" t="s">
        <v>537</v>
      </c>
      <c r="L1136" s="712">
        <v>35000</v>
      </c>
      <c r="M1136" s="709" t="s">
        <v>537</v>
      </c>
      <c r="N1136" s="709" t="s">
        <v>537</v>
      </c>
      <c r="O1136" s="701" t="s">
        <v>537</v>
      </c>
      <c r="P1136" s="701" t="s">
        <v>537</v>
      </c>
      <c r="Q1136" s="709">
        <v>0</v>
      </c>
      <c r="R1136" s="707">
        <v>241428</v>
      </c>
      <c r="S1136" s="721">
        <v>22299</v>
      </c>
      <c r="T1136" s="701">
        <v>17</v>
      </c>
      <c r="U1136" s="701">
        <v>3</v>
      </c>
      <c r="V1136" s="701">
        <v>0</v>
      </c>
      <c r="W1136" s="701">
        <v>42</v>
      </c>
      <c r="X1136" s="701">
        <v>3</v>
      </c>
      <c r="Y1136" s="701">
        <v>0</v>
      </c>
      <c r="Z1136" s="701">
        <v>94.28</v>
      </c>
      <c r="AA1136" s="697" t="s">
        <v>728</v>
      </c>
      <c r="AB1136" s="701">
        <v>1</v>
      </c>
      <c r="AC1136" s="701">
        <v>1</v>
      </c>
      <c r="AD1136" s="458" t="s">
        <v>2834</v>
      </c>
      <c r="AE1136" s="459">
        <v>1</v>
      </c>
      <c r="AF1136" s="459">
        <v>1</v>
      </c>
      <c r="AG1136" s="701" t="s">
        <v>375</v>
      </c>
      <c r="AH1136" s="728"/>
      <c r="AI1136" s="697">
        <v>810961595</v>
      </c>
      <c r="AJ1136" s="699"/>
    </row>
    <row r="1137" spans="1:36" ht="24" hidden="1" customHeight="1">
      <c r="B1137" s="702"/>
      <c r="C1137" s="700"/>
      <c r="D1137" s="700"/>
      <c r="E1137" s="700"/>
      <c r="F1137" s="700"/>
      <c r="G1137" s="700"/>
      <c r="H1137" s="700"/>
      <c r="I1137" s="713"/>
      <c r="J1137" s="710"/>
      <c r="K1137" s="710"/>
      <c r="L1137" s="713"/>
      <c r="M1137" s="710"/>
      <c r="N1137" s="710"/>
      <c r="O1137" s="702"/>
      <c r="P1137" s="702"/>
      <c r="Q1137" s="710"/>
      <c r="R1137" s="708"/>
      <c r="S1137" s="722"/>
      <c r="T1137" s="702"/>
      <c r="U1137" s="702"/>
      <c r="V1137" s="702"/>
      <c r="W1137" s="702"/>
      <c r="X1137" s="702"/>
      <c r="Y1137" s="702"/>
      <c r="Z1137" s="702"/>
      <c r="AA1137" s="698"/>
      <c r="AB1137" s="702"/>
      <c r="AC1137" s="702"/>
      <c r="AD1137" s="473" t="s">
        <v>2880</v>
      </c>
      <c r="AE1137" s="474">
        <v>1</v>
      </c>
      <c r="AF1137" s="474">
        <v>1</v>
      </c>
      <c r="AG1137" s="702"/>
      <c r="AH1137" s="729"/>
      <c r="AI1137" s="698"/>
      <c r="AJ1137" s="700"/>
    </row>
    <row r="1138" spans="1:36" ht="24" hidden="1" customHeight="1">
      <c r="B1138" s="463">
        <v>926</v>
      </c>
      <c r="C1138" s="464" t="s">
        <v>534</v>
      </c>
      <c r="D1138" s="464"/>
      <c r="E1138" s="464" t="s">
        <v>535</v>
      </c>
      <c r="F1138" s="464"/>
      <c r="G1138" s="464" t="s">
        <v>47</v>
      </c>
      <c r="H1138" s="464" t="s">
        <v>2881</v>
      </c>
      <c r="I1138" s="466">
        <v>35000</v>
      </c>
      <c r="J1138" s="465" t="s">
        <v>537</v>
      </c>
      <c r="K1138" s="465" t="s">
        <v>537</v>
      </c>
      <c r="L1138" s="466">
        <v>35000</v>
      </c>
      <c r="M1138" s="465" t="s">
        <v>537</v>
      </c>
      <c r="N1138" s="465" t="s">
        <v>537</v>
      </c>
      <c r="O1138" s="463" t="s">
        <v>537</v>
      </c>
      <c r="P1138" s="463" t="s">
        <v>537</v>
      </c>
      <c r="Q1138" s="465">
        <v>0</v>
      </c>
      <c r="R1138" s="470">
        <v>241428</v>
      </c>
      <c r="S1138" s="471">
        <v>22306</v>
      </c>
      <c r="T1138" s="463">
        <v>17</v>
      </c>
      <c r="U1138" s="463">
        <v>3</v>
      </c>
      <c r="V1138" s="463">
        <v>0</v>
      </c>
      <c r="W1138" s="463">
        <v>42</v>
      </c>
      <c r="X1138" s="463">
        <v>3</v>
      </c>
      <c r="Y1138" s="463">
        <v>0</v>
      </c>
      <c r="Z1138" s="463">
        <v>91.5</v>
      </c>
      <c r="AA1138" s="472" t="s">
        <v>2882</v>
      </c>
      <c r="AB1138" s="463">
        <v>1</v>
      </c>
      <c r="AC1138" s="463">
        <v>1</v>
      </c>
      <c r="AD1138" s="472" t="s">
        <v>2834</v>
      </c>
      <c r="AE1138" s="463">
        <v>1</v>
      </c>
      <c r="AF1138" s="463">
        <v>1</v>
      </c>
      <c r="AG1138" s="463" t="s">
        <v>375</v>
      </c>
      <c r="AH1138" s="476"/>
      <c r="AI1138" s="472">
        <v>810961595</v>
      </c>
      <c r="AJ1138" s="464"/>
    </row>
    <row r="1139" spans="1:36" ht="24" hidden="1" customHeight="1">
      <c r="B1139" s="701">
        <v>927</v>
      </c>
      <c r="C1139" s="699" t="s">
        <v>534</v>
      </c>
      <c r="D1139" s="699"/>
      <c r="E1139" s="699" t="s">
        <v>535</v>
      </c>
      <c r="F1139" s="699"/>
      <c r="G1139" s="699" t="s">
        <v>47</v>
      </c>
      <c r="H1139" s="699" t="s">
        <v>2883</v>
      </c>
      <c r="I1139" s="712">
        <v>30000</v>
      </c>
      <c r="J1139" s="709" t="s">
        <v>537</v>
      </c>
      <c r="K1139" s="709" t="s">
        <v>537</v>
      </c>
      <c r="L1139" s="712">
        <v>2400</v>
      </c>
      <c r="M1139" s="709" t="s">
        <v>537</v>
      </c>
      <c r="N1139" s="709" t="s">
        <v>537</v>
      </c>
      <c r="O1139" s="701" t="s">
        <v>537</v>
      </c>
      <c r="P1139" s="701" t="s">
        <v>537</v>
      </c>
      <c r="Q1139" s="705">
        <v>27600</v>
      </c>
      <c r="R1139" s="701" t="s">
        <v>2884</v>
      </c>
      <c r="S1139" s="721">
        <v>22359</v>
      </c>
      <c r="T1139" s="701">
        <v>17</v>
      </c>
      <c r="U1139" s="701">
        <v>3</v>
      </c>
      <c r="V1139" s="701">
        <v>0</v>
      </c>
      <c r="W1139" s="701">
        <v>42</v>
      </c>
      <c r="X1139" s="701">
        <v>3</v>
      </c>
      <c r="Y1139" s="701">
        <v>0</v>
      </c>
      <c r="Z1139" s="701">
        <v>94</v>
      </c>
      <c r="AA1139" s="697" t="s">
        <v>2882</v>
      </c>
      <c r="AB1139" s="701">
        <v>1</v>
      </c>
      <c r="AC1139" s="701">
        <v>6</v>
      </c>
      <c r="AD1139" s="458" t="s">
        <v>2834</v>
      </c>
      <c r="AE1139" s="459">
        <v>1</v>
      </c>
      <c r="AF1139" s="459">
        <v>1</v>
      </c>
      <c r="AG1139" s="701" t="s">
        <v>375</v>
      </c>
      <c r="AH1139" s="728"/>
      <c r="AI1139" s="697">
        <v>810961595</v>
      </c>
      <c r="AJ1139" s="699"/>
    </row>
    <row r="1140" spans="1:36" ht="24" hidden="1" customHeight="1">
      <c r="B1140" s="702"/>
      <c r="C1140" s="700"/>
      <c r="D1140" s="700"/>
      <c r="E1140" s="700"/>
      <c r="F1140" s="700"/>
      <c r="G1140" s="700"/>
      <c r="H1140" s="700"/>
      <c r="I1140" s="713"/>
      <c r="J1140" s="710"/>
      <c r="K1140" s="710"/>
      <c r="L1140" s="713"/>
      <c r="M1140" s="710"/>
      <c r="N1140" s="710"/>
      <c r="O1140" s="702"/>
      <c r="P1140" s="702"/>
      <c r="Q1140" s="706"/>
      <c r="R1140" s="702"/>
      <c r="S1140" s="722"/>
      <c r="T1140" s="702"/>
      <c r="U1140" s="702"/>
      <c r="V1140" s="702"/>
      <c r="W1140" s="702"/>
      <c r="X1140" s="702"/>
      <c r="Y1140" s="702"/>
      <c r="Z1140" s="702"/>
      <c r="AA1140" s="698"/>
      <c r="AB1140" s="702"/>
      <c r="AC1140" s="702"/>
      <c r="AD1140" s="473" t="s">
        <v>2880</v>
      </c>
      <c r="AE1140" s="474">
        <v>1</v>
      </c>
      <c r="AF1140" s="474">
        <v>6</v>
      </c>
      <c r="AG1140" s="702"/>
      <c r="AH1140" s="729"/>
      <c r="AI1140" s="698"/>
      <c r="AJ1140" s="700"/>
    </row>
    <row r="1141" spans="1:36" ht="24" hidden="1" customHeight="1">
      <c r="B1141" s="463">
        <v>928</v>
      </c>
      <c r="C1141" s="464" t="s">
        <v>534</v>
      </c>
      <c r="D1141" s="464"/>
      <c r="E1141" s="464" t="s">
        <v>535</v>
      </c>
      <c r="F1141" s="464"/>
      <c r="G1141" s="464" t="s">
        <v>47</v>
      </c>
      <c r="H1141" s="464" t="s">
        <v>2885</v>
      </c>
      <c r="I1141" s="466">
        <v>50000</v>
      </c>
      <c r="J1141" s="465" t="s">
        <v>537</v>
      </c>
      <c r="K1141" s="465" t="s">
        <v>537</v>
      </c>
      <c r="L1141" s="466">
        <v>50000</v>
      </c>
      <c r="M1141" s="465" t="s">
        <v>537</v>
      </c>
      <c r="N1141" s="465" t="s">
        <v>537</v>
      </c>
      <c r="O1141" s="463" t="s">
        <v>537</v>
      </c>
      <c r="P1141" s="463" t="s">
        <v>537</v>
      </c>
      <c r="Q1141" s="465">
        <v>0</v>
      </c>
      <c r="R1141" s="470">
        <v>241609</v>
      </c>
      <c r="S1141" s="463" t="s">
        <v>2886</v>
      </c>
      <c r="T1141" s="463">
        <v>55</v>
      </c>
      <c r="U1141" s="463">
        <v>5</v>
      </c>
      <c r="V1141" s="463">
        <v>0</v>
      </c>
      <c r="W1141" s="463">
        <v>53</v>
      </c>
      <c r="X1141" s="463">
        <v>6</v>
      </c>
      <c r="Y1141" s="463">
        <v>1</v>
      </c>
      <c r="Z1141" s="463">
        <v>89</v>
      </c>
      <c r="AA1141" s="472" t="s">
        <v>2071</v>
      </c>
      <c r="AB1141" s="463" t="s">
        <v>539</v>
      </c>
      <c r="AC1141" s="463" t="s">
        <v>539</v>
      </c>
      <c r="AD1141" s="472" t="s">
        <v>2833</v>
      </c>
      <c r="AE1141" s="463">
        <v>80</v>
      </c>
      <c r="AF1141" s="463">
        <v>89</v>
      </c>
      <c r="AG1141" s="463" t="s">
        <v>375</v>
      </c>
      <c r="AH1141" s="476"/>
      <c r="AI1141" s="472">
        <v>973458487</v>
      </c>
      <c r="AJ1141" s="464"/>
    </row>
    <row r="1142" spans="1:36" ht="24" hidden="1" customHeight="1">
      <c r="B1142" s="463">
        <v>929</v>
      </c>
      <c r="C1142" s="464" t="s">
        <v>165</v>
      </c>
      <c r="D1142" s="464"/>
      <c r="E1142" s="464" t="s">
        <v>535</v>
      </c>
      <c r="F1142" s="464"/>
      <c r="G1142" s="464" t="s">
        <v>47</v>
      </c>
      <c r="H1142" s="464" t="s">
        <v>2887</v>
      </c>
      <c r="I1142" s="466">
        <v>200000</v>
      </c>
      <c r="J1142" s="465" t="s">
        <v>537</v>
      </c>
      <c r="K1142" s="465" t="s">
        <v>537</v>
      </c>
      <c r="L1142" s="466">
        <v>198504.67</v>
      </c>
      <c r="M1142" s="465" t="s">
        <v>537</v>
      </c>
      <c r="N1142" s="465" t="s">
        <v>537</v>
      </c>
      <c r="O1142" s="463" t="s">
        <v>537</v>
      </c>
      <c r="P1142" s="463" t="s">
        <v>537</v>
      </c>
      <c r="Q1142" s="468">
        <v>1495</v>
      </c>
      <c r="R1142" s="463" t="s">
        <v>643</v>
      </c>
      <c r="S1142" s="463" t="s">
        <v>2888</v>
      </c>
      <c r="T1142" s="463">
        <v>30</v>
      </c>
      <c r="U1142" s="463">
        <v>10</v>
      </c>
      <c r="V1142" s="463">
        <v>120</v>
      </c>
      <c r="W1142" s="463">
        <v>30</v>
      </c>
      <c r="X1142" s="463">
        <v>10</v>
      </c>
      <c r="Y1142" s="463">
        <v>120</v>
      </c>
      <c r="Z1142" s="463">
        <v>88</v>
      </c>
      <c r="AA1142" s="472" t="s">
        <v>547</v>
      </c>
      <c r="AB1142" s="463" t="s">
        <v>539</v>
      </c>
      <c r="AC1142" s="463" t="s">
        <v>539</v>
      </c>
      <c r="AD1142" s="472" t="s">
        <v>675</v>
      </c>
      <c r="AE1142" s="463">
        <v>80</v>
      </c>
      <c r="AF1142" s="463">
        <v>88</v>
      </c>
      <c r="AG1142" s="463" t="s">
        <v>375</v>
      </c>
      <c r="AH1142" s="476"/>
      <c r="AI1142" s="472">
        <v>815417360</v>
      </c>
      <c r="AJ1142" s="464"/>
    </row>
    <row r="1143" spans="1:36" ht="24" hidden="1" customHeight="1">
      <c r="B1143" s="701">
        <v>930</v>
      </c>
      <c r="C1143" s="699" t="s">
        <v>165</v>
      </c>
      <c r="D1143" s="699"/>
      <c r="E1143" s="699" t="s">
        <v>535</v>
      </c>
      <c r="F1143" s="699"/>
      <c r="G1143" s="699" t="s">
        <v>47</v>
      </c>
      <c r="H1143" s="699" t="s">
        <v>2889</v>
      </c>
      <c r="I1143" s="712">
        <v>200000</v>
      </c>
      <c r="J1143" s="709" t="s">
        <v>537</v>
      </c>
      <c r="K1143" s="709" t="s">
        <v>537</v>
      </c>
      <c r="L1143" s="712">
        <v>198700</v>
      </c>
      <c r="M1143" s="709" t="s">
        <v>537</v>
      </c>
      <c r="N1143" s="709" t="s">
        <v>537</v>
      </c>
      <c r="O1143" s="701" t="s">
        <v>537</v>
      </c>
      <c r="P1143" s="701" t="s">
        <v>537</v>
      </c>
      <c r="Q1143" s="705">
        <v>1300</v>
      </c>
      <c r="R1143" s="707">
        <v>241609</v>
      </c>
      <c r="S1143" s="701" t="s">
        <v>2890</v>
      </c>
      <c r="T1143" s="701">
        <v>80</v>
      </c>
      <c r="U1143" s="701">
        <v>18</v>
      </c>
      <c r="V1143" s="701">
        <v>102</v>
      </c>
      <c r="W1143" s="701">
        <v>80</v>
      </c>
      <c r="X1143" s="701">
        <v>18</v>
      </c>
      <c r="Y1143" s="701">
        <v>102</v>
      </c>
      <c r="Z1143" s="701">
        <v>90</v>
      </c>
      <c r="AA1143" s="458" t="s">
        <v>2891</v>
      </c>
      <c r="AB1143" s="459">
        <v>1</v>
      </c>
      <c r="AC1143" s="459">
        <v>1</v>
      </c>
      <c r="AD1143" s="697" t="s">
        <v>651</v>
      </c>
      <c r="AE1143" s="701">
        <v>1</v>
      </c>
      <c r="AF1143" s="701">
        <v>1</v>
      </c>
      <c r="AG1143" s="701" t="s">
        <v>375</v>
      </c>
      <c r="AH1143" s="728"/>
      <c r="AI1143" s="697">
        <v>991063718</v>
      </c>
      <c r="AJ1143" s="699"/>
    </row>
    <row r="1144" spans="1:36" ht="24" hidden="1" customHeight="1">
      <c r="B1144" s="702"/>
      <c r="C1144" s="700"/>
      <c r="D1144" s="700"/>
      <c r="E1144" s="700"/>
      <c r="F1144" s="700"/>
      <c r="G1144" s="700"/>
      <c r="H1144" s="700"/>
      <c r="I1144" s="713"/>
      <c r="J1144" s="710"/>
      <c r="K1144" s="710"/>
      <c r="L1144" s="713"/>
      <c r="M1144" s="710"/>
      <c r="N1144" s="710"/>
      <c r="O1144" s="702"/>
      <c r="P1144" s="702"/>
      <c r="Q1144" s="706"/>
      <c r="R1144" s="708"/>
      <c r="S1144" s="702"/>
      <c r="T1144" s="702"/>
      <c r="U1144" s="702"/>
      <c r="V1144" s="702"/>
      <c r="W1144" s="702"/>
      <c r="X1144" s="702"/>
      <c r="Y1144" s="702"/>
      <c r="Z1144" s="702"/>
      <c r="AA1144" s="473" t="s">
        <v>2892</v>
      </c>
      <c r="AB1144" s="474" t="s">
        <v>539</v>
      </c>
      <c r="AC1144" s="474" t="s">
        <v>539</v>
      </c>
      <c r="AD1144" s="698"/>
      <c r="AE1144" s="702"/>
      <c r="AF1144" s="702"/>
      <c r="AG1144" s="702"/>
      <c r="AH1144" s="729"/>
      <c r="AI1144" s="698"/>
      <c r="AJ1144" s="700"/>
    </row>
    <row r="1145" spans="1:36" ht="24" hidden="1" customHeight="1">
      <c r="B1145" s="463">
        <v>931</v>
      </c>
      <c r="C1145" s="464" t="s">
        <v>534</v>
      </c>
      <c r="D1145" s="464"/>
      <c r="E1145" s="464" t="s">
        <v>577</v>
      </c>
      <c r="F1145" s="464"/>
      <c r="G1145" s="464" t="s">
        <v>47</v>
      </c>
      <c r="H1145" s="464" t="s">
        <v>2893</v>
      </c>
      <c r="I1145" s="465" t="s">
        <v>537</v>
      </c>
      <c r="J1145" s="465" t="s">
        <v>537</v>
      </c>
      <c r="K1145" s="466">
        <v>100000</v>
      </c>
      <c r="L1145" s="465" t="s">
        <v>537</v>
      </c>
      <c r="M1145" s="465" t="s">
        <v>537</v>
      </c>
      <c r="N1145" s="466">
        <v>96190</v>
      </c>
      <c r="O1145" s="463" t="s">
        <v>537</v>
      </c>
      <c r="P1145" s="463" t="s">
        <v>537</v>
      </c>
      <c r="Q1145" s="468">
        <v>3810</v>
      </c>
      <c r="R1145" s="463" t="s">
        <v>976</v>
      </c>
      <c r="S1145" s="463" t="s">
        <v>2894</v>
      </c>
      <c r="T1145" s="463">
        <v>0</v>
      </c>
      <c r="U1145" s="463">
        <v>0</v>
      </c>
      <c r="V1145" s="463">
        <v>0</v>
      </c>
      <c r="W1145" s="463">
        <v>0</v>
      </c>
      <c r="X1145" s="463">
        <v>0</v>
      </c>
      <c r="Y1145" s="463">
        <v>0</v>
      </c>
      <c r="Z1145" s="463">
        <v>85</v>
      </c>
      <c r="AA1145" s="472" t="s">
        <v>2895</v>
      </c>
      <c r="AB1145" s="463" t="s">
        <v>539</v>
      </c>
      <c r="AC1145" s="463" t="s">
        <v>539</v>
      </c>
      <c r="AD1145" s="472" t="s">
        <v>2896</v>
      </c>
      <c r="AE1145" s="463" t="s">
        <v>539</v>
      </c>
      <c r="AF1145" s="463" t="s">
        <v>539</v>
      </c>
      <c r="AG1145" s="463" t="s">
        <v>375</v>
      </c>
      <c r="AH1145" s="476"/>
      <c r="AI1145" s="472" t="s">
        <v>566</v>
      </c>
      <c r="AJ1145" s="472" t="s">
        <v>543</v>
      </c>
    </row>
    <row r="1146" spans="1:36" ht="24" hidden="1" customHeight="1">
      <c r="B1146" s="463">
        <v>932</v>
      </c>
      <c r="C1146" s="464" t="s">
        <v>534</v>
      </c>
      <c r="D1146" s="464"/>
      <c r="E1146" s="464" t="s">
        <v>1633</v>
      </c>
      <c r="F1146" s="464"/>
      <c r="G1146" s="464" t="s">
        <v>47</v>
      </c>
      <c r="H1146" s="464" t="s">
        <v>636</v>
      </c>
      <c r="I1146" s="465" t="s">
        <v>537</v>
      </c>
      <c r="J1146" s="465" t="s">
        <v>537</v>
      </c>
      <c r="K1146" s="466">
        <v>1200000</v>
      </c>
      <c r="L1146" s="465" t="s">
        <v>537</v>
      </c>
      <c r="M1146" s="465" t="s">
        <v>537</v>
      </c>
      <c r="N1146" s="466">
        <v>1190321.32</v>
      </c>
      <c r="O1146" s="463" t="s">
        <v>537</v>
      </c>
      <c r="P1146" s="463" t="s">
        <v>537</v>
      </c>
      <c r="Q1146" s="468">
        <v>9679</v>
      </c>
      <c r="R1146" s="470">
        <v>241609</v>
      </c>
      <c r="S1146" s="463" t="s">
        <v>637</v>
      </c>
      <c r="T1146" s="463">
        <v>1500</v>
      </c>
      <c r="U1146" s="463">
        <v>100</v>
      </c>
      <c r="V1146" s="463">
        <v>200</v>
      </c>
      <c r="W1146" s="463">
        <v>1500</v>
      </c>
      <c r="X1146" s="463">
        <v>100</v>
      </c>
      <c r="Y1146" s="463">
        <v>200</v>
      </c>
      <c r="Z1146" s="463">
        <v>84.61</v>
      </c>
      <c r="AA1146" s="472" t="s">
        <v>565</v>
      </c>
      <c r="AB1146" s="463">
        <v>80</v>
      </c>
      <c r="AC1146" s="463">
        <v>84.61</v>
      </c>
      <c r="AD1146" s="472" t="s">
        <v>2787</v>
      </c>
      <c r="AE1146" s="463" t="s">
        <v>539</v>
      </c>
      <c r="AF1146" s="463" t="s">
        <v>539</v>
      </c>
      <c r="AG1146" s="463" t="s">
        <v>375</v>
      </c>
      <c r="AH1146" s="476"/>
      <c r="AI1146" s="472">
        <v>819691032</v>
      </c>
      <c r="AJ1146" s="472" t="s">
        <v>543</v>
      </c>
    </row>
    <row r="1147" spans="1:36" ht="24" customHeight="1">
      <c r="A1147" s="452">
        <v>158</v>
      </c>
      <c r="B1147" s="701">
        <v>933</v>
      </c>
      <c r="C1147" s="699" t="s">
        <v>337</v>
      </c>
      <c r="D1147" s="699"/>
      <c r="E1147" s="699" t="s">
        <v>545</v>
      </c>
      <c r="F1147" s="699"/>
      <c r="G1147" s="699" t="s">
        <v>47</v>
      </c>
      <c r="H1147" s="699" t="s">
        <v>2897</v>
      </c>
      <c r="I1147" s="712">
        <v>40000</v>
      </c>
      <c r="J1147" s="709" t="s">
        <v>537</v>
      </c>
      <c r="K1147" s="709" t="s">
        <v>537</v>
      </c>
      <c r="L1147" s="712">
        <v>22500</v>
      </c>
      <c r="M1147" s="709" t="s">
        <v>537</v>
      </c>
      <c r="N1147" s="709" t="s">
        <v>537</v>
      </c>
      <c r="O1147" s="701" t="s">
        <v>537</v>
      </c>
      <c r="P1147" s="701" t="s">
        <v>537</v>
      </c>
      <c r="Q1147" s="705">
        <v>17500</v>
      </c>
      <c r="R1147" s="707">
        <v>241518</v>
      </c>
      <c r="S1147" s="701" t="s">
        <v>2898</v>
      </c>
      <c r="T1147" s="701">
        <v>0</v>
      </c>
      <c r="U1147" s="701">
        <v>2</v>
      </c>
      <c r="V1147" s="701">
        <v>20</v>
      </c>
      <c r="W1147" s="701">
        <v>2</v>
      </c>
      <c r="X1147" s="701">
        <v>2</v>
      </c>
      <c r="Y1147" s="701">
        <v>25</v>
      </c>
      <c r="Z1147" s="701">
        <v>91.2</v>
      </c>
      <c r="AA1147" s="458" t="s">
        <v>2899</v>
      </c>
      <c r="AB1147" s="459" t="s">
        <v>539</v>
      </c>
      <c r="AC1147" s="459" t="s">
        <v>539</v>
      </c>
      <c r="AD1147" s="458" t="s">
        <v>2900</v>
      </c>
      <c r="AE1147" s="459">
        <v>20</v>
      </c>
      <c r="AF1147" s="459">
        <v>25</v>
      </c>
      <c r="AG1147" s="701" t="s">
        <v>375</v>
      </c>
      <c r="AH1147" s="728"/>
      <c r="AI1147" s="697">
        <v>8558709.3900000006</v>
      </c>
      <c r="AJ1147" s="699"/>
    </row>
    <row r="1148" spans="1:36" ht="24" hidden="1" customHeight="1">
      <c r="B1148" s="715"/>
      <c r="C1148" s="714"/>
      <c r="D1148" s="714"/>
      <c r="E1148" s="714"/>
      <c r="F1148" s="714"/>
      <c r="G1148" s="714"/>
      <c r="H1148" s="714"/>
      <c r="I1148" s="720"/>
      <c r="J1148" s="717"/>
      <c r="K1148" s="717"/>
      <c r="L1148" s="720"/>
      <c r="M1148" s="717"/>
      <c r="N1148" s="717"/>
      <c r="O1148" s="715"/>
      <c r="P1148" s="715"/>
      <c r="Q1148" s="718"/>
      <c r="R1148" s="719"/>
      <c r="S1148" s="715"/>
      <c r="T1148" s="715"/>
      <c r="U1148" s="715"/>
      <c r="V1148" s="715"/>
      <c r="W1148" s="715"/>
      <c r="X1148" s="715"/>
      <c r="Y1148" s="715"/>
      <c r="Z1148" s="715"/>
      <c r="AA1148" s="460" t="s">
        <v>2892</v>
      </c>
      <c r="AB1148" s="461" t="s">
        <v>539</v>
      </c>
      <c r="AC1148" s="461" t="s">
        <v>539</v>
      </c>
      <c r="AD1148" s="460" t="s">
        <v>2901</v>
      </c>
      <c r="AE1148" s="461">
        <v>20</v>
      </c>
      <c r="AF1148" s="461">
        <v>25</v>
      </c>
      <c r="AG1148" s="715"/>
      <c r="AH1148" s="730"/>
      <c r="AI1148" s="711"/>
      <c r="AJ1148" s="714"/>
    </row>
    <row r="1149" spans="1:36" ht="24" hidden="1" customHeight="1">
      <c r="B1149" s="702"/>
      <c r="C1149" s="700"/>
      <c r="D1149" s="700"/>
      <c r="E1149" s="700"/>
      <c r="F1149" s="700"/>
      <c r="G1149" s="700"/>
      <c r="H1149" s="700"/>
      <c r="I1149" s="713"/>
      <c r="J1149" s="710"/>
      <c r="K1149" s="710"/>
      <c r="L1149" s="713"/>
      <c r="M1149" s="710"/>
      <c r="N1149" s="710"/>
      <c r="O1149" s="702"/>
      <c r="P1149" s="702"/>
      <c r="Q1149" s="706"/>
      <c r="R1149" s="708"/>
      <c r="S1149" s="702"/>
      <c r="T1149" s="702"/>
      <c r="U1149" s="702"/>
      <c r="V1149" s="702"/>
      <c r="W1149" s="702"/>
      <c r="X1149" s="702"/>
      <c r="Y1149" s="702"/>
      <c r="Z1149" s="702"/>
      <c r="AA1149" s="462"/>
      <c r="AB1149" s="462"/>
      <c r="AC1149" s="462"/>
      <c r="AD1149" s="473" t="s">
        <v>2902</v>
      </c>
      <c r="AE1149" s="474">
        <v>80</v>
      </c>
      <c r="AF1149" s="474">
        <v>100</v>
      </c>
      <c r="AG1149" s="702"/>
      <c r="AH1149" s="729"/>
      <c r="AI1149" s="698"/>
      <c r="AJ1149" s="700"/>
    </row>
    <row r="1150" spans="1:36" ht="24" customHeight="1">
      <c r="A1150" s="452">
        <v>159</v>
      </c>
      <c r="B1150" s="701">
        <v>934</v>
      </c>
      <c r="C1150" s="699" t="s">
        <v>337</v>
      </c>
      <c r="D1150" s="699"/>
      <c r="E1150" s="699" t="s">
        <v>545</v>
      </c>
      <c r="F1150" s="699"/>
      <c r="G1150" s="699" t="s">
        <v>47</v>
      </c>
      <c r="H1150" s="699" t="s">
        <v>2903</v>
      </c>
      <c r="I1150" s="712">
        <v>5000</v>
      </c>
      <c r="J1150" s="709" t="s">
        <v>537</v>
      </c>
      <c r="K1150" s="709" t="s">
        <v>537</v>
      </c>
      <c r="L1150" s="712">
        <v>5000</v>
      </c>
      <c r="M1150" s="709" t="s">
        <v>537</v>
      </c>
      <c r="N1150" s="709" t="s">
        <v>537</v>
      </c>
      <c r="O1150" s="701" t="s">
        <v>537</v>
      </c>
      <c r="P1150" s="701" t="s">
        <v>537</v>
      </c>
      <c r="Q1150" s="709">
        <v>0</v>
      </c>
      <c r="R1150" s="707">
        <v>241397</v>
      </c>
      <c r="S1150" s="701" t="s">
        <v>2904</v>
      </c>
      <c r="T1150" s="701">
        <v>0</v>
      </c>
      <c r="U1150" s="701">
        <v>4</v>
      </c>
      <c r="V1150" s="701">
        <v>35</v>
      </c>
      <c r="W1150" s="701">
        <v>0</v>
      </c>
      <c r="X1150" s="701">
        <v>15</v>
      </c>
      <c r="Y1150" s="701">
        <v>22</v>
      </c>
      <c r="Z1150" s="701">
        <v>92.25</v>
      </c>
      <c r="AA1150" s="458" t="s">
        <v>2905</v>
      </c>
      <c r="AB1150" s="459" t="s">
        <v>539</v>
      </c>
      <c r="AC1150" s="459" t="s">
        <v>539</v>
      </c>
      <c r="AD1150" s="458" t="s">
        <v>2906</v>
      </c>
      <c r="AE1150" s="459" t="s">
        <v>539</v>
      </c>
      <c r="AF1150" s="459" t="s">
        <v>539</v>
      </c>
      <c r="AG1150" s="701" t="s">
        <v>375</v>
      </c>
      <c r="AH1150" s="728"/>
      <c r="AI1150" s="697" t="s">
        <v>2907</v>
      </c>
      <c r="AJ1150" s="699"/>
    </row>
    <row r="1151" spans="1:36" ht="24" hidden="1" customHeight="1">
      <c r="B1151" s="715"/>
      <c r="C1151" s="714"/>
      <c r="D1151" s="714"/>
      <c r="E1151" s="714"/>
      <c r="F1151" s="714"/>
      <c r="G1151" s="714"/>
      <c r="H1151" s="714"/>
      <c r="I1151" s="720"/>
      <c r="J1151" s="717"/>
      <c r="K1151" s="717"/>
      <c r="L1151" s="720"/>
      <c r="M1151" s="717"/>
      <c r="N1151" s="717"/>
      <c r="O1151" s="715"/>
      <c r="P1151" s="715"/>
      <c r="Q1151" s="717"/>
      <c r="R1151" s="719"/>
      <c r="S1151" s="715"/>
      <c r="T1151" s="715"/>
      <c r="U1151" s="715"/>
      <c r="V1151" s="715"/>
      <c r="W1151" s="715"/>
      <c r="X1151" s="715"/>
      <c r="Y1151" s="715"/>
      <c r="Z1151" s="715"/>
      <c r="AA1151" s="460" t="s">
        <v>2892</v>
      </c>
      <c r="AB1151" s="461" t="s">
        <v>539</v>
      </c>
      <c r="AC1151" s="461" t="s">
        <v>539</v>
      </c>
      <c r="AD1151" s="460" t="s">
        <v>2908</v>
      </c>
      <c r="AE1151" s="461" t="s">
        <v>539</v>
      </c>
      <c r="AF1151" s="461" t="s">
        <v>539</v>
      </c>
      <c r="AG1151" s="715"/>
      <c r="AH1151" s="730"/>
      <c r="AI1151" s="711"/>
      <c r="AJ1151" s="714"/>
    </row>
    <row r="1152" spans="1:36" ht="24" hidden="1" customHeight="1">
      <c r="B1152" s="702"/>
      <c r="C1152" s="700"/>
      <c r="D1152" s="700"/>
      <c r="E1152" s="700"/>
      <c r="F1152" s="700"/>
      <c r="G1152" s="700"/>
      <c r="H1152" s="700"/>
      <c r="I1152" s="713"/>
      <c r="J1152" s="710"/>
      <c r="K1152" s="710"/>
      <c r="L1152" s="713"/>
      <c r="M1152" s="710"/>
      <c r="N1152" s="710"/>
      <c r="O1152" s="702"/>
      <c r="P1152" s="702"/>
      <c r="Q1152" s="710"/>
      <c r="R1152" s="708"/>
      <c r="S1152" s="702"/>
      <c r="T1152" s="702"/>
      <c r="U1152" s="702"/>
      <c r="V1152" s="702"/>
      <c r="W1152" s="702"/>
      <c r="X1152" s="702"/>
      <c r="Y1152" s="702"/>
      <c r="Z1152" s="702"/>
      <c r="AA1152" s="462"/>
      <c r="AB1152" s="462"/>
      <c r="AC1152" s="462"/>
      <c r="AD1152" s="473" t="s">
        <v>2909</v>
      </c>
      <c r="AE1152" s="474">
        <v>80</v>
      </c>
      <c r="AF1152" s="474">
        <v>89.9</v>
      </c>
      <c r="AG1152" s="702"/>
      <c r="AH1152" s="729"/>
      <c r="AI1152" s="698"/>
      <c r="AJ1152" s="700"/>
    </row>
    <row r="1153" spans="1:36" ht="24" customHeight="1">
      <c r="A1153" s="452">
        <v>160</v>
      </c>
      <c r="B1153" s="701">
        <v>935</v>
      </c>
      <c r="C1153" s="699" t="s">
        <v>337</v>
      </c>
      <c r="D1153" s="699"/>
      <c r="E1153" s="699" t="s">
        <v>545</v>
      </c>
      <c r="F1153" s="699"/>
      <c r="G1153" s="699" t="s">
        <v>47</v>
      </c>
      <c r="H1153" s="699" t="s">
        <v>2910</v>
      </c>
      <c r="I1153" s="712">
        <v>33700</v>
      </c>
      <c r="J1153" s="709" t="s">
        <v>537</v>
      </c>
      <c r="K1153" s="709" t="s">
        <v>537</v>
      </c>
      <c r="L1153" s="712">
        <v>32670</v>
      </c>
      <c r="M1153" s="709" t="s">
        <v>537</v>
      </c>
      <c r="N1153" s="709" t="s">
        <v>537</v>
      </c>
      <c r="O1153" s="701" t="s">
        <v>537</v>
      </c>
      <c r="P1153" s="701" t="s">
        <v>537</v>
      </c>
      <c r="Q1153" s="705">
        <v>1030</v>
      </c>
      <c r="R1153" s="707">
        <v>241397</v>
      </c>
      <c r="S1153" s="701" t="s">
        <v>2911</v>
      </c>
      <c r="T1153" s="701">
        <v>0</v>
      </c>
      <c r="U1153" s="701">
        <v>12</v>
      </c>
      <c r="V1153" s="701">
        <v>115</v>
      </c>
      <c r="W1153" s="701">
        <v>10</v>
      </c>
      <c r="X1153" s="701">
        <v>4</v>
      </c>
      <c r="Y1153" s="701">
        <v>36</v>
      </c>
      <c r="Z1153" s="701">
        <v>89.5</v>
      </c>
      <c r="AA1153" s="697" t="s">
        <v>2286</v>
      </c>
      <c r="AB1153" s="701" t="s">
        <v>539</v>
      </c>
      <c r="AC1153" s="701" t="s">
        <v>539</v>
      </c>
      <c r="AD1153" s="458" t="s">
        <v>2912</v>
      </c>
      <c r="AE1153" s="459" t="s">
        <v>539</v>
      </c>
      <c r="AF1153" s="459" t="s">
        <v>539</v>
      </c>
      <c r="AG1153" s="701" t="s">
        <v>375</v>
      </c>
      <c r="AH1153" s="728"/>
      <c r="AI1153" s="697">
        <v>850726101</v>
      </c>
      <c r="AJ1153" s="699"/>
    </row>
    <row r="1154" spans="1:36" ht="24" hidden="1" customHeight="1">
      <c r="B1154" s="715"/>
      <c r="C1154" s="714"/>
      <c r="D1154" s="714"/>
      <c r="E1154" s="714"/>
      <c r="F1154" s="714"/>
      <c r="G1154" s="714"/>
      <c r="H1154" s="714"/>
      <c r="I1154" s="720"/>
      <c r="J1154" s="717"/>
      <c r="K1154" s="717"/>
      <c r="L1154" s="720"/>
      <c r="M1154" s="717"/>
      <c r="N1154" s="717"/>
      <c r="O1154" s="715"/>
      <c r="P1154" s="715"/>
      <c r="Q1154" s="718"/>
      <c r="R1154" s="719"/>
      <c r="S1154" s="715"/>
      <c r="T1154" s="715"/>
      <c r="U1154" s="715"/>
      <c r="V1154" s="715"/>
      <c r="W1154" s="715"/>
      <c r="X1154" s="715"/>
      <c r="Y1154" s="715"/>
      <c r="Z1154" s="715"/>
      <c r="AA1154" s="711"/>
      <c r="AB1154" s="715"/>
      <c r="AC1154" s="715"/>
      <c r="AD1154" s="460" t="s">
        <v>2913</v>
      </c>
      <c r="AE1154" s="461" t="s">
        <v>539</v>
      </c>
      <c r="AF1154" s="461" t="s">
        <v>539</v>
      </c>
      <c r="AG1154" s="715"/>
      <c r="AH1154" s="730"/>
      <c r="AI1154" s="711"/>
      <c r="AJ1154" s="714"/>
    </row>
    <row r="1155" spans="1:36" ht="24" hidden="1" customHeight="1">
      <c r="B1155" s="715"/>
      <c r="C1155" s="714"/>
      <c r="D1155" s="714"/>
      <c r="E1155" s="714"/>
      <c r="F1155" s="714"/>
      <c r="G1155" s="714"/>
      <c r="H1155" s="714"/>
      <c r="I1155" s="720"/>
      <c r="J1155" s="717"/>
      <c r="K1155" s="717"/>
      <c r="L1155" s="720"/>
      <c r="M1155" s="717"/>
      <c r="N1155" s="717"/>
      <c r="O1155" s="715"/>
      <c r="P1155" s="715"/>
      <c r="Q1155" s="718"/>
      <c r="R1155" s="719"/>
      <c r="S1155" s="715"/>
      <c r="T1155" s="715"/>
      <c r="U1155" s="715"/>
      <c r="V1155" s="715"/>
      <c r="W1155" s="715"/>
      <c r="X1155" s="715"/>
      <c r="Y1155" s="715"/>
      <c r="Z1155" s="715"/>
      <c r="AA1155" s="711"/>
      <c r="AB1155" s="715"/>
      <c r="AC1155" s="715"/>
      <c r="AD1155" s="460" t="s">
        <v>2914</v>
      </c>
      <c r="AE1155" s="461" t="s">
        <v>539</v>
      </c>
      <c r="AF1155" s="461" t="s">
        <v>539</v>
      </c>
      <c r="AG1155" s="715"/>
      <c r="AH1155" s="730"/>
      <c r="AI1155" s="711"/>
      <c r="AJ1155" s="714"/>
    </row>
    <row r="1156" spans="1:36" ht="24" hidden="1" customHeight="1">
      <c r="B1156" s="702"/>
      <c r="C1156" s="700"/>
      <c r="D1156" s="700"/>
      <c r="E1156" s="700"/>
      <c r="F1156" s="700"/>
      <c r="G1156" s="700"/>
      <c r="H1156" s="700"/>
      <c r="I1156" s="713"/>
      <c r="J1156" s="710"/>
      <c r="K1156" s="710"/>
      <c r="L1156" s="713"/>
      <c r="M1156" s="710"/>
      <c r="N1156" s="710"/>
      <c r="O1156" s="702"/>
      <c r="P1156" s="702"/>
      <c r="Q1156" s="706"/>
      <c r="R1156" s="708"/>
      <c r="S1156" s="702"/>
      <c r="T1156" s="702"/>
      <c r="U1156" s="702"/>
      <c r="V1156" s="702"/>
      <c r="W1156" s="702"/>
      <c r="X1156" s="702"/>
      <c r="Y1156" s="702"/>
      <c r="Z1156" s="702"/>
      <c r="AA1156" s="698"/>
      <c r="AB1156" s="702"/>
      <c r="AC1156" s="702"/>
      <c r="AD1156" s="473" t="s">
        <v>2915</v>
      </c>
      <c r="AE1156" s="474" t="s">
        <v>539</v>
      </c>
      <c r="AF1156" s="474" t="s">
        <v>539</v>
      </c>
      <c r="AG1156" s="702"/>
      <c r="AH1156" s="729"/>
      <c r="AI1156" s="698"/>
      <c r="AJ1156" s="700"/>
    </row>
    <row r="1157" spans="1:36" ht="24" customHeight="1">
      <c r="A1157" s="452">
        <v>161</v>
      </c>
      <c r="B1157" s="701">
        <v>936</v>
      </c>
      <c r="C1157" s="699" t="s">
        <v>337</v>
      </c>
      <c r="D1157" s="699"/>
      <c r="E1157" s="699" t="s">
        <v>545</v>
      </c>
      <c r="F1157" s="699"/>
      <c r="G1157" s="699" t="s">
        <v>47</v>
      </c>
      <c r="H1157" s="699" t="s">
        <v>2916</v>
      </c>
      <c r="I1157" s="712">
        <v>49700</v>
      </c>
      <c r="J1157" s="709" t="s">
        <v>537</v>
      </c>
      <c r="K1157" s="709" t="s">
        <v>537</v>
      </c>
      <c r="L1157" s="712">
        <v>49700</v>
      </c>
      <c r="M1157" s="709" t="s">
        <v>537</v>
      </c>
      <c r="N1157" s="709" t="s">
        <v>537</v>
      </c>
      <c r="O1157" s="701" t="s">
        <v>537</v>
      </c>
      <c r="P1157" s="701" t="s">
        <v>537</v>
      </c>
      <c r="Q1157" s="709">
        <v>0</v>
      </c>
      <c r="R1157" s="707">
        <v>241428</v>
      </c>
      <c r="S1157" s="701" t="s">
        <v>870</v>
      </c>
      <c r="T1157" s="701">
        <v>0</v>
      </c>
      <c r="U1157" s="701">
        <v>4</v>
      </c>
      <c r="V1157" s="701">
        <v>36</v>
      </c>
      <c r="W1157" s="701">
        <v>21</v>
      </c>
      <c r="X1157" s="701">
        <v>2</v>
      </c>
      <c r="Y1157" s="701">
        <v>36</v>
      </c>
      <c r="Z1157" s="701">
        <v>90.25</v>
      </c>
      <c r="AA1157" s="458" t="s">
        <v>2917</v>
      </c>
      <c r="AB1157" s="459" t="s">
        <v>539</v>
      </c>
      <c r="AC1157" s="459" t="s">
        <v>539</v>
      </c>
      <c r="AD1157" s="458" t="s">
        <v>2918</v>
      </c>
      <c r="AE1157" s="459">
        <v>5</v>
      </c>
      <c r="AF1157" s="459">
        <v>5</v>
      </c>
      <c r="AG1157" s="701" t="s">
        <v>375</v>
      </c>
      <c r="AH1157" s="728"/>
      <c r="AI1157" s="697">
        <v>894634204</v>
      </c>
      <c r="AJ1157" s="699"/>
    </row>
    <row r="1158" spans="1:36" ht="24" hidden="1" customHeight="1">
      <c r="B1158" s="715"/>
      <c r="C1158" s="714"/>
      <c r="D1158" s="714"/>
      <c r="E1158" s="714"/>
      <c r="F1158" s="714"/>
      <c r="G1158" s="714"/>
      <c r="H1158" s="714"/>
      <c r="I1158" s="720"/>
      <c r="J1158" s="717"/>
      <c r="K1158" s="717"/>
      <c r="L1158" s="720"/>
      <c r="M1158" s="717"/>
      <c r="N1158" s="717"/>
      <c r="O1158" s="715"/>
      <c r="P1158" s="715"/>
      <c r="Q1158" s="717"/>
      <c r="R1158" s="719"/>
      <c r="S1158" s="715"/>
      <c r="T1158" s="715"/>
      <c r="U1158" s="715"/>
      <c r="V1158" s="715"/>
      <c r="W1158" s="715"/>
      <c r="X1158" s="715"/>
      <c r="Y1158" s="715"/>
      <c r="Z1158" s="715"/>
      <c r="AA1158" s="460" t="s">
        <v>2919</v>
      </c>
      <c r="AB1158" s="461" t="s">
        <v>539</v>
      </c>
      <c r="AC1158" s="461" t="s">
        <v>539</v>
      </c>
      <c r="AD1158" s="460" t="s">
        <v>2920</v>
      </c>
      <c r="AE1158" s="461">
        <v>10</v>
      </c>
      <c r="AF1158" s="461">
        <v>10</v>
      </c>
      <c r="AG1158" s="715"/>
      <c r="AH1158" s="730"/>
      <c r="AI1158" s="711"/>
      <c r="AJ1158" s="714"/>
    </row>
    <row r="1159" spans="1:36" ht="24" hidden="1" customHeight="1">
      <c r="B1159" s="702"/>
      <c r="C1159" s="700"/>
      <c r="D1159" s="700"/>
      <c r="E1159" s="700"/>
      <c r="F1159" s="700"/>
      <c r="G1159" s="700"/>
      <c r="H1159" s="700"/>
      <c r="I1159" s="713"/>
      <c r="J1159" s="710"/>
      <c r="K1159" s="710"/>
      <c r="L1159" s="713"/>
      <c r="M1159" s="710"/>
      <c r="N1159" s="710"/>
      <c r="O1159" s="702"/>
      <c r="P1159" s="702"/>
      <c r="Q1159" s="710"/>
      <c r="R1159" s="708"/>
      <c r="S1159" s="702"/>
      <c r="T1159" s="702"/>
      <c r="U1159" s="702"/>
      <c r="V1159" s="702"/>
      <c r="W1159" s="702"/>
      <c r="X1159" s="702"/>
      <c r="Y1159" s="702"/>
      <c r="Z1159" s="702"/>
      <c r="AA1159" s="473" t="s">
        <v>2921</v>
      </c>
      <c r="AB1159" s="474" t="s">
        <v>539</v>
      </c>
      <c r="AC1159" s="474" t="s">
        <v>539</v>
      </c>
      <c r="AD1159" s="473" t="s">
        <v>2076</v>
      </c>
      <c r="AE1159" s="474">
        <v>80</v>
      </c>
      <c r="AF1159" s="474">
        <v>91.3</v>
      </c>
      <c r="AG1159" s="702"/>
      <c r="AH1159" s="729"/>
      <c r="AI1159" s="698"/>
      <c r="AJ1159" s="700"/>
    </row>
    <row r="1160" spans="1:36" ht="24" customHeight="1">
      <c r="A1160" s="452">
        <v>162</v>
      </c>
      <c r="B1160" s="701">
        <v>937</v>
      </c>
      <c r="C1160" s="699" t="s">
        <v>337</v>
      </c>
      <c r="D1160" s="699"/>
      <c r="E1160" s="699" t="s">
        <v>545</v>
      </c>
      <c r="F1160" s="699"/>
      <c r="G1160" s="699" t="s">
        <v>47</v>
      </c>
      <c r="H1160" s="699" t="s">
        <v>2922</v>
      </c>
      <c r="I1160" s="712">
        <v>36300</v>
      </c>
      <c r="J1160" s="709" t="s">
        <v>537</v>
      </c>
      <c r="K1160" s="709" t="s">
        <v>537</v>
      </c>
      <c r="L1160" s="712">
        <v>35850</v>
      </c>
      <c r="M1160" s="709" t="s">
        <v>537</v>
      </c>
      <c r="N1160" s="709" t="s">
        <v>537</v>
      </c>
      <c r="O1160" s="701" t="s">
        <v>537</v>
      </c>
      <c r="P1160" s="701" t="s">
        <v>537</v>
      </c>
      <c r="Q1160" s="709">
        <v>450</v>
      </c>
      <c r="R1160" s="707">
        <v>241579</v>
      </c>
      <c r="S1160" s="701" t="s">
        <v>2923</v>
      </c>
      <c r="T1160" s="701">
        <v>10</v>
      </c>
      <c r="U1160" s="701">
        <v>5</v>
      </c>
      <c r="V1160" s="701">
        <v>150</v>
      </c>
      <c r="W1160" s="701">
        <v>14</v>
      </c>
      <c r="X1160" s="701">
        <v>5</v>
      </c>
      <c r="Y1160" s="701">
        <v>79</v>
      </c>
      <c r="Z1160" s="701">
        <v>92.5</v>
      </c>
      <c r="AA1160" s="697" t="s">
        <v>2286</v>
      </c>
      <c r="AB1160" s="701" t="s">
        <v>539</v>
      </c>
      <c r="AC1160" s="701" t="s">
        <v>539</v>
      </c>
      <c r="AD1160" s="458" t="s">
        <v>2924</v>
      </c>
      <c r="AE1160" s="459">
        <v>1</v>
      </c>
      <c r="AF1160" s="459">
        <v>2</v>
      </c>
      <c r="AG1160" s="701" t="s">
        <v>375</v>
      </c>
      <c r="AH1160" s="728"/>
      <c r="AI1160" s="697">
        <v>844995187</v>
      </c>
      <c r="AJ1160" s="699"/>
    </row>
    <row r="1161" spans="1:36" ht="24" hidden="1" customHeight="1">
      <c r="B1161" s="702"/>
      <c r="C1161" s="700"/>
      <c r="D1161" s="700"/>
      <c r="E1161" s="700"/>
      <c r="F1161" s="700"/>
      <c r="G1161" s="700"/>
      <c r="H1161" s="700"/>
      <c r="I1161" s="713"/>
      <c r="J1161" s="710"/>
      <c r="K1161" s="710"/>
      <c r="L1161" s="713"/>
      <c r="M1161" s="710"/>
      <c r="N1161" s="710"/>
      <c r="O1161" s="702"/>
      <c r="P1161" s="702"/>
      <c r="Q1161" s="710"/>
      <c r="R1161" s="708"/>
      <c r="S1161" s="702"/>
      <c r="T1161" s="702"/>
      <c r="U1161" s="702"/>
      <c r="V1161" s="702"/>
      <c r="W1161" s="702"/>
      <c r="X1161" s="702"/>
      <c r="Y1161" s="702"/>
      <c r="Z1161" s="702"/>
      <c r="AA1161" s="698"/>
      <c r="AB1161" s="702"/>
      <c r="AC1161" s="702"/>
      <c r="AD1161" s="473" t="s">
        <v>2925</v>
      </c>
      <c r="AE1161" s="474">
        <v>80</v>
      </c>
      <c r="AF1161" s="474">
        <v>89.25</v>
      </c>
      <c r="AG1161" s="702"/>
      <c r="AH1161" s="729"/>
      <c r="AI1161" s="698"/>
      <c r="AJ1161" s="700"/>
    </row>
    <row r="1162" spans="1:36" ht="24" customHeight="1">
      <c r="A1162" s="452">
        <v>163</v>
      </c>
      <c r="B1162" s="701">
        <v>938</v>
      </c>
      <c r="C1162" s="699" t="s">
        <v>337</v>
      </c>
      <c r="D1162" s="699"/>
      <c r="E1162" s="699" t="s">
        <v>545</v>
      </c>
      <c r="F1162" s="699"/>
      <c r="G1162" s="699" t="s">
        <v>47</v>
      </c>
      <c r="H1162" s="699" t="s">
        <v>2926</v>
      </c>
      <c r="I1162" s="712">
        <v>25300</v>
      </c>
      <c r="J1162" s="709" t="s">
        <v>537</v>
      </c>
      <c r="K1162" s="709" t="s">
        <v>537</v>
      </c>
      <c r="L1162" s="712">
        <v>25300</v>
      </c>
      <c r="M1162" s="709" t="s">
        <v>537</v>
      </c>
      <c r="N1162" s="709" t="s">
        <v>537</v>
      </c>
      <c r="O1162" s="701" t="s">
        <v>537</v>
      </c>
      <c r="P1162" s="701" t="s">
        <v>537</v>
      </c>
      <c r="Q1162" s="709">
        <v>0</v>
      </c>
      <c r="R1162" s="707">
        <v>241579</v>
      </c>
      <c r="S1162" s="701" t="s">
        <v>2927</v>
      </c>
      <c r="T1162" s="701">
        <v>2</v>
      </c>
      <c r="U1162" s="701">
        <v>3</v>
      </c>
      <c r="V1162" s="701">
        <v>45</v>
      </c>
      <c r="W1162" s="701">
        <v>2</v>
      </c>
      <c r="X1162" s="701">
        <v>2</v>
      </c>
      <c r="Y1162" s="701">
        <v>50</v>
      </c>
      <c r="Z1162" s="701">
        <v>92.3</v>
      </c>
      <c r="AA1162" s="458" t="s">
        <v>2928</v>
      </c>
      <c r="AB1162" s="459" t="s">
        <v>539</v>
      </c>
      <c r="AC1162" s="459" t="s">
        <v>539</v>
      </c>
      <c r="AD1162" s="458" t="s">
        <v>2929</v>
      </c>
      <c r="AE1162" s="459">
        <v>3</v>
      </c>
      <c r="AF1162" s="459">
        <v>3</v>
      </c>
      <c r="AG1162" s="701" t="s">
        <v>375</v>
      </c>
      <c r="AH1162" s="728"/>
      <c r="AI1162" s="697">
        <v>897894611</v>
      </c>
      <c r="AJ1162" s="699"/>
    </row>
    <row r="1163" spans="1:36" ht="24" hidden="1" customHeight="1">
      <c r="B1163" s="715"/>
      <c r="C1163" s="714"/>
      <c r="D1163" s="714"/>
      <c r="E1163" s="714"/>
      <c r="F1163" s="714"/>
      <c r="G1163" s="714"/>
      <c r="H1163" s="714"/>
      <c r="I1163" s="720"/>
      <c r="J1163" s="717"/>
      <c r="K1163" s="717"/>
      <c r="L1163" s="720"/>
      <c r="M1163" s="717"/>
      <c r="N1163" s="717"/>
      <c r="O1163" s="715"/>
      <c r="P1163" s="715"/>
      <c r="Q1163" s="717"/>
      <c r="R1163" s="719"/>
      <c r="S1163" s="715"/>
      <c r="T1163" s="715"/>
      <c r="U1163" s="715"/>
      <c r="V1163" s="715"/>
      <c r="W1163" s="715"/>
      <c r="X1163" s="715"/>
      <c r="Y1163" s="715"/>
      <c r="Z1163" s="715"/>
      <c r="AA1163" s="460" t="s">
        <v>2930</v>
      </c>
      <c r="AB1163" s="461" t="s">
        <v>539</v>
      </c>
      <c r="AC1163" s="461" t="s">
        <v>539</v>
      </c>
      <c r="AD1163" s="460" t="s">
        <v>2925</v>
      </c>
      <c r="AE1163" s="461">
        <v>80</v>
      </c>
      <c r="AF1163" s="461">
        <v>96.2</v>
      </c>
      <c r="AG1163" s="715"/>
      <c r="AH1163" s="730"/>
      <c r="AI1163" s="711"/>
      <c r="AJ1163" s="714"/>
    </row>
    <row r="1164" spans="1:36" ht="24" hidden="1" customHeight="1">
      <c r="B1164" s="702"/>
      <c r="C1164" s="700"/>
      <c r="D1164" s="700"/>
      <c r="E1164" s="700"/>
      <c r="F1164" s="700"/>
      <c r="G1164" s="700"/>
      <c r="H1164" s="700"/>
      <c r="I1164" s="713"/>
      <c r="J1164" s="710"/>
      <c r="K1164" s="710"/>
      <c r="L1164" s="713"/>
      <c r="M1164" s="710"/>
      <c r="N1164" s="710"/>
      <c r="O1164" s="702"/>
      <c r="P1164" s="702"/>
      <c r="Q1164" s="710"/>
      <c r="R1164" s="708"/>
      <c r="S1164" s="702"/>
      <c r="T1164" s="702"/>
      <c r="U1164" s="702"/>
      <c r="V1164" s="702"/>
      <c r="W1164" s="702"/>
      <c r="X1164" s="702"/>
      <c r="Y1164" s="702"/>
      <c r="Z1164" s="702"/>
      <c r="AA1164" s="473" t="s">
        <v>2921</v>
      </c>
      <c r="AB1164" s="474" t="s">
        <v>539</v>
      </c>
      <c r="AC1164" s="474" t="s">
        <v>539</v>
      </c>
      <c r="AD1164" s="462"/>
      <c r="AE1164" s="462"/>
      <c r="AF1164" s="462"/>
      <c r="AG1164" s="702"/>
      <c r="AH1164" s="729"/>
      <c r="AI1164" s="698"/>
      <c r="AJ1164" s="700"/>
    </row>
    <row r="1165" spans="1:36" ht="24" customHeight="1">
      <c r="A1165" s="452">
        <v>164</v>
      </c>
      <c r="B1165" s="701">
        <v>939</v>
      </c>
      <c r="C1165" s="699" t="s">
        <v>337</v>
      </c>
      <c r="D1165" s="699"/>
      <c r="E1165" s="699" t="s">
        <v>545</v>
      </c>
      <c r="F1165" s="699"/>
      <c r="G1165" s="699" t="s">
        <v>47</v>
      </c>
      <c r="H1165" s="699" t="s">
        <v>2931</v>
      </c>
      <c r="I1165" s="709">
        <v>0</v>
      </c>
      <c r="J1165" s="709" t="s">
        <v>537</v>
      </c>
      <c r="K1165" s="709" t="s">
        <v>537</v>
      </c>
      <c r="L1165" s="709">
        <v>0</v>
      </c>
      <c r="M1165" s="709" t="s">
        <v>537</v>
      </c>
      <c r="N1165" s="709" t="s">
        <v>537</v>
      </c>
      <c r="O1165" s="701" t="s">
        <v>537</v>
      </c>
      <c r="P1165" s="701" t="s">
        <v>537</v>
      </c>
      <c r="Q1165" s="709">
        <v>0</v>
      </c>
      <c r="R1165" s="707">
        <v>241609</v>
      </c>
      <c r="S1165" s="721">
        <v>22487</v>
      </c>
      <c r="T1165" s="701">
        <v>0</v>
      </c>
      <c r="U1165" s="701">
        <v>10</v>
      </c>
      <c r="V1165" s="701">
        <v>100</v>
      </c>
      <c r="W1165" s="701">
        <v>10</v>
      </c>
      <c r="X1165" s="701">
        <v>10</v>
      </c>
      <c r="Y1165" s="701">
        <v>100</v>
      </c>
      <c r="Z1165" s="701">
        <v>95.06</v>
      </c>
      <c r="AA1165" s="458" t="s">
        <v>2906</v>
      </c>
      <c r="AB1165" s="459" t="s">
        <v>539</v>
      </c>
      <c r="AC1165" s="459" t="s">
        <v>539</v>
      </c>
      <c r="AD1165" s="458" t="s">
        <v>2932</v>
      </c>
      <c r="AE1165" s="459" t="s">
        <v>539</v>
      </c>
      <c r="AF1165" s="459" t="s">
        <v>539</v>
      </c>
      <c r="AG1165" s="701" t="s">
        <v>375</v>
      </c>
      <c r="AH1165" s="728"/>
      <c r="AI1165" s="697">
        <v>894634204</v>
      </c>
      <c r="AJ1165" s="697" t="s">
        <v>537</v>
      </c>
    </row>
    <row r="1166" spans="1:36" ht="24" hidden="1" customHeight="1">
      <c r="B1166" s="715"/>
      <c r="C1166" s="714"/>
      <c r="D1166" s="714"/>
      <c r="E1166" s="714"/>
      <c r="F1166" s="714"/>
      <c r="G1166" s="714"/>
      <c r="H1166" s="714"/>
      <c r="I1166" s="717"/>
      <c r="J1166" s="717"/>
      <c r="K1166" s="717"/>
      <c r="L1166" s="717"/>
      <c r="M1166" s="717"/>
      <c r="N1166" s="717"/>
      <c r="O1166" s="715"/>
      <c r="P1166" s="715"/>
      <c r="Q1166" s="717"/>
      <c r="R1166" s="719"/>
      <c r="S1166" s="731"/>
      <c r="T1166" s="715"/>
      <c r="U1166" s="715"/>
      <c r="V1166" s="715"/>
      <c r="W1166" s="715"/>
      <c r="X1166" s="715"/>
      <c r="Y1166" s="715"/>
      <c r="Z1166" s="715"/>
      <c r="AA1166" s="460" t="s">
        <v>2933</v>
      </c>
      <c r="AB1166" s="461" t="s">
        <v>539</v>
      </c>
      <c r="AC1166" s="461" t="s">
        <v>539</v>
      </c>
      <c r="AD1166" s="460" t="s">
        <v>2925</v>
      </c>
      <c r="AE1166" s="461">
        <v>80</v>
      </c>
      <c r="AF1166" s="461">
        <v>90.5</v>
      </c>
      <c r="AG1166" s="715"/>
      <c r="AH1166" s="730"/>
      <c r="AI1166" s="711"/>
      <c r="AJ1166" s="711"/>
    </row>
    <row r="1167" spans="1:36" ht="24" hidden="1" customHeight="1">
      <c r="B1167" s="715"/>
      <c r="C1167" s="714"/>
      <c r="D1167" s="714"/>
      <c r="E1167" s="714"/>
      <c r="F1167" s="714"/>
      <c r="G1167" s="714"/>
      <c r="H1167" s="714"/>
      <c r="I1167" s="717"/>
      <c r="J1167" s="717"/>
      <c r="K1167" s="717"/>
      <c r="L1167" s="717"/>
      <c r="M1167" s="717"/>
      <c r="N1167" s="717"/>
      <c r="O1167" s="715"/>
      <c r="P1167" s="715"/>
      <c r="Q1167" s="717"/>
      <c r="R1167" s="719"/>
      <c r="S1167" s="731"/>
      <c r="T1167" s="715"/>
      <c r="U1167" s="715"/>
      <c r="V1167" s="715"/>
      <c r="W1167" s="715"/>
      <c r="X1167" s="715"/>
      <c r="Y1167" s="715"/>
      <c r="Z1167" s="715"/>
      <c r="AA1167" s="460" t="s">
        <v>2934</v>
      </c>
      <c r="AB1167" s="461" t="s">
        <v>539</v>
      </c>
      <c r="AC1167" s="461" t="s">
        <v>539</v>
      </c>
      <c r="AD1167" s="477"/>
      <c r="AE1167" s="477"/>
      <c r="AF1167" s="477"/>
      <c r="AG1167" s="715"/>
      <c r="AH1167" s="730"/>
      <c r="AI1167" s="711"/>
      <c r="AJ1167" s="711"/>
    </row>
    <row r="1168" spans="1:36" ht="24" hidden="1" customHeight="1">
      <c r="B1168" s="715"/>
      <c r="C1168" s="714"/>
      <c r="D1168" s="714"/>
      <c r="E1168" s="714"/>
      <c r="F1168" s="714"/>
      <c r="G1168" s="714"/>
      <c r="H1168" s="714"/>
      <c r="I1168" s="717"/>
      <c r="J1168" s="717"/>
      <c r="K1168" s="717"/>
      <c r="L1168" s="717"/>
      <c r="M1168" s="717"/>
      <c r="N1168" s="717"/>
      <c r="O1168" s="715"/>
      <c r="P1168" s="715"/>
      <c r="Q1168" s="717"/>
      <c r="R1168" s="719"/>
      <c r="S1168" s="731"/>
      <c r="T1168" s="715"/>
      <c r="U1168" s="715"/>
      <c r="V1168" s="715"/>
      <c r="W1168" s="715"/>
      <c r="X1168" s="715"/>
      <c r="Y1168" s="715"/>
      <c r="Z1168" s="715"/>
      <c r="AA1168" s="460" t="s">
        <v>2935</v>
      </c>
      <c r="AB1168" s="461" t="s">
        <v>539</v>
      </c>
      <c r="AC1168" s="461" t="s">
        <v>539</v>
      </c>
      <c r="AD1168" s="477"/>
      <c r="AE1168" s="477"/>
      <c r="AF1168" s="477"/>
      <c r="AG1168" s="715"/>
      <c r="AH1168" s="730"/>
      <c r="AI1168" s="711"/>
      <c r="AJ1168" s="711"/>
    </row>
    <row r="1169" spans="1:36" ht="24" hidden="1" customHeight="1">
      <c r="B1169" s="702"/>
      <c r="C1169" s="700"/>
      <c r="D1169" s="700"/>
      <c r="E1169" s="700"/>
      <c r="F1169" s="700"/>
      <c r="G1169" s="700"/>
      <c r="H1169" s="700"/>
      <c r="I1169" s="710"/>
      <c r="J1169" s="710"/>
      <c r="K1169" s="710"/>
      <c r="L1169" s="710"/>
      <c r="M1169" s="710"/>
      <c r="N1169" s="710"/>
      <c r="O1169" s="702"/>
      <c r="P1169" s="702"/>
      <c r="Q1169" s="710"/>
      <c r="R1169" s="708"/>
      <c r="S1169" s="722"/>
      <c r="T1169" s="702"/>
      <c r="U1169" s="702"/>
      <c r="V1169" s="702"/>
      <c r="W1169" s="702"/>
      <c r="X1169" s="702"/>
      <c r="Y1169" s="702"/>
      <c r="Z1169" s="702"/>
      <c r="AA1169" s="473" t="s">
        <v>2936</v>
      </c>
      <c r="AB1169" s="474" t="s">
        <v>539</v>
      </c>
      <c r="AC1169" s="474" t="s">
        <v>539</v>
      </c>
      <c r="AD1169" s="462"/>
      <c r="AE1169" s="462"/>
      <c r="AF1169" s="462"/>
      <c r="AG1169" s="702"/>
      <c r="AH1169" s="729"/>
      <c r="AI1169" s="698"/>
      <c r="AJ1169" s="698"/>
    </row>
    <row r="1170" spans="1:36" ht="24" customHeight="1">
      <c r="A1170" s="452">
        <v>165</v>
      </c>
      <c r="B1170" s="463">
        <v>940</v>
      </c>
      <c r="C1170" s="464" t="s">
        <v>337</v>
      </c>
      <c r="D1170" s="464"/>
      <c r="E1170" s="464" t="s">
        <v>545</v>
      </c>
      <c r="F1170" s="464"/>
      <c r="G1170" s="464" t="s">
        <v>47</v>
      </c>
      <c r="H1170" s="464" t="s">
        <v>2937</v>
      </c>
      <c r="I1170" s="465" t="s">
        <v>537</v>
      </c>
      <c r="J1170" s="465" t="s">
        <v>537</v>
      </c>
      <c r="K1170" s="466">
        <v>20000</v>
      </c>
      <c r="L1170" s="465" t="s">
        <v>537</v>
      </c>
      <c r="M1170" s="465" t="s">
        <v>537</v>
      </c>
      <c r="N1170" s="466">
        <v>19983.93</v>
      </c>
      <c r="O1170" s="463" t="s">
        <v>537</v>
      </c>
      <c r="P1170" s="463" t="s">
        <v>537</v>
      </c>
      <c r="Q1170" s="465">
        <v>16</v>
      </c>
      <c r="R1170" s="463" t="s">
        <v>643</v>
      </c>
      <c r="S1170" s="463" t="s">
        <v>2938</v>
      </c>
      <c r="T1170" s="463">
        <v>0</v>
      </c>
      <c r="U1170" s="463">
        <v>1</v>
      </c>
      <c r="V1170" s="463">
        <v>10</v>
      </c>
      <c r="W1170" s="463">
        <v>0</v>
      </c>
      <c r="X1170" s="463">
        <v>4</v>
      </c>
      <c r="Y1170" s="463">
        <v>10</v>
      </c>
      <c r="Z1170" s="463">
        <v>90.5</v>
      </c>
      <c r="AA1170" s="472" t="s">
        <v>2939</v>
      </c>
      <c r="AB1170" s="463" t="s">
        <v>539</v>
      </c>
      <c r="AC1170" s="463" t="s">
        <v>539</v>
      </c>
      <c r="AD1170" s="472" t="s">
        <v>2940</v>
      </c>
      <c r="AE1170" s="463" t="s">
        <v>539</v>
      </c>
      <c r="AF1170" s="463" t="s">
        <v>539</v>
      </c>
      <c r="AG1170" s="463" t="s">
        <v>375</v>
      </c>
      <c r="AH1170" s="476"/>
      <c r="AI1170" s="472">
        <v>894634204</v>
      </c>
      <c r="AJ1170" s="472" t="s">
        <v>543</v>
      </c>
    </row>
    <row r="1171" spans="1:36" ht="24" hidden="1" customHeight="1">
      <c r="B1171" s="463">
        <v>941</v>
      </c>
      <c r="C1171" s="464" t="s">
        <v>10</v>
      </c>
      <c r="D1171" s="464"/>
      <c r="E1171" s="464" t="s">
        <v>558</v>
      </c>
      <c r="F1171" s="464"/>
      <c r="G1171" s="464" t="s">
        <v>47</v>
      </c>
      <c r="H1171" s="464" t="s">
        <v>2941</v>
      </c>
      <c r="I1171" s="465" t="s">
        <v>537</v>
      </c>
      <c r="J1171" s="465" t="s">
        <v>537</v>
      </c>
      <c r="K1171" s="466">
        <v>50000</v>
      </c>
      <c r="L1171" s="465" t="s">
        <v>537</v>
      </c>
      <c r="M1171" s="465" t="s">
        <v>537</v>
      </c>
      <c r="N1171" s="466">
        <v>50000</v>
      </c>
      <c r="O1171" s="463" t="s">
        <v>537</v>
      </c>
      <c r="P1171" s="463" t="s">
        <v>537</v>
      </c>
      <c r="Q1171" s="465">
        <v>0</v>
      </c>
      <c r="R1171" s="470">
        <v>241459</v>
      </c>
      <c r="S1171" s="471">
        <v>22334</v>
      </c>
      <c r="T1171" s="463">
        <v>90</v>
      </c>
      <c r="U1171" s="463">
        <v>5</v>
      </c>
      <c r="V1171" s="463">
        <v>5</v>
      </c>
      <c r="W1171" s="463">
        <v>90</v>
      </c>
      <c r="X1171" s="463">
        <v>5</v>
      </c>
      <c r="Y1171" s="463">
        <v>8</v>
      </c>
      <c r="Z1171" s="463">
        <v>92</v>
      </c>
      <c r="AA1171" s="464"/>
      <c r="AB1171" s="464"/>
      <c r="AC1171" s="464"/>
      <c r="AD1171" s="472" t="s">
        <v>1075</v>
      </c>
      <c r="AE1171" s="463">
        <v>80</v>
      </c>
      <c r="AF1171" s="463">
        <v>90</v>
      </c>
      <c r="AG1171" s="463" t="s">
        <v>375</v>
      </c>
      <c r="AH1171" s="476"/>
      <c r="AI1171" s="472">
        <v>849974176</v>
      </c>
      <c r="AJ1171" s="472" t="s">
        <v>562</v>
      </c>
    </row>
    <row r="1172" spans="1:36" ht="24" hidden="1" customHeight="1">
      <c r="B1172" s="463">
        <v>942</v>
      </c>
      <c r="C1172" s="464" t="s">
        <v>534</v>
      </c>
      <c r="D1172" s="464" t="s">
        <v>544</v>
      </c>
      <c r="E1172" s="464" t="s">
        <v>535</v>
      </c>
      <c r="F1172" s="464"/>
      <c r="G1172" s="464" t="s">
        <v>285</v>
      </c>
      <c r="H1172" s="464" t="s">
        <v>2942</v>
      </c>
      <c r="I1172" s="466">
        <v>500000</v>
      </c>
      <c r="J1172" s="465" t="s">
        <v>537</v>
      </c>
      <c r="K1172" s="465" t="s">
        <v>537</v>
      </c>
      <c r="L1172" s="466">
        <v>361725</v>
      </c>
      <c r="M1172" s="465" t="s">
        <v>537</v>
      </c>
      <c r="N1172" s="465" t="s">
        <v>537</v>
      </c>
      <c r="O1172" s="463" t="s">
        <v>537</v>
      </c>
      <c r="P1172" s="463" t="s">
        <v>537</v>
      </c>
      <c r="Q1172" s="468">
        <v>138275</v>
      </c>
      <c r="R1172" s="470">
        <v>241609</v>
      </c>
      <c r="S1172" s="463" t="s">
        <v>850</v>
      </c>
      <c r="T1172" s="463">
        <v>0</v>
      </c>
      <c r="U1172" s="463">
        <v>114</v>
      </c>
      <c r="V1172" s="463">
        <v>6</v>
      </c>
      <c r="W1172" s="463">
        <v>0</v>
      </c>
      <c r="X1172" s="463">
        <v>114</v>
      </c>
      <c r="Y1172" s="463">
        <v>6</v>
      </c>
      <c r="Z1172" s="463">
        <v>87.2</v>
      </c>
      <c r="AA1172" s="472" t="s">
        <v>547</v>
      </c>
      <c r="AB1172" s="463" t="s">
        <v>539</v>
      </c>
      <c r="AC1172" s="463" t="s">
        <v>539</v>
      </c>
      <c r="AD1172" s="472" t="s">
        <v>548</v>
      </c>
      <c r="AE1172" s="463" t="s">
        <v>620</v>
      </c>
      <c r="AF1172" s="463">
        <v>80</v>
      </c>
      <c r="AG1172" s="463" t="s">
        <v>376</v>
      </c>
      <c r="AH1172" s="476"/>
      <c r="AI1172" s="472" t="s">
        <v>2943</v>
      </c>
      <c r="AJ1172" s="464"/>
    </row>
    <row r="1173" spans="1:36" ht="24" hidden="1" customHeight="1">
      <c r="B1173" s="701">
        <v>943</v>
      </c>
      <c r="C1173" s="699" t="s">
        <v>534</v>
      </c>
      <c r="D1173" s="699" t="s">
        <v>544</v>
      </c>
      <c r="E1173" s="699" t="s">
        <v>535</v>
      </c>
      <c r="F1173" s="699"/>
      <c r="G1173" s="699" t="s">
        <v>285</v>
      </c>
      <c r="H1173" s="699" t="s">
        <v>2944</v>
      </c>
      <c r="I1173" s="712">
        <v>50000</v>
      </c>
      <c r="J1173" s="709" t="s">
        <v>537</v>
      </c>
      <c r="K1173" s="709" t="s">
        <v>537</v>
      </c>
      <c r="L1173" s="712">
        <v>50000</v>
      </c>
      <c r="M1173" s="709" t="s">
        <v>537</v>
      </c>
      <c r="N1173" s="709" t="s">
        <v>537</v>
      </c>
      <c r="O1173" s="701" t="s">
        <v>537</v>
      </c>
      <c r="P1173" s="701" t="s">
        <v>537</v>
      </c>
      <c r="Q1173" s="709">
        <v>0</v>
      </c>
      <c r="R1173" s="701" t="s">
        <v>2945</v>
      </c>
      <c r="S1173" s="701" t="s">
        <v>2946</v>
      </c>
      <c r="T1173" s="701">
        <v>0</v>
      </c>
      <c r="U1173" s="701">
        <v>0</v>
      </c>
      <c r="V1173" s="701">
        <v>0</v>
      </c>
      <c r="W1173" s="701">
        <v>0</v>
      </c>
      <c r="X1173" s="701">
        <v>85</v>
      </c>
      <c r="Y1173" s="701">
        <v>15</v>
      </c>
      <c r="Z1173" s="701">
        <v>90</v>
      </c>
      <c r="AA1173" s="458" t="s">
        <v>547</v>
      </c>
      <c r="AB1173" s="459" t="s">
        <v>539</v>
      </c>
      <c r="AC1173" s="459" t="s">
        <v>539</v>
      </c>
      <c r="AD1173" s="458" t="s">
        <v>548</v>
      </c>
      <c r="AE1173" s="459" t="s">
        <v>620</v>
      </c>
      <c r="AF1173" s="459">
        <v>90</v>
      </c>
      <c r="AG1173" s="701" t="s">
        <v>376</v>
      </c>
      <c r="AH1173" s="728"/>
      <c r="AI1173" s="697" t="s">
        <v>2943</v>
      </c>
      <c r="AJ1173" s="699"/>
    </row>
    <row r="1174" spans="1:36" ht="24" hidden="1" customHeight="1">
      <c r="B1174" s="702"/>
      <c r="C1174" s="700"/>
      <c r="D1174" s="700"/>
      <c r="E1174" s="700"/>
      <c r="F1174" s="700"/>
      <c r="G1174" s="700"/>
      <c r="H1174" s="700"/>
      <c r="I1174" s="713"/>
      <c r="J1174" s="710"/>
      <c r="K1174" s="710"/>
      <c r="L1174" s="713"/>
      <c r="M1174" s="710"/>
      <c r="N1174" s="710"/>
      <c r="O1174" s="702"/>
      <c r="P1174" s="702"/>
      <c r="Q1174" s="710"/>
      <c r="R1174" s="702"/>
      <c r="S1174" s="702"/>
      <c r="T1174" s="702"/>
      <c r="U1174" s="702"/>
      <c r="V1174" s="702"/>
      <c r="W1174" s="702"/>
      <c r="X1174" s="702"/>
      <c r="Y1174" s="702"/>
      <c r="Z1174" s="702"/>
      <c r="AA1174" s="473" t="s">
        <v>2947</v>
      </c>
      <c r="AB1174" s="474" t="s">
        <v>539</v>
      </c>
      <c r="AC1174" s="474" t="s">
        <v>539</v>
      </c>
      <c r="AD1174" s="473" t="s">
        <v>2948</v>
      </c>
      <c r="AE1174" s="474" t="s">
        <v>2949</v>
      </c>
      <c r="AF1174" s="474">
        <v>1</v>
      </c>
      <c r="AG1174" s="702"/>
      <c r="AH1174" s="729"/>
      <c r="AI1174" s="698"/>
      <c r="AJ1174" s="700"/>
    </row>
    <row r="1175" spans="1:36" ht="24" hidden="1" customHeight="1">
      <c r="B1175" s="463">
        <v>944</v>
      </c>
      <c r="C1175" s="464" t="s">
        <v>165</v>
      </c>
      <c r="D1175" s="464"/>
      <c r="E1175" s="464" t="s">
        <v>535</v>
      </c>
      <c r="F1175" s="464"/>
      <c r="G1175" s="464" t="s">
        <v>285</v>
      </c>
      <c r="H1175" s="464" t="s">
        <v>2942</v>
      </c>
      <c r="I1175" s="465" t="s">
        <v>537</v>
      </c>
      <c r="J1175" s="465" t="s">
        <v>537</v>
      </c>
      <c r="K1175" s="466">
        <v>200000</v>
      </c>
      <c r="L1175" s="465" t="s">
        <v>537</v>
      </c>
      <c r="M1175" s="465" t="s">
        <v>537</v>
      </c>
      <c r="N1175" s="466">
        <v>120000</v>
      </c>
      <c r="O1175" s="463" t="s">
        <v>537</v>
      </c>
      <c r="P1175" s="463" t="s">
        <v>537</v>
      </c>
      <c r="Q1175" s="468">
        <v>80000</v>
      </c>
      <c r="R1175" s="470">
        <v>241609</v>
      </c>
      <c r="S1175" s="463" t="s">
        <v>850</v>
      </c>
      <c r="T1175" s="463">
        <v>0</v>
      </c>
      <c r="U1175" s="463">
        <v>114</v>
      </c>
      <c r="V1175" s="463">
        <v>6</v>
      </c>
      <c r="W1175" s="463">
        <v>0</v>
      </c>
      <c r="X1175" s="463">
        <v>114</v>
      </c>
      <c r="Y1175" s="463">
        <v>6</v>
      </c>
      <c r="Z1175" s="463">
        <v>87.2</v>
      </c>
      <c r="AA1175" s="472" t="s">
        <v>630</v>
      </c>
      <c r="AB1175" s="463" t="s">
        <v>539</v>
      </c>
      <c r="AC1175" s="463" t="s">
        <v>539</v>
      </c>
      <c r="AD1175" s="472" t="s">
        <v>548</v>
      </c>
      <c r="AE1175" s="463">
        <v>80</v>
      </c>
      <c r="AF1175" s="463">
        <v>80</v>
      </c>
      <c r="AG1175" s="463" t="s">
        <v>375</v>
      </c>
      <c r="AH1175" s="476"/>
      <c r="AI1175" s="472" t="s">
        <v>2943</v>
      </c>
      <c r="AJ1175" s="472" t="s">
        <v>543</v>
      </c>
    </row>
    <row r="1176" spans="1:36" ht="24" hidden="1" customHeight="1">
      <c r="B1176" s="463">
        <v>945</v>
      </c>
      <c r="C1176" s="464" t="s">
        <v>377</v>
      </c>
      <c r="D1176" s="464"/>
      <c r="E1176" s="464" t="s">
        <v>602</v>
      </c>
      <c r="F1176" s="464"/>
      <c r="G1176" s="464" t="s">
        <v>275</v>
      </c>
      <c r="H1176" s="464" t="s">
        <v>2950</v>
      </c>
      <c r="I1176" s="466">
        <v>40000</v>
      </c>
      <c r="J1176" s="465" t="s">
        <v>537</v>
      </c>
      <c r="K1176" s="465" t="s">
        <v>537</v>
      </c>
      <c r="L1176" s="466">
        <v>40000</v>
      </c>
      <c r="M1176" s="465" t="s">
        <v>537</v>
      </c>
      <c r="N1176" s="465" t="s">
        <v>537</v>
      </c>
      <c r="O1176" s="463" t="s">
        <v>537</v>
      </c>
      <c r="P1176" s="463" t="s">
        <v>537</v>
      </c>
      <c r="Q1176" s="465">
        <v>0</v>
      </c>
      <c r="R1176" s="470">
        <v>241487</v>
      </c>
      <c r="S1176" s="471">
        <v>22355</v>
      </c>
      <c r="T1176" s="463">
        <v>25</v>
      </c>
      <c r="U1176" s="463">
        <v>5</v>
      </c>
      <c r="V1176" s="463">
        <v>1</v>
      </c>
      <c r="W1176" s="463">
        <v>34</v>
      </c>
      <c r="X1176" s="463">
        <v>16</v>
      </c>
      <c r="Y1176" s="463">
        <v>7</v>
      </c>
      <c r="Z1176" s="463">
        <v>93.45</v>
      </c>
      <c r="AA1176" s="472" t="s">
        <v>612</v>
      </c>
      <c r="AB1176" s="463" t="s">
        <v>539</v>
      </c>
      <c r="AC1176" s="463" t="s">
        <v>539</v>
      </c>
      <c r="AD1176" s="472" t="s">
        <v>565</v>
      </c>
      <c r="AE1176" s="463">
        <v>80</v>
      </c>
      <c r="AF1176" s="463">
        <v>93.45</v>
      </c>
      <c r="AG1176" s="463" t="s">
        <v>375</v>
      </c>
      <c r="AH1176" s="476"/>
      <c r="AI1176" s="472">
        <v>75489614</v>
      </c>
      <c r="AJ1176" s="464"/>
    </row>
    <row r="1177" spans="1:36" ht="24" hidden="1" customHeight="1">
      <c r="B1177" s="463">
        <v>946</v>
      </c>
      <c r="C1177" s="464" t="s">
        <v>534</v>
      </c>
      <c r="D1177" s="464"/>
      <c r="E1177" s="464" t="s">
        <v>535</v>
      </c>
      <c r="F1177" s="464"/>
      <c r="G1177" s="464" t="s">
        <v>275</v>
      </c>
      <c r="H1177" s="464" t="s">
        <v>667</v>
      </c>
      <c r="I1177" s="465" t="s">
        <v>537</v>
      </c>
      <c r="J1177" s="466">
        <v>3200</v>
      </c>
      <c r="K1177" s="465" t="s">
        <v>537</v>
      </c>
      <c r="L1177" s="465" t="s">
        <v>537</v>
      </c>
      <c r="M1177" s="466">
        <v>3200</v>
      </c>
      <c r="N1177" s="465" t="s">
        <v>537</v>
      </c>
      <c r="O1177" s="463" t="s">
        <v>537</v>
      </c>
      <c r="P1177" s="463" t="s">
        <v>537</v>
      </c>
      <c r="Q1177" s="465">
        <v>0</v>
      </c>
      <c r="R1177" s="470">
        <v>241579</v>
      </c>
      <c r="S1177" s="471">
        <v>22451</v>
      </c>
      <c r="T1177" s="463">
        <v>48</v>
      </c>
      <c r="U1177" s="463">
        <v>5</v>
      </c>
      <c r="V1177" s="463">
        <v>0</v>
      </c>
      <c r="W1177" s="463">
        <v>48</v>
      </c>
      <c r="X1177" s="463">
        <v>19</v>
      </c>
      <c r="Y1177" s="463">
        <v>23</v>
      </c>
      <c r="Z1177" s="463">
        <v>96.44</v>
      </c>
      <c r="AA1177" s="472" t="s">
        <v>547</v>
      </c>
      <c r="AB1177" s="463" t="s">
        <v>539</v>
      </c>
      <c r="AC1177" s="463" t="s">
        <v>539</v>
      </c>
      <c r="AD1177" s="472" t="s">
        <v>548</v>
      </c>
      <c r="AE1177" s="463">
        <v>80</v>
      </c>
      <c r="AF1177" s="463">
        <v>94.22</v>
      </c>
      <c r="AG1177" s="463" t="s">
        <v>375</v>
      </c>
      <c r="AH1177" s="476"/>
      <c r="AI1177" s="472" t="s">
        <v>2951</v>
      </c>
      <c r="AJ1177" s="464"/>
    </row>
    <row r="1178" spans="1:36" ht="24" hidden="1" customHeight="1">
      <c r="B1178" s="463">
        <v>947</v>
      </c>
      <c r="C1178" s="464" t="s">
        <v>534</v>
      </c>
      <c r="D1178" s="464"/>
      <c r="E1178" s="464" t="s">
        <v>535</v>
      </c>
      <c r="F1178" s="464"/>
      <c r="G1178" s="464" t="s">
        <v>275</v>
      </c>
      <c r="H1178" s="464" t="s">
        <v>668</v>
      </c>
      <c r="I1178" s="465" t="s">
        <v>537</v>
      </c>
      <c r="J1178" s="466">
        <v>3200</v>
      </c>
      <c r="K1178" s="465" t="s">
        <v>537</v>
      </c>
      <c r="L1178" s="465" t="s">
        <v>537</v>
      </c>
      <c r="M1178" s="466">
        <v>3200</v>
      </c>
      <c r="N1178" s="465" t="s">
        <v>537</v>
      </c>
      <c r="O1178" s="463" t="s">
        <v>537</v>
      </c>
      <c r="P1178" s="463" t="s">
        <v>537</v>
      </c>
      <c r="Q1178" s="465">
        <v>0</v>
      </c>
      <c r="R1178" s="470">
        <v>241487</v>
      </c>
      <c r="S1178" s="471">
        <v>22355</v>
      </c>
      <c r="T1178" s="463">
        <v>25</v>
      </c>
      <c r="U1178" s="463">
        <v>5</v>
      </c>
      <c r="V1178" s="463">
        <v>0</v>
      </c>
      <c r="W1178" s="463">
        <v>34</v>
      </c>
      <c r="X1178" s="463">
        <v>21</v>
      </c>
      <c r="Y1178" s="463">
        <v>0</v>
      </c>
      <c r="Z1178" s="463">
        <v>93</v>
      </c>
      <c r="AA1178" s="472" t="s">
        <v>547</v>
      </c>
      <c r="AB1178" s="463" t="s">
        <v>539</v>
      </c>
      <c r="AC1178" s="463" t="s">
        <v>539</v>
      </c>
      <c r="AD1178" s="472" t="s">
        <v>548</v>
      </c>
      <c r="AE1178" s="463">
        <v>80</v>
      </c>
      <c r="AF1178" s="463">
        <v>95.5</v>
      </c>
      <c r="AG1178" s="463" t="s">
        <v>375</v>
      </c>
      <c r="AH1178" s="476"/>
      <c r="AI1178" s="472" t="s">
        <v>2951</v>
      </c>
      <c r="AJ1178" s="464"/>
    </row>
    <row r="1179" spans="1:36" ht="24" hidden="1" customHeight="1">
      <c r="B1179" s="463">
        <v>948</v>
      </c>
      <c r="C1179" s="464" t="s">
        <v>534</v>
      </c>
      <c r="D1179" s="464"/>
      <c r="E1179" s="464" t="s">
        <v>535</v>
      </c>
      <c r="F1179" s="464"/>
      <c r="G1179" s="464" t="s">
        <v>275</v>
      </c>
      <c r="H1179" s="464" t="s">
        <v>669</v>
      </c>
      <c r="I1179" s="465" t="s">
        <v>537</v>
      </c>
      <c r="J1179" s="466">
        <v>50000</v>
      </c>
      <c r="K1179" s="465" t="s">
        <v>537</v>
      </c>
      <c r="L1179" s="465" t="s">
        <v>537</v>
      </c>
      <c r="M1179" s="466">
        <v>50000</v>
      </c>
      <c r="N1179" s="465" t="s">
        <v>537</v>
      </c>
      <c r="O1179" s="463" t="s">
        <v>537</v>
      </c>
      <c r="P1179" s="463" t="s">
        <v>537</v>
      </c>
      <c r="Q1179" s="465">
        <v>0</v>
      </c>
      <c r="R1179" s="470">
        <v>241640</v>
      </c>
      <c r="S1179" s="463" t="s">
        <v>2952</v>
      </c>
      <c r="T1179" s="463">
        <v>60</v>
      </c>
      <c r="U1179" s="463">
        <v>5</v>
      </c>
      <c r="V1179" s="463">
        <v>0</v>
      </c>
      <c r="W1179" s="463">
        <v>50</v>
      </c>
      <c r="X1179" s="463">
        <v>0</v>
      </c>
      <c r="Y1179" s="463">
        <v>0</v>
      </c>
      <c r="Z1179" s="463">
        <v>97.2</v>
      </c>
      <c r="AA1179" s="472" t="s">
        <v>728</v>
      </c>
      <c r="AB1179" s="463">
        <v>1</v>
      </c>
      <c r="AC1179" s="463">
        <v>1</v>
      </c>
      <c r="AD1179" s="472" t="s">
        <v>651</v>
      </c>
      <c r="AE1179" s="463">
        <v>1</v>
      </c>
      <c r="AF1179" s="463">
        <v>1</v>
      </c>
      <c r="AG1179" s="463" t="s">
        <v>375</v>
      </c>
      <c r="AH1179" s="476"/>
      <c r="AI1179" s="472" t="s">
        <v>2953</v>
      </c>
      <c r="AJ1179" s="464"/>
    </row>
    <row r="1180" spans="1:36" ht="24" hidden="1" customHeight="1">
      <c r="B1180" s="463">
        <v>949</v>
      </c>
      <c r="C1180" s="464" t="s">
        <v>534</v>
      </c>
      <c r="D1180" s="464"/>
      <c r="E1180" s="464" t="s">
        <v>535</v>
      </c>
      <c r="F1180" s="464"/>
      <c r="G1180" s="464" t="s">
        <v>275</v>
      </c>
      <c r="H1180" s="464" t="s">
        <v>2954</v>
      </c>
      <c r="I1180" s="465" t="s">
        <v>537</v>
      </c>
      <c r="J1180" s="465" t="s">
        <v>537</v>
      </c>
      <c r="K1180" s="466">
        <v>200000</v>
      </c>
      <c r="L1180" s="465" t="s">
        <v>537</v>
      </c>
      <c r="M1180" s="465" t="s">
        <v>537</v>
      </c>
      <c r="N1180" s="466">
        <v>199765.99</v>
      </c>
      <c r="O1180" s="463" t="s">
        <v>537</v>
      </c>
      <c r="P1180" s="463" t="s">
        <v>537</v>
      </c>
      <c r="Q1180" s="465">
        <v>234</v>
      </c>
      <c r="R1180" s="470">
        <v>241428</v>
      </c>
      <c r="S1180" s="463" t="s">
        <v>623</v>
      </c>
      <c r="T1180" s="463">
        <v>20</v>
      </c>
      <c r="U1180" s="463">
        <v>130</v>
      </c>
      <c r="V1180" s="463">
        <v>100</v>
      </c>
      <c r="W1180" s="463">
        <v>30</v>
      </c>
      <c r="X1180" s="463">
        <v>130</v>
      </c>
      <c r="Y1180" s="463">
        <v>124</v>
      </c>
      <c r="Z1180" s="463">
        <v>95</v>
      </c>
      <c r="AA1180" s="472" t="s">
        <v>624</v>
      </c>
      <c r="AB1180" s="463" t="s">
        <v>539</v>
      </c>
      <c r="AC1180" s="463" t="s">
        <v>539</v>
      </c>
      <c r="AD1180" s="472" t="s">
        <v>571</v>
      </c>
      <c r="AE1180" s="463">
        <v>80</v>
      </c>
      <c r="AF1180" s="463">
        <v>95</v>
      </c>
      <c r="AG1180" s="463" t="s">
        <v>375</v>
      </c>
      <c r="AH1180" s="476"/>
      <c r="AI1180" s="472" t="s">
        <v>2953</v>
      </c>
      <c r="AJ1180" s="472" t="s">
        <v>543</v>
      </c>
    </row>
    <row r="1181" spans="1:36" ht="24" hidden="1" customHeight="1">
      <c r="B1181" s="463">
        <v>950</v>
      </c>
      <c r="C1181" s="464" t="s">
        <v>534</v>
      </c>
      <c r="D1181" s="464"/>
      <c r="E1181" s="464" t="s">
        <v>535</v>
      </c>
      <c r="F1181" s="464"/>
      <c r="G1181" s="464" t="s">
        <v>275</v>
      </c>
      <c r="H1181" s="464" t="s">
        <v>2955</v>
      </c>
      <c r="I1181" s="465" t="s">
        <v>537</v>
      </c>
      <c r="J1181" s="465" t="s">
        <v>537</v>
      </c>
      <c r="K1181" s="466">
        <v>34000</v>
      </c>
      <c r="L1181" s="465" t="s">
        <v>537</v>
      </c>
      <c r="M1181" s="465" t="s">
        <v>537</v>
      </c>
      <c r="N1181" s="466">
        <v>28840</v>
      </c>
      <c r="O1181" s="463" t="s">
        <v>537</v>
      </c>
      <c r="P1181" s="463" t="s">
        <v>537</v>
      </c>
      <c r="Q1181" s="468">
        <v>5160</v>
      </c>
      <c r="R1181" s="470">
        <v>241428</v>
      </c>
      <c r="S1181" s="463" t="s">
        <v>870</v>
      </c>
      <c r="T1181" s="463">
        <v>0</v>
      </c>
      <c r="U1181" s="463">
        <v>40</v>
      </c>
      <c r="V1181" s="463">
        <v>0</v>
      </c>
      <c r="W1181" s="464"/>
      <c r="X1181" s="464"/>
      <c r="Y1181" s="464"/>
      <c r="Z1181" s="464"/>
      <c r="AA1181" s="472" t="s">
        <v>624</v>
      </c>
      <c r="AB1181" s="463" t="s">
        <v>539</v>
      </c>
      <c r="AC1181" s="463" t="s">
        <v>539</v>
      </c>
      <c r="AD1181" s="472" t="s">
        <v>2956</v>
      </c>
      <c r="AE1181" s="463">
        <v>1</v>
      </c>
      <c r="AF1181" s="463">
        <v>1</v>
      </c>
      <c r="AG1181" s="463" t="s">
        <v>375</v>
      </c>
      <c r="AH1181" s="476"/>
      <c r="AI1181" s="472" t="s">
        <v>2953</v>
      </c>
      <c r="AJ1181" s="472" t="s">
        <v>543</v>
      </c>
    </row>
    <row r="1182" spans="1:36" ht="24" hidden="1" customHeight="1">
      <c r="B1182" s="463">
        <v>951</v>
      </c>
      <c r="C1182" s="464" t="s">
        <v>534</v>
      </c>
      <c r="D1182" s="464"/>
      <c r="E1182" s="464" t="s">
        <v>535</v>
      </c>
      <c r="F1182" s="464"/>
      <c r="G1182" s="464" t="s">
        <v>275</v>
      </c>
      <c r="H1182" s="464" t="s">
        <v>2957</v>
      </c>
      <c r="I1182" s="466">
        <v>50000</v>
      </c>
      <c r="J1182" s="465" t="s">
        <v>537</v>
      </c>
      <c r="K1182" s="465" t="s">
        <v>537</v>
      </c>
      <c r="L1182" s="466">
        <v>49960.92</v>
      </c>
      <c r="M1182" s="465" t="s">
        <v>537</v>
      </c>
      <c r="N1182" s="465" t="s">
        <v>537</v>
      </c>
      <c r="O1182" s="463" t="s">
        <v>537</v>
      </c>
      <c r="P1182" s="463" t="s">
        <v>537</v>
      </c>
      <c r="Q1182" s="465">
        <v>39</v>
      </c>
      <c r="R1182" s="463" t="s">
        <v>646</v>
      </c>
      <c r="S1182" s="471">
        <v>22272</v>
      </c>
      <c r="T1182" s="463">
        <v>0</v>
      </c>
      <c r="U1182" s="463">
        <v>60</v>
      </c>
      <c r="V1182" s="463">
        <v>10</v>
      </c>
      <c r="W1182" s="463">
        <v>0</v>
      </c>
      <c r="X1182" s="463">
        <v>60</v>
      </c>
      <c r="Y1182" s="463">
        <v>10</v>
      </c>
      <c r="Z1182" s="463">
        <v>90</v>
      </c>
      <c r="AA1182" s="472" t="s">
        <v>547</v>
      </c>
      <c r="AB1182" s="463" t="s">
        <v>539</v>
      </c>
      <c r="AC1182" s="463" t="s">
        <v>539</v>
      </c>
      <c r="AD1182" s="472" t="s">
        <v>699</v>
      </c>
      <c r="AE1182" s="463">
        <v>1</v>
      </c>
      <c r="AF1182" s="463">
        <v>1</v>
      </c>
      <c r="AG1182" s="463" t="s">
        <v>375</v>
      </c>
      <c r="AH1182" s="476"/>
      <c r="AI1182" s="472" t="s">
        <v>2958</v>
      </c>
      <c r="AJ1182" s="464"/>
    </row>
    <row r="1183" spans="1:36" ht="24" hidden="1" customHeight="1">
      <c r="B1183" s="463">
        <v>952</v>
      </c>
      <c r="C1183" s="464" t="s">
        <v>534</v>
      </c>
      <c r="D1183" s="464"/>
      <c r="E1183" s="464" t="s">
        <v>535</v>
      </c>
      <c r="F1183" s="464"/>
      <c r="G1183" s="464" t="s">
        <v>275</v>
      </c>
      <c r="H1183" s="464" t="s">
        <v>2959</v>
      </c>
      <c r="I1183" s="466">
        <v>50000</v>
      </c>
      <c r="J1183" s="465" t="s">
        <v>537</v>
      </c>
      <c r="K1183" s="465" t="s">
        <v>537</v>
      </c>
      <c r="L1183" s="466">
        <v>49670</v>
      </c>
      <c r="M1183" s="465" t="s">
        <v>537</v>
      </c>
      <c r="N1183" s="465" t="s">
        <v>537</v>
      </c>
      <c r="O1183" s="463" t="s">
        <v>537</v>
      </c>
      <c r="P1183" s="463" t="s">
        <v>537</v>
      </c>
      <c r="Q1183" s="465">
        <v>330</v>
      </c>
      <c r="R1183" s="470">
        <v>241459</v>
      </c>
      <c r="S1183" s="463" t="s">
        <v>2960</v>
      </c>
      <c r="T1183" s="463">
        <v>0</v>
      </c>
      <c r="U1183" s="463">
        <v>60</v>
      </c>
      <c r="V1183" s="463">
        <v>10</v>
      </c>
      <c r="W1183" s="463">
        <v>14</v>
      </c>
      <c r="X1183" s="463">
        <v>40</v>
      </c>
      <c r="Y1183" s="463">
        <v>10</v>
      </c>
      <c r="Z1183" s="463">
        <v>83.93</v>
      </c>
      <c r="AA1183" s="472" t="s">
        <v>547</v>
      </c>
      <c r="AB1183" s="463" t="s">
        <v>539</v>
      </c>
      <c r="AC1183" s="463" t="s">
        <v>539</v>
      </c>
      <c r="AD1183" s="472" t="s">
        <v>699</v>
      </c>
      <c r="AE1183" s="463">
        <v>1</v>
      </c>
      <c r="AF1183" s="463">
        <v>1</v>
      </c>
      <c r="AG1183" s="463" t="s">
        <v>375</v>
      </c>
      <c r="AH1183" s="476"/>
      <c r="AI1183" s="472">
        <v>75489614</v>
      </c>
      <c r="AJ1183" s="464"/>
    </row>
    <row r="1184" spans="1:36" ht="24" hidden="1" customHeight="1">
      <c r="B1184" s="463">
        <v>953</v>
      </c>
      <c r="C1184" s="464" t="s">
        <v>534</v>
      </c>
      <c r="D1184" s="464"/>
      <c r="E1184" s="464" t="s">
        <v>535</v>
      </c>
      <c r="F1184" s="464"/>
      <c r="G1184" s="464" t="s">
        <v>275</v>
      </c>
      <c r="H1184" s="464" t="s">
        <v>2961</v>
      </c>
      <c r="I1184" s="466">
        <v>50000</v>
      </c>
      <c r="J1184" s="465" t="s">
        <v>537</v>
      </c>
      <c r="K1184" s="465" t="s">
        <v>537</v>
      </c>
      <c r="L1184" s="466">
        <v>50000</v>
      </c>
      <c r="M1184" s="465" t="s">
        <v>537</v>
      </c>
      <c r="N1184" s="465" t="s">
        <v>537</v>
      </c>
      <c r="O1184" s="463" t="s">
        <v>537</v>
      </c>
      <c r="P1184" s="463" t="s">
        <v>537</v>
      </c>
      <c r="Q1184" s="465">
        <v>0</v>
      </c>
      <c r="R1184" s="463" t="s">
        <v>646</v>
      </c>
      <c r="S1184" s="463" t="s">
        <v>2962</v>
      </c>
      <c r="T1184" s="463">
        <v>0</v>
      </c>
      <c r="U1184" s="463">
        <v>40</v>
      </c>
      <c r="V1184" s="463">
        <v>0</v>
      </c>
      <c r="W1184" s="463">
        <v>0</v>
      </c>
      <c r="X1184" s="463">
        <v>40</v>
      </c>
      <c r="Y1184" s="463">
        <v>0</v>
      </c>
      <c r="Z1184" s="463">
        <v>50000</v>
      </c>
      <c r="AA1184" s="472" t="s">
        <v>2963</v>
      </c>
      <c r="AB1184" s="463">
        <v>80</v>
      </c>
      <c r="AC1184" s="463">
        <v>90</v>
      </c>
      <c r="AD1184" s="472" t="s">
        <v>571</v>
      </c>
      <c r="AE1184" s="463">
        <v>80</v>
      </c>
      <c r="AF1184" s="463">
        <v>89.4</v>
      </c>
      <c r="AG1184" s="463" t="s">
        <v>375</v>
      </c>
      <c r="AH1184" s="476"/>
      <c r="AI1184" s="472" t="s">
        <v>2964</v>
      </c>
      <c r="AJ1184" s="464"/>
    </row>
    <row r="1185" spans="2:36" ht="24" hidden="1" customHeight="1">
      <c r="B1185" s="463">
        <v>954</v>
      </c>
      <c r="C1185" s="464" t="s">
        <v>534</v>
      </c>
      <c r="D1185" s="464"/>
      <c r="E1185" s="464" t="s">
        <v>535</v>
      </c>
      <c r="F1185" s="464"/>
      <c r="G1185" s="464" t="s">
        <v>275</v>
      </c>
      <c r="H1185" s="464" t="s">
        <v>636</v>
      </c>
      <c r="I1185" s="466">
        <v>200000</v>
      </c>
      <c r="J1185" s="465" t="s">
        <v>537</v>
      </c>
      <c r="K1185" s="465" t="s">
        <v>537</v>
      </c>
      <c r="L1185" s="466">
        <v>195120</v>
      </c>
      <c r="M1185" s="465" t="s">
        <v>537</v>
      </c>
      <c r="N1185" s="465" t="s">
        <v>537</v>
      </c>
      <c r="O1185" s="463" t="s">
        <v>537</v>
      </c>
      <c r="P1185" s="463" t="s">
        <v>537</v>
      </c>
      <c r="Q1185" s="468">
        <v>4880</v>
      </c>
      <c r="R1185" s="470">
        <v>241640</v>
      </c>
      <c r="S1185" s="463" t="s">
        <v>2965</v>
      </c>
      <c r="T1185" s="463">
        <v>100</v>
      </c>
      <c r="U1185" s="463">
        <v>10</v>
      </c>
      <c r="V1185" s="463">
        <v>0</v>
      </c>
      <c r="W1185" s="463">
        <v>150</v>
      </c>
      <c r="X1185" s="463">
        <v>7</v>
      </c>
      <c r="Y1185" s="463">
        <v>0</v>
      </c>
      <c r="Z1185" s="463">
        <v>91.6</v>
      </c>
      <c r="AA1185" s="472" t="s">
        <v>1369</v>
      </c>
      <c r="AB1185" s="463" t="s">
        <v>539</v>
      </c>
      <c r="AC1185" s="463" t="s">
        <v>539</v>
      </c>
      <c r="AD1185" s="472" t="s">
        <v>728</v>
      </c>
      <c r="AE1185" s="463">
        <v>1</v>
      </c>
      <c r="AF1185" s="463">
        <v>1</v>
      </c>
      <c r="AG1185" s="463" t="s">
        <v>375</v>
      </c>
      <c r="AH1185" s="476"/>
      <c r="AI1185" s="472" t="s">
        <v>2953</v>
      </c>
      <c r="AJ1185" s="464"/>
    </row>
    <row r="1186" spans="2:36" ht="24" hidden="1" customHeight="1">
      <c r="B1186" s="463">
        <v>955</v>
      </c>
      <c r="C1186" s="464" t="s">
        <v>534</v>
      </c>
      <c r="D1186" s="464"/>
      <c r="E1186" s="464" t="s">
        <v>535</v>
      </c>
      <c r="F1186" s="464"/>
      <c r="G1186" s="464" t="s">
        <v>275</v>
      </c>
      <c r="H1186" s="464" t="s">
        <v>2966</v>
      </c>
      <c r="I1186" s="466">
        <v>100000</v>
      </c>
      <c r="J1186" s="465" t="s">
        <v>537</v>
      </c>
      <c r="K1186" s="465" t="s">
        <v>537</v>
      </c>
      <c r="L1186" s="466">
        <v>96840</v>
      </c>
      <c r="M1186" s="465" t="s">
        <v>537</v>
      </c>
      <c r="N1186" s="465" t="s">
        <v>537</v>
      </c>
      <c r="O1186" s="463" t="s">
        <v>537</v>
      </c>
      <c r="P1186" s="463" t="s">
        <v>537</v>
      </c>
      <c r="Q1186" s="468">
        <v>3160</v>
      </c>
      <c r="R1186" s="470">
        <v>241518</v>
      </c>
      <c r="S1186" s="463" t="s">
        <v>2967</v>
      </c>
      <c r="T1186" s="463">
        <v>22</v>
      </c>
      <c r="U1186" s="463">
        <v>2</v>
      </c>
      <c r="V1186" s="463">
        <v>0</v>
      </c>
      <c r="W1186" s="463">
        <v>23</v>
      </c>
      <c r="X1186" s="463">
        <v>3</v>
      </c>
      <c r="Y1186" s="463">
        <v>0</v>
      </c>
      <c r="Z1186" s="463">
        <v>91.4</v>
      </c>
      <c r="AA1186" s="472" t="s">
        <v>737</v>
      </c>
      <c r="AB1186" s="463" t="s">
        <v>539</v>
      </c>
      <c r="AC1186" s="463" t="s">
        <v>539</v>
      </c>
      <c r="AD1186" s="472" t="s">
        <v>635</v>
      </c>
      <c r="AE1186" s="463" t="s">
        <v>539</v>
      </c>
      <c r="AF1186" s="463" t="s">
        <v>539</v>
      </c>
      <c r="AG1186" s="463" t="s">
        <v>375</v>
      </c>
      <c r="AH1186" s="476"/>
      <c r="AI1186" s="472" t="s">
        <v>2951</v>
      </c>
      <c r="AJ1186" s="464"/>
    </row>
    <row r="1187" spans="2:36" ht="24" hidden="1" customHeight="1">
      <c r="B1187" s="463">
        <v>956</v>
      </c>
      <c r="C1187" s="464" t="s">
        <v>534</v>
      </c>
      <c r="D1187" s="464"/>
      <c r="E1187" s="464" t="s">
        <v>535</v>
      </c>
      <c r="F1187" s="464"/>
      <c r="G1187" s="464" t="s">
        <v>275</v>
      </c>
      <c r="H1187" s="464" t="s">
        <v>2968</v>
      </c>
      <c r="I1187" s="466">
        <v>50000</v>
      </c>
      <c r="J1187" s="465" t="s">
        <v>537</v>
      </c>
      <c r="K1187" s="465" t="s">
        <v>537</v>
      </c>
      <c r="L1187" s="466">
        <v>49988.02</v>
      </c>
      <c r="M1187" s="465" t="s">
        <v>537</v>
      </c>
      <c r="N1187" s="465" t="s">
        <v>537</v>
      </c>
      <c r="O1187" s="463" t="s">
        <v>537</v>
      </c>
      <c r="P1187" s="463" t="s">
        <v>537</v>
      </c>
      <c r="Q1187" s="465">
        <v>12</v>
      </c>
      <c r="R1187" s="470">
        <v>241459</v>
      </c>
      <c r="S1187" s="463" t="s">
        <v>2969</v>
      </c>
      <c r="T1187" s="463">
        <v>60</v>
      </c>
      <c r="U1187" s="463">
        <v>10</v>
      </c>
      <c r="V1187" s="463">
        <v>0</v>
      </c>
      <c r="W1187" s="463">
        <v>60</v>
      </c>
      <c r="X1187" s="463">
        <v>13</v>
      </c>
      <c r="Y1187" s="464"/>
      <c r="Z1187" s="463">
        <v>90.16</v>
      </c>
      <c r="AA1187" s="472" t="s">
        <v>2970</v>
      </c>
      <c r="AB1187" s="463" t="s">
        <v>539</v>
      </c>
      <c r="AC1187" s="463" t="s">
        <v>539</v>
      </c>
      <c r="AD1187" s="472" t="s">
        <v>2971</v>
      </c>
      <c r="AE1187" s="463">
        <v>1</v>
      </c>
      <c r="AF1187" s="463">
        <v>20</v>
      </c>
      <c r="AG1187" s="463" t="s">
        <v>375</v>
      </c>
      <c r="AH1187" s="476"/>
      <c r="AI1187" s="472">
        <v>75489614</v>
      </c>
      <c r="AJ1187" s="464"/>
    </row>
    <row r="1188" spans="2:36" ht="24" hidden="1" customHeight="1">
      <c r="B1188" s="463">
        <v>957</v>
      </c>
      <c r="C1188" s="464" t="s">
        <v>534</v>
      </c>
      <c r="D1188" s="464"/>
      <c r="E1188" s="464" t="s">
        <v>535</v>
      </c>
      <c r="F1188" s="464"/>
      <c r="G1188" s="464" t="s">
        <v>275</v>
      </c>
      <c r="H1188" s="464" t="s">
        <v>2972</v>
      </c>
      <c r="I1188" s="466">
        <v>20000</v>
      </c>
      <c r="J1188" s="465" t="s">
        <v>537</v>
      </c>
      <c r="K1188" s="465" t="s">
        <v>537</v>
      </c>
      <c r="L1188" s="466">
        <v>20000</v>
      </c>
      <c r="M1188" s="465" t="s">
        <v>537</v>
      </c>
      <c r="N1188" s="465" t="s">
        <v>537</v>
      </c>
      <c r="O1188" s="463" t="s">
        <v>537</v>
      </c>
      <c r="P1188" s="463" t="s">
        <v>537</v>
      </c>
      <c r="Q1188" s="465">
        <v>0</v>
      </c>
      <c r="R1188" s="463" t="s">
        <v>646</v>
      </c>
      <c r="S1188" s="463" t="s">
        <v>2973</v>
      </c>
      <c r="T1188" s="463">
        <v>0</v>
      </c>
      <c r="U1188" s="463">
        <v>30</v>
      </c>
      <c r="V1188" s="463">
        <v>0</v>
      </c>
      <c r="W1188" s="463">
        <v>0</v>
      </c>
      <c r="X1188" s="463">
        <v>40</v>
      </c>
      <c r="Y1188" s="463">
        <v>0</v>
      </c>
      <c r="Z1188" s="463">
        <v>85.55</v>
      </c>
      <c r="AA1188" s="472" t="s">
        <v>1077</v>
      </c>
      <c r="AB1188" s="463">
        <v>80</v>
      </c>
      <c r="AC1188" s="463">
        <v>90</v>
      </c>
      <c r="AD1188" s="472" t="s">
        <v>571</v>
      </c>
      <c r="AE1188" s="463">
        <v>80</v>
      </c>
      <c r="AF1188" s="463">
        <v>85.55</v>
      </c>
      <c r="AG1188" s="463" t="s">
        <v>375</v>
      </c>
      <c r="AH1188" s="476"/>
      <c r="AI1188" s="472">
        <v>864494015</v>
      </c>
      <c r="AJ1188" s="464"/>
    </row>
    <row r="1189" spans="2:36" ht="24" hidden="1" customHeight="1">
      <c r="B1189" s="463">
        <v>958</v>
      </c>
      <c r="C1189" s="464" t="s">
        <v>534</v>
      </c>
      <c r="D1189" s="464"/>
      <c r="E1189" s="464" t="s">
        <v>535</v>
      </c>
      <c r="F1189" s="464"/>
      <c r="G1189" s="464" t="s">
        <v>275</v>
      </c>
      <c r="H1189" s="464" t="s">
        <v>2974</v>
      </c>
      <c r="I1189" s="466">
        <v>50000</v>
      </c>
      <c r="J1189" s="465" t="s">
        <v>537</v>
      </c>
      <c r="K1189" s="465" t="s">
        <v>537</v>
      </c>
      <c r="L1189" s="466">
        <v>50000</v>
      </c>
      <c r="M1189" s="465" t="s">
        <v>537</v>
      </c>
      <c r="N1189" s="465" t="s">
        <v>537</v>
      </c>
      <c r="O1189" s="463" t="s">
        <v>537</v>
      </c>
      <c r="P1189" s="463" t="s">
        <v>537</v>
      </c>
      <c r="Q1189" s="465">
        <v>0</v>
      </c>
      <c r="R1189" s="463" t="s">
        <v>646</v>
      </c>
      <c r="S1189" s="463" t="s">
        <v>2975</v>
      </c>
      <c r="T1189" s="463">
        <v>31</v>
      </c>
      <c r="U1189" s="463">
        <v>10</v>
      </c>
      <c r="V1189" s="463">
        <v>4</v>
      </c>
      <c r="W1189" s="463">
        <v>73</v>
      </c>
      <c r="X1189" s="463">
        <v>42</v>
      </c>
      <c r="Y1189" s="464"/>
      <c r="Z1189" s="463">
        <v>83.02</v>
      </c>
      <c r="AA1189" s="472" t="s">
        <v>1077</v>
      </c>
      <c r="AB1189" s="463">
        <v>80</v>
      </c>
      <c r="AC1189" s="463">
        <v>83.02</v>
      </c>
      <c r="AD1189" s="472" t="s">
        <v>571</v>
      </c>
      <c r="AE1189" s="463">
        <v>80</v>
      </c>
      <c r="AF1189" s="463">
        <v>83.02</v>
      </c>
      <c r="AG1189" s="463" t="s">
        <v>375</v>
      </c>
      <c r="AH1189" s="476"/>
      <c r="AI1189" s="464"/>
      <c r="AJ1189" s="464"/>
    </row>
    <row r="1190" spans="2:36" ht="24" hidden="1" customHeight="1">
      <c r="B1190" s="463">
        <v>959</v>
      </c>
      <c r="C1190" s="464" t="s">
        <v>534</v>
      </c>
      <c r="D1190" s="464"/>
      <c r="E1190" s="464" t="s">
        <v>535</v>
      </c>
      <c r="F1190" s="464"/>
      <c r="G1190" s="464" t="s">
        <v>275</v>
      </c>
      <c r="H1190" s="464" t="s">
        <v>2976</v>
      </c>
      <c r="I1190" s="466">
        <v>100000</v>
      </c>
      <c r="J1190" s="465" t="s">
        <v>537</v>
      </c>
      <c r="K1190" s="465" t="s">
        <v>537</v>
      </c>
      <c r="L1190" s="466">
        <v>99993</v>
      </c>
      <c r="M1190" s="465" t="s">
        <v>537</v>
      </c>
      <c r="N1190" s="465" t="s">
        <v>537</v>
      </c>
      <c r="O1190" s="463" t="s">
        <v>537</v>
      </c>
      <c r="P1190" s="463" t="s">
        <v>537</v>
      </c>
      <c r="Q1190" s="465">
        <v>7</v>
      </c>
      <c r="R1190" s="470">
        <v>241487</v>
      </c>
      <c r="S1190" s="463" t="s">
        <v>2977</v>
      </c>
      <c r="T1190" s="463">
        <v>40</v>
      </c>
      <c r="U1190" s="463">
        <v>10</v>
      </c>
      <c r="V1190" s="463">
        <v>0</v>
      </c>
      <c r="W1190" s="463">
        <v>40</v>
      </c>
      <c r="X1190" s="463">
        <v>15</v>
      </c>
      <c r="Y1190" s="464"/>
      <c r="Z1190" s="463">
        <v>94.8</v>
      </c>
      <c r="AA1190" s="472" t="s">
        <v>1077</v>
      </c>
      <c r="AB1190" s="463">
        <v>80</v>
      </c>
      <c r="AC1190" s="463">
        <v>94.8</v>
      </c>
      <c r="AD1190" s="472" t="s">
        <v>571</v>
      </c>
      <c r="AE1190" s="463">
        <v>80</v>
      </c>
      <c r="AF1190" s="463">
        <v>94.8</v>
      </c>
      <c r="AG1190" s="463" t="s">
        <v>375</v>
      </c>
      <c r="AH1190" s="476"/>
      <c r="AI1190" s="472">
        <v>75489614</v>
      </c>
      <c r="AJ1190" s="464"/>
    </row>
    <row r="1191" spans="2:36" ht="24" hidden="1" customHeight="1">
      <c r="B1191" s="463">
        <v>960</v>
      </c>
      <c r="C1191" s="464" t="s">
        <v>534</v>
      </c>
      <c r="D1191" s="464"/>
      <c r="E1191" s="464" t="s">
        <v>535</v>
      </c>
      <c r="F1191" s="464"/>
      <c r="G1191" s="464" t="s">
        <v>275</v>
      </c>
      <c r="H1191" s="464" t="s">
        <v>2978</v>
      </c>
      <c r="I1191" s="466">
        <v>40000</v>
      </c>
      <c r="J1191" s="465" t="s">
        <v>537</v>
      </c>
      <c r="K1191" s="465" t="s">
        <v>537</v>
      </c>
      <c r="L1191" s="466">
        <v>39443.5</v>
      </c>
      <c r="M1191" s="465" t="s">
        <v>537</v>
      </c>
      <c r="N1191" s="465" t="s">
        <v>537</v>
      </c>
      <c r="O1191" s="463" t="s">
        <v>537</v>
      </c>
      <c r="P1191" s="463" t="s">
        <v>537</v>
      </c>
      <c r="Q1191" s="465">
        <v>557</v>
      </c>
      <c r="R1191" s="470">
        <v>241428</v>
      </c>
      <c r="S1191" s="463" t="s">
        <v>2979</v>
      </c>
      <c r="T1191" s="463">
        <v>10</v>
      </c>
      <c r="U1191" s="463">
        <v>20</v>
      </c>
      <c r="V1191" s="463">
        <v>0</v>
      </c>
      <c r="W1191" s="463">
        <v>50</v>
      </c>
      <c r="X1191" s="463">
        <v>30</v>
      </c>
      <c r="Y1191" s="463">
        <v>0</v>
      </c>
      <c r="Z1191" s="463">
        <v>85.93</v>
      </c>
      <c r="AA1191" s="472" t="s">
        <v>633</v>
      </c>
      <c r="AB1191" s="463" t="s">
        <v>539</v>
      </c>
      <c r="AC1191" s="463" t="s">
        <v>539</v>
      </c>
      <c r="AD1191" s="472" t="s">
        <v>2980</v>
      </c>
      <c r="AE1191" s="463">
        <v>1</v>
      </c>
      <c r="AF1191" s="463">
        <v>1</v>
      </c>
      <c r="AG1191" s="463" t="s">
        <v>375</v>
      </c>
      <c r="AH1191" s="476"/>
      <c r="AI1191" s="472">
        <v>75489611</v>
      </c>
      <c r="AJ1191" s="464"/>
    </row>
    <row r="1192" spans="2:36" ht="24" hidden="1" customHeight="1">
      <c r="B1192" s="463">
        <v>961</v>
      </c>
      <c r="C1192" s="464" t="s">
        <v>534</v>
      </c>
      <c r="D1192" s="464"/>
      <c r="E1192" s="464" t="s">
        <v>535</v>
      </c>
      <c r="F1192" s="464"/>
      <c r="G1192" s="464" t="s">
        <v>275</v>
      </c>
      <c r="H1192" s="464" t="s">
        <v>2981</v>
      </c>
      <c r="I1192" s="466">
        <v>35000</v>
      </c>
      <c r="J1192" s="465" t="s">
        <v>537</v>
      </c>
      <c r="K1192" s="465" t="s">
        <v>537</v>
      </c>
      <c r="L1192" s="466">
        <v>33183.5</v>
      </c>
      <c r="M1192" s="465" t="s">
        <v>537</v>
      </c>
      <c r="N1192" s="465" t="s">
        <v>537</v>
      </c>
      <c r="O1192" s="463" t="s">
        <v>537</v>
      </c>
      <c r="P1192" s="463" t="s">
        <v>537</v>
      </c>
      <c r="Q1192" s="468">
        <v>1817</v>
      </c>
      <c r="R1192" s="470">
        <v>241459</v>
      </c>
      <c r="S1192" s="463" t="s">
        <v>2982</v>
      </c>
      <c r="T1192" s="463">
        <v>10</v>
      </c>
      <c r="U1192" s="463">
        <v>20</v>
      </c>
      <c r="V1192" s="463">
        <v>0</v>
      </c>
      <c r="W1192" s="463">
        <v>100</v>
      </c>
      <c r="X1192" s="463">
        <v>40</v>
      </c>
      <c r="Y1192" s="463">
        <v>0</v>
      </c>
      <c r="Z1192" s="463">
        <v>80</v>
      </c>
      <c r="AA1192" s="472" t="s">
        <v>633</v>
      </c>
      <c r="AB1192" s="463" t="s">
        <v>539</v>
      </c>
      <c r="AC1192" s="463" t="s">
        <v>539</v>
      </c>
      <c r="AD1192" s="472" t="s">
        <v>2980</v>
      </c>
      <c r="AE1192" s="463">
        <v>1</v>
      </c>
      <c r="AF1192" s="463">
        <v>1</v>
      </c>
      <c r="AG1192" s="463" t="s">
        <v>375</v>
      </c>
      <c r="AH1192" s="476"/>
      <c r="AI1192" s="472">
        <v>75489611</v>
      </c>
      <c r="AJ1192" s="464"/>
    </row>
    <row r="1193" spans="2:36" ht="24" hidden="1" customHeight="1">
      <c r="B1193" s="463">
        <v>962</v>
      </c>
      <c r="C1193" s="464" t="s">
        <v>534</v>
      </c>
      <c r="D1193" s="464"/>
      <c r="E1193" s="464" t="s">
        <v>535</v>
      </c>
      <c r="F1193" s="464"/>
      <c r="G1193" s="464" t="s">
        <v>275</v>
      </c>
      <c r="H1193" s="464" t="s">
        <v>2983</v>
      </c>
      <c r="I1193" s="466">
        <v>5000</v>
      </c>
      <c r="J1193" s="465" t="s">
        <v>537</v>
      </c>
      <c r="K1193" s="465" t="s">
        <v>537</v>
      </c>
      <c r="L1193" s="466">
        <v>5000</v>
      </c>
      <c r="M1193" s="465" t="s">
        <v>537</v>
      </c>
      <c r="N1193" s="465" t="s">
        <v>537</v>
      </c>
      <c r="O1193" s="463" t="s">
        <v>537</v>
      </c>
      <c r="P1193" s="463" t="s">
        <v>537</v>
      </c>
      <c r="Q1193" s="465">
        <v>0</v>
      </c>
      <c r="R1193" s="470">
        <v>241428</v>
      </c>
      <c r="S1193" s="471">
        <v>22273</v>
      </c>
      <c r="T1193" s="463">
        <v>10</v>
      </c>
      <c r="U1193" s="463">
        <v>20</v>
      </c>
      <c r="V1193" s="463">
        <v>0</v>
      </c>
      <c r="W1193" s="463">
        <v>32</v>
      </c>
      <c r="X1193" s="463">
        <v>20</v>
      </c>
      <c r="Y1193" s="464"/>
      <c r="Z1193" s="463">
        <v>86.05</v>
      </c>
      <c r="AA1193" s="472" t="s">
        <v>633</v>
      </c>
      <c r="AB1193" s="463" t="s">
        <v>539</v>
      </c>
      <c r="AC1193" s="463" t="s">
        <v>539</v>
      </c>
      <c r="AD1193" s="472" t="s">
        <v>2980</v>
      </c>
      <c r="AE1193" s="463">
        <v>1</v>
      </c>
      <c r="AF1193" s="463">
        <v>1</v>
      </c>
      <c r="AG1193" s="463" t="s">
        <v>375</v>
      </c>
      <c r="AH1193" s="476"/>
      <c r="AI1193" s="472" t="s">
        <v>2953</v>
      </c>
      <c r="AJ1193" s="464"/>
    </row>
    <row r="1194" spans="2:36" ht="24" hidden="1" customHeight="1">
      <c r="B1194" s="463">
        <v>963</v>
      </c>
      <c r="C1194" s="464" t="s">
        <v>534</v>
      </c>
      <c r="D1194" s="464"/>
      <c r="E1194" s="464" t="s">
        <v>535</v>
      </c>
      <c r="F1194" s="464"/>
      <c r="G1194" s="464" t="s">
        <v>275</v>
      </c>
      <c r="H1194" s="464" t="s">
        <v>2984</v>
      </c>
      <c r="I1194" s="466">
        <v>20000</v>
      </c>
      <c r="J1194" s="465" t="s">
        <v>537</v>
      </c>
      <c r="K1194" s="465" t="s">
        <v>537</v>
      </c>
      <c r="L1194" s="466">
        <v>20000</v>
      </c>
      <c r="M1194" s="465" t="s">
        <v>537</v>
      </c>
      <c r="N1194" s="465" t="s">
        <v>537</v>
      </c>
      <c r="O1194" s="463" t="s">
        <v>537</v>
      </c>
      <c r="P1194" s="463" t="s">
        <v>537</v>
      </c>
      <c r="Q1194" s="465">
        <v>0</v>
      </c>
      <c r="R1194" s="470">
        <v>241428</v>
      </c>
      <c r="S1194" s="463" t="s">
        <v>2985</v>
      </c>
      <c r="T1194" s="463">
        <v>10</v>
      </c>
      <c r="U1194" s="463">
        <v>20</v>
      </c>
      <c r="V1194" s="463">
        <v>0</v>
      </c>
      <c r="W1194" s="463">
        <v>28</v>
      </c>
      <c r="X1194" s="463">
        <v>20</v>
      </c>
      <c r="Y1194" s="463">
        <v>0</v>
      </c>
      <c r="Z1194" s="463">
        <v>88.73</v>
      </c>
      <c r="AA1194" s="472" t="s">
        <v>633</v>
      </c>
      <c r="AB1194" s="463" t="s">
        <v>539</v>
      </c>
      <c r="AC1194" s="463" t="s">
        <v>539</v>
      </c>
      <c r="AD1194" s="472" t="s">
        <v>2980</v>
      </c>
      <c r="AE1194" s="463">
        <v>1</v>
      </c>
      <c r="AF1194" s="463">
        <v>1</v>
      </c>
      <c r="AG1194" s="463" t="s">
        <v>375</v>
      </c>
      <c r="AH1194" s="476"/>
      <c r="AI1194" s="472" t="s">
        <v>2953</v>
      </c>
      <c r="AJ1194" s="464"/>
    </row>
    <row r="1195" spans="2:36" ht="24" hidden="1" customHeight="1">
      <c r="B1195" s="463">
        <v>964</v>
      </c>
      <c r="C1195" s="464" t="s">
        <v>534</v>
      </c>
      <c r="D1195" s="464"/>
      <c r="E1195" s="464" t="s">
        <v>535</v>
      </c>
      <c r="F1195" s="464"/>
      <c r="G1195" s="464" t="s">
        <v>275</v>
      </c>
      <c r="H1195" s="464" t="s">
        <v>2986</v>
      </c>
      <c r="I1195" s="466">
        <v>15000</v>
      </c>
      <c r="J1195" s="465" t="s">
        <v>537</v>
      </c>
      <c r="K1195" s="465" t="s">
        <v>537</v>
      </c>
      <c r="L1195" s="466">
        <v>15000</v>
      </c>
      <c r="M1195" s="465" t="s">
        <v>537</v>
      </c>
      <c r="N1195" s="465" t="s">
        <v>537</v>
      </c>
      <c r="O1195" s="463" t="s">
        <v>537</v>
      </c>
      <c r="P1195" s="463" t="s">
        <v>537</v>
      </c>
      <c r="Q1195" s="465">
        <v>0</v>
      </c>
      <c r="R1195" s="470">
        <v>241487</v>
      </c>
      <c r="S1195" s="463" t="s">
        <v>1915</v>
      </c>
      <c r="T1195" s="463">
        <v>10</v>
      </c>
      <c r="U1195" s="463">
        <v>20</v>
      </c>
      <c r="V1195" s="463">
        <v>0</v>
      </c>
      <c r="W1195" s="463">
        <v>28</v>
      </c>
      <c r="X1195" s="463">
        <v>27</v>
      </c>
      <c r="Y1195" s="464"/>
      <c r="Z1195" s="463">
        <v>85.48</v>
      </c>
      <c r="AA1195" s="472" t="s">
        <v>633</v>
      </c>
      <c r="AB1195" s="463" t="s">
        <v>539</v>
      </c>
      <c r="AC1195" s="463" t="s">
        <v>539</v>
      </c>
      <c r="AD1195" s="472" t="s">
        <v>2980</v>
      </c>
      <c r="AE1195" s="463">
        <v>1</v>
      </c>
      <c r="AF1195" s="463">
        <v>1</v>
      </c>
      <c r="AG1195" s="463" t="s">
        <v>375</v>
      </c>
      <c r="AH1195" s="476"/>
      <c r="AI1195" s="472" t="s">
        <v>2953</v>
      </c>
      <c r="AJ1195" s="464"/>
    </row>
    <row r="1196" spans="2:36" ht="24" hidden="1" customHeight="1">
      <c r="B1196" s="463">
        <v>965</v>
      </c>
      <c r="C1196" s="464" t="s">
        <v>534</v>
      </c>
      <c r="D1196" s="464"/>
      <c r="E1196" s="464" t="s">
        <v>535</v>
      </c>
      <c r="F1196" s="464"/>
      <c r="G1196" s="464" t="s">
        <v>275</v>
      </c>
      <c r="H1196" s="464" t="s">
        <v>2987</v>
      </c>
      <c r="I1196" s="466">
        <v>20000</v>
      </c>
      <c r="J1196" s="465" t="s">
        <v>537</v>
      </c>
      <c r="K1196" s="465" t="s">
        <v>537</v>
      </c>
      <c r="L1196" s="466">
        <v>20000</v>
      </c>
      <c r="M1196" s="465" t="s">
        <v>537</v>
      </c>
      <c r="N1196" s="465" t="s">
        <v>537</v>
      </c>
      <c r="O1196" s="463" t="s">
        <v>537</v>
      </c>
      <c r="P1196" s="463" t="s">
        <v>537</v>
      </c>
      <c r="Q1196" s="465">
        <v>0</v>
      </c>
      <c r="R1196" s="463" t="s">
        <v>646</v>
      </c>
      <c r="S1196" s="463" t="s">
        <v>1193</v>
      </c>
      <c r="T1196" s="463">
        <v>10</v>
      </c>
      <c r="U1196" s="463">
        <v>20</v>
      </c>
      <c r="V1196" s="463">
        <v>0</v>
      </c>
      <c r="W1196" s="463">
        <v>28</v>
      </c>
      <c r="X1196" s="463">
        <v>36</v>
      </c>
      <c r="Y1196" s="464"/>
      <c r="Z1196" s="463">
        <v>92.69</v>
      </c>
      <c r="AA1196" s="472" t="s">
        <v>633</v>
      </c>
      <c r="AB1196" s="463" t="s">
        <v>539</v>
      </c>
      <c r="AC1196" s="463" t="s">
        <v>539</v>
      </c>
      <c r="AD1196" s="472" t="s">
        <v>2980</v>
      </c>
      <c r="AE1196" s="463">
        <v>1</v>
      </c>
      <c r="AF1196" s="463">
        <v>1</v>
      </c>
      <c r="AG1196" s="463" t="s">
        <v>375</v>
      </c>
      <c r="AH1196" s="476"/>
      <c r="AI1196" s="472" t="s">
        <v>2988</v>
      </c>
      <c r="AJ1196" s="464"/>
    </row>
    <row r="1197" spans="2:36" ht="24" hidden="1" customHeight="1">
      <c r="B1197" s="463">
        <v>966</v>
      </c>
      <c r="C1197" s="464" t="s">
        <v>534</v>
      </c>
      <c r="D1197" s="464"/>
      <c r="E1197" s="464" t="s">
        <v>535</v>
      </c>
      <c r="F1197" s="464"/>
      <c r="G1197" s="464" t="s">
        <v>275</v>
      </c>
      <c r="H1197" s="464" t="s">
        <v>2989</v>
      </c>
      <c r="I1197" s="466">
        <v>20000</v>
      </c>
      <c r="J1197" s="465" t="s">
        <v>537</v>
      </c>
      <c r="K1197" s="465" t="s">
        <v>537</v>
      </c>
      <c r="L1197" s="466">
        <v>20000</v>
      </c>
      <c r="M1197" s="465" t="s">
        <v>537</v>
      </c>
      <c r="N1197" s="465" t="s">
        <v>537</v>
      </c>
      <c r="O1197" s="463" t="s">
        <v>537</v>
      </c>
      <c r="P1197" s="463" t="s">
        <v>537</v>
      </c>
      <c r="Q1197" s="465">
        <v>0</v>
      </c>
      <c r="R1197" s="470">
        <v>241459</v>
      </c>
      <c r="S1197" s="463" t="s">
        <v>2636</v>
      </c>
      <c r="T1197" s="463">
        <v>10</v>
      </c>
      <c r="U1197" s="463">
        <v>20</v>
      </c>
      <c r="V1197" s="463">
        <v>0</v>
      </c>
      <c r="W1197" s="463">
        <v>10</v>
      </c>
      <c r="X1197" s="463">
        <v>20</v>
      </c>
      <c r="Y1197" s="463">
        <v>0</v>
      </c>
      <c r="Z1197" s="463">
        <v>81.709999999999994</v>
      </c>
      <c r="AA1197" s="472" t="s">
        <v>633</v>
      </c>
      <c r="AB1197" s="463" t="s">
        <v>539</v>
      </c>
      <c r="AC1197" s="463" t="s">
        <v>539</v>
      </c>
      <c r="AD1197" s="472" t="s">
        <v>2980</v>
      </c>
      <c r="AE1197" s="463">
        <v>1</v>
      </c>
      <c r="AF1197" s="463">
        <v>1</v>
      </c>
      <c r="AG1197" s="463" t="s">
        <v>375</v>
      </c>
      <c r="AH1197" s="476"/>
      <c r="AI1197" s="472" t="s">
        <v>2953</v>
      </c>
      <c r="AJ1197" s="464"/>
    </row>
    <row r="1198" spans="2:36" ht="24" hidden="1" customHeight="1">
      <c r="B1198" s="463">
        <v>967</v>
      </c>
      <c r="C1198" s="464" t="s">
        <v>534</v>
      </c>
      <c r="D1198" s="464"/>
      <c r="E1198" s="464" t="s">
        <v>535</v>
      </c>
      <c r="F1198" s="464"/>
      <c r="G1198" s="464" t="s">
        <v>275</v>
      </c>
      <c r="H1198" s="464" t="s">
        <v>2990</v>
      </c>
      <c r="I1198" s="466">
        <v>20000</v>
      </c>
      <c r="J1198" s="465" t="s">
        <v>537</v>
      </c>
      <c r="K1198" s="465" t="s">
        <v>537</v>
      </c>
      <c r="L1198" s="466">
        <v>20000</v>
      </c>
      <c r="M1198" s="465" t="s">
        <v>537</v>
      </c>
      <c r="N1198" s="465" t="s">
        <v>537</v>
      </c>
      <c r="O1198" s="463" t="s">
        <v>537</v>
      </c>
      <c r="P1198" s="463" t="s">
        <v>537</v>
      </c>
      <c r="Q1198" s="465">
        <v>0</v>
      </c>
      <c r="R1198" s="470">
        <v>241487</v>
      </c>
      <c r="S1198" s="463" t="s">
        <v>2991</v>
      </c>
      <c r="T1198" s="463">
        <v>10</v>
      </c>
      <c r="U1198" s="463">
        <v>20</v>
      </c>
      <c r="V1198" s="463">
        <v>0</v>
      </c>
      <c r="W1198" s="463">
        <v>23</v>
      </c>
      <c r="X1198" s="463">
        <v>19</v>
      </c>
      <c r="Y1198" s="464"/>
      <c r="Z1198" s="463">
        <v>80.290000000000006</v>
      </c>
      <c r="AA1198" s="472" t="s">
        <v>633</v>
      </c>
      <c r="AB1198" s="463" t="s">
        <v>539</v>
      </c>
      <c r="AC1198" s="463" t="s">
        <v>539</v>
      </c>
      <c r="AD1198" s="472" t="s">
        <v>2980</v>
      </c>
      <c r="AE1198" s="463">
        <v>1</v>
      </c>
      <c r="AF1198" s="463">
        <v>1</v>
      </c>
      <c r="AG1198" s="463" t="s">
        <v>375</v>
      </c>
      <c r="AH1198" s="476"/>
      <c r="AI1198" s="472" t="s">
        <v>2992</v>
      </c>
      <c r="AJ1198" s="464"/>
    </row>
    <row r="1199" spans="2:36" ht="24" hidden="1" customHeight="1">
      <c r="B1199" s="463">
        <v>968</v>
      </c>
      <c r="C1199" s="464" t="s">
        <v>534</v>
      </c>
      <c r="D1199" s="464"/>
      <c r="E1199" s="464" t="s">
        <v>535</v>
      </c>
      <c r="F1199" s="464"/>
      <c r="G1199" s="464" t="s">
        <v>275</v>
      </c>
      <c r="H1199" s="464" t="s">
        <v>2993</v>
      </c>
      <c r="I1199" s="466">
        <v>15000</v>
      </c>
      <c r="J1199" s="465" t="s">
        <v>537</v>
      </c>
      <c r="K1199" s="465" t="s">
        <v>537</v>
      </c>
      <c r="L1199" s="466">
        <v>13960</v>
      </c>
      <c r="M1199" s="465" t="s">
        <v>537</v>
      </c>
      <c r="N1199" s="465" t="s">
        <v>537</v>
      </c>
      <c r="O1199" s="463" t="s">
        <v>537</v>
      </c>
      <c r="P1199" s="463" t="s">
        <v>537</v>
      </c>
      <c r="Q1199" s="468">
        <v>1040</v>
      </c>
      <c r="R1199" s="470">
        <v>241428</v>
      </c>
      <c r="S1199" s="471">
        <v>22310</v>
      </c>
      <c r="T1199" s="463">
        <v>10</v>
      </c>
      <c r="U1199" s="463">
        <v>20</v>
      </c>
      <c r="V1199" s="463">
        <v>0</v>
      </c>
      <c r="W1199" s="463">
        <v>30</v>
      </c>
      <c r="X1199" s="463">
        <v>20</v>
      </c>
      <c r="Y1199" s="463">
        <v>0</v>
      </c>
      <c r="Z1199" s="463">
        <v>88.81</v>
      </c>
      <c r="AA1199" s="472" t="s">
        <v>633</v>
      </c>
      <c r="AB1199" s="463" t="s">
        <v>539</v>
      </c>
      <c r="AC1199" s="463" t="s">
        <v>539</v>
      </c>
      <c r="AD1199" s="472" t="s">
        <v>2980</v>
      </c>
      <c r="AE1199" s="463">
        <v>1</v>
      </c>
      <c r="AF1199" s="463">
        <v>1</v>
      </c>
      <c r="AG1199" s="463" t="s">
        <v>375</v>
      </c>
      <c r="AH1199" s="476"/>
      <c r="AI1199" s="472">
        <v>75489614</v>
      </c>
      <c r="AJ1199" s="464"/>
    </row>
    <row r="1200" spans="2:36" ht="24" hidden="1" customHeight="1">
      <c r="B1200" s="463">
        <v>969</v>
      </c>
      <c r="C1200" s="464" t="s">
        <v>534</v>
      </c>
      <c r="D1200" s="464"/>
      <c r="E1200" s="464" t="s">
        <v>535</v>
      </c>
      <c r="F1200" s="464"/>
      <c r="G1200" s="464" t="s">
        <v>275</v>
      </c>
      <c r="H1200" s="464" t="s">
        <v>2994</v>
      </c>
      <c r="I1200" s="466">
        <v>10000</v>
      </c>
      <c r="J1200" s="465" t="s">
        <v>537</v>
      </c>
      <c r="K1200" s="465" t="s">
        <v>537</v>
      </c>
      <c r="L1200" s="466">
        <v>10000</v>
      </c>
      <c r="M1200" s="465" t="s">
        <v>537</v>
      </c>
      <c r="N1200" s="465" t="s">
        <v>537</v>
      </c>
      <c r="O1200" s="463" t="s">
        <v>537</v>
      </c>
      <c r="P1200" s="463" t="s">
        <v>537</v>
      </c>
      <c r="Q1200" s="465">
        <v>0</v>
      </c>
      <c r="R1200" s="470">
        <v>241640</v>
      </c>
      <c r="S1200" s="463" t="s">
        <v>2995</v>
      </c>
      <c r="T1200" s="463">
        <v>10</v>
      </c>
      <c r="U1200" s="463">
        <v>20</v>
      </c>
      <c r="V1200" s="463">
        <v>0</v>
      </c>
      <c r="W1200" s="463">
        <v>25</v>
      </c>
      <c r="X1200" s="463">
        <v>25</v>
      </c>
      <c r="Y1200" s="463">
        <v>0</v>
      </c>
      <c r="Z1200" s="463">
        <v>89.28</v>
      </c>
      <c r="AA1200" s="472" t="s">
        <v>633</v>
      </c>
      <c r="AB1200" s="463" t="s">
        <v>539</v>
      </c>
      <c r="AC1200" s="463" t="s">
        <v>539</v>
      </c>
      <c r="AD1200" s="472" t="s">
        <v>2980</v>
      </c>
      <c r="AE1200" s="463">
        <v>1</v>
      </c>
      <c r="AF1200" s="463">
        <v>1</v>
      </c>
      <c r="AG1200" s="463" t="s">
        <v>375</v>
      </c>
      <c r="AH1200" s="476"/>
      <c r="AI1200" s="472" t="s">
        <v>2953</v>
      </c>
      <c r="AJ1200" s="464"/>
    </row>
    <row r="1201" spans="1:36" ht="24" hidden="1" customHeight="1">
      <c r="B1201" s="463">
        <v>970</v>
      </c>
      <c r="C1201" s="464" t="s">
        <v>534</v>
      </c>
      <c r="D1201" s="464"/>
      <c r="E1201" s="464" t="s">
        <v>535</v>
      </c>
      <c r="F1201" s="464"/>
      <c r="G1201" s="464" t="s">
        <v>275</v>
      </c>
      <c r="H1201" s="464" t="s">
        <v>2996</v>
      </c>
      <c r="I1201" s="466">
        <v>20000</v>
      </c>
      <c r="J1201" s="465" t="s">
        <v>537</v>
      </c>
      <c r="K1201" s="465" t="s">
        <v>537</v>
      </c>
      <c r="L1201" s="466">
        <v>20000</v>
      </c>
      <c r="M1201" s="465" t="s">
        <v>537</v>
      </c>
      <c r="N1201" s="465" t="s">
        <v>537</v>
      </c>
      <c r="O1201" s="463" t="s">
        <v>537</v>
      </c>
      <c r="P1201" s="463" t="s">
        <v>537</v>
      </c>
      <c r="Q1201" s="465">
        <v>0</v>
      </c>
      <c r="R1201" s="470">
        <v>241459</v>
      </c>
      <c r="S1201" s="463" t="s">
        <v>823</v>
      </c>
      <c r="T1201" s="463">
        <v>30</v>
      </c>
      <c r="U1201" s="463">
        <v>10</v>
      </c>
      <c r="V1201" s="463">
        <v>0</v>
      </c>
      <c r="W1201" s="463">
        <v>31</v>
      </c>
      <c r="X1201" s="463">
        <v>20</v>
      </c>
      <c r="Y1201" s="463">
        <v>0</v>
      </c>
      <c r="Z1201" s="463">
        <v>89.59</v>
      </c>
      <c r="AA1201" s="472" t="s">
        <v>2970</v>
      </c>
      <c r="AB1201" s="463" t="s">
        <v>539</v>
      </c>
      <c r="AC1201" s="463" t="s">
        <v>539</v>
      </c>
      <c r="AD1201" s="472" t="s">
        <v>2980</v>
      </c>
      <c r="AE1201" s="463">
        <v>1</v>
      </c>
      <c r="AF1201" s="463">
        <v>1</v>
      </c>
      <c r="AG1201" s="463" t="s">
        <v>375</v>
      </c>
      <c r="AH1201" s="476"/>
      <c r="AI1201" s="472">
        <v>635366236</v>
      </c>
      <c r="AJ1201" s="464"/>
    </row>
    <row r="1202" spans="1:36" ht="24" hidden="1" customHeight="1">
      <c r="B1202" s="463">
        <v>971</v>
      </c>
      <c r="C1202" s="464" t="s">
        <v>534</v>
      </c>
      <c r="D1202" s="464"/>
      <c r="E1202" s="464" t="s">
        <v>535</v>
      </c>
      <c r="F1202" s="464"/>
      <c r="G1202" s="464" t="s">
        <v>275</v>
      </c>
      <c r="H1202" s="464" t="s">
        <v>2997</v>
      </c>
      <c r="I1202" s="466">
        <v>15000</v>
      </c>
      <c r="J1202" s="465" t="s">
        <v>537</v>
      </c>
      <c r="K1202" s="465" t="s">
        <v>537</v>
      </c>
      <c r="L1202" s="466">
        <v>14900</v>
      </c>
      <c r="M1202" s="465" t="s">
        <v>537</v>
      </c>
      <c r="N1202" s="465" t="s">
        <v>537</v>
      </c>
      <c r="O1202" s="463" t="s">
        <v>537</v>
      </c>
      <c r="P1202" s="463" t="s">
        <v>537</v>
      </c>
      <c r="Q1202" s="465">
        <v>100</v>
      </c>
      <c r="R1202" s="470">
        <v>241459</v>
      </c>
      <c r="S1202" s="463" t="s">
        <v>732</v>
      </c>
      <c r="T1202" s="463">
        <v>30</v>
      </c>
      <c r="U1202" s="463">
        <v>10</v>
      </c>
      <c r="V1202" s="463">
        <v>0</v>
      </c>
      <c r="W1202" s="463">
        <v>30</v>
      </c>
      <c r="X1202" s="463">
        <v>10</v>
      </c>
      <c r="Y1202" s="463">
        <v>0</v>
      </c>
      <c r="Z1202" s="463">
        <v>86.85</v>
      </c>
      <c r="AA1202" s="472" t="s">
        <v>2970</v>
      </c>
      <c r="AB1202" s="463" t="s">
        <v>539</v>
      </c>
      <c r="AC1202" s="463" t="s">
        <v>539</v>
      </c>
      <c r="AD1202" s="472" t="s">
        <v>2980</v>
      </c>
      <c r="AE1202" s="463">
        <v>1</v>
      </c>
      <c r="AF1202" s="463">
        <v>1</v>
      </c>
      <c r="AG1202" s="463" t="s">
        <v>375</v>
      </c>
      <c r="AH1202" s="476"/>
      <c r="AI1202" s="472">
        <v>75489614</v>
      </c>
      <c r="AJ1202" s="464"/>
    </row>
    <row r="1203" spans="1:36" ht="24" hidden="1" customHeight="1">
      <c r="B1203" s="463">
        <v>972</v>
      </c>
      <c r="C1203" s="464" t="s">
        <v>534</v>
      </c>
      <c r="D1203" s="464"/>
      <c r="E1203" s="464" t="s">
        <v>535</v>
      </c>
      <c r="F1203" s="464"/>
      <c r="G1203" s="464" t="s">
        <v>275</v>
      </c>
      <c r="H1203" s="464" t="s">
        <v>2998</v>
      </c>
      <c r="I1203" s="466">
        <v>20000</v>
      </c>
      <c r="J1203" s="465" t="s">
        <v>537</v>
      </c>
      <c r="K1203" s="465" t="s">
        <v>537</v>
      </c>
      <c r="L1203" s="466">
        <v>19098</v>
      </c>
      <c r="M1203" s="465" t="s">
        <v>537</v>
      </c>
      <c r="N1203" s="465" t="s">
        <v>537</v>
      </c>
      <c r="O1203" s="463" t="s">
        <v>537</v>
      </c>
      <c r="P1203" s="463" t="s">
        <v>537</v>
      </c>
      <c r="Q1203" s="465">
        <v>902</v>
      </c>
      <c r="R1203" s="463" t="s">
        <v>646</v>
      </c>
      <c r="S1203" s="471">
        <v>22271</v>
      </c>
      <c r="T1203" s="463">
        <v>30</v>
      </c>
      <c r="U1203" s="463">
        <v>10</v>
      </c>
      <c r="V1203" s="463">
        <v>0</v>
      </c>
      <c r="W1203" s="463">
        <v>35</v>
      </c>
      <c r="X1203" s="463">
        <v>18</v>
      </c>
      <c r="Y1203" s="464"/>
      <c r="Z1203" s="463">
        <v>88.88</v>
      </c>
      <c r="AA1203" s="472" t="s">
        <v>2970</v>
      </c>
      <c r="AB1203" s="463" t="s">
        <v>539</v>
      </c>
      <c r="AC1203" s="463" t="s">
        <v>539</v>
      </c>
      <c r="AD1203" s="472" t="s">
        <v>2980</v>
      </c>
      <c r="AE1203" s="463">
        <v>1</v>
      </c>
      <c r="AF1203" s="463">
        <v>1</v>
      </c>
      <c r="AG1203" s="463" t="s">
        <v>375</v>
      </c>
      <c r="AH1203" s="476"/>
      <c r="AI1203" s="472" t="s">
        <v>2999</v>
      </c>
      <c r="AJ1203" s="464"/>
    </row>
    <row r="1204" spans="1:36" ht="24" hidden="1" customHeight="1">
      <c r="B1204" s="463">
        <v>973</v>
      </c>
      <c r="C1204" s="464" t="s">
        <v>534</v>
      </c>
      <c r="D1204" s="464"/>
      <c r="E1204" s="464" t="s">
        <v>535</v>
      </c>
      <c r="F1204" s="464"/>
      <c r="G1204" s="464" t="s">
        <v>275</v>
      </c>
      <c r="H1204" s="464" t="s">
        <v>3000</v>
      </c>
      <c r="I1204" s="466">
        <v>15000</v>
      </c>
      <c r="J1204" s="465" t="s">
        <v>537</v>
      </c>
      <c r="K1204" s="465" t="s">
        <v>537</v>
      </c>
      <c r="L1204" s="466">
        <v>14600</v>
      </c>
      <c r="M1204" s="465" t="s">
        <v>537</v>
      </c>
      <c r="N1204" s="465" t="s">
        <v>537</v>
      </c>
      <c r="O1204" s="463" t="s">
        <v>537</v>
      </c>
      <c r="P1204" s="463" t="s">
        <v>537</v>
      </c>
      <c r="Q1204" s="465">
        <v>400</v>
      </c>
      <c r="R1204" s="470">
        <v>241609</v>
      </c>
      <c r="S1204" s="463" t="s">
        <v>3001</v>
      </c>
      <c r="T1204" s="463">
        <v>30</v>
      </c>
      <c r="U1204" s="463">
        <v>10</v>
      </c>
      <c r="V1204" s="463">
        <v>10</v>
      </c>
      <c r="W1204" s="463">
        <v>40</v>
      </c>
      <c r="X1204" s="463">
        <v>10</v>
      </c>
      <c r="Y1204" s="464"/>
      <c r="Z1204" s="463">
        <v>86.24</v>
      </c>
      <c r="AA1204" s="472" t="s">
        <v>2970</v>
      </c>
      <c r="AB1204" s="463" t="s">
        <v>539</v>
      </c>
      <c r="AC1204" s="463" t="s">
        <v>539</v>
      </c>
      <c r="AD1204" s="472" t="s">
        <v>2980</v>
      </c>
      <c r="AE1204" s="463">
        <v>1</v>
      </c>
      <c r="AF1204" s="463">
        <v>1</v>
      </c>
      <c r="AG1204" s="463" t="s">
        <v>375</v>
      </c>
      <c r="AH1204" s="476"/>
      <c r="AI1204" s="472" t="s">
        <v>2951</v>
      </c>
      <c r="AJ1204" s="464"/>
    </row>
    <row r="1205" spans="1:36" ht="24" hidden="1" customHeight="1">
      <c r="B1205" s="463">
        <v>974</v>
      </c>
      <c r="C1205" s="464" t="s">
        <v>534</v>
      </c>
      <c r="D1205" s="464"/>
      <c r="E1205" s="464" t="s">
        <v>535</v>
      </c>
      <c r="F1205" s="464"/>
      <c r="G1205" s="464" t="s">
        <v>275</v>
      </c>
      <c r="H1205" s="464" t="s">
        <v>3002</v>
      </c>
      <c r="I1205" s="466">
        <v>15000</v>
      </c>
      <c r="J1205" s="465" t="s">
        <v>537</v>
      </c>
      <c r="K1205" s="465" t="s">
        <v>537</v>
      </c>
      <c r="L1205" s="466">
        <v>14700</v>
      </c>
      <c r="M1205" s="465" t="s">
        <v>537</v>
      </c>
      <c r="N1205" s="465" t="s">
        <v>537</v>
      </c>
      <c r="O1205" s="463" t="s">
        <v>537</v>
      </c>
      <c r="P1205" s="463" t="s">
        <v>537</v>
      </c>
      <c r="Q1205" s="465">
        <v>300</v>
      </c>
      <c r="R1205" s="470">
        <v>241579</v>
      </c>
      <c r="S1205" s="463" t="s">
        <v>3003</v>
      </c>
      <c r="T1205" s="463">
        <v>30</v>
      </c>
      <c r="U1205" s="463">
        <v>10</v>
      </c>
      <c r="V1205" s="463">
        <v>0</v>
      </c>
      <c r="W1205" s="463">
        <v>32</v>
      </c>
      <c r="X1205" s="463">
        <v>10</v>
      </c>
      <c r="Y1205" s="463">
        <v>0</v>
      </c>
      <c r="Z1205" s="463">
        <v>92.65</v>
      </c>
      <c r="AA1205" s="472" t="s">
        <v>2970</v>
      </c>
      <c r="AB1205" s="463" t="s">
        <v>539</v>
      </c>
      <c r="AC1205" s="463" t="s">
        <v>539</v>
      </c>
      <c r="AD1205" s="472" t="s">
        <v>2980</v>
      </c>
      <c r="AE1205" s="463">
        <v>1</v>
      </c>
      <c r="AF1205" s="463">
        <v>1</v>
      </c>
      <c r="AG1205" s="463" t="s">
        <v>375</v>
      </c>
      <c r="AH1205" s="476"/>
      <c r="AI1205" s="472">
        <v>75489611</v>
      </c>
      <c r="AJ1205" s="464"/>
    </row>
    <row r="1206" spans="1:36" ht="24" hidden="1" customHeight="1">
      <c r="B1206" s="463">
        <v>975</v>
      </c>
      <c r="C1206" s="464" t="s">
        <v>534</v>
      </c>
      <c r="D1206" s="464"/>
      <c r="E1206" s="464" t="s">
        <v>535</v>
      </c>
      <c r="F1206" s="464"/>
      <c r="G1206" s="464" t="s">
        <v>275</v>
      </c>
      <c r="H1206" s="464" t="s">
        <v>3004</v>
      </c>
      <c r="I1206" s="466">
        <v>15000</v>
      </c>
      <c r="J1206" s="465" t="s">
        <v>537</v>
      </c>
      <c r="K1206" s="465" t="s">
        <v>537</v>
      </c>
      <c r="L1206" s="466">
        <v>15000</v>
      </c>
      <c r="M1206" s="465" t="s">
        <v>537</v>
      </c>
      <c r="N1206" s="465" t="s">
        <v>537</v>
      </c>
      <c r="O1206" s="463" t="s">
        <v>537</v>
      </c>
      <c r="P1206" s="463" t="s">
        <v>537</v>
      </c>
      <c r="Q1206" s="465">
        <v>0</v>
      </c>
      <c r="R1206" s="470">
        <v>241640</v>
      </c>
      <c r="S1206" s="463" t="s">
        <v>3005</v>
      </c>
      <c r="T1206" s="463">
        <v>30</v>
      </c>
      <c r="U1206" s="463">
        <v>10</v>
      </c>
      <c r="V1206" s="463">
        <v>0</v>
      </c>
      <c r="W1206" s="463">
        <v>30</v>
      </c>
      <c r="X1206" s="463">
        <v>11</v>
      </c>
      <c r="Y1206" s="463">
        <v>0</v>
      </c>
      <c r="Z1206" s="463">
        <v>87.85</v>
      </c>
      <c r="AA1206" s="472" t="s">
        <v>2970</v>
      </c>
      <c r="AB1206" s="463" t="s">
        <v>539</v>
      </c>
      <c r="AC1206" s="463" t="s">
        <v>539</v>
      </c>
      <c r="AD1206" s="472" t="s">
        <v>2980</v>
      </c>
      <c r="AE1206" s="463">
        <v>1</v>
      </c>
      <c r="AF1206" s="463">
        <v>1</v>
      </c>
      <c r="AG1206" s="463" t="s">
        <v>375</v>
      </c>
      <c r="AH1206" s="476"/>
      <c r="AI1206" s="472" t="s">
        <v>2951</v>
      </c>
      <c r="AJ1206" s="464"/>
    </row>
    <row r="1207" spans="1:36" ht="24" hidden="1" customHeight="1">
      <c r="B1207" s="463">
        <v>976</v>
      </c>
      <c r="C1207" s="464" t="s">
        <v>534</v>
      </c>
      <c r="D1207" s="464"/>
      <c r="E1207" s="464" t="s">
        <v>577</v>
      </c>
      <c r="F1207" s="464"/>
      <c r="G1207" s="464" t="s">
        <v>275</v>
      </c>
      <c r="H1207" s="464" t="s">
        <v>3006</v>
      </c>
      <c r="I1207" s="465" t="s">
        <v>537</v>
      </c>
      <c r="J1207" s="465" t="s">
        <v>537</v>
      </c>
      <c r="K1207" s="466">
        <v>40000</v>
      </c>
      <c r="L1207" s="465" t="s">
        <v>537</v>
      </c>
      <c r="M1207" s="465" t="s">
        <v>537</v>
      </c>
      <c r="N1207" s="466">
        <v>40000</v>
      </c>
      <c r="O1207" s="463" t="s">
        <v>537</v>
      </c>
      <c r="P1207" s="463" t="s">
        <v>537</v>
      </c>
      <c r="Q1207" s="465">
        <v>0</v>
      </c>
      <c r="R1207" s="463" t="s">
        <v>3007</v>
      </c>
      <c r="S1207" s="463" t="s">
        <v>1064</v>
      </c>
      <c r="T1207" s="463">
        <v>0</v>
      </c>
      <c r="U1207" s="463">
        <v>0</v>
      </c>
      <c r="V1207" s="463">
        <v>0</v>
      </c>
      <c r="W1207" s="464"/>
      <c r="X1207" s="464"/>
      <c r="Y1207" s="464"/>
      <c r="Z1207" s="463">
        <v>92</v>
      </c>
      <c r="AA1207" s="472" t="s">
        <v>3008</v>
      </c>
      <c r="AB1207" s="463" t="s">
        <v>539</v>
      </c>
      <c r="AC1207" s="463" t="s">
        <v>539</v>
      </c>
      <c r="AD1207" s="472" t="s">
        <v>3009</v>
      </c>
      <c r="AE1207" s="463" t="s">
        <v>539</v>
      </c>
      <c r="AF1207" s="463" t="s">
        <v>539</v>
      </c>
      <c r="AG1207" s="463" t="s">
        <v>375</v>
      </c>
      <c r="AH1207" s="476"/>
      <c r="AI1207" s="472" t="s">
        <v>3010</v>
      </c>
      <c r="AJ1207" s="472" t="s">
        <v>543</v>
      </c>
    </row>
    <row r="1208" spans="1:36" ht="24" customHeight="1">
      <c r="A1208" s="452">
        <v>166</v>
      </c>
      <c r="B1208" s="463">
        <v>977</v>
      </c>
      <c r="C1208" s="464" t="s">
        <v>337</v>
      </c>
      <c r="D1208" s="464"/>
      <c r="E1208" s="464" t="s">
        <v>545</v>
      </c>
      <c r="F1208" s="464"/>
      <c r="G1208" s="464" t="s">
        <v>275</v>
      </c>
      <c r="H1208" s="464" t="s">
        <v>3011</v>
      </c>
      <c r="I1208" s="466">
        <v>85000</v>
      </c>
      <c r="J1208" s="465" t="s">
        <v>537</v>
      </c>
      <c r="K1208" s="465" t="s">
        <v>537</v>
      </c>
      <c r="L1208" s="466">
        <v>84998</v>
      </c>
      <c r="M1208" s="465" t="s">
        <v>537</v>
      </c>
      <c r="N1208" s="465" t="s">
        <v>537</v>
      </c>
      <c r="O1208" s="463" t="s">
        <v>537</v>
      </c>
      <c r="P1208" s="463" t="s">
        <v>537</v>
      </c>
      <c r="Q1208" s="465">
        <v>2</v>
      </c>
      <c r="R1208" s="463" t="s">
        <v>646</v>
      </c>
      <c r="S1208" s="471">
        <v>22267</v>
      </c>
      <c r="T1208" s="463">
        <v>15</v>
      </c>
      <c r="U1208" s="463">
        <v>5</v>
      </c>
      <c r="V1208" s="463">
        <v>200</v>
      </c>
      <c r="W1208" s="463">
        <v>15</v>
      </c>
      <c r="X1208" s="463">
        <v>5</v>
      </c>
      <c r="Y1208" s="463">
        <v>0</v>
      </c>
      <c r="Z1208" s="463">
        <v>95.75</v>
      </c>
      <c r="AA1208" s="472" t="s">
        <v>3012</v>
      </c>
      <c r="AB1208" s="463" t="s">
        <v>539</v>
      </c>
      <c r="AC1208" s="463" t="s">
        <v>539</v>
      </c>
      <c r="AD1208" s="472" t="s">
        <v>3013</v>
      </c>
      <c r="AE1208" s="463" t="s">
        <v>539</v>
      </c>
      <c r="AF1208" s="463" t="s">
        <v>539</v>
      </c>
      <c r="AG1208" s="463" t="s">
        <v>375</v>
      </c>
      <c r="AH1208" s="476"/>
      <c r="AI1208" s="472" t="s">
        <v>2951</v>
      </c>
      <c r="AJ1208" s="464"/>
    </row>
    <row r="1209" spans="1:36" ht="24" customHeight="1">
      <c r="A1209" s="452">
        <v>167</v>
      </c>
      <c r="B1209" s="701">
        <v>978</v>
      </c>
      <c r="C1209" s="699" t="s">
        <v>337</v>
      </c>
      <c r="D1209" s="699"/>
      <c r="E1209" s="699" t="s">
        <v>545</v>
      </c>
      <c r="F1209" s="699"/>
      <c r="G1209" s="699" t="s">
        <v>275</v>
      </c>
      <c r="H1209" s="699" t="s">
        <v>3014</v>
      </c>
      <c r="I1209" s="712">
        <v>20000</v>
      </c>
      <c r="J1209" s="709" t="s">
        <v>537</v>
      </c>
      <c r="K1209" s="709" t="s">
        <v>537</v>
      </c>
      <c r="L1209" s="712">
        <v>20000</v>
      </c>
      <c r="M1209" s="709" t="s">
        <v>537</v>
      </c>
      <c r="N1209" s="709" t="s">
        <v>537</v>
      </c>
      <c r="O1209" s="701" t="s">
        <v>537</v>
      </c>
      <c r="P1209" s="701" t="s">
        <v>537</v>
      </c>
      <c r="Q1209" s="709">
        <v>0</v>
      </c>
      <c r="R1209" s="707">
        <v>241459</v>
      </c>
      <c r="S1209" s="721">
        <v>22340</v>
      </c>
      <c r="T1209" s="701">
        <v>0</v>
      </c>
      <c r="U1209" s="701">
        <v>5</v>
      </c>
      <c r="V1209" s="701">
        <v>25</v>
      </c>
      <c r="W1209" s="699"/>
      <c r="X1209" s="701">
        <v>3</v>
      </c>
      <c r="Y1209" s="701">
        <v>25</v>
      </c>
      <c r="Z1209" s="701">
        <v>93.5</v>
      </c>
      <c r="AA1209" s="458" t="s">
        <v>3015</v>
      </c>
      <c r="AB1209" s="459" t="s">
        <v>539</v>
      </c>
      <c r="AC1209" s="459" t="s">
        <v>539</v>
      </c>
      <c r="AD1209" s="697" t="s">
        <v>3016</v>
      </c>
      <c r="AE1209" s="701">
        <v>20</v>
      </c>
      <c r="AF1209" s="701">
        <v>25</v>
      </c>
      <c r="AG1209" s="701" t="s">
        <v>375</v>
      </c>
      <c r="AH1209" s="728"/>
      <c r="AI1209" s="697">
        <v>75489614</v>
      </c>
      <c r="AJ1209" s="699"/>
    </row>
    <row r="1210" spans="1:36" ht="24" hidden="1" customHeight="1">
      <c r="B1210" s="702"/>
      <c r="C1210" s="700"/>
      <c r="D1210" s="700"/>
      <c r="E1210" s="700"/>
      <c r="F1210" s="700"/>
      <c r="G1210" s="700"/>
      <c r="H1210" s="700"/>
      <c r="I1210" s="713"/>
      <c r="J1210" s="710"/>
      <c r="K1210" s="710"/>
      <c r="L1210" s="713"/>
      <c r="M1210" s="710"/>
      <c r="N1210" s="710"/>
      <c r="O1210" s="702"/>
      <c r="P1210" s="702"/>
      <c r="Q1210" s="710"/>
      <c r="R1210" s="708"/>
      <c r="S1210" s="722"/>
      <c r="T1210" s="702"/>
      <c r="U1210" s="702"/>
      <c r="V1210" s="702"/>
      <c r="W1210" s="700"/>
      <c r="X1210" s="702"/>
      <c r="Y1210" s="702"/>
      <c r="Z1210" s="702"/>
      <c r="AA1210" s="473" t="s">
        <v>3017</v>
      </c>
      <c r="AB1210" s="474" t="s">
        <v>539</v>
      </c>
      <c r="AC1210" s="474" t="s">
        <v>539</v>
      </c>
      <c r="AD1210" s="698"/>
      <c r="AE1210" s="702"/>
      <c r="AF1210" s="702"/>
      <c r="AG1210" s="702"/>
      <c r="AH1210" s="729"/>
      <c r="AI1210" s="698"/>
      <c r="AJ1210" s="700"/>
    </row>
    <row r="1211" spans="1:36" ht="24" customHeight="1">
      <c r="A1211" s="452">
        <v>168</v>
      </c>
      <c r="B1211" s="701">
        <v>979</v>
      </c>
      <c r="C1211" s="699" t="s">
        <v>337</v>
      </c>
      <c r="D1211" s="699"/>
      <c r="E1211" s="699" t="s">
        <v>545</v>
      </c>
      <c r="F1211" s="699"/>
      <c r="G1211" s="699" t="s">
        <v>275</v>
      </c>
      <c r="H1211" s="699" t="s">
        <v>3018</v>
      </c>
      <c r="I1211" s="712">
        <v>15000</v>
      </c>
      <c r="J1211" s="709" t="s">
        <v>537</v>
      </c>
      <c r="K1211" s="709" t="s">
        <v>537</v>
      </c>
      <c r="L1211" s="712">
        <v>15000</v>
      </c>
      <c r="M1211" s="709" t="s">
        <v>537</v>
      </c>
      <c r="N1211" s="709" t="s">
        <v>537</v>
      </c>
      <c r="O1211" s="701" t="s">
        <v>537</v>
      </c>
      <c r="P1211" s="701" t="s">
        <v>537</v>
      </c>
      <c r="Q1211" s="709">
        <v>0</v>
      </c>
      <c r="R1211" s="707">
        <v>241518</v>
      </c>
      <c r="S1211" s="721">
        <v>22373</v>
      </c>
      <c r="T1211" s="701">
        <v>0</v>
      </c>
      <c r="U1211" s="701">
        <v>5</v>
      </c>
      <c r="V1211" s="701">
        <v>25</v>
      </c>
      <c r="W1211" s="699"/>
      <c r="X1211" s="701">
        <v>4</v>
      </c>
      <c r="Y1211" s="701">
        <v>25</v>
      </c>
      <c r="Z1211" s="701">
        <v>90</v>
      </c>
      <c r="AA1211" s="458" t="s">
        <v>3019</v>
      </c>
      <c r="AB1211" s="459" t="s">
        <v>539</v>
      </c>
      <c r="AC1211" s="459" t="s">
        <v>539</v>
      </c>
      <c r="AD1211" s="697" t="s">
        <v>3020</v>
      </c>
      <c r="AE1211" s="701">
        <v>25</v>
      </c>
      <c r="AF1211" s="701">
        <v>25</v>
      </c>
      <c r="AG1211" s="701" t="s">
        <v>375</v>
      </c>
      <c r="AH1211" s="728"/>
      <c r="AI1211" s="697" t="s">
        <v>2951</v>
      </c>
      <c r="AJ1211" s="699"/>
    </row>
    <row r="1212" spans="1:36" ht="24" hidden="1" customHeight="1">
      <c r="B1212" s="702"/>
      <c r="C1212" s="700"/>
      <c r="D1212" s="700"/>
      <c r="E1212" s="700"/>
      <c r="F1212" s="700"/>
      <c r="G1212" s="700"/>
      <c r="H1212" s="700"/>
      <c r="I1212" s="713"/>
      <c r="J1212" s="710"/>
      <c r="K1212" s="710"/>
      <c r="L1212" s="713"/>
      <c r="M1212" s="710"/>
      <c r="N1212" s="710"/>
      <c r="O1212" s="702"/>
      <c r="P1212" s="702"/>
      <c r="Q1212" s="710"/>
      <c r="R1212" s="708"/>
      <c r="S1212" s="722"/>
      <c r="T1212" s="702"/>
      <c r="U1212" s="702"/>
      <c r="V1212" s="702"/>
      <c r="W1212" s="700"/>
      <c r="X1212" s="702"/>
      <c r="Y1212" s="702"/>
      <c r="Z1212" s="702"/>
      <c r="AA1212" s="473" t="s">
        <v>3021</v>
      </c>
      <c r="AB1212" s="474" t="s">
        <v>539</v>
      </c>
      <c r="AC1212" s="474" t="s">
        <v>539</v>
      </c>
      <c r="AD1212" s="698"/>
      <c r="AE1212" s="702"/>
      <c r="AF1212" s="702"/>
      <c r="AG1212" s="702"/>
      <c r="AH1212" s="729"/>
      <c r="AI1212" s="698"/>
      <c r="AJ1212" s="700"/>
    </row>
    <row r="1213" spans="1:36" ht="24" customHeight="1">
      <c r="A1213" s="452">
        <v>169</v>
      </c>
      <c r="B1213" s="463">
        <v>980</v>
      </c>
      <c r="C1213" s="464" t="s">
        <v>337</v>
      </c>
      <c r="D1213" s="464"/>
      <c r="E1213" s="464" t="s">
        <v>545</v>
      </c>
      <c r="F1213" s="464"/>
      <c r="G1213" s="464" t="s">
        <v>275</v>
      </c>
      <c r="H1213" s="464" t="s">
        <v>3022</v>
      </c>
      <c r="I1213" s="466">
        <v>30000</v>
      </c>
      <c r="J1213" s="465" t="s">
        <v>537</v>
      </c>
      <c r="K1213" s="465" t="s">
        <v>537</v>
      </c>
      <c r="L1213" s="466">
        <v>30000</v>
      </c>
      <c r="M1213" s="465" t="s">
        <v>537</v>
      </c>
      <c r="N1213" s="465" t="s">
        <v>537</v>
      </c>
      <c r="O1213" s="463" t="s">
        <v>537</v>
      </c>
      <c r="P1213" s="463" t="s">
        <v>537</v>
      </c>
      <c r="Q1213" s="465">
        <v>0</v>
      </c>
      <c r="R1213" s="463" t="s">
        <v>643</v>
      </c>
      <c r="S1213" s="471">
        <v>22440</v>
      </c>
      <c r="T1213" s="463">
        <v>0</v>
      </c>
      <c r="U1213" s="463">
        <v>5</v>
      </c>
      <c r="V1213" s="463">
        <v>40</v>
      </c>
      <c r="W1213" s="463">
        <v>0</v>
      </c>
      <c r="X1213" s="463">
        <v>5</v>
      </c>
      <c r="Y1213" s="463">
        <v>40</v>
      </c>
      <c r="Z1213" s="463">
        <v>93</v>
      </c>
      <c r="AA1213" s="472" t="s">
        <v>3023</v>
      </c>
      <c r="AB1213" s="463" t="s">
        <v>539</v>
      </c>
      <c r="AC1213" s="463" t="s">
        <v>539</v>
      </c>
      <c r="AD1213" s="472" t="s">
        <v>3024</v>
      </c>
      <c r="AE1213" s="463">
        <v>40</v>
      </c>
      <c r="AF1213" s="463">
        <v>40</v>
      </c>
      <c r="AG1213" s="463" t="s">
        <v>375</v>
      </c>
      <c r="AH1213" s="476"/>
      <c r="AI1213" s="472" t="s">
        <v>2951</v>
      </c>
      <c r="AJ1213" s="464"/>
    </row>
    <row r="1214" spans="1:36" ht="24" customHeight="1">
      <c r="A1214" s="452">
        <v>170</v>
      </c>
      <c r="B1214" s="701">
        <v>981</v>
      </c>
      <c r="C1214" s="699" t="s">
        <v>337</v>
      </c>
      <c r="D1214" s="699"/>
      <c r="E1214" s="699" t="s">
        <v>545</v>
      </c>
      <c r="F1214" s="699"/>
      <c r="G1214" s="699" t="s">
        <v>275</v>
      </c>
      <c r="H1214" s="699" t="s">
        <v>3025</v>
      </c>
      <c r="I1214" s="712">
        <v>35000</v>
      </c>
      <c r="J1214" s="709" t="s">
        <v>537</v>
      </c>
      <c r="K1214" s="709" t="s">
        <v>537</v>
      </c>
      <c r="L1214" s="712">
        <v>35000</v>
      </c>
      <c r="M1214" s="709" t="s">
        <v>537</v>
      </c>
      <c r="N1214" s="709" t="s">
        <v>537</v>
      </c>
      <c r="O1214" s="701" t="s">
        <v>537</v>
      </c>
      <c r="P1214" s="701" t="s">
        <v>537</v>
      </c>
      <c r="Q1214" s="709">
        <v>0</v>
      </c>
      <c r="R1214" s="707">
        <v>241487</v>
      </c>
      <c r="S1214" s="721">
        <v>22364</v>
      </c>
      <c r="T1214" s="701">
        <v>0</v>
      </c>
      <c r="U1214" s="701">
        <v>5</v>
      </c>
      <c r="V1214" s="701">
        <v>25</v>
      </c>
      <c r="W1214" s="699"/>
      <c r="X1214" s="701">
        <v>5</v>
      </c>
      <c r="Y1214" s="701">
        <v>38</v>
      </c>
      <c r="Z1214" s="701">
        <v>95</v>
      </c>
      <c r="AA1214" s="458" t="s">
        <v>3026</v>
      </c>
      <c r="AB1214" s="459" t="s">
        <v>539</v>
      </c>
      <c r="AC1214" s="459" t="s">
        <v>539</v>
      </c>
      <c r="AD1214" s="697" t="s">
        <v>3027</v>
      </c>
      <c r="AE1214" s="701">
        <v>25</v>
      </c>
      <c r="AF1214" s="701">
        <v>35</v>
      </c>
      <c r="AG1214" s="701" t="s">
        <v>375</v>
      </c>
      <c r="AH1214" s="728"/>
      <c r="AI1214" s="697" t="s">
        <v>2951</v>
      </c>
      <c r="AJ1214" s="699"/>
    </row>
    <row r="1215" spans="1:36" ht="24" hidden="1" customHeight="1">
      <c r="B1215" s="702"/>
      <c r="C1215" s="700"/>
      <c r="D1215" s="700"/>
      <c r="E1215" s="700"/>
      <c r="F1215" s="700"/>
      <c r="G1215" s="700"/>
      <c r="H1215" s="700"/>
      <c r="I1215" s="713"/>
      <c r="J1215" s="710"/>
      <c r="K1215" s="710"/>
      <c r="L1215" s="713"/>
      <c r="M1215" s="710"/>
      <c r="N1215" s="710"/>
      <c r="O1215" s="702"/>
      <c r="P1215" s="702"/>
      <c r="Q1215" s="710"/>
      <c r="R1215" s="708"/>
      <c r="S1215" s="722"/>
      <c r="T1215" s="702"/>
      <c r="U1215" s="702"/>
      <c r="V1215" s="702"/>
      <c r="W1215" s="700"/>
      <c r="X1215" s="702"/>
      <c r="Y1215" s="702"/>
      <c r="Z1215" s="702"/>
      <c r="AA1215" s="473" t="s">
        <v>592</v>
      </c>
      <c r="AB1215" s="474" t="s">
        <v>539</v>
      </c>
      <c r="AC1215" s="474" t="s">
        <v>539</v>
      </c>
      <c r="AD1215" s="698"/>
      <c r="AE1215" s="702"/>
      <c r="AF1215" s="702"/>
      <c r="AG1215" s="702"/>
      <c r="AH1215" s="729"/>
      <c r="AI1215" s="698"/>
      <c r="AJ1215" s="700"/>
    </row>
    <row r="1216" spans="1:36" ht="24" customHeight="1">
      <c r="A1216" s="452">
        <v>171</v>
      </c>
      <c r="B1216" s="463">
        <v>982</v>
      </c>
      <c r="C1216" s="464" t="s">
        <v>337</v>
      </c>
      <c r="D1216" s="464"/>
      <c r="E1216" s="464" t="s">
        <v>545</v>
      </c>
      <c r="F1216" s="464"/>
      <c r="G1216" s="464" t="s">
        <v>275</v>
      </c>
      <c r="H1216" s="464" t="s">
        <v>3028</v>
      </c>
      <c r="I1216" s="465" t="s">
        <v>537</v>
      </c>
      <c r="J1216" s="465" t="s">
        <v>537</v>
      </c>
      <c r="K1216" s="466">
        <v>18000</v>
      </c>
      <c r="L1216" s="465" t="s">
        <v>537</v>
      </c>
      <c r="M1216" s="465" t="s">
        <v>537</v>
      </c>
      <c r="N1216" s="466">
        <v>17995</v>
      </c>
      <c r="O1216" s="463" t="s">
        <v>537</v>
      </c>
      <c r="P1216" s="463" t="s">
        <v>537</v>
      </c>
      <c r="Q1216" s="465">
        <v>5</v>
      </c>
      <c r="R1216" s="470">
        <v>241487</v>
      </c>
      <c r="S1216" s="471">
        <v>22363</v>
      </c>
      <c r="T1216" s="463">
        <v>0</v>
      </c>
      <c r="U1216" s="463">
        <v>3</v>
      </c>
      <c r="V1216" s="463">
        <v>30</v>
      </c>
      <c r="W1216" s="463">
        <v>7</v>
      </c>
      <c r="X1216" s="463">
        <v>3</v>
      </c>
      <c r="Y1216" s="463">
        <v>30</v>
      </c>
      <c r="Z1216" s="463">
        <v>94</v>
      </c>
      <c r="AA1216" s="472" t="s">
        <v>3029</v>
      </c>
      <c r="AB1216" s="463" t="s">
        <v>539</v>
      </c>
      <c r="AC1216" s="463" t="s">
        <v>539</v>
      </c>
      <c r="AD1216" s="472" t="s">
        <v>3030</v>
      </c>
      <c r="AE1216" s="463" t="s">
        <v>539</v>
      </c>
      <c r="AF1216" s="463" t="s">
        <v>539</v>
      </c>
      <c r="AG1216" s="463" t="s">
        <v>375</v>
      </c>
      <c r="AH1216" s="476"/>
      <c r="AI1216" s="472">
        <v>75489614</v>
      </c>
      <c r="AJ1216" s="472" t="s">
        <v>543</v>
      </c>
    </row>
    <row r="1217" spans="1:36" ht="24" customHeight="1">
      <c r="A1217" s="452">
        <v>172</v>
      </c>
      <c r="B1217" s="701">
        <v>983</v>
      </c>
      <c r="C1217" s="699" t="s">
        <v>337</v>
      </c>
      <c r="D1217" s="699"/>
      <c r="E1217" s="699" t="s">
        <v>545</v>
      </c>
      <c r="F1217" s="699"/>
      <c r="G1217" s="699" t="s">
        <v>275</v>
      </c>
      <c r="H1217" s="699" t="s">
        <v>3031</v>
      </c>
      <c r="I1217" s="709" t="s">
        <v>537</v>
      </c>
      <c r="J1217" s="709" t="s">
        <v>537</v>
      </c>
      <c r="K1217" s="712">
        <v>20000</v>
      </c>
      <c r="L1217" s="709" t="s">
        <v>537</v>
      </c>
      <c r="M1217" s="709" t="s">
        <v>537</v>
      </c>
      <c r="N1217" s="712">
        <v>20000</v>
      </c>
      <c r="O1217" s="701" t="s">
        <v>537</v>
      </c>
      <c r="P1217" s="701" t="s">
        <v>537</v>
      </c>
      <c r="Q1217" s="709">
        <v>0</v>
      </c>
      <c r="R1217" s="707">
        <v>241518</v>
      </c>
      <c r="S1217" s="721">
        <v>22392</v>
      </c>
      <c r="T1217" s="701">
        <v>0</v>
      </c>
      <c r="U1217" s="701">
        <v>4</v>
      </c>
      <c r="V1217" s="701">
        <v>40</v>
      </c>
      <c r="W1217" s="701">
        <v>0</v>
      </c>
      <c r="X1217" s="701">
        <v>4</v>
      </c>
      <c r="Y1217" s="701">
        <v>40</v>
      </c>
      <c r="Z1217" s="701">
        <v>90</v>
      </c>
      <c r="AA1217" s="458" t="s">
        <v>3032</v>
      </c>
      <c r="AB1217" s="459" t="s">
        <v>539</v>
      </c>
      <c r="AC1217" s="459" t="s">
        <v>539</v>
      </c>
      <c r="AD1217" s="697" t="s">
        <v>3033</v>
      </c>
      <c r="AE1217" s="701" t="s">
        <v>539</v>
      </c>
      <c r="AF1217" s="701" t="s">
        <v>539</v>
      </c>
      <c r="AG1217" s="701" t="s">
        <v>375</v>
      </c>
      <c r="AH1217" s="728"/>
      <c r="AI1217" s="697" t="s">
        <v>2951</v>
      </c>
      <c r="AJ1217" s="697" t="s">
        <v>543</v>
      </c>
    </row>
    <row r="1218" spans="1:36" ht="24" hidden="1" customHeight="1">
      <c r="B1218" s="702"/>
      <c r="C1218" s="700"/>
      <c r="D1218" s="700"/>
      <c r="E1218" s="700"/>
      <c r="F1218" s="700"/>
      <c r="G1218" s="700"/>
      <c r="H1218" s="700"/>
      <c r="I1218" s="710"/>
      <c r="J1218" s="710"/>
      <c r="K1218" s="713"/>
      <c r="L1218" s="710"/>
      <c r="M1218" s="710"/>
      <c r="N1218" s="713"/>
      <c r="O1218" s="702"/>
      <c r="P1218" s="702"/>
      <c r="Q1218" s="710"/>
      <c r="R1218" s="708"/>
      <c r="S1218" s="722"/>
      <c r="T1218" s="702"/>
      <c r="U1218" s="702"/>
      <c r="V1218" s="702"/>
      <c r="W1218" s="702"/>
      <c r="X1218" s="702"/>
      <c r="Y1218" s="702"/>
      <c r="Z1218" s="702"/>
      <c r="AA1218" s="473" t="s">
        <v>3034</v>
      </c>
      <c r="AB1218" s="474" t="s">
        <v>539</v>
      </c>
      <c r="AC1218" s="474" t="s">
        <v>539</v>
      </c>
      <c r="AD1218" s="698"/>
      <c r="AE1218" s="702"/>
      <c r="AF1218" s="702"/>
      <c r="AG1218" s="702"/>
      <c r="AH1218" s="729"/>
      <c r="AI1218" s="698"/>
      <c r="AJ1218" s="698"/>
    </row>
    <row r="1219" spans="1:36" ht="24" customHeight="1">
      <c r="A1219" s="452">
        <v>173</v>
      </c>
      <c r="B1219" s="463">
        <v>984</v>
      </c>
      <c r="C1219" s="464" t="s">
        <v>337</v>
      </c>
      <c r="D1219" s="464"/>
      <c r="E1219" s="464" t="s">
        <v>545</v>
      </c>
      <c r="F1219" s="464"/>
      <c r="G1219" s="464" t="s">
        <v>275</v>
      </c>
      <c r="H1219" s="464" t="s">
        <v>3035</v>
      </c>
      <c r="I1219" s="465" t="s">
        <v>537</v>
      </c>
      <c r="J1219" s="465" t="s">
        <v>537</v>
      </c>
      <c r="K1219" s="466">
        <v>30000</v>
      </c>
      <c r="L1219" s="465" t="s">
        <v>537</v>
      </c>
      <c r="M1219" s="465" t="s">
        <v>537</v>
      </c>
      <c r="N1219" s="466">
        <v>29996</v>
      </c>
      <c r="O1219" s="463" t="s">
        <v>537</v>
      </c>
      <c r="P1219" s="463" t="s">
        <v>537</v>
      </c>
      <c r="Q1219" s="465">
        <v>4</v>
      </c>
      <c r="R1219" s="470">
        <v>241518</v>
      </c>
      <c r="S1219" s="471">
        <v>22401</v>
      </c>
      <c r="T1219" s="463">
        <v>0</v>
      </c>
      <c r="U1219" s="463">
        <v>5</v>
      </c>
      <c r="V1219" s="463">
        <v>35</v>
      </c>
      <c r="W1219" s="464"/>
      <c r="X1219" s="463">
        <v>5</v>
      </c>
      <c r="Y1219" s="463">
        <v>35</v>
      </c>
      <c r="Z1219" s="463">
        <v>92</v>
      </c>
      <c r="AA1219" s="472" t="s">
        <v>3036</v>
      </c>
      <c r="AB1219" s="463" t="s">
        <v>539</v>
      </c>
      <c r="AC1219" s="463" t="s">
        <v>539</v>
      </c>
      <c r="AD1219" s="472" t="s">
        <v>3037</v>
      </c>
      <c r="AE1219" s="463" t="s">
        <v>539</v>
      </c>
      <c r="AF1219" s="463" t="s">
        <v>539</v>
      </c>
      <c r="AG1219" s="463" t="s">
        <v>375</v>
      </c>
      <c r="AH1219" s="476"/>
      <c r="AI1219" s="472" t="s">
        <v>2951</v>
      </c>
      <c r="AJ1219" s="472" t="s">
        <v>543</v>
      </c>
    </row>
    <row r="1220" spans="1:36" ht="24" customHeight="1">
      <c r="A1220" s="452">
        <v>174</v>
      </c>
      <c r="B1220" s="701">
        <v>985</v>
      </c>
      <c r="C1220" s="699" t="s">
        <v>337</v>
      </c>
      <c r="D1220" s="699"/>
      <c r="E1220" s="699" t="s">
        <v>545</v>
      </c>
      <c r="F1220" s="699"/>
      <c r="G1220" s="699" t="s">
        <v>275</v>
      </c>
      <c r="H1220" s="699" t="s">
        <v>3038</v>
      </c>
      <c r="I1220" s="709" t="s">
        <v>537</v>
      </c>
      <c r="J1220" s="709" t="s">
        <v>537</v>
      </c>
      <c r="K1220" s="712">
        <v>20000</v>
      </c>
      <c r="L1220" s="709" t="s">
        <v>537</v>
      </c>
      <c r="M1220" s="709" t="s">
        <v>537</v>
      </c>
      <c r="N1220" s="712">
        <v>20000</v>
      </c>
      <c r="O1220" s="701" t="s">
        <v>537</v>
      </c>
      <c r="P1220" s="701" t="s">
        <v>537</v>
      </c>
      <c r="Q1220" s="709">
        <v>0</v>
      </c>
      <c r="R1220" s="707">
        <v>241640</v>
      </c>
      <c r="S1220" s="721">
        <v>22527</v>
      </c>
      <c r="T1220" s="701">
        <v>0</v>
      </c>
      <c r="U1220" s="701">
        <v>2</v>
      </c>
      <c r="V1220" s="701">
        <v>20</v>
      </c>
      <c r="W1220" s="699"/>
      <c r="X1220" s="701">
        <v>2</v>
      </c>
      <c r="Y1220" s="701">
        <v>24</v>
      </c>
      <c r="Z1220" s="701">
        <v>90</v>
      </c>
      <c r="AA1220" s="458" t="s">
        <v>3039</v>
      </c>
      <c r="AB1220" s="459">
        <v>20</v>
      </c>
      <c r="AC1220" s="459">
        <v>24</v>
      </c>
      <c r="AD1220" s="699"/>
      <c r="AE1220" s="699"/>
      <c r="AF1220" s="699"/>
      <c r="AG1220" s="701" t="s">
        <v>376</v>
      </c>
      <c r="AH1220" s="728"/>
      <c r="AI1220" s="697" t="s">
        <v>2951</v>
      </c>
      <c r="AJ1220" s="697" t="s">
        <v>543</v>
      </c>
    </row>
    <row r="1221" spans="1:36" ht="24" hidden="1" customHeight="1">
      <c r="B1221" s="702"/>
      <c r="C1221" s="700"/>
      <c r="D1221" s="700"/>
      <c r="E1221" s="700"/>
      <c r="F1221" s="700"/>
      <c r="G1221" s="700"/>
      <c r="H1221" s="700"/>
      <c r="I1221" s="710"/>
      <c r="J1221" s="710"/>
      <c r="K1221" s="713"/>
      <c r="L1221" s="710"/>
      <c r="M1221" s="710"/>
      <c r="N1221" s="713"/>
      <c r="O1221" s="702"/>
      <c r="P1221" s="702"/>
      <c r="Q1221" s="710"/>
      <c r="R1221" s="708"/>
      <c r="S1221" s="722"/>
      <c r="T1221" s="702"/>
      <c r="U1221" s="702"/>
      <c r="V1221" s="702"/>
      <c r="W1221" s="700"/>
      <c r="X1221" s="702"/>
      <c r="Y1221" s="702"/>
      <c r="Z1221" s="702"/>
      <c r="AA1221" s="473" t="s">
        <v>3040</v>
      </c>
      <c r="AB1221" s="474" t="s">
        <v>539</v>
      </c>
      <c r="AC1221" s="474" t="s">
        <v>539</v>
      </c>
      <c r="AD1221" s="700"/>
      <c r="AE1221" s="700"/>
      <c r="AF1221" s="700"/>
      <c r="AG1221" s="702"/>
      <c r="AH1221" s="729"/>
      <c r="AI1221" s="698"/>
      <c r="AJ1221" s="698"/>
    </row>
    <row r="1222" spans="1:36" ht="24" customHeight="1">
      <c r="A1222" s="452">
        <v>175</v>
      </c>
      <c r="B1222" s="701">
        <v>986</v>
      </c>
      <c r="C1222" s="699" t="s">
        <v>337</v>
      </c>
      <c r="D1222" s="699"/>
      <c r="E1222" s="699" t="s">
        <v>545</v>
      </c>
      <c r="F1222" s="699"/>
      <c r="G1222" s="699" t="s">
        <v>275</v>
      </c>
      <c r="H1222" s="699" t="s">
        <v>3041</v>
      </c>
      <c r="I1222" s="709" t="s">
        <v>537</v>
      </c>
      <c r="J1222" s="712">
        <v>50000</v>
      </c>
      <c r="K1222" s="709" t="s">
        <v>537</v>
      </c>
      <c r="L1222" s="709" t="s">
        <v>537</v>
      </c>
      <c r="M1222" s="712">
        <v>50000</v>
      </c>
      <c r="N1222" s="709" t="s">
        <v>537</v>
      </c>
      <c r="O1222" s="701" t="s">
        <v>537</v>
      </c>
      <c r="P1222" s="701" t="s">
        <v>537</v>
      </c>
      <c r="Q1222" s="709">
        <v>0</v>
      </c>
      <c r="R1222" s="707">
        <v>241518</v>
      </c>
      <c r="S1222" s="701" t="s">
        <v>3042</v>
      </c>
      <c r="T1222" s="701">
        <v>2</v>
      </c>
      <c r="U1222" s="701">
        <v>3</v>
      </c>
      <c r="V1222" s="701">
        <v>50</v>
      </c>
      <c r="W1222" s="701">
        <v>2</v>
      </c>
      <c r="X1222" s="701">
        <v>3</v>
      </c>
      <c r="Y1222" s="701">
        <v>50</v>
      </c>
      <c r="Z1222" s="701">
        <v>90</v>
      </c>
      <c r="AA1222" s="697" t="s">
        <v>3043</v>
      </c>
      <c r="AB1222" s="701" t="s">
        <v>539</v>
      </c>
      <c r="AC1222" s="701" t="s">
        <v>539</v>
      </c>
      <c r="AD1222" s="458" t="s">
        <v>3044</v>
      </c>
      <c r="AE1222" s="459">
        <v>200</v>
      </c>
      <c r="AF1222" s="459">
        <v>289</v>
      </c>
      <c r="AG1222" s="701" t="s">
        <v>375</v>
      </c>
      <c r="AH1222" s="728"/>
      <c r="AI1222" s="697">
        <v>75489614</v>
      </c>
      <c r="AJ1222" s="699"/>
    </row>
    <row r="1223" spans="1:36" ht="24" hidden="1" customHeight="1">
      <c r="B1223" s="702"/>
      <c r="C1223" s="700"/>
      <c r="D1223" s="700"/>
      <c r="E1223" s="700"/>
      <c r="F1223" s="700"/>
      <c r="G1223" s="700"/>
      <c r="H1223" s="700"/>
      <c r="I1223" s="710"/>
      <c r="J1223" s="713"/>
      <c r="K1223" s="710"/>
      <c r="L1223" s="710"/>
      <c r="M1223" s="713"/>
      <c r="N1223" s="710"/>
      <c r="O1223" s="702"/>
      <c r="P1223" s="702"/>
      <c r="Q1223" s="710"/>
      <c r="R1223" s="708"/>
      <c r="S1223" s="702"/>
      <c r="T1223" s="702"/>
      <c r="U1223" s="702"/>
      <c r="V1223" s="702"/>
      <c r="W1223" s="702"/>
      <c r="X1223" s="702"/>
      <c r="Y1223" s="702"/>
      <c r="Z1223" s="702"/>
      <c r="AA1223" s="698"/>
      <c r="AB1223" s="702"/>
      <c r="AC1223" s="702"/>
      <c r="AD1223" s="473" t="s">
        <v>3045</v>
      </c>
      <c r="AE1223" s="474">
        <v>20</v>
      </c>
      <c r="AF1223" s="474">
        <v>24</v>
      </c>
      <c r="AG1223" s="702"/>
      <c r="AH1223" s="729"/>
      <c r="AI1223" s="698"/>
      <c r="AJ1223" s="700"/>
    </row>
    <row r="1224" spans="1:36" ht="24" hidden="1" customHeight="1">
      <c r="B1224" s="463">
        <v>987</v>
      </c>
      <c r="C1224" s="464" t="s">
        <v>534</v>
      </c>
      <c r="D1224" s="464"/>
      <c r="E1224" s="464" t="s">
        <v>535</v>
      </c>
      <c r="F1224" s="464"/>
      <c r="G1224" s="464" t="s">
        <v>3046</v>
      </c>
      <c r="H1224" s="464" t="s">
        <v>3047</v>
      </c>
      <c r="I1224" s="465" t="s">
        <v>537</v>
      </c>
      <c r="J1224" s="466">
        <v>10000</v>
      </c>
      <c r="K1224" s="465" t="s">
        <v>537</v>
      </c>
      <c r="L1224" s="465" t="s">
        <v>537</v>
      </c>
      <c r="M1224" s="466">
        <v>7540</v>
      </c>
      <c r="N1224" s="465" t="s">
        <v>537</v>
      </c>
      <c r="O1224" s="463" t="s">
        <v>537</v>
      </c>
      <c r="P1224" s="463" t="s">
        <v>537</v>
      </c>
      <c r="Q1224" s="468">
        <v>2460</v>
      </c>
      <c r="R1224" s="470">
        <v>241609</v>
      </c>
      <c r="S1224" s="463" t="s">
        <v>3048</v>
      </c>
      <c r="T1224" s="463">
        <v>60</v>
      </c>
      <c r="U1224" s="463">
        <v>10</v>
      </c>
      <c r="V1224" s="463">
        <v>10</v>
      </c>
      <c r="W1224" s="463">
        <v>84</v>
      </c>
      <c r="X1224" s="463">
        <v>16</v>
      </c>
      <c r="Y1224" s="463">
        <v>11</v>
      </c>
      <c r="Z1224" s="463">
        <v>96.8</v>
      </c>
      <c r="AA1224" s="472" t="s">
        <v>547</v>
      </c>
      <c r="AB1224" s="463" t="s">
        <v>539</v>
      </c>
      <c r="AC1224" s="463" t="s">
        <v>539</v>
      </c>
      <c r="AD1224" s="472" t="s">
        <v>548</v>
      </c>
      <c r="AE1224" s="463">
        <v>80</v>
      </c>
      <c r="AF1224" s="463">
        <v>96.8</v>
      </c>
      <c r="AG1224" s="463" t="s">
        <v>375</v>
      </c>
      <c r="AH1224" s="476"/>
      <c r="AI1224" s="472" t="s">
        <v>3049</v>
      </c>
      <c r="AJ1224" s="464"/>
    </row>
    <row r="1225" spans="1:36" ht="24" hidden="1" customHeight="1">
      <c r="B1225" s="701">
        <v>988</v>
      </c>
      <c r="C1225" s="699" t="s">
        <v>534</v>
      </c>
      <c r="D1225" s="699"/>
      <c r="E1225" s="699" t="s">
        <v>535</v>
      </c>
      <c r="F1225" s="699"/>
      <c r="G1225" s="699" t="s">
        <v>3050</v>
      </c>
      <c r="H1225" s="699" t="s">
        <v>3051</v>
      </c>
      <c r="I1225" s="709" t="s">
        <v>537</v>
      </c>
      <c r="J1225" s="712">
        <v>25000</v>
      </c>
      <c r="K1225" s="709" t="s">
        <v>537</v>
      </c>
      <c r="L1225" s="709" t="s">
        <v>537</v>
      </c>
      <c r="M1225" s="712">
        <v>24887</v>
      </c>
      <c r="N1225" s="709" t="s">
        <v>537</v>
      </c>
      <c r="O1225" s="701" t="s">
        <v>537</v>
      </c>
      <c r="P1225" s="701" t="s">
        <v>537</v>
      </c>
      <c r="Q1225" s="709">
        <v>113</v>
      </c>
      <c r="R1225" s="707">
        <v>241397</v>
      </c>
      <c r="S1225" s="721">
        <v>22270</v>
      </c>
      <c r="T1225" s="701">
        <v>400</v>
      </c>
      <c r="U1225" s="701">
        <v>20</v>
      </c>
      <c r="V1225" s="701">
        <v>0</v>
      </c>
      <c r="W1225" s="701">
        <v>400</v>
      </c>
      <c r="X1225" s="701">
        <v>20</v>
      </c>
      <c r="Y1225" s="701">
        <v>0</v>
      </c>
      <c r="Z1225" s="701">
        <v>84.26</v>
      </c>
      <c r="AA1225" s="458" t="s">
        <v>612</v>
      </c>
      <c r="AB1225" s="459" t="s">
        <v>539</v>
      </c>
      <c r="AC1225" s="459" t="s">
        <v>539</v>
      </c>
      <c r="AD1225" s="697" t="s">
        <v>606</v>
      </c>
      <c r="AE1225" s="701">
        <v>80</v>
      </c>
      <c r="AF1225" s="701">
        <v>84.26</v>
      </c>
      <c r="AG1225" s="701" t="s">
        <v>375</v>
      </c>
      <c r="AH1225" s="728"/>
      <c r="AI1225" s="697">
        <v>954144755</v>
      </c>
      <c r="AJ1225" s="699"/>
    </row>
    <row r="1226" spans="1:36" ht="24" hidden="1" customHeight="1">
      <c r="B1226" s="702"/>
      <c r="C1226" s="700"/>
      <c r="D1226" s="700"/>
      <c r="E1226" s="700"/>
      <c r="F1226" s="700"/>
      <c r="G1226" s="700"/>
      <c r="H1226" s="700"/>
      <c r="I1226" s="710"/>
      <c r="J1226" s="713"/>
      <c r="K1226" s="710"/>
      <c r="L1226" s="710"/>
      <c r="M1226" s="713"/>
      <c r="N1226" s="710"/>
      <c r="O1226" s="702"/>
      <c r="P1226" s="702"/>
      <c r="Q1226" s="710"/>
      <c r="R1226" s="708"/>
      <c r="S1226" s="722"/>
      <c r="T1226" s="702"/>
      <c r="U1226" s="702"/>
      <c r="V1226" s="702"/>
      <c r="W1226" s="702"/>
      <c r="X1226" s="702"/>
      <c r="Y1226" s="702"/>
      <c r="Z1226" s="702"/>
      <c r="AA1226" s="473" t="s">
        <v>3052</v>
      </c>
      <c r="AB1226" s="474" t="s">
        <v>539</v>
      </c>
      <c r="AC1226" s="474" t="s">
        <v>539</v>
      </c>
      <c r="AD1226" s="698"/>
      <c r="AE1226" s="702"/>
      <c r="AF1226" s="702"/>
      <c r="AG1226" s="702"/>
      <c r="AH1226" s="729"/>
      <c r="AI1226" s="698"/>
      <c r="AJ1226" s="700"/>
    </row>
    <row r="1227" spans="1:36" ht="24" hidden="1" customHeight="1">
      <c r="B1227" s="463">
        <v>989</v>
      </c>
      <c r="C1227" s="464" t="s">
        <v>534</v>
      </c>
      <c r="D1227" s="464"/>
      <c r="E1227" s="464" t="s">
        <v>535</v>
      </c>
      <c r="F1227" s="464"/>
      <c r="G1227" s="464" t="s">
        <v>3050</v>
      </c>
      <c r="H1227" s="464" t="s">
        <v>3053</v>
      </c>
      <c r="I1227" s="465" t="s">
        <v>537</v>
      </c>
      <c r="J1227" s="466">
        <v>17000</v>
      </c>
      <c r="K1227" s="465" t="s">
        <v>537</v>
      </c>
      <c r="L1227" s="465" t="s">
        <v>537</v>
      </c>
      <c r="M1227" s="466">
        <v>16733</v>
      </c>
      <c r="N1227" s="465" t="s">
        <v>537</v>
      </c>
      <c r="O1227" s="463" t="s">
        <v>537</v>
      </c>
      <c r="P1227" s="463" t="s">
        <v>537</v>
      </c>
      <c r="Q1227" s="465">
        <v>267</v>
      </c>
      <c r="R1227" s="470">
        <v>241609</v>
      </c>
      <c r="S1227" s="463" t="s">
        <v>2719</v>
      </c>
      <c r="T1227" s="463">
        <v>240</v>
      </c>
      <c r="U1227" s="463">
        <v>10</v>
      </c>
      <c r="V1227" s="463">
        <v>0</v>
      </c>
      <c r="W1227" s="463">
        <v>216</v>
      </c>
      <c r="X1227" s="463">
        <v>14</v>
      </c>
      <c r="Y1227" s="463">
        <v>0</v>
      </c>
      <c r="Z1227" s="463">
        <v>89.49</v>
      </c>
      <c r="AA1227" s="472" t="s">
        <v>547</v>
      </c>
      <c r="AB1227" s="463" t="s">
        <v>539</v>
      </c>
      <c r="AC1227" s="463" t="s">
        <v>539</v>
      </c>
      <c r="AD1227" s="472" t="s">
        <v>548</v>
      </c>
      <c r="AE1227" s="463">
        <v>80</v>
      </c>
      <c r="AF1227" s="463">
        <v>89.49</v>
      </c>
      <c r="AG1227" s="463" t="s">
        <v>375</v>
      </c>
      <c r="AH1227" s="476"/>
      <c r="AI1227" s="472">
        <v>936834451</v>
      </c>
      <c r="AJ1227" s="464"/>
    </row>
    <row r="1228" spans="1:36" ht="24" hidden="1" customHeight="1">
      <c r="B1228" s="463">
        <v>990</v>
      </c>
      <c r="C1228" s="464" t="s">
        <v>534</v>
      </c>
      <c r="D1228" s="464"/>
      <c r="E1228" s="464" t="s">
        <v>535</v>
      </c>
      <c r="F1228" s="464"/>
      <c r="G1228" s="464" t="s">
        <v>3050</v>
      </c>
      <c r="H1228" s="464" t="s">
        <v>3054</v>
      </c>
      <c r="I1228" s="465" t="s">
        <v>537</v>
      </c>
      <c r="J1228" s="466">
        <v>10000</v>
      </c>
      <c r="K1228" s="465" t="s">
        <v>537</v>
      </c>
      <c r="L1228" s="465" t="s">
        <v>537</v>
      </c>
      <c r="M1228" s="466">
        <v>9947.2000000000007</v>
      </c>
      <c r="N1228" s="465" t="s">
        <v>537</v>
      </c>
      <c r="O1228" s="463" t="s">
        <v>537</v>
      </c>
      <c r="P1228" s="463" t="s">
        <v>537</v>
      </c>
      <c r="Q1228" s="465">
        <v>53</v>
      </c>
      <c r="R1228" s="470">
        <v>241459</v>
      </c>
      <c r="S1228" s="471">
        <v>22333</v>
      </c>
      <c r="T1228" s="463">
        <v>130</v>
      </c>
      <c r="U1228" s="463">
        <v>50</v>
      </c>
      <c r="V1228" s="463">
        <v>0</v>
      </c>
      <c r="W1228" s="463">
        <v>170</v>
      </c>
      <c r="X1228" s="463">
        <v>86</v>
      </c>
      <c r="Y1228" s="463">
        <v>0</v>
      </c>
      <c r="Z1228" s="463">
        <v>93.5</v>
      </c>
      <c r="AA1228" s="472" t="s">
        <v>547</v>
      </c>
      <c r="AB1228" s="463" t="s">
        <v>539</v>
      </c>
      <c r="AC1228" s="463" t="s">
        <v>539</v>
      </c>
      <c r="AD1228" s="472" t="s">
        <v>548</v>
      </c>
      <c r="AE1228" s="463">
        <v>80</v>
      </c>
      <c r="AF1228" s="463">
        <v>93.5</v>
      </c>
      <c r="AG1228" s="463" t="s">
        <v>375</v>
      </c>
      <c r="AH1228" s="476"/>
      <c r="AI1228" s="472">
        <v>658696630</v>
      </c>
      <c r="AJ1228" s="464"/>
    </row>
    <row r="1229" spans="1:36" ht="24" hidden="1" customHeight="1">
      <c r="B1229" s="463">
        <v>991</v>
      </c>
      <c r="C1229" s="464" t="s">
        <v>534</v>
      </c>
      <c r="D1229" s="464" t="s">
        <v>544</v>
      </c>
      <c r="E1229" s="464" t="s">
        <v>535</v>
      </c>
      <c r="F1229" s="464"/>
      <c r="G1229" s="464" t="s">
        <v>279</v>
      </c>
      <c r="H1229" s="464" t="s">
        <v>3055</v>
      </c>
      <c r="I1229" s="465" t="s">
        <v>537</v>
      </c>
      <c r="J1229" s="466">
        <v>50000</v>
      </c>
      <c r="K1229" s="465" t="s">
        <v>537</v>
      </c>
      <c r="L1229" s="465" t="s">
        <v>537</v>
      </c>
      <c r="M1229" s="466">
        <v>50000</v>
      </c>
      <c r="N1229" s="465" t="s">
        <v>537</v>
      </c>
      <c r="O1229" s="463" t="s">
        <v>537</v>
      </c>
      <c r="P1229" s="463" t="s">
        <v>537</v>
      </c>
      <c r="Q1229" s="465">
        <v>0</v>
      </c>
      <c r="R1229" s="470">
        <v>241609</v>
      </c>
      <c r="S1229" s="471">
        <v>22483</v>
      </c>
      <c r="T1229" s="463">
        <v>170</v>
      </c>
      <c r="U1229" s="463">
        <v>10</v>
      </c>
      <c r="V1229" s="463">
        <v>0</v>
      </c>
      <c r="W1229" s="463">
        <v>170</v>
      </c>
      <c r="X1229" s="463">
        <v>10</v>
      </c>
      <c r="Y1229" s="463">
        <v>0</v>
      </c>
      <c r="Z1229" s="463">
        <v>82.45</v>
      </c>
      <c r="AA1229" s="472" t="s">
        <v>547</v>
      </c>
      <c r="AB1229" s="463" t="s">
        <v>539</v>
      </c>
      <c r="AC1229" s="463" t="s">
        <v>539</v>
      </c>
      <c r="AD1229" s="472" t="s">
        <v>548</v>
      </c>
      <c r="AE1229" s="463" t="s">
        <v>620</v>
      </c>
      <c r="AF1229" s="463">
        <v>85.5</v>
      </c>
      <c r="AG1229" s="463" t="s">
        <v>376</v>
      </c>
      <c r="AH1229" s="476"/>
      <c r="AI1229" s="472" t="s">
        <v>1933</v>
      </c>
      <c r="AJ1229" s="464"/>
    </row>
    <row r="1230" spans="1:36" ht="24" hidden="1" customHeight="1">
      <c r="B1230" s="463">
        <v>992</v>
      </c>
      <c r="C1230" s="464" t="s">
        <v>534</v>
      </c>
      <c r="D1230" s="464" t="s">
        <v>544</v>
      </c>
      <c r="E1230" s="464" t="s">
        <v>535</v>
      </c>
      <c r="F1230" s="464"/>
      <c r="G1230" s="464" t="s">
        <v>269</v>
      </c>
      <c r="H1230" s="464" t="s">
        <v>3056</v>
      </c>
      <c r="I1230" s="465" t="s">
        <v>537</v>
      </c>
      <c r="J1230" s="466">
        <v>80000</v>
      </c>
      <c r="K1230" s="465" t="s">
        <v>537</v>
      </c>
      <c r="L1230" s="465" t="s">
        <v>537</v>
      </c>
      <c r="M1230" s="466">
        <v>79680</v>
      </c>
      <c r="N1230" s="465" t="s">
        <v>537</v>
      </c>
      <c r="O1230" s="463" t="s">
        <v>537</v>
      </c>
      <c r="P1230" s="463" t="s">
        <v>537</v>
      </c>
      <c r="Q1230" s="465">
        <v>320</v>
      </c>
      <c r="R1230" s="470">
        <v>241518</v>
      </c>
      <c r="S1230" s="463" t="s">
        <v>981</v>
      </c>
      <c r="T1230" s="463">
        <v>0</v>
      </c>
      <c r="U1230" s="463">
        <v>22</v>
      </c>
      <c r="V1230" s="463">
        <v>0</v>
      </c>
      <c r="W1230" s="463">
        <v>0</v>
      </c>
      <c r="X1230" s="463">
        <v>22</v>
      </c>
      <c r="Y1230" s="463">
        <v>0</v>
      </c>
      <c r="Z1230" s="463">
        <v>90</v>
      </c>
      <c r="AA1230" s="472" t="s">
        <v>547</v>
      </c>
      <c r="AB1230" s="463" t="s">
        <v>539</v>
      </c>
      <c r="AC1230" s="463" t="s">
        <v>539</v>
      </c>
      <c r="AD1230" s="472" t="s">
        <v>548</v>
      </c>
      <c r="AE1230" s="463">
        <v>80</v>
      </c>
      <c r="AF1230" s="463">
        <v>85</v>
      </c>
      <c r="AG1230" s="463" t="s">
        <v>375</v>
      </c>
      <c r="AH1230" s="476"/>
      <c r="AI1230" s="472" t="s">
        <v>3057</v>
      </c>
      <c r="AJ1230" s="464"/>
    </row>
    <row r="1231" spans="1:36" ht="24" hidden="1" customHeight="1">
      <c r="B1231" s="463">
        <v>993</v>
      </c>
      <c r="C1231" s="464" t="s">
        <v>377</v>
      </c>
      <c r="D1231" s="464"/>
      <c r="E1231" s="464" t="s">
        <v>602</v>
      </c>
      <c r="F1231" s="464"/>
      <c r="G1231" s="464" t="s">
        <v>276</v>
      </c>
      <c r="H1231" s="464" t="s">
        <v>3058</v>
      </c>
      <c r="I1231" s="466">
        <v>50000</v>
      </c>
      <c r="J1231" s="465" t="s">
        <v>537</v>
      </c>
      <c r="K1231" s="465" t="s">
        <v>537</v>
      </c>
      <c r="L1231" s="466">
        <v>49625</v>
      </c>
      <c r="M1231" s="465" t="s">
        <v>537</v>
      </c>
      <c r="N1231" s="465" t="s">
        <v>537</v>
      </c>
      <c r="O1231" s="463" t="s">
        <v>537</v>
      </c>
      <c r="P1231" s="463" t="s">
        <v>537</v>
      </c>
      <c r="Q1231" s="465">
        <v>375</v>
      </c>
      <c r="R1231" s="470">
        <v>241487</v>
      </c>
      <c r="S1231" s="463" t="s">
        <v>3059</v>
      </c>
      <c r="T1231" s="463">
        <v>45</v>
      </c>
      <c r="U1231" s="463">
        <v>5</v>
      </c>
      <c r="V1231" s="463">
        <v>0</v>
      </c>
      <c r="W1231" s="463">
        <v>45</v>
      </c>
      <c r="X1231" s="463">
        <v>8</v>
      </c>
      <c r="Y1231" s="463">
        <v>0</v>
      </c>
      <c r="Z1231" s="463">
        <v>87.07</v>
      </c>
      <c r="AA1231" s="472" t="s">
        <v>612</v>
      </c>
      <c r="AB1231" s="463" t="s">
        <v>539</v>
      </c>
      <c r="AC1231" s="463" t="s">
        <v>539</v>
      </c>
      <c r="AD1231" s="472" t="s">
        <v>606</v>
      </c>
      <c r="AE1231" s="463">
        <v>80</v>
      </c>
      <c r="AF1231" s="463">
        <v>88.03</v>
      </c>
      <c r="AG1231" s="463" t="s">
        <v>375</v>
      </c>
      <c r="AH1231" s="476"/>
      <c r="AI1231" s="472" t="s">
        <v>3060</v>
      </c>
      <c r="AJ1231" s="464"/>
    </row>
    <row r="1232" spans="1:36" ht="24" hidden="1" customHeight="1">
      <c r="B1232" s="463">
        <v>994</v>
      </c>
      <c r="C1232" s="464" t="s">
        <v>377</v>
      </c>
      <c r="D1232" s="464"/>
      <c r="E1232" s="464" t="s">
        <v>602</v>
      </c>
      <c r="F1232" s="464"/>
      <c r="G1232" s="464" t="s">
        <v>276</v>
      </c>
      <c r="H1232" s="464" t="s">
        <v>3061</v>
      </c>
      <c r="I1232" s="466">
        <v>50000</v>
      </c>
      <c r="J1232" s="465" t="s">
        <v>537</v>
      </c>
      <c r="K1232" s="465" t="s">
        <v>537</v>
      </c>
      <c r="L1232" s="466">
        <v>49760</v>
      </c>
      <c r="M1232" s="465" t="s">
        <v>537</v>
      </c>
      <c r="N1232" s="465" t="s">
        <v>537</v>
      </c>
      <c r="O1232" s="463" t="s">
        <v>537</v>
      </c>
      <c r="P1232" s="463" t="s">
        <v>537</v>
      </c>
      <c r="Q1232" s="465">
        <v>240</v>
      </c>
      <c r="R1232" s="470">
        <v>241428</v>
      </c>
      <c r="S1232" s="463" t="s">
        <v>3062</v>
      </c>
      <c r="T1232" s="463">
        <v>20</v>
      </c>
      <c r="U1232" s="463">
        <v>5</v>
      </c>
      <c r="V1232" s="463">
        <v>0</v>
      </c>
      <c r="W1232" s="463">
        <v>20</v>
      </c>
      <c r="X1232" s="463">
        <v>5</v>
      </c>
      <c r="Y1232" s="463">
        <v>0</v>
      </c>
      <c r="Z1232" s="463">
        <v>82.57</v>
      </c>
      <c r="AA1232" s="472" t="s">
        <v>612</v>
      </c>
      <c r="AB1232" s="463" t="s">
        <v>539</v>
      </c>
      <c r="AC1232" s="463" t="s">
        <v>539</v>
      </c>
      <c r="AD1232" s="472" t="s">
        <v>606</v>
      </c>
      <c r="AE1232" s="463">
        <v>80</v>
      </c>
      <c r="AF1232" s="463">
        <v>82.57</v>
      </c>
      <c r="AG1232" s="463" t="s">
        <v>375</v>
      </c>
      <c r="AH1232" s="476"/>
      <c r="AI1232" s="472" t="s">
        <v>3063</v>
      </c>
      <c r="AJ1232" s="464"/>
    </row>
    <row r="1233" spans="1:36" ht="24" hidden="1" customHeight="1">
      <c r="B1233" s="463">
        <v>995</v>
      </c>
      <c r="C1233" s="464" t="s">
        <v>377</v>
      </c>
      <c r="D1233" s="464"/>
      <c r="E1233" s="464" t="s">
        <v>602</v>
      </c>
      <c r="F1233" s="464"/>
      <c r="G1233" s="464" t="s">
        <v>276</v>
      </c>
      <c r="H1233" s="464" t="s">
        <v>3064</v>
      </c>
      <c r="I1233" s="466">
        <v>30000</v>
      </c>
      <c r="J1233" s="465" t="s">
        <v>537</v>
      </c>
      <c r="K1233" s="465" t="s">
        <v>537</v>
      </c>
      <c r="L1233" s="466">
        <v>29991</v>
      </c>
      <c r="M1233" s="465" t="s">
        <v>537</v>
      </c>
      <c r="N1233" s="465" t="s">
        <v>537</v>
      </c>
      <c r="O1233" s="463" t="s">
        <v>537</v>
      </c>
      <c r="P1233" s="463" t="s">
        <v>537</v>
      </c>
      <c r="Q1233" s="465">
        <v>9</v>
      </c>
      <c r="R1233" s="470">
        <v>241640</v>
      </c>
      <c r="S1233" s="471">
        <v>22487</v>
      </c>
      <c r="T1233" s="463">
        <v>20</v>
      </c>
      <c r="U1233" s="463">
        <v>5</v>
      </c>
      <c r="V1233" s="463">
        <v>0</v>
      </c>
      <c r="W1233" s="463">
        <v>20</v>
      </c>
      <c r="X1233" s="463">
        <v>5</v>
      </c>
      <c r="Y1233" s="463" t="s">
        <v>537</v>
      </c>
      <c r="Z1233" s="463">
        <v>88.86</v>
      </c>
      <c r="AA1233" s="472" t="s">
        <v>612</v>
      </c>
      <c r="AB1233" s="463" t="s">
        <v>539</v>
      </c>
      <c r="AC1233" s="463" t="s">
        <v>539</v>
      </c>
      <c r="AD1233" s="472" t="s">
        <v>606</v>
      </c>
      <c r="AE1233" s="463">
        <v>80</v>
      </c>
      <c r="AF1233" s="463">
        <v>88.86</v>
      </c>
      <c r="AG1233" s="463" t="s">
        <v>375</v>
      </c>
      <c r="AH1233" s="476"/>
      <c r="AI1233" s="472" t="s">
        <v>3063</v>
      </c>
      <c r="AJ1233" s="464"/>
    </row>
    <row r="1234" spans="1:36" ht="24" hidden="1" customHeight="1">
      <c r="B1234" s="463">
        <v>996</v>
      </c>
      <c r="C1234" s="464" t="s">
        <v>377</v>
      </c>
      <c r="D1234" s="464"/>
      <c r="E1234" s="464" t="s">
        <v>602</v>
      </c>
      <c r="F1234" s="464"/>
      <c r="G1234" s="464" t="s">
        <v>276</v>
      </c>
      <c r="H1234" s="464" t="s">
        <v>3065</v>
      </c>
      <c r="I1234" s="465" t="s">
        <v>537</v>
      </c>
      <c r="J1234" s="466">
        <v>50000</v>
      </c>
      <c r="K1234" s="465" t="s">
        <v>537</v>
      </c>
      <c r="L1234" s="465" t="s">
        <v>537</v>
      </c>
      <c r="M1234" s="466">
        <v>12040</v>
      </c>
      <c r="N1234" s="465" t="s">
        <v>537</v>
      </c>
      <c r="O1234" s="463" t="s">
        <v>537</v>
      </c>
      <c r="P1234" s="463" t="s">
        <v>537</v>
      </c>
      <c r="Q1234" s="468">
        <v>37960</v>
      </c>
      <c r="R1234" s="470">
        <v>241579</v>
      </c>
      <c r="S1234" s="463" t="s">
        <v>2610</v>
      </c>
      <c r="T1234" s="463">
        <v>45</v>
      </c>
      <c r="U1234" s="463">
        <v>5</v>
      </c>
      <c r="V1234" s="463">
        <v>0</v>
      </c>
      <c r="W1234" s="463">
        <v>44</v>
      </c>
      <c r="X1234" s="463">
        <v>2</v>
      </c>
      <c r="Y1234" s="463" t="s">
        <v>537</v>
      </c>
      <c r="Z1234" s="463">
        <v>90.2</v>
      </c>
      <c r="AA1234" s="472" t="s">
        <v>612</v>
      </c>
      <c r="AB1234" s="463" t="s">
        <v>539</v>
      </c>
      <c r="AC1234" s="463" t="s">
        <v>539</v>
      </c>
      <c r="AD1234" s="472" t="s">
        <v>606</v>
      </c>
      <c r="AE1234" s="463">
        <v>80</v>
      </c>
      <c r="AF1234" s="463">
        <v>90.2</v>
      </c>
      <c r="AG1234" s="463" t="s">
        <v>375</v>
      </c>
      <c r="AH1234" s="476"/>
      <c r="AI1234" s="472" t="s">
        <v>3060</v>
      </c>
      <c r="AJ1234" s="464"/>
    </row>
    <row r="1235" spans="1:36" ht="24" hidden="1" customHeight="1">
      <c r="B1235" s="463">
        <v>997</v>
      </c>
      <c r="C1235" s="464" t="s">
        <v>534</v>
      </c>
      <c r="D1235" s="464"/>
      <c r="E1235" s="464" t="s">
        <v>535</v>
      </c>
      <c r="F1235" s="464"/>
      <c r="G1235" s="464" t="s">
        <v>276</v>
      </c>
      <c r="H1235" s="464" t="s">
        <v>3066</v>
      </c>
      <c r="I1235" s="466">
        <v>25000</v>
      </c>
      <c r="J1235" s="465" t="s">
        <v>537</v>
      </c>
      <c r="K1235" s="465" t="s">
        <v>537</v>
      </c>
      <c r="L1235" s="466">
        <v>24996</v>
      </c>
      <c r="M1235" s="465" t="s">
        <v>537</v>
      </c>
      <c r="N1235" s="465" t="s">
        <v>537</v>
      </c>
      <c r="O1235" s="463">
        <v>4</v>
      </c>
      <c r="P1235" s="463" t="s">
        <v>537</v>
      </c>
      <c r="Q1235" s="465">
        <v>0</v>
      </c>
      <c r="R1235" s="470">
        <v>241397</v>
      </c>
      <c r="S1235" s="471">
        <v>22270</v>
      </c>
      <c r="T1235" s="463">
        <v>10</v>
      </c>
      <c r="U1235" s="463">
        <v>20</v>
      </c>
      <c r="V1235" s="463">
        <v>70</v>
      </c>
      <c r="W1235" s="463">
        <v>27</v>
      </c>
      <c r="X1235" s="463">
        <v>30</v>
      </c>
      <c r="Y1235" s="463">
        <v>155</v>
      </c>
      <c r="Z1235" s="463">
        <v>95</v>
      </c>
      <c r="AA1235" s="472" t="s">
        <v>1181</v>
      </c>
      <c r="AB1235" s="463" t="s">
        <v>539</v>
      </c>
      <c r="AC1235" s="463" t="s">
        <v>539</v>
      </c>
      <c r="AD1235" s="472" t="s">
        <v>1016</v>
      </c>
      <c r="AE1235" s="463">
        <v>80</v>
      </c>
      <c r="AF1235" s="463">
        <v>90</v>
      </c>
      <c r="AG1235" s="463" t="s">
        <v>375</v>
      </c>
      <c r="AH1235" s="476"/>
      <c r="AI1235" s="472" t="s">
        <v>3067</v>
      </c>
      <c r="AJ1235" s="464"/>
    </row>
    <row r="1236" spans="1:36" ht="24" hidden="1" customHeight="1">
      <c r="B1236" s="463">
        <v>998</v>
      </c>
      <c r="C1236" s="464" t="s">
        <v>534</v>
      </c>
      <c r="D1236" s="464"/>
      <c r="E1236" s="464" t="s">
        <v>535</v>
      </c>
      <c r="F1236" s="464"/>
      <c r="G1236" s="464" t="s">
        <v>276</v>
      </c>
      <c r="H1236" s="464" t="s">
        <v>642</v>
      </c>
      <c r="I1236" s="466">
        <v>60000</v>
      </c>
      <c r="J1236" s="465" t="s">
        <v>537</v>
      </c>
      <c r="K1236" s="465" t="s">
        <v>537</v>
      </c>
      <c r="L1236" s="466">
        <v>52645</v>
      </c>
      <c r="M1236" s="465" t="s">
        <v>537</v>
      </c>
      <c r="N1236" s="465" t="s">
        <v>537</v>
      </c>
      <c r="O1236" s="463" t="s">
        <v>537</v>
      </c>
      <c r="P1236" s="463" t="s">
        <v>537</v>
      </c>
      <c r="Q1236" s="468">
        <v>7355</v>
      </c>
      <c r="R1236" s="470">
        <v>241518</v>
      </c>
      <c r="S1236" s="463" t="s">
        <v>3068</v>
      </c>
      <c r="T1236" s="463">
        <v>0</v>
      </c>
      <c r="U1236" s="463">
        <v>2</v>
      </c>
      <c r="V1236" s="463">
        <v>0</v>
      </c>
      <c r="W1236" s="463" t="s">
        <v>537</v>
      </c>
      <c r="X1236" s="463">
        <v>2</v>
      </c>
      <c r="Y1236" s="463" t="s">
        <v>537</v>
      </c>
      <c r="Z1236" s="463">
        <v>98</v>
      </c>
      <c r="AA1236" s="472" t="s">
        <v>633</v>
      </c>
      <c r="AB1236" s="463" t="s">
        <v>539</v>
      </c>
      <c r="AC1236" s="463" t="s">
        <v>539</v>
      </c>
      <c r="AD1236" s="472" t="s">
        <v>635</v>
      </c>
      <c r="AE1236" s="463" t="s">
        <v>539</v>
      </c>
      <c r="AF1236" s="463" t="s">
        <v>539</v>
      </c>
      <c r="AG1236" s="463" t="s">
        <v>375</v>
      </c>
      <c r="AH1236" s="476"/>
      <c r="AI1236" s="472" t="s">
        <v>3067</v>
      </c>
      <c r="AJ1236" s="464"/>
    </row>
    <row r="1237" spans="1:36" ht="24" hidden="1" customHeight="1">
      <c r="B1237" s="463">
        <v>999</v>
      </c>
      <c r="C1237" s="464" t="s">
        <v>534</v>
      </c>
      <c r="D1237" s="464"/>
      <c r="E1237" s="464" t="s">
        <v>535</v>
      </c>
      <c r="F1237" s="464"/>
      <c r="G1237" s="464" t="s">
        <v>276</v>
      </c>
      <c r="H1237" s="464" t="s">
        <v>636</v>
      </c>
      <c r="I1237" s="466">
        <v>200000</v>
      </c>
      <c r="J1237" s="465" t="s">
        <v>537</v>
      </c>
      <c r="K1237" s="465" t="s">
        <v>537</v>
      </c>
      <c r="L1237" s="466">
        <v>199992</v>
      </c>
      <c r="M1237" s="465" t="s">
        <v>537</v>
      </c>
      <c r="N1237" s="465" t="s">
        <v>537</v>
      </c>
      <c r="O1237" s="463" t="s">
        <v>537</v>
      </c>
      <c r="P1237" s="463" t="s">
        <v>537</v>
      </c>
      <c r="Q1237" s="465">
        <v>8</v>
      </c>
      <c r="R1237" s="470">
        <v>241609</v>
      </c>
      <c r="S1237" s="463" t="s">
        <v>637</v>
      </c>
      <c r="T1237" s="463">
        <v>46</v>
      </c>
      <c r="U1237" s="463">
        <v>9</v>
      </c>
      <c r="V1237" s="463">
        <v>0</v>
      </c>
      <c r="W1237" s="463">
        <v>70</v>
      </c>
      <c r="X1237" s="463">
        <v>8</v>
      </c>
      <c r="Y1237" s="463" t="s">
        <v>537</v>
      </c>
      <c r="Z1237" s="463">
        <v>85.54</v>
      </c>
      <c r="AA1237" s="472" t="s">
        <v>728</v>
      </c>
      <c r="AB1237" s="463">
        <v>1</v>
      </c>
      <c r="AC1237" s="463">
        <v>4</v>
      </c>
      <c r="AD1237" s="472" t="s">
        <v>651</v>
      </c>
      <c r="AE1237" s="463">
        <v>1</v>
      </c>
      <c r="AF1237" s="463">
        <v>1</v>
      </c>
      <c r="AG1237" s="463" t="s">
        <v>375</v>
      </c>
      <c r="AH1237" s="476"/>
      <c r="AI1237" s="472" t="s">
        <v>3060</v>
      </c>
      <c r="AJ1237" s="464"/>
    </row>
    <row r="1238" spans="1:36" ht="24" hidden="1" customHeight="1">
      <c r="B1238" s="463">
        <v>1000</v>
      </c>
      <c r="C1238" s="464" t="s">
        <v>534</v>
      </c>
      <c r="D1238" s="464"/>
      <c r="E1238" s="464" t="s">
        <v>535</v>
      </c>
      <c r="F1238" s="464"/>
      <c r="G1238" s="464" t="s">
        <v>276</v>
      </c>
      <c r="H1238" s="464" t="s">
        <v>3069</v>
      </c>
      <c r="I1238" s="466">
        <v>150000</v>
      </c>
      <c r="J1238" s="465" t="s">
        <v>537</v>
      </c>
      <c r="K1238" s="465" t="s">
        <v>537</v>
      </c>
      <c r="L1238" s="466">
        <v>122522</v>
      </c>
      <c r="M1238" s="465" t="s">
        <v>537</v>
      </c>
      <c r="N1238" s="465" t="s">
        <v>537</v>
      </c>
      <c r="O1238" s="467">
        <v>27478</v>
      </c>
      <c r="P1238" s="463" t="s">
        <v>537</v>
      </c>
      <c r="Q1238" s="465">
        <v>0</v>
      </c>
      <c r="R1238" s="463" t="s">
        <v>3070</v>
      </c>
      <c r="S1238" s="463" t="s">
        <v>3071</v>
      </c>
      <c r="T1238" s="463">
        <v>20</v>
      </c>
      <c r="U1238" s="463">
        <v>8</v>
      </c>
      <c r="V1238" s="463">
        <v>0</v>
      </c>
      <c r="W1238" s="463">
        <v>20</v>
      </c>
      <c r="X1238" s="463">
        <v>8</v>
      </c>
      <c r="Y1238" s="463">
        <v>0</v>
      </c>
      <c r="Z1238" s="463">
        <v>94.4</v>
      </c>
      <c r="AA1238" s="472" t="s">
        <v>633</v>
      </c>
      <c r="AB1238" s="463" t="s">
        <v>539</v>
      </c>
      <c r="AC1238" s="463" t="s">
        <v>539</v>
      </c>
      <c r="AD1238" s="472" t="s">
        <v>635</v>
      </c>
      <c r="AE1238" s="463" t="s">
        <v>539</v>
      </c>
      <c r="AF1238" s="463" t="s">
        <v>539</v>
      </c>
      <c r="AG1238" s="463" t="s">
        <v>375</v>
      </c>
      <c r="AH1238" s="476"/>
      <c r="AI1238" s="472" t="s">
        <v>3072</v>
      </c>
      <c r="AJ1238" s="464"/>
    </row>
    <row r="1239" spans="1:36" ht="24" hidden="1" customHeight="1">
      <c r="B1239" s="463">
        <v>1001</v>
      </c>
      <c r="C1239" s="464" t="s">
        <v>534</v>
      </c>
      <c r="D1239" s="464"/>
      <c r="E1239" s="464" t="s">
        <v>535</v>
      </c>
      <c r="F1239" s="464"/>
      <c r="G1239" s="464" t="s">
        <v>276</v>
      </c>
      <c r="H1239" s="464" t="s">
        <v>3073</v>
      </c>
      <c r="I1239" s="465" t="s">
        <v>537</v>
      </c>
      <c r="J1239" s="465" t="s">
        <v>537</v>
      </c>
      <c r="K1239" s="466">
        <v>150000</v>
      </c>
      <c r="L1239" s="465" t="s">
        <v>537</v>
      </c>
      <c r="M1239" s="465" t="s">
        <v>537</v>
      </c>
      <c r="N1239" s="466">
        <v>128380</v>
      </c>
      <c r="O1239" s="467">
        <v>21620</v>
      </c>
      <c r="P1239" s="463" t="s">
        <v>537</v>
      </c>
      <c r="Q1239" s="465">
        <v>0</v>
      </c>
      <c r="R1239" s="470">
        <v>241428</v>
      </c>
      <c r="S1239" s="463" t="s">
        <v>1332</v>
      </c>
      <c r="T1239" s="463">
        <v>60</v>
      </c>
      <c r="U1239" s="463">
        <v>90</v>
      </c>
      <c r="V1239" s="463">
        <v>50</v>
      </c>
      <c r="W1239" s="463">
        <v>0</v>
      </c>
      <c r="X1239" s="463">
        <v>0</v>
      </c>
      <c r="Y1239" s="463">
        <v>316</v>
      </c>
      <c r="Z1239" s="463">
        <v>88.48</v>
      </c>
      <c r="AA1239" s="472" t="s">
        <v>1712</v>
      </c>
      <c r="AB1239" s="463" t="s">
        <v>539</v>
      </c>
      <c r="AC1239" s="463" t="s">
        <v>539</v>
      </c>
      <c r="AD1239" s="472" t="s">
        <v>548</v>
      </c>
      <c r="AE1239" s="463">
        <v>80</v>
      </c>
      <c r="AF1239" s="463">
        <v>89.77</v>
      </c>
      <c r="AG1239" s="463" t="s">
        <v>375</v>
      </c>
      <c r="AH1239" s="476"/>
      <c r="AI1239" s="472" t="s">
        <v>3067</v>
      </c>
      <c r="AJ1239" s="472" t="s">
        <v>543</v>
      </c>
    </row>
    <row r="1240" spans="1:36" ht="24" hidden="1" customHeight="1">
      <c r="B1240" s="463">
        <v>1002</v>
      </c>
      <c r="C1240" s="464" t="s">
        <v>534</v>
      </c>
      <c r="D1240" s="464"/>
      <c r="E1240" s="464" t="s">
        <v>535</v>
      </c>
      <c r="F1240" s="464"/>
      <c r="G1240" s="464" t="s">
        <v>276</v>
      </c>
      <c r="H1240" s="464" t="s">
        <v>3074</v>
      </c>
      <c r="I1240" s="465" t="s">
        <v>537</v>
      </c>
      <c r="J1240" s="465" t="s">
        <v>537</v>
      </c>
      <c r="K1240" s="466">
        <v>15000</v>
      </c>
      <c r="L1240" s="465" t="s">
        <v>537</v>
      </c>
      <c r="M1240" s="465" t="s">
        <v>537</v>
      </c>
      <c r="N1240" s="466">
        <v>15000</v>
      </c>
      <c r="O1240" s="463" t="s">
        <v>537</v>
      </c>
      <c r="P1240" s="463" t="s">
        <v>537</v>
      </c>
      <c r="Q1240" s="465">
        <v>0</v>
      </c>
      <c r="R1240" s="470">
        <v>241459</v>
      </c>
      <c r="S1240" s="471">
        <v>22337</v>
      </c>
      <c r="T1240" s="463">
        <v>55</v>
      </c>
      <c r="U1240" s="463">
        <v>5</v>
      </c>
      <c r="V1240" s="463">
        <v>0</v>
      </c>
      <c r="W1240" s="463">
        <v>50</v>
      </c>
      <c r="X1240" s="463">
        <v>10</v>
      </c>
      <c r="Y1240" s="463">
        <v>0</v>
      </c>
      <c r="Z1240" s="463">
        <v>84</v>
      </c>
      <c r="AA1240" s="472" t="s">
        <v>1077</v>
      </c>
      <c r="AB1240" s="463">
        <v>80</v>
      </c>
      <c r="AC1240" s="463">
        <v>84</v>
      </c>
      <c r="AD1240" s="472" t="s">
        <v>571</v>
      </c>
      <c r="AE1240" s="463">
        <v>80</v>
      </c>
      <c r="AF1240" s="463">
        <v>84</v>
      </c>
      <c r="AG1240" s="463" t="s">
        <v>375</v>
      </c>
      <c r="AH1240" s="476"/>
      <c r="AI1240" s="472">
        <v>833919116</v>
      </c>
      <c r="AJ1240" s="472" t="s">
        <v>543</v>
      </c>
    </row>
    <row r="1241" spans="1:36" ht="24" hidden="1" customHeight="1">
      <c r="B1241" s="463">
        <v>1003</v>
      </c>
      <c r="C1241" s="464" t="s">
        <v>534</v>
      </c>
      <c r="D1241" s="464"/>
      <c r="E1241" s="464" t="s">
        <v>535</v>
      </c>
      <c r="F1241" s="464"/>
      <c r="G1241" s="464" t="s">
        <v>276</v>
      </c>
      <c r="H1241" s="464" t="s">
        <v>3075</v>
      </c>
      <c r="I1241" s="465" t="s">
        <v>537</v>
      </c>
      <c r="J1241" s="465" t="s">
        <v>537</v>
      </c>
      <c r="K1241" s="466">
        <v>10000</v>
      </c>
      <c r="L1241" s="465" t="s">
        <v>537</v>
      </c>
      <c r="M1241" s="465" t="s">
        <v>537</v>
      </c>
      <c r="N1241" s="466">
        <v>10000</v>
      </c>
      <c r="O1241" s="463" t="s">
        <v>537</v>
      </c>
      <c r="P1241" s="463" t="s">
        <v>537</v>
      </c>
      <c r="Q1241" s="465">
        <v>0</v>
      </c>
      <c r="R1241" s="470">
        <v>241579</v>
      </c>
      <c r="S1241" s="471">
        <v>22461</v>
      </c>
      <c r="T1241" s="463">
        <v>0</v>
      </c>
      <c r="U1241" s="463">
        <v>25</v>
      </c>
      <c r="V1241" s="463">
        <v>0</v>
      </c>
      <c r="W1241" s="463" t="s">
        <v>537</v>
      </c>
      <c r="X1241" s="463">
        <v>29</v>
      </c>
      <c r="Y1241" s="463" t="s">
        <v>537</v>
      </c>
      <c r="Z1241" s="463">
        <v>88.35</v>
      </c>
      <c r="AA1241" s="472" t="s">
        <v>3076</v>
      </c>
      <c r="AB1241" s="463" t="s">
        <v>539</v>
      </c>
      <c r="AC1241" s="463" t="s">
        <v>539</v>
      </c>
      <c r="AD1241" s="472" t="s">
        <v>548</v>
      </c>
      <c r="AE1241" s="463" t="s">
        <v>539</v>
      </c>
      <c r="AF1241" s="463" t="s">
        <v>539</v>
      </c>
      <c r="AG1241" s="463" t="s">
        <v>375</v>
      </c>
      <c r="AH1241" s="476"/>
      <c r="AI1241" s="472" t="s">
        <v>3077</v>
      </c>
      <c r="AJ1241" s="472" t="s">
        <v>543</v>
      </c>
    </row>
    <row r="1242" spans="1:36" ht="24" hidden="1" customHeight="1">
      <c r="B1242" s="463">
        <v>1004</v>
      </c>
      <c r="C1242" s="464" t="s">
        <v>534</v>
      </c>
      <c r="D1242" s="464"/>
      <c r="E1242" s="464" t="s">
        <v>535</v>
      </c>
      <c r="F1242" s="464"/>
      <c r="G1242" s="464" t="s">
        <v>276</v>
      </c>
      <c r="H1242" s="464" t="s">
        <v>667</v>
      </c>
      <c r="I1242" s="465" t="s">
        <v>537</v>
      </c>
      <c r="J1242" s="466">
        <v>25000</v>
      </c>
      <c r="K1242" s="465" t="s">
        <v>537</v>
      </c>
      <c r="L1242" s="465" t="s">
        <v>537</v>
      </c>
      <c r="M1242" s="466">
        <v>4100</v>
      </c>
      <c r="N1242" s="465" t="s">
        <v>537</v>
      </c>
      <c r="O1242" s="463" t="s">
        <v>537</v>
      </c>
      <c r="P1242" s="463" t="s">
        <v>537</v>
      </c>
      <c r="Q1242" s="468">
        <v>20900</v>
      </c>
      <c r="R1242" s="463" t="s">
        <v>643</v>
      </c>
      <c r="S1242" s="463" t="s">
        <v>2105</v>
      </c>
      <c r="T1242" s="463">
        <v>40</v>
      </c>
      <c r="U1242" s="463">
        <v>10</v>
      </c>
      <c r="V1242" s="463">
        <v>0</v>
      </c>
      <c r="W1242" s="463">
        <v>39</v>
      </c>
      <c r="X1242" s="463">
        <v>12</v>
      </c>
      <c r="Y1242" s="463" t="s">
        <v>537</v>
      </c>
      <c r="Z1242" s="464"/>
      <c r="AA1242" s="472" t="s">
        <v>573</v>
      </c>
      <c r="AB1242" s="463" t="s">
        <v>539</v>
      </c>
      <c r="AC1242" s="463" t="s">
        <v>539</v>
      </c>
      <c r="AD1242" s="472" t="s">
        <v>3078</v>
      </c>
      <c r="AE1242" s="463">
        <v>80</v>
      </c>
      <c r="AF1242" s="463">
        <v>83</v>
      </c>
      <c r="AG1242" s="463" t="s">
        <v>375</v>
      </c>
      <c r="AH1242" s="476"/>
      <c r="AI1242" s="472" t="s">
        <v>3060</v>
      </c>
      <c r="AJ1242" s="464"/>
    </row>
    <row r="1243" spans="1:36" ht="24" hidden="1" customHeight="1">
      <c r="B1243" s="463">
        <v>1005</v>
      </c>
      <c r="C1243" s="464" t="s">
        <v>534</v>
      </c>
      <c r="D1243" s="464"/>
      <c r="E1243" s="464" t="s">
        <v>535</v>
      </c>
      <c r="F1243" s="464"/>
      <c r="G1243" s="464" t="s">
        <v>276</v>
      </c>
      <c r="H1243" s="464" t="s">
        <v>668</v>
      </c>
      <c r="I1243" s="465" t="s">
        <v>537</v>
      </c>
      <c r="J1243" s="466">
        <v>25000</v>
      </c>
      <c r="K1243" s="465" t="s">
        <v>537</v>
      </c>
      <c r="L1243" s="465" t="s">
        <v>537</v>
      </c>
      <c r="M1243" s="466">
        <v>3400</v>
      </c>
      <c r="N1243" s="465" t="s">
        <v>537</v>
      </c>
      <c r="O1243" s="463" t="s">
        <v>537</v>
      </c>
      <c r="P1243" s="463" t="s">
        <v>537</v>
      </c>
      <c r="Q1243" s="468">
        <v>21600</v>
      </c>
      <c r="R1243" s="470">
        <v>241459</v>
      </c>
      <c r="S1243" s="471">
        <v>22354</v>
      </c>
      <c r="T1243" s="463">
        <v>50</v>
      </c>
      <c r="U1243" s="463">
        <v>10</v>
      </c>
      <c r="V1243" s="463">
        <v>0</v>
      </c>
      <c r="W1243" s="463">
        <v>34</v>
      </c>
      <c r="X1243" s="463">
        <v>10</v>
      </c>
      <c r="Y1243" s="463">
        <v>0</v>
      </c>
      <c r="Z1243" s="463">
        <v>81.150000000000006</v>
      </c>
      <c r="AA1243" s="472" t="s">
        <v>573</v>
      </c>
      <c r="AB1243" s="463" t="s">
        <v>539</v>
      </c>
      <c r="AC1243" s="463" t="s">
        <v>539</v>
      </c>
      <c r="AD1243" s="472" t="s">
        <v>3078</v>
      </c>
      <c r="AE1243" s="463">
        <v>80</v>
      </c>
      <c r="AF1243" s="463">
        <v>83.7</v>
      </c>
      <c r="AG1243" s="463" t="s">
        <v>375</v>
      </c>
      <c r="AH1243" s="476"/>
      <c r="AI1243" s="472" t="s">
        <v>3060</v>
      </c>
      <c r="AJ1243" s="464"/>
    </row>
    <row r="1244" spans="1:36" ht="24" hidden="1" customHeight="1">
      <c r="B1244" s="463">
        <v>1006</v>
      </c>
      <c r="C1244" s="464" t="s">
        <v>534</v>
      </c>
      <c r="D1244" s="464"/>
      <c r="E1244" s="464" t="s">
        <v>535</v>
      </c>
      <c r="F1244" s="464"/>
      <c r="G1244" s="464" t="s">
        <v>276</v>
      </c>
      <c r="H1244" s="464" t="s">
        <v>669</v>
      </c>
      <c r="I1244" s="465" t="s">
        <v>537</v>
      </c>
      <c r="J1244" s="466">
        <v>55000</v>
      </c>
      <c r="K1244" s="465" t="s">
        <v>537</v>
      </c>
      <c r="L1244" s="465" t="s">
        <v>537</v>
      </c>
      <c r="M1244" s="466">
        <v>3300</v>
      </c>
      <c r="N1244" s="465" t="s">
        <v>537</v>
      </c>
      <c r="O1244" s="463" t="s">
        <v>537</v>
      </c>
      <c r="P1244" s="463" t="s">
        <v>537</v>
      </c>
      <c r="Q1244" s="468">
        <v>51700</v>
      </c>
      <c r="R1244" s="470">
        <v>241609</v>
      </c>
      <c r="S1244" s="463" t="s">
        <v>637</v>
      </c>
      <c r="T1244" s="463">
        <v>60</v>
      </c>
      <c r="U1244" s="463">
        <v>10</v>
      </c>
      <c r="V1244" s="463">
        <v>0</v>
      </c>
      <c r="W1244" s="463">
        <v>70</v>
      </c>
      <c r="X1244" s="463">
        <v>7</v>
      </c>
      <c r="Y1244" s="463" t="s">
        <v>537</v>
      </c>
      <c r="Z1244" s="463">
        <v>87.02</v>
      </c>
      <c r="AA1244" s="472" t="s">
        <v>573</v>
      </c>
      <c r="AB1244" s="463" t="s">
        <v>539</v>
      </c>
      <c r="AC1244" s="463" t="s">
        <v>539</v>
      </c>
      <c r="AD1244" s="472" t="s">
        <v>3078</v>
      </c>
      <c r="AE1244" s="463">
        <v>80</v>
      </c>
      <c r="AF1244" s="463">
        <v>84.2</v>
      </c>
      <c r="AG1244" s="463" t="s">
        <v>375</v>
      </c>
      <c r="AH1244" s="476"/>
      <c r="AI1244" s="464"/>
      <c r="AJ1244" s="464"/>
    </row>
    <row r="1245" spans="1:36" ht="24" hidden="1" customHeight="1">
      <c r="B1245" s="701">
        <v>1007</v>
      </c>
      <c r="C1245" s="699" t="s">
        <v>534</v>
      </c>
      <c r="D1245" s="699"/>
      <c r="E1245" s="699" t="s">
        <v>577</v>
      </c>
      <c r="F1245" s="699"/>
      <c r="G1245" s="699" t="s">
        <v>276</v>
      </c>
      <c r="H1245" s="699" t="s">
        <v>3079</v>
      </c>
      <c r="I1245" s="709" t="s">
        <v>537</v>
      </c>
      <c r="J1245" s="709" t="s">
        <v>537</v>
      </c>
      <c r="K1245" s="712">
        <v>40000</v>
      </c>
      <c r="L1245" s="709" t="s">
        <v>537</v>
      </c>
      <c r="M1245" s="709" t="s">
        <v>537</v>
      </c>
      <c r="N1245" s="712">
        <v>40000</v>
      </c>
      <c r="O1245" s="701" t="s">
        <v>537</v>
      </c>
      <c r="P1245" s="701" t="s">
        <v>537</v>
      </c>
      <c r="Q1245" s="709">
        <v>0</v>
      </c>
      <c r="R1245" s="701" t="s">
        <v>3080</v>
      </c>
      <c r="S1245" s="701" t="s">
        <v>3081</v>
      </c>
      <c r="T1245" s="701">
        <v>0</v>
      </c>
      <c r="U1245" s="701">
        <v>0</v>
      </c>
      <c r="V1245" s="701">
        <v>0</v>
      </c>
      <c r="W1245" s="701">
        <v>0</v>
      </c>
      <c r="X1245" s="701">
        <v>0</v>
      </c>
      <c r="Y1245" s="701">
        <v>0</v>
      </c>
      <c r="Z1245" s="701" t="s">
        <v>537</v>
      </c>
      <c r="AA1245" s="697" t="s">
        <v>3082</v>
      </c>
      <c r="AB1245" s="701" t="s">
        <v>539</v>
      </c>
      <c r="AC1245" s="701" t="s">
        <v>539</v>
      </c>
      <c r="AD1245" s="458" t="s">
        <v>3083</v>
      </c>
      <c r="AE1245" s="459">
        <v>1</v>
      </c>
      <c r="AF1245" s="459">
        <v>1</v>
      </c>
      <c r="AG1245" s="701" t="s">
        <v>375</v>
      </c>
      <c r="AH1245" s="728"/>
      <c r="AI1245" s="697" t="s">
        <v>3084</v>
      </c>
      <c r="AJ1245" s="697" t="s">
        <v>543</v>
      </c>
    </row>
    <row r="1246" spans="1:36" ht="24" hidden="1" customHeight="1">
      <c r="B1246" s="702"/>
      <c r="C1246" s="700"/>
      <c r="D1246" s="700"/>
      <c r="E1246" s="700"/>
      <c r="F1246" s="700"/>
      <c r="G1246" s="700"/>
      <c r="H1246" s="700"/>
      <c r="I1246" s="710"/>
      <c r="J1246" s="710"/>
      <c r="K1246" s="713"/>
      <c r="L1246" s="710"/>
      <c r="M1246" s="710"/>
      <c r="N1246" s="713"/>
      <c r="O1246" s="702"/>
      <c r="P1246" s="702"/>
      <c r="Q1246" s="710"/>
      <c r="R1246" s="702"/>
      <c r="S1246" s="702"/>
      <c r="T1246" s="702"/>
      <c r="U1246" s="702"/>
      <c r="V1246" s="702"/>
      <c r="W1246" s="702"/>
      <c r="X1246" s="702"/>
      <c r="Y1246" s="702"/>
      <c r="Z1246" s="702"/>
      <c r="AA1246" s="698"/>
      <c r="AB1246" s="702"/>
      <c r="AC1246" s="702"/>
      <c r="AD1246" s="473" t="s">
        <v>3085</v>
      </c>
      <c r="AE1246" s="474">
        <v>1</v>
      </c>
      <c r="AF1246" s="474">
        <v>1</v>
      </c>
      <c r="AG1246" s="702"/>
      <c r="AH1246" s="729"/>
      <c r="AI1246" s="698"/>
      <c r="AJ1246" s="698"/>
    </row>
    <row r="1247" spans="1:36" ht="24" customHeight="1">
      <c r="A1247" s="452">
        <v>176</v>
      </c>
      <c r="B1247" s="463">
        <v>1008</v>
      </c>
      <c r="C1247" s="464" t="s">
        <v>337</v>
      </c>
      <c r="D1247" s="464"/>
      <c r="E1247" s="464" t="s">
        <v>545</v>
      </c>
      <c r="F1247" s="464"/>
      <c r="G1247" s="464" t="s">
        <v>276</v>
      </c>
      <c r="H1247" s="464" t="s">
        <v>3086</v>
      </c>
      <c r="I1247" s="465" t="s">
        <v>537</v>
      </c>
      <c r="J1247" s="465" t="s">
        <v>537</v>
      </c>
      <c r="K1247" s="466">
        <v>10000</v>
      </c>
      <c r="L1247" s="465" t="s">
        <v>537</v>
      </c>
      <c r="M1247" s="465" t="s">
        <v>537</v>
      </c>
      <c r="N1247" s="466">
        <v>10000</v>
      </c>
      <c r="O1247" s="463" t="s">
        <v>537</v>
      </c>
      <c r="P1247" s="463" t="s">
        <v>537</v>
      </c>
      <c r="Q1247" s="465">
        <v>0</v>
      </c>
      <c r="R1247" s="463" t="s">
        <v>643</v>
      </c>
      <c r="S1247" s="463" t="s">
        <v>1152</v>
      </c>
      <c r="T1247" s="463">
        <v>2</v>
      </c>
      <c r="U1247" s="463">
        <v>3</v>
      </c>
      <c r="V1247" s="463">
        <v>20</v>
      </c>
      <c r="W1247" s="463" t="s">
        <v>537</v>
      </c>
      <c r="X1247" s="463">
        <v>3</v>
      </c>
      <c r="Y1247" s="463">
        <v>23</v>
      </c>
      <c r="Z1247" s="463">
        <v>83.4</v>
      </c>
      <c r="AA1247" s="472" t="s">
        <v>3087</v>
      </c>
      <c r="AB1247" s="463" t="s">
        <v>539</v>
      </c>
      <c r="AC1247" s="463" t="s">
        <v>539</v>
      </c>
      <c r="AD1247" s="472" t="s">
        <v>3088</v>
      </c>
      <c r="AE1247" s="463" t="s">
        <v>539</v>
      </c>
      <c r="AF1247" s="463" t="s">
        <v>539</v>
      </c>
      <c r="AG1247" s="463" t="s">
        <v>375</v>
      </c>
      <c r="AH1247" s="476"/>
      <c r="AI1247" s="472" t="s">
        <v>3089</v>
      </c>
      <c r="AJ1247" s="472" t="s">
        <v>543</v>
      </c>
    </row>
    <row r="1248" spans="1:36" ht="24" customHeight="1">
      <c r="A1248" s="452">
        <v>177</v>
      </c>
      <c r="B1248" s="701">
        <v>1009</v>
      </c>
      <c r="C1248" s="699" t="s">
        <v>337</v>
      </c>
      <c r="D1248" s="699"/>
      <c r="E1248" s="699" t="s">
        <v>545</v>
      </c>
      <c r="F1248" s="699"/>
      <c r="G1248" s="699" t="s">
        <v>276</v>
      </c>
      <c r="H1248" s="699" t="s">
        <v>3090</v>
      </c>
      <c r="I1248" s="712">
        <v>20000</v>
      </c>
      <c r="J1248" s="709" t="s">
        <v>537</v>
      </c>
      <c r="K1248" s="709" t="s">
        <v>537</v>
      </c>
      <c r="L1248" s="712">
        <v>20000</v>
      </c>
      <c r="M1248" s="709" t="s">
        <v>537</v>
      </c>
      <c r="N1248" s="709" t="s">
        <v>537</v>
      </c>
      <c r="O1248" s="701" t="s">
        <v>537</v>
      </c>
      <c r="P1248" s="701" t="s">
        <v>537</v>
      </c>
      <c r="Q1248" s="709">
        <v>0</v>
      </c>
      <c r="R1248" s="707">
        <v>241579</v>
      </c>
      <c r="S1248" s="721">
        <v>22437</v>
      </c>
      <c r="T1248" s="701">
        <v>2</v>
      </c>
      <c r="U1248" s="701">
        <v>3</v>
      </c>
      <c r="V1248" s="701">
        <v>15</v>
      </c>
      <c r="W1248" s="701" t="s">
        <v>537</v>
      </c>
      <c r="X1248" s="701">
        <v>3</v>
      </c>
      <c r="Y1248" s="701">
        <v>25</v>
      </c>
      <c r="Z1248" s="701">
        <v>86.33</v>
      </c>
      <c r="AA1248" s="458" t="s">
        <v>547</v>
      </c>
      <c r="AB1248" s="459" t="s">
        <v>539</v>
      </c>
      <c r="AC1248" s="459" t="s">
        <v>539</v>
      </c>
      <c r="AD1248" s="697" t="s">
        <v>548</v>
      </c>
      <c r="AE1248" s="701">
        <v>80</v>
      </c>
      <c r="AF1248" s="701">
        <v>86.33</v>
      </c>
      <c r="AG1248" s="701" t="s">
        <v>375</v>
      </c>
      <c r="AH1248" s="728"/>
      <c r="AI1248" s="697" t="s">
        <v>3063</v>
      </c>
      <c r="AJ1248" s="699"/>
    </row>
    <row r="1249" spans="1:36" ht="24" hidden="1" customHeight="1">
      <c r="B1249" s="702"/>
      <c r="C1249" s="700"/>
      <c r="D1249" s="700"/>
      <c r="E1249" s="700"/>
      <c r="F1249" s="700"/>
      <c r="G1249" s="700"/>
      <c r="H1249" s="700"/>
      <c r="I1249" s="713"/>
      <c r="J1249" s="710"/>
      <c r="K1249" s="710"/>
      <c r="L1249" s="713"/>
      <c r="M1249" s="710"/>
      <c r="N1249" s="710"/>
      <c r="O1249" s="702"/>
      <c r="P1249" s="702"/>
      <c r="Q1249" s="710"/>
      <c r="R1249" s="708"/>
      <c r="S1249" s="722"/>
      <c r="T1249" s="702"/>
      <c r="U1249" s="702"/>
      <c r="V1249" s="702"/>
      <c r="W1249" s="702"/>
      <c r="X1249" s="702"/>
      <c r="Y1249" s="702"/>
      <c r="Z1249" s="702"/>
      <c r="AA1249" s="473" t="s">
        <v>3091</v>
      </c>
      <c r="AB1249" s="474">
        <v>1</v>
      </c>
      <c r="AC1249" s="474">
        <v>1</v>
      </c>
      <c r="AD1249" s="698"/>
      <c r="AE1249" s="702"/>
      <c r="AF1249" s="702"/>
      <c r="AG1249" s="702"/>
      <c r="AH1249" s="729"/>
      <c r="AI1249" s="698"/>
      <c r="AJ1249" s="700"/>
    </row>
    <row r="1250" spans="1:36" ht="24" customHeight="1">
      <c r="A1250" s="452">
        <v>178</v>
      </c>
      <c r="B1250" s="701">
        <v>1010</v>
      </c>
      <c r="C1250" s="699" t="s">
        <v>337</v>
      </c>
      <c r="D1250" s="699"/>
      <c r="E1250" s="699" t="s">
        <v>545</v>
      </c>
      <c r="F1250" s="699"/>
      <c r="G1250" s="699" t="s">
        <v>276</v>
      </c>
      <c r="H1250" s="699" t="s">
        <v>3092</v>
      </c>
      <c r="I1250" s="712">
        <v>20000</v>
      </c>
      <c r="J1250" s="709" t="s">
        <v>537</v>
      </c>
      <c r="K1250" s="709" t="s">
        <v>537</v>
      </c>
      <c r="L1250" s="712">
        <v>20000</v>
      </c>
      <c r="M1250" s="709" t="s">
        <v>537</v>
      </c>
      <c r="N1250" s="709" t="s">
        <v>537</v>
      </c>
      <c r="O1250" s="701" t="s">
        <v>537</v>
      </c>
      <c r="P1250" s="701" t="s">
        <v>537</v>
      </c>
      <c r="Q1250" s="709">
        <v>0</v>
      </c>
      <c r="R1250" s="707">
        <v>241487</v>
      </c>
      <c r="S1250" s="721">
        <v>22366</v>
      </c>
      <c r="T1250" s="701">
        <v>2</v>
      </c>
      <c r="U1250" s="701">
        <v>3</v>
      </c>
      <c r="V1250" s="701">
        <v>15</v>
      </c>
      <c r="W1250" s="701">
        <v>0</v>
      </c>
      <c r="X1250" s="701">
        <v>5</v>
      </c>
      <c r="Y1250" s="701">
        <v>24</v>
      </c>
      <c r="Z1250" s="701">
        <v>90.33</v>
      </c>
      <c r="AA1250" s="458" t="s">
        <v>547</v>
      </c>
      <c r="AB1250" s="459" t="s">
        <v>539</v>
      </c>
      <c r="AC1250" s="459" t="s">
        <v>539</v>
      </c>
      <c r="AD1250" s="697" t="s">
        <v>548</v>
      </c>
      <c r="AE1250" s="701">
        <v>80</v>
      </c>
      <c r="AF1250" s="701">
        <v>83.54</v>
      </c>
      <c r="AG1250" s="701" t="s">
        <v>375</v>
      </c>
      <c r="AH1250" s="728"/>
      <c r="AI1250" s="697" t="s">
        <v>3093</v>
      </c>
      <c r="AJ1250" s="699"/>
    </row>
    <row r="1251" spans="1:36" ht="24" hidden="1" customHeight="1">
      <c r="B1251" s="702"/>
      <c r="C1251" s="700"/>
      <c r="D1251" s="700"/>
      <c r="E1251" s="700"/>
      <c r="F1251" s="700"/>
      <c r="G1251" s="700"/>
      <c r="H1251" s="700"/>
      <c r="I1251" s="713"/>
      <c r="J1251" s="710"/>
      <c r="K1251" s="710"/>
      <c r="L1251" s="713"/>
      <c r="M1251" s="710"/>
      <c r="N1251" s="710"/>
      <c r="O1251" s="702"/>
      <c r="P1251" s="702"/>
      <c r="Q1251" s="710"/>
      <c r="R1251" s="708"/>
      <c r="S1251" s="722"/>
      <c r="T1251" s="702"/>
      <c r="U1251" s="702"/>
      <c r="V1251" s="702"/>
      <c r="W1251" s="702"/>
      <c r="X1251" s="702"/>
      <c r="Y1251" s="702"/>
      <c r="Z1251" s="702"/>
      <c r="AA1251" s="473" t="s">
        <v>3094</v>
      </c>
      <c r="AB1251" s="474">
        <v>1</v>
      </c>
      <c r="AC1251" s="474">
        <v>1</v>
      </c>
      <c r="AD1251" s="698"/>
      <c r="AE1251" s="702"/>
      <c r="AF1251" s="702"/>
      <c r="AG1251" s="702"/>
      <c r="AH1251" s="729"/>
      <c r="AI1251" s="698"/>
      <c r="AJ1251" s="700"/>
    </row>
    <row r="1252" spans="1:36" ht="24" customHeight="1">
      <c r="A1252" s="452">
        <v>179</v>
      </c>
      <c r="B1252" s="701">
        <v>1011</v>
      </c>
      <c r="C1252" s="699" t="s">
        <v>337</v>
      </c>
      <c r="D1252" s="699"/>
      <c r="E1252" s="699" t="s">
        <v>545</v>
      </c>
      <c r="F1252" s="699"/>
      <c r="G1252" s="699" t="s">
        <v>276</v>
      </c>
      <c r="H1252" s="699" t="s">
        <v>3095</v>
      </c>
      <c r="I1252" s="712">
        <v>25000</v>
      </c>
      <c r="J1252" s="709" t="s">
        <v>537</v>
      </c>
      <c r="K1252" s="709" t="s">
        <v>537</v>
      </c>
      <c r="L1252" s="712">
        <v>25000</v>
      </c>
      <c r="M1252" s="709" t="s">
        <v>537</v>
      </c>
      <c r="N1252" s="709" t="s">
        <v>537</v>
      </c>
      <c r="O1252" s="701" t="s">
        <v>537</v>
      </c>
      <c r="P1252" s="701" t="s">
        <v>537</v>
      </c>
      <c r="Q1252" s="709">
        <v>0</v>
      </c>
      <c r="R1252" s="707">
        <v>241579</v>
      </c>
      <c r="S1252" s="721">
        <v>22381</v>
      </c>
      <c r="T1252" s="701">
        <v>0</v>
      </c>
      <c r="U1252" s="701">
        <v>2</v>
      </c>
      <c r="V1252" s="701">
        <v>15</v>
      </c>
      <c r="W1252" s="701" t="s">
        <v>537</v>
      </c>
      <c r="X1252" s="701">
        <v>4</v>
      </c>
      <c r="Y1252" s="701">
        <v>15</v>
      </c>
      <c r="Z1252" s="699"/>
      <c r="AA1252" s="458" t="s">
        <v>547</v>
      </c>
      <c r="AB1252" s="459" t="s">
        <v>539</v>
      </c>
      <c r="AC1252" s="459" t="s">
        <v>539</v>
      </c>
      <c r="AD1252" s="458" t="s">
        <v>548</v>
      </c>
      <c r="AE1252" s="459">
        <v>80</v>
      </c>
      <c r="AF1252" s="459">
        <v>81.2</v>
      </c>
      <c r="AG1252" s="701" t="s">
        <v>375</v>
      </c>
      <c r="AH1252" s="728"/>
      <c r="AI1252" s="697" t="s">
        <v>3077</v>
      </c>
      <c r="AJ1252" s="699"/>
    </row>
    <row r="1253" spans="1:36" ht="24" hidden="1" customHeight="1">
      <c r="B1253" s="715"/>
      <c r="C1253" s="714"/>
      <c r="D1253" s="714"/>
      <c r="E1253" s="714"/>
      <c r="F1253" s="714"/>
      <c r="G1253" s="714"/>
      <c r="H1253" s="714"/>
      <c r="I1253" s="720"/>
      <c r="J1253" s="717"/>
      <c r="K1253" s="717"/>
      <c r="L1253" s="720"/>
      <c r="M1253" s="717"/>
      <c r="N1253" s="717"/>
      <c r="O1253" s="715"/>
      <c r="P1253" s="715"/>
      <c r="Q1253" s="717"/>
      <c r="R1253" s="719"/>
      <c r="S1253" s="731"/>
      <c r="T1253" s="715"/>
      <c r="U1253" s="715"/>
      <c r="V1253" s="715"/>
      <c r="W1253" s="715"/>
      <c r="X1253" s="715"/>
      <c r="Y1253" s="715"/>
      <c r="Z1253" s="714"/>
      <c r="AA1253" s="460" t="s">
        <v>3096</v>
      </c>
      <c r="AB1253" s="461" t="s">
        <v>539</v>
      </c>
      <c r="AC1253" s="461" t="s">
        <v>539</v>
      </c>
      <c r="AD1253" s="460" t="s">
        <v>3097</v>
      </c>
      <c r="AE1253" s="461">
        <v>15</v>
      </c>
      <c r="AF1253" s="461">
        <v>19</v>
      </c>
      <c r="AG1253" s="715"/>
      <c r="AH1253" s="730"/>
      <c r="AI1253" s="711"/>
      <c r="AJ1253" s="714"/>
    </row>
    <row r="1254" spans="1:36" ht="24" hidden="1" customHeight="1">
      <c r="B1254" s="715"/>
      <c r="C1254" s="714"/>
      <c r="D1254" s="714"/>
      <c r="E1254" s="714"/>
      <c r="F1254" s="714"/>
      <c r="G1254" s="714"/>
      <c r="H1254" s="714"/>
      <c r="I1254" s="720"/>
      <c r="J1254" s="717"/>
      <c r="K1254" s="717"/>
      <c r="L1254" s="720"/>
      <c r="M1254" s="717"/>
      <c r="N1254" s="717"/>
      <c r="O1254" s="715"/>
      <c r="P1254" s="715"/>
      <c r="Q1254" s="717"/>
      <c r="R1254" s="719"/>
      <c r="S1254" s="731"/>
      <c r="T1254" s="715"/>
      <c r="U1254" s="715"/>
      <c r="V1254" s="715"/>
      <c r="W1254" s="715"/>
      <c r="X1254" s="715"/>
      <c r="Y1254" s="715"/>
      <c r="Z1254" s="714"/>
      <c r="AA1254" s="477"/>
      <c r="AB1254" s="477"/>
      <c r="AC1254" s="477"/>
      <c r="AD1254" s="460" t="s">
        <v>3098</v>
      </c>
      <c r="AE1254" s="461">
        <v>80</v>
      </c>
      <c r="AF1254" s="461">
        <v>81.2</v>
      </c>
      <c r="AG1254" s="715"/>
      <c r="AH1254" s="730"/>
      <c r="AI1254" s="711"/>
      <c r="AJ1254" s="714"/>
    </row>
    <row r="1255" spans="1:36" ht="24" hidden="1" customHeight="1">
      <c r="B1255" s="702"/>
      <c r="C1255" s="700"/>
      <c r="D1255" s="700"/>
      <c r="E1255" s="700"/>
      <c r="F1255" s="700"/>
      <c r="G1255" s="700"/>
      <c r="H1255" s="700"/>
      <c r="I1255" s="713"/>
      <c r="J1255" s="710"/>
      <c r="K1255" s="710"/>
      <c r="L1255" s="713"/>
      <c r="M1255" s="710"/>
      <c r="N1255" s="710"/>
      <c r="O1255" s="702"/>
      <c r="P1255" s="702"/>
      <c r="Q1255" s="710"/>
      <c r="R1255" s="708"/>
      <c r="S1255" s="722"/>
      <c r="T1255" s="702"/>
      <c r="U1255" s="702"/>
      <c r="V1255" s="702"/>
      <c r="W1255" s="702"/>
      <c r="X1255" s="702"/>
      <c r="Y1255" s="702"/>
      <c r="Z1255" s="700"/>
      <c r="AA1255" s="462"/>
      <c r="AB1255" s="462"/>
      <c r="AC1255" s="462"/>
      <c r="AD1255" s="473" t="s">
        <v>3099</v>
      </c>
      <c r="AE1255" s="474">
        <v>1</v>
      </c>
      <c r="AF1255" s="474">
        <v>1</v>
      </c>
      <c r="AG1255" s="702"/>
      <c r="AH1255" s="729"/>
      <c r="AI1255" s="698"/>
      <c r="AJ1255" s="700"/>
    </row>
    <row r="1256" spans="1:36" ht="24" customHeight="1">
      <c r="A1256" s="452">
        <v>180</v>
      </c>
      <c r="B1256" s="701">
        <v>1012</v>
      </c>
      <c r="C1256" s="699" t="s">
        <v>337</v>
      </c>
      <c r="D1256" s="699"/>
      <c r="E1256" s="699" t="s">
        <v>545</v>
      </c>
      <c r="F1256" s="699"/>
      <c r="G1256" s="699" t="s">
        <v>276</v>
      </c>
      <c r="H1256" s="699" t="s">
        <v>3100</v>
      </c>
      <c r="I1256" s="712">
        <v>25000</v>
      </c>
      <c r="J1256" s="709" t="s">
        <v>537</v>
      </c>
      <c r="K1256" s="709" t="s">
        <v>537</v>
      </c>
      <c r="L1256" s="712">
        <v>24000</v>
      </c>
      <c r="M1256" s="709" t="s">
        <v>537</v>
      </c>
      <c r="N1256" s="709" t="s">
        <v>537</v>
      </c>
      <c r="O1256" s="701" t="s">
        <v>537</v>
      </c>
      <c r="P1256" s="701" t="s">
        <v>537</v>
      </c>
      <c r="Q1256" s="705">
        <v>1000</v>
      </c>
      <c r="R1256" s="707">
        <v>241428</v>
      </c>
      <c r="S1256" s="721">
        <v>22304</v>
      </c>
      <c r="T1256" s="701">
        <v>2</v>
      </c>
      <c r="U1256" s="701">
        <v>3</v>
      </c>
      <c r="V1256" s="701">
        <v>15</v>
      </c>
      <c r="W1256" s="701" t="s">
        <v>537</v>
      </c>
      <c r="X1256" s="701">
        <v>6</v>
      </c>
      <c r="Y1256" s="701">
        <v>17</v>
      </c>
      <c r="Z1256" s="701">
        <v>91.73</v>
      </c>
      <c r="AA1256" s="458" t="s">
        <v>547</v>
      </c>
      <c r="AB1256" s="459" t="s">
        <v>539</v>
      </c>
      <c r="AC1256" s="459" t="s">
        <v>539</v>
      </c>
      <c r="AD1256" s="697" t="s">
        <v>548</v>
      </c>
      <c r="AE1256" s="701">
        <v>80</v>
      </c>
      <c r="AF1256" s="701">
        <v>89.33</v>
      </c>
      <c r="AG1256" s="701" t="s">
        <v>375</v>
      </c>
      <c r="AH1256" s="728"/>
      <c r="AI1256" s="697" t="s">
        <v>3101</v>
      </c>
      <c r="AJ1256" s="699"/>
    </row>
    <row r="1257" spans="1:36" ht="24" hidden="1" customHeight="1">
      <c r="B1257" s="702"/>
      <c r="C1257" s="700"/>
      <c r="D1257" s="700"/>
      <c r="E1257" s="700"/>
      <c r="F1257" s="700"/>
      <c r="G1257" s="700"/>
      <c r="H1257" s="700"/>
      <c r="I1257" s="713"/>
      <c r="J1257" s="710"/>
      <c r="K1257" s="710"/>
      <c r="L1257" s="713"/>
      <c r="M1257" s="710"/>
      <c r="N1257" s="710"/>
      <c r="O1257" s="702"/>
      <c r="P1257" s="702"/>
      <c r="Q1257" s="706"/>
      <c r="R1257" s="708"/>
      <c r="S1257" s="722"/>
      <c r="T1257" s="702"/>
      <c r="U1257" s="702"/>
      <c r="V1257" s="702"/>
      <c r="W1257" s="702"/>
      <c r="X1257" s="702"/>
      <c r="Y1257" s="702"/>
      <c r="Z1257" s="702"/>
      <c r="AA1257" s="473" t="s">
        <v>3102</v>
      </c>
      <c r="AB1257" s="474">
        <v>10</v>
      </c>
      <c r="AC1257" s="474">
        <v>10</v>
      </c>
      <c r="AD1257" s="698"/>
      <c r="AE1257" s="702"/>
      <c r="AF1257" s="702"/>
      <c r="AG1257" s="702"/>
      <c r="AH1257" s="729"/>
      <c r="AI1257" s="698"/>
      <c r="AJ1257" s="700"/>
    </row>
    <row r="1258" spans="1:36" ht="24" customHeight="1">
      <c r="A1258" s="452">
        <v>181</v>
      </c>
      <c r="B1258" s="701">
        <v>1013</v>
      </c>
      <c r="C1258" s="699" t="s">
        <v>337</v>
      </c>
      <c r="D1258" s="699"/>
      <c r="E1258" s="699" t="s">
        <v>545</v>
      </c>
      <c r="F1258" s="699"/>
      <c r="G1258" s="699" t="s">
        <v>276</v>
      </c>
      <c r="H1258" s="699" t="s">
        <v>3103</v>
      </c>
      <c r="I1258" s="712">
        <v>20000</v>
      </c>
      <c r="J1258" s="709" t="s">
        <v>537</v>
      </c>
      <c r="K1258" s="709" t="s">
        <v>537</v>
      </c>
      <c r="L1258" s="712">
        <v>20000</v>
      </c>
      <c r="M1258" s="709" t="s">
        <v>537</v>
      </c>
      <c r="N1258" s="709" t="s">
        <v>537</v>
      </c>
      <c r="O1258" s="701" t="s">
        <v>537</v>
      </c>
      <c r="P1258" s="701" t="s">
        <v>537</v>
      </c>
      <c r="Q1258" s="709">
        <v>0</v>
      </c>
      <c r="R1258" s="707">
        <v>241487</v>
      </c>
      <c r="S1258" s="721">
        <v>22331</v>
      </c>
      <c r="T1258" s="701">
        <v>2</v>
      </c>
      <c r="U1258" s="701">
        <v>3</v>
      </c>
      <c r="V1258" s="701">
        <v>15</v>
      </c>
      <c r="W1258" s="701">
        <v>9</v>
      </c>
      <c r="X1258" s="701">
        <v>2</v>
      </c>
      <c r="Y1258" s="701">
        <v>23</v>
      </c>
      <c r="Z1258" s="701">
        <v>80.62</v>
      </c>
      <c r="AA1258" s="458" t="s">
        <v>547</v>
      </c>
      <c r="AB1258" s="459" t="s">
        <v>539</v>
      </c>
      <c r="AC1258" s="459" t="s">
        <v>539</v>
      </c>
      <c r="AD1258" s="697" t="s">
        <v>548</v>
      </c>
      <c r="AE1258" s="701">
        <v>80</v>
      </c>
      <c r="AF1258" s="701">
        <v>81.2</v>
      </c>
      <c r="AG1258" s="701" t="s">
        <v>375</v>
      </c>
      <c r="AH1258" s="728"/>
      <c r="AI1258" s="697" t="s">
        <v>3104</v>
      </c>
      <c r="AJ1258" s="699"/>
    </row>
    <row r="1259" spans="1:36" ht="24" hidden="1" customHeight="1">
      <c r="B1259" s="702"/>
      <c r="C1259" s="700"/>
      <c r="D1259" s="700"/>
      <c r="E1259" s="700"/>
      <c r="F1259" s="700"/>
      <c r="G1259" s="700"/>
      <c r="H1259" s="700"/>
      <c r="I1259" s="713"/>
      <c r="J1259" s="710"/>
      <c r="K1259" s="710"/>
      <c r="L1259" s="713"/>
      <c r="M1259" s="710"/>
      <c r="N1259" s="710"/>
      <c r="O1259" s="702"/>
      <c r="P1259" s="702"/>
      <c r="Q1259" s="710"/>
      <c r="R1259" s="708"/>
      <c r="S1259" s="722"/>
      <c r="T1259" s="702"/>
      <c r="U1259" s="702"/>
      <c r="V1259" s="702"/>
      <c r="W1259" s="702"/>
      <c r="X1259" s="702"/>
      <c r="Y1259" s="702"/>
      <c r="Z1259" s="702"/>
      <c r="AA1259" s="473" t="s">
        <v>3105</v>
      </c>
      <c r="AB1259" s="474">
        <v>10</v>
      </c>
      <c r="AC1259" s="474">
        <v>10</v>
      </c>
      <c r="AD1259" s="698"/>
      <c r="AE1259" s="702"/>
      <c r="AF1259" s="702"/>
      <c r="AG1259" s="702"/>
      <c r="AH1259" s="729"/>
      <c r="AI1259" s="698"/>
      <c r="AJ1259" s="700"/>
    </row>
    <row r="1260" spans="1:36" ht="24" customHeight="1">
      <c r="A1260" s="452">
        <v>182</v>
      </c>
      <c r="B1260" s="463">
        <v>1014</v>
      </c>
      <c r="C1260" s="464" t="s">
        <v>337</v>
      </c>
      <c r="D1260" s="464"/>
      <c r="E1260" s="464" t="s">
        <v>545</v>
      </c>
      <c r="F1260" s="464"/>
      <c r="G1260" s="464" t="s">
        <v>276</v>
      </c>
      <c r="H1260" s="464" t="s">
        <v>3106</v>
      </c>
      <c r="I1260" s="466">
        <v>30000</v>
      </c>
      <c r="J1260" s="465" t="s">
        <v>537</v>
      </c>
      <c r="K1260" s="465" t="s">
        <v>537</v>
      </c>
      <c r="L1260" s="466">
        <v>30000</v>
      </c>
      <c r="M1260" s="465" t="s">
        <v>537</v>
      </c>
      <c r="N1260" s="465" t="s">
        <v>537</v>
      </c>
      <c r="O1260" s="463" t="s">
        <v>537</v>
      </c>
      <c r="P1260" s="463" t="s">
        <v>537</v>
      </c>
      <c r="Q1260" s="465">
        <v>0</v>
      </c>
      <c r="R1260" s="470">
        <v>241518</v>
      </c>
      <c r="S1260" s="471">
        <v>22339</v>
      </c>
      <c r="T1260" s="463">
        <v>2</v>
      </c>
      <c r="U1260" s="463">
        <v>3</v>
      </c>
      <c r="V1260" s="463">
        <v>15</v>
      </c>
      <c r="W1260" s="463">
        <v>2</v>
      </c>
      <c r="X1260" s="463">
        <v>3</v>
      </c>
      <c r="Y1260" s="463">
        <v>15</v>
      </c>
      <c r="Z1260" s="463">
        <v>89.76</v>
      </c>
      <c r="AA1260" s="472" t="s">
        <v>547</v>
      </c>
      <c r="AB1260" s="463" t="s">
        <v>539</v>
      </c>
      <c r="AC1260" s="463" t="s">
        <v>539</v>
      </c>
      <c r="AD1260" s="472" t="s">
        <v>548</v>
      </c>
      <c r="AE1260" s="463">
        <v>80</v>
      </c>
      <c r="AF1260" s="463">
        <v>83.53</v>
      </c>
      <c r="AG1260" s="463" t="s">
        <v>375</v>
      </c>
      <c r="AH1260" s="476"/>
      <c r="AI1260" s="472" t="s">
        <v>3067</v>
      </c>
      <c r="AJ1260" s="464"/>
    </row>
    <row r="1261" spans="1:36" ht="24" customHeight="1">
      <c r="A1261" s="452">
        <v>183</v>
      </c>
      <c r="B1261" s="701">
        <v>1015</v>
      </c>
      <c r="C1261" s="699" t="s">
        <v>337</v>
      </c>
      <c r="D1261" s="699"/>
      <c r="E1261" s="699" t="s">
        <v>545</v>
      </c>
      <c r="F1261" s="699"/>
      <c r="G1261" s="699" t="s">
        <v>276</v>
      </c>
      <c r="H1261" s="699" t="s">
        <v>3107</v>
      </c>
      <c r="I1261" s="712">
        <v>20000</v>
      </c>
      <c r="J1261" s="709" t="s">
        <v>537</v>
      </c>
      <c r="K1261" s="709" t="s">
        <v>537</v>
      </c>
      <c r="L1261" s="712">
        <v>20000</v>
      </c>
      <c r="M1261" s="709" t="s">
        <v>537</v>
      </c>
      <c r="N1261" s="709" t="s">
        <v>537</v>
      </c>
      <c r="O1261" s="701" t="s">
        <v>537</v>
      </c>
      <c r="P1261" s="701" t="s">
        <v>537</v>
      </c>
      <c r="Q1261" s="709">
        <v>0</v>
      </c>
      <c r="R1261" s="701" t="s">
        <v>643</v>
      </c>
      <c r="S1261" s="721">
        <v>22340</v>
      </c>
      <c r="T1261" s="701">
        <v>2</v>
      </c>
      <c r="U1261" s="701">
        <v>3</v>
      </c>
      <c r="V1261" s="701">
        <v>15</v>
      </c>
      <c r="W1261" s="701">
        <v>2</v>
      </c>
      <c r="X1261" s="701">
        <v>3</v>
      </c>
      <c r="Y1261" s="701">
        <v>18</v>
      </c>
      <c r="Z1261" s="701">
        <v>83.71</v>
      </c>
      <c r="AA1261" s="458" t="s">
        <v>547</v>
      </c>
      <c r="AB1261" s="459" t="s">
        <v>539</v>
      </c>
      <c r="AC1261" s="459" t="s">
        <v>539</v>
      </c>
      <c r="AD1261" s="697" t="s">
        <v>548</v>
      </c>
      <c r="AE1261" s="701">
        <v>80</v>
      </c>
      <c r="AF1261" s="701">
        <v>86.86</v>
      </c>
      <c r="AG1261" s="701" t="s">
        <v>375</v>
      </c>
      <c r="AH1261" s="728"/>
      <c r="AI1261" s="697" t="s">
        <v>3108</v>
      </c>
      <c r="AJ1261" s="699"/>
    </row>
    <row r="1262" spans="1:36" ht="24" hidden="1" customHeight="1">
      <c r="B1262" s="702"/>
      <c r="C1262" s="700"/>
      <c r="D1262" s="700"/>
      <c r="E1262" s="700"/>
      <c r="F1262" s="700"/>
      <c r="G1262" s="700"/>
      <c r="H1262" s="700"/>
      <c r="I1262" s="713"/>
      <c r="J1262" s="710"/>
      <c r="K1262" s="710"/>
      <c r="L1262" s="713"/>
      <c r="M1262" s="710"/>
      <c r="N1262" s="710"/>
      <c r="O1262" s="702"/>
      <c r="P1262" s="702"/>
      <c r="Q1262" s="710"/>
      <c r="R1262" s="702"/>
      <c r="S1262" s="722"/>
      <c r="T1262" s="702"/>
      <c r="U1262" s="702"/>
      <c r="V1262" s="702"/>
      <c r="W1262" s="702"/>
      <c r="X1262" s="702"/>
      <c r="Y1262" s="702"/>
      <c r="Z1262" s="702"/>
      <c r="AA1262" s="473" t="s">
        <v>3109</v>
      </c>
      <c r="AB1262" s="474" t="s">
        <v>539</v>
      </c>
      <c r="AC1262" s="474" t="s">
        <v>539</v>
      </c>
      <c r="AD1262" s="698"/>
      <c r="AE1262" s="702"/>
      <c r="AF1262" s="702"/>
      <c r="AG1262" s="702"/>
      <c r="AH1262" s="729"/>
      <c r="AI1262" s="698"/>
      <c r="AJ1262" s="700"/>
    </row>
    <row r="1263" spans="1:36" ht="24" customHeight="1">
      <c r="A1263" s="452">
        <v>184</v>
      </c>
      <c r="B1263" s="701">
        <v>1016</v>
      </c>
      <c r="C1263" s="699" t="s">
        <v>337</v>
      </c>
      <c r="D1263" s="699"/>
      <c r="E1263" s="699" t="s">
        <v>545</v>
      </c>
      <c r="F1263" s="699"/>
      <c r="G1263" s="699" t="s">
        <v>276</v>
      </c>
      <c r="H1263" s="699" t="s">
        <v>3110</v>
      </c>
      <c r="I1263" s="712">
        <v>30000</v>
      </c>
      <c r="J1263" s="709" t="s">
        <v>537</v>
      </c>
      <c r="K1263" s="709" t="s">
        <v>537</v>
      </c>
      <c r="L1263" s="712">
        <v>30000</v>
      </c>
      <c r="M1263" s="709" t="s">
        <v>537</v>
      </c>
      <c r="N1263" s="709" t="s">
        <v>537</v>
      </c>
      <c r="O1263" s="701" t="s">
        <v>537</v>
      </c>
      <c r="P1263" s="701" t="s">
        <v>537</v>
      </c>
      <c r="Q1263" s="709">
        <v>0</v>
      </c>
      <c r="R1263" s="707">
        <v>241579</v>
      </c>
      <c r="S1263" s="721">
        <v>22458</v>
      </c>
      <c r="T1263" s="701">
        <v>2</v>
      </c>
      <c r="U1263" s="701">
        <v>3</v>
      </c>
      <c r="V1263" s="701">
        <v>15</v>
      </c>
      <c r="W1263" s="701" t="s">
        <v>537</v>
      </c>
      <c r="X1263" s="701">
        <v>5</v>
      </c>
      <c r="Y1263" s="701">
        <v>20</v>
      </c>
      <c r="Z1263" s="701">
        <v>92.1</v>
      </c>
      <c r="AA1263" s="697" t="s">
        <v>547</v>
      </c>
      <c r="AB1263" s="701" t="s">
        <v>539</v>
      </c>
      <c r="AC1263" s="701" t="s">
        <v>539</v>
      </c>
      <c r="AD1263" s="458" t="s">
        <v>548</v>
      </c>
      <c r="AE1263" s="459">
        <v>80</v>
      </c>
      <c r="AF1263" s="459">
        <v>82.6</v>
      </c>
      <c r="AG1263" s="701" t="s">
        <v>375</v>
      </c>
      <c r="AH1263" s="728"/>
      <c r="AI1263" s="697" t="s">
        <v>3111</v>
      </c>
      <c r="AJ1263" s="699"/>
    </row>
    <row r="1264" spans="1:36" ht="24" hidden="1" customHeight="1">
      <c r="B1264" s="702"/>
      <c r="C1264" s="700"/>
      <c r="D1264" s="700"/>
      <c r="E1264" s="700"/>
      <c r="F1264" s="700"/>
      <c r="G1264" s="700"/>
      <c r="H1264" s="700"/>
      <c r="I1264" s="713"/>
      <c r="J1264" s="710"/>
      <c r="K1264" s="710"/>
      <c r="L1264" s="713"/>
      <c r="M1264" s="710"/>
      <c r="N1264" s="710"/>
      <c r="O1264" s="702"/>
      <c r="P1264" s="702"/>
      <c r="Q1264" s="710"/>
      <c r="R1264" s="708"/>
      <c r="S1264" s="722"/>
      <c r="T1264" s="702"/>
      <c r="U1264" s="702"/>
      <c r="V1264" s="702"/>
      <c r="W1264" s="702"/>
      <c r="X1264" s="702"/>
      <c r="Y1264" s="702"/>
      <c r="Z1264" s="702"/>
      <c r="AA1264" s="698"/>
      <c r="AB1264" s="702"/>
      <c r="AC1264" s="702"/>
      <c r="AD1264" s="473" t="s">
        <v>3112</v>
      </c>
      <c r="AE1264" s="474" t="s">
        <v>539</v>
      </c>
      <c r="AF1264" s="474" t="s">
        <v>539</v>
      </c>
      <c r="AG1264" s="702"/>
      <c r="AH1264" s="729"/>
      <c r="AI1264" s="698"/>
      <c r="AJ1264" s="700"/>
    </row>
    <row r="1265" spans="1:36" ht="24" customHeight="1">
      <c r="A1265" s="489">
        <v>185</v>
      </c>
      <c r="B1265" s="701">
        <v>1017</v>
      </c>
      <c r="C1265" s="699" t="s">
        <v>337</v>
      </c>
      <c r="D1265" s="699"/>
      <c r="E1265" s="699" t="s">
        <v>545</v>
      </c>
      <c r="F1265" s="699"/>
      <c r="G1265" s="699" t="s">
        <v>276</v>
      </c>
      <c r="H1265" s="699" t="s">
        <v>3113</v>
      </c>
      <c r="I1265" s="712">
        <v>25000</v>
      </c>
      <c r="J1265" s="709" t="s">
        <v>537</v>
      </c>
      <c r="K1265" s="709" t="s">
        <v>537</v>
      </c>
      <c r="L1265" s="712">
        <v>24963.74</v>
      </c>
      <c r="M1265" s="709" t="s">
        <v>537</v>
      </c>
      <c r="N1265" s="709" t="s">
        <v>537</v>
      </c>
      <c r="O1265" s="701" t="s">
        <v>537</v>
      </c>
      <c r="P1265" s="701" t="s">
        <v>537</v>
      </c>
      <c r="Q1265" s="709">
        <v>36</v>
      </c>
      <c r="R1265" s="707">
        <v>241579</v>
      </c>
      <c r="S1265" s="721">
        <v>22459</v>
      </c>
      <c r="T1265" s="701">
        <v>2</v>
      </c>
      <c r="U1265" s="701">
        <v>3</v>
      </c>
      <c r="V1265" s="701">
        <v>15</v>
      </c>
      <c r="W1265" s="699"/>
      <c r="X1265" s="701">
        <v>3</v>
      </c>
      <c r="Y1265" s="701">
        <v>20</v>
      </c>
      <c r="Z1265" s="701">
        <v>77.2</v>
      </c>
      <c r="AA1265" s="458" t="s">
        <v>547</v>
      </c>
      <c r="AB1265" s="459" t="s">
        <v>539</v>
      </c>
      <c r="AC1265" s="459" t="s">
        <v>539</v>
      </c>
      <c r="AD1265" s="697" t="s">
        <v>548</v>
      </c>
      <c r="AE1265" s="701">
        <v>80</v>
      </c>
      <c r="AF1265" s="701">
        <v>77.2</v>
      </c>
      <c r="AG1265" s="701" t="s">
        <v>376</v>
      </c>
      <c r="AH1265" s="728"/>
      <c r="AI1265" s="697" t="s">
        <v>3077</v>
      </c>
      <c r="AJ1265" s="699"/>
    </row>
    <row r="1266" spans="1:36" ht="24" hidden="1" customHeight="1">
      <c r="B1266" s="702"/>
      <c r="C1266" s="700"/>
      <c r="D1266" s="700"/>
      <c r="E1266" s="700"/>
      <c r="F1266" s="700"/>
      <c r="G1266" s="700"/>
      <c r="H1266" s="700"/>
      <c r="I1266" s="713"/>
      <c r="J1266" s="710"/>
      <c r="K1266" s="710"/>
      <c r="L1266" s="713"/>
      <c r="M1266" s="710"/>
      <c r="N1266" s="710"/>
      <c r="O1266" s="702"/>
      <c r="P1266" s="702"/>
      <c r="Q1266" s="710"/>
      <c r="R1266" s="708"/>
      <c r="S1266" s="722"/>
      <c r="T1266" s="702"/>
      <c r="U1266" s="702"/>
      <c r="V1266" s="702"/>
      <c r="W1266" s="700"/>
      <c r="X1266" s="702"/>
      <c r="Y1266" s="702"/>
      <c r="Z1266" s="702"/>
      <c r="AA1266" s="473" t="s">
        <v>3114</v>
      </c>
      <c r="AB1266" s="474" t="s">
        <v>539</v>
      </c>
      <c r="AC1266" s="474" t="s">
        <v>539</v>
      </c>
      <c r="AD1266" s="698"/>
      <c r="AE1266" s="702"/>
      <c r="AF1266" s="702"/>
      <c r="AG1266" s="702"/>
      <c r="AH1266" s="729"/>
      <c r="AI1266" s="698"/>
      <c r="AJ1266" s="700"/>
    </row>
    <row r="1267" spans="1:36" ht="24" hidden="1" customHeight="1">
      <c r="B1267" s="701">
        <v>1018</v>
      </c>
      <c r="C1267" s="699" t="s">
        <v>534</v>
      </c>
      <c r="D1267" s="699" t="s">
        <v>544</v>
      </c>
      <c r="E1267" s="699" t="s">
        <v>535</v>
      </c>
      <c r="F1267" s="699"/>
      <c r="G1267" s="699" t="s">
        <v>270</v>
      </c>
      <c r="H1267" s="699" t="s">
        <v>3115</v>
      </c>
      <c r="I1267" s="712">
        <v>50000</v>
      </c>
      <c r="J1267" s="709" t="s">
        <v>537</v>
      </c>
      <c r="K1267" s="709" t="s">
        <v>537</v>
      </c>
      <c r="L1267" s="709">
        <v>0</v>
      </c>
      <c r="M1267" s="709" t="s">
        <v>537</v>
      </c>
      <c r="N1267" s="709" t="s">
        <v>537</v>
      </c>
      <c r="O1267" s="701" t="s">
        <v>537</v>
      </c>
      <c r="P1267" s="701" t="s">
        <v>537</v>
      </c>
      <c r="Q1267" s="705">
        <v>50000</v>
      </c>
      <c r="R1267" s="701" t="s">
        <v>3116</v>
      </c>
      <c r="S1267" s="699"/>
      <c r="T1267" s="701">
        <v>20</v>
      </c>
      <c r="U1267" s="701">
        <v>35</v>
      </c>
      <c r="V1267" s="701">
        <v>95</v>
      </c>
      <c r="W1267" s="699"/>
      <c r="X1267" s="699"/>
      <c r="Y1267" s="699"/>
      <c r="Z1267" s="699"/>
      <c r="AA1267" s="697" t="s">
        <v>547</v>
      </c>
      <c r="AB1267" s="701" t="s">
        <v>539</v>
      </c>
      <c r="AC1267" s="699"/>
      <c r="AD1267" s="697" t="s">
        <v>548</v>
      </c>
      <c r="AE1267" s="701">
        <v>80</v>
      </c>
      <c r="AF1267" s="699"/>
      <c r="AG1267" s="701" t="s">
        <v>376</v>
      </c>
      <c r="AH1267" s="725" t="s">
        <v>3117</v>
      </c>
      <c r="AI1267" s="697" t="s">
        <v>773</v>
      </c>
      <c r="AJ1267" s="699"/>
    </row>
    <row r="1268" spans="1:36" ht="24" hidden="1" customHeight="1">
      <c r="B1268" s="702"/>
      <c r="C1268" s="700"/>
      <c r="D1268" s="700"/>
      <c r="E1268" s="700"/>
      <c r="F1268" s="700"/>
      <c r="G1268" s="700"/>
      <c r="H1268" s="700"/>
      <c r="I1268" s="713"/>
      <c r="J1268" s="710"/>
      <c r="K1268" s="710"/>
      <c r="L1268" s="710"/>
      <c r="M1268" s="710"/>
      <c r="N1268" s="710"/>
      <c r="O1268" s="702"/>
      <c r="P1268" s="702"/>
      <c r="Q1268" s="706"/>
      <c r="R1268" s="702"/>
      <c r="S1268" s="700"/>
      <c r="T1268" s="702"/>
      <c r="U1268" s="702"/>
      <c r="V1268" s="702"/>
      <c r="W1268" s="700"/>
      <c r="X1268" s="700"/>
      <c r="Y1268" s="700"/>
      <c r="Z1268" s="700"/>
      <c r="AA1268" s="698"/>
      <c r="AB1268" s="702"/>
      <c r="AC1268" s="700"/>
      <c r="AD1268" s="698"/>
      <c r="AE1268" s="702"/>
      <c r="AF1268" s="700"/>
      <c r="AG1268" s="702"/>
      <c r="AH1268" s="727"/>
      <c r="AI1268" s="698"/>
      <c r="AJ1268" s="700"/>
    </row>
    <row r="1269" spans="1:36" ht="24" hidden="1" customHeight="1">
      <c r="B1269" s="701">
        <v>1019</v>
      </c>
      <c r="C1269" s="699" t="s">
        <v>377</v>
      </c>
      <c r="D1269" s="699" t="s">
        <v>544</v>
      </c>
      <c r="E1269" s="699" t="s">
        <v>602</v>
      </c>
      <c r="F1269" s="699"/>
      <c r="G1269" s="699" t="s">
        <v>270</v>
      </c>
      <c r="H1269" s="699" t="s">
        <v>3118</v>
      </c>
      <c r="I1269" s="712">
        <v>50000</v>
      </c>
      <c r="J1269" s="709" t="s">
        <v>537</v>
      </c>
      <c r="K1269" s="709" t="s">
        <v>537</v>
      </c>
      <c r="L1269" s="709">
        <v>0</v>
      </c>
      <c r="M1269" s="709" t="s">
        <v>537</v>
      </c>
      <c r="N1269" s="709" t="s">
        <v>537</v>
      </c>
      <c r="O1269" s="701" t="s">
        <v>537</v>
      </c>
      <c r="P1269" s="701" t="s">
        <v>537</v>
      </c>
      <c r="Q1269" s="705">
        <v>50000</v>
      </c>
      <c r="R1269" s="707">
        <v>241579</v>
      </c>
      <c r="S1269" s="699"/>
      <c r="T1269" s="701">
        <v>60</v>
      </c>
      <c r="U1269" s="701">
        <v>10</v>
      </c>
      <c r="V1269" s="701">
        <v>0</v>
      </c>
      <c r="W1269" s="699"/>
      <c r="X1269" s="699"/>
      <c r="Y1269" s="699"/>
      <c r="Z1269" s="699"/>
      <c r="AA1269" s="697" t="s">
        <v>612</v>
      </c>
      <c r="AB1269" s="701" t="s">
        <v>539</v>
      </c>
      <c r="AC1269" s="699"/>
      <c r="AD1269" s="697" t="s">
        <v>565</v>
      </c>
      <c r="AE1269" s="701">
        <v>80</v>
      </c>
      <c r="AF1269" s="699"/>
      <c r="AG1269" s="701" t="s">
        <v>376</v>
      </c>
      <c r="AH1269" s="725"/>
      <c r="AI1269" s="697" t="s">
        <v>881</v>
      </c>
      <c r="AJ1269" s="699"/>
    </row>
    <row r="1270" spans="1:36" ht="24" hidden="1" customHeight="1">
      <c r="B1270" s="702"/>
      <c r="C1270" s="700"/>
      <c r="D1270" s="700"/>
      <c r="E1270" s="700"/>
      <c r="F1270" s="700"/>
      <c r="G1270" s="700"/>
      <c r="H1270" s="700"/>
      <c r="I1270" s="713"/>
      <c r="J1270" s="710"/>
      <c r="K1270" s="710"/>
      <c r="L1270" s="710"/>
      <c r="M1270" s="710"/>
      <c r="N1270" s="710"/>
      <c r="O1270" s="702"/>
      <c r="P1270" s="702"/>
      <c r="Q1270" s="706"/>
      <c r="R1270" s="708"/>
      <c r="S1270" s="700"/>
      <c r="T1270" s="702"/>
      <c r="U1270" s="702"/>
      <c r="V1270" s="702"/>
      <c r="W1270" s="700"/>
      <c r="X1270" s="700"/>
      <c r="Y1270" s="700"/>
      <c r="Z1270" s="700"/>
      <c r="AA1270" s="698"/>
      <c r="AB1270" s="702"/>
      <c r="AC1270" s="700"/>
      <c r="AD1270" s="698"/>
      <c r="AE1270" s="702"/>
      <c r="AF1270" s="700"/>
      <c r="AG1270" s="702"/>
      <c r="AH1270" s="727"/>
      <c r="AI1270" s="698"/>
      <c r="AJ1270" s="700"/>
    </row>
    <row r="1271" spans="1:36" ht="24" customHeight="1">
      <c r="A1271" s="452">
        <v>186</v>
      </c>
      <c r="B1271" s="701">
        <v>1020</v>
      </c>
      <c r="C1271" s="699" t="s">
        <v>337</v>
      </c>
      <c r="D1271" s="699"/>
      <c r="E1271" s="699" t="s">
        <v>545</v>
      </c>
      <c r="F1271" s="699"/>
      <c r="G1271" s="699" t="s">
        <v>186</v>
      </c>
      <c r="H1271" s="699" t="s">
        <v>3119</v>
      </c>
      <c r="I1271" s="712">
        <v>300000</v>
      </c>
      <c r="J1271" s="709" t="s">
        <v>537</v>
      </c>
      <c r="K1271" s="709" t="s">
        <v>537</v>
      </c>
      <c r="L1271" s="709">
        <v>0</v>
      </c>
      <c r="M1271" s="709" t="s">
        <v>537</v>
      </c>
      <c r="N1271" s="709" t="s">
        <v>537</v>
      </c>
      <c r="O1271" s="701" t="s">
        <v>537</v>
      </c>
      <c r="P1271" s="701" t="s">
        <v>537</v>
      </c>
      <c r="Q1271" s="705">
        <v>300000</v>
      </c>
      <c r="R1271" s="701" t="s">
        <v>552</v>
      </c>
      <c r="S1271" s="699"/>
      <c r="T1271" s="701">
        <v>0</v>
      </c>
      <c r="U1271" s="701">
        <v>10</v>
      </c>
      <c r="V1271" s="701">
        <v>100</v>
      </c>
      <c r="W1271" s="699"/>
      <c r="X1271" s="699"/>
      <c r="Y1271" s="699"/>
      <c r="Z1271" s="699"/>
      <c r="AA1271" s="458" t="s">
        <v>554</v>
      </c>
      <c r="AB1271" s="459" t="s">
        <v>539</v>
      </c>
      <c r="AC1271" s="699"/>
      <c r="AD1271" s="458" t="s">
        <v>986</v>
      </c>
      <c r="AE1271" s="459">
        <v>80</v>
      </c>
      <c r="AF1271" s="699"/>
      <c r="AG1271" s="701" t="s">
        <v>376</v>
      </c>
      <c r="AH1271" s="725"/>
      <c r="AI1271" s="697">
        <v>869949008</v>
      </c>
      <c r="AJ1271" s="699"/>
    </row>
    <row r="1272" spans="1:36" ht="24" hidden="1" customHeight="1">
      <c r="B1272" s="715"/>
      <c r="C1272" s="714"/>
      <c r="D1272" s="714"/>
      <c r="E1272" s="714"/>
      <c r="F1272" s="714"/>
      <c r="G1272" s="714"/>
      <c r="H1272" s="714"/>
      <c r="I1272" s="720"/>
      <c r="J1272" s="717"/>
      <c r="K1272" s="717"/>
      <c r="L1272" s="717"/>
      <c r="M1272" s="717"/>
      <c r="N1272" s="717"/>
      <c r="O1272" s="715"/>
      <c r="P1272" s="715"/>
      <c r="Q1272" s="718"/>
      <c r="R1272" s="715"/>
      <c r="S1272" s="714"/>
      <c r="T1272" s="715"/>
      <c r="U1272" s="715"/>
      <c r="V1272" s="715"/>
      <c r="W1272" s="714"/>
      <c r="X1272" s="714"/>
      <c r="Y1272" s="714"/>
      <c r="Z1272" s="714"/>
      <c r="AA1272" s="460" t="s">
        <v>3120</v>
      </c>
      <c r="AB1272" s="461" t="s">
        <v>539</v>
      </c>
      <c r="AC1272" s="714"/>
      <c r="AD1272" s="460" t="s">
        <v>1044</v>
      </c>
      <c r="AE1272" s="461">
        <v>10</v>
      </c>
      <c r="AF1272" s="714"/>
      <c r="AG1272" s="715"/>
      <c r="AH1272" s="726"/>
      <c r="AI1272" s="711"/>
      <c r="AJ1272" s="714"/>
    </row>
    <row r="1273" spans="1:36" ht="24" hidden="1" customHeight="1">
      <c r="B1273" s="702"/>
      <c r="C1273" s="700"/>
      <c r="D1273" s="700"/>
      <c r="E1273" s="700"/>
      <c r="F1273" s="700"/>
      <c r="G1273" s="700"/>
      <c r="H1273" s="700"/>
      <c r="I1273" s="713"/>
      <c r="J1273" s="710"/>
      <c r="K1273" s="710"/>
      <c r="L1273" s="710"/>
      <c r="M1273" s="710"/>
      <c r="N1273" s="710"/>
      <c r="O1273" s="702"/>
      <c r="P1273" s="702"/>
      <c r="Q1273" s="706"/>
      <c r="R1273" s="702"/>
      <c r="S1273" s="700"/>
      <c r="T1273" s="702"/>
      <c r="U1273" s="702"/>
      <c r="V1273" s="702"/>
      <c r="W1273" s="700"/>
      <c r="X1273" s="700"/>
      <c r="Y1273" s="700"/>
      <c r="Z1273" s="700"/>
      <c r="AA1273" s="462"/>
      <c r="AB1273" s="462"/>
      <c r="AC1273" s="700"/>
      <c r="AD1273" s="462"/>
      <c r="AE1273" s="462"/>
      <c r="AF1273" s="700"/>
      <c r="AG1273" s="702"/>
      <c r="AH1273" s="727"/>
      <c r="AI1273" s="698"/>
      <c r="AJ1273" s="700"/>
    </row>
    <row r="1274" spans="1:36" ht="24" hidden="1" customHeight="1">
      <c r="B1274" s="701">
        <v>1021</v>
      </c>
      <c r="C1274" s="699" t="s">
        <v>165</v>
      </c>
      <c r="D1274" s="699"/>
      <c r="E1274" s="699" t="s">
        <v>535</v>
      </c>
      <c r="F1274" s="699"/>
      <c r="G1274" s="699" t="s">
        <v>44</v>
      </c>
      <c r="H1274" s="699" t="s">
        <v>3121</v>
      </c>
      <c r="I1274" s="709" t="s">
        <v>537</v>
      </c>
      <c r="J1274" s="712">
        <v>21000</v>
      </c>
      <c r="K1274" s="709" t="s">
        <v>537</v>
      </c>
      <c r="L1274" s="709" t="s">
        <v>537</v>
      </c>
      <c r="M1274" s="709">
        <v>0</v>
      </c>
      <c r="N1274" s="709" t="s">
        <v>537</v>
      </c>
      <c r="O1274" s="701" t="s">
        <v>537</v>
      </c>
      <c r="P1274" s="701" t="s">
        <v>537</v>
      </c>
      <c r="Q1274" s="705">
        <v>21000</v>
      </c>
      <c r="R1274" s="701" t="s">
        <v>725</v>
      </c>
      <c r="S1274" s="699"/>
      <c r="T1274" s="701">
        <v>7</v>
      </c>
      <c r="U1274" s="701">
        <v>0</v>
      </c>
      <c r="V1274" s="701">
        <v>0</v>
      </c>
      <c r="W1274" s="699"/>
      <c r="X1274" s="699"/>
      <c r="Y1274" s="699"/>
      <c r="Z1274" s="699"/>
      <c r="AA1274" s="697" t="s">
        <v>547</v>
      </c>
      <c r="AB1274" s="701" t="s">
        <v>539</v>
      </c>
      <c r="AC1274" s="699"/>
      <c r="AD1274" s="697" t="s">
        <v>733</v>
      </c>
      <c r="AE1274" s="701">
        <v>1</v>
      </c>
      <c r="AF1274" s="699"/>
      <c r="AG1274" s="701" t="s">
        <v>376</v>
      </c>
      <c r="AH1274" s="725"/>
      <c r="AI1274" s="697" t="s">
        <v>1441</v>
      </c>
      <c r="AJ1274" s="699"/>
    </row>
    <row r="1275" spans="1:36" ht="24" hidden="1" customHeight="1">
      <c r="B1275" s="702"/>
      <c r="C1275" s="700"/>
      <c r="D1275" s="700"/>
      <c r="E1275" s="700"/>
      <c r="F1275" s="700"/>
      <c r="G1275" s="700"/>
      <c r="H1275" s="700"/>
      <c r="I1275" s="710"/>
      <c r="J1275" s="713"/>
      <c r="K1275" s="710"/>
      <c r="L1275" s="710"/>
      <c r="M1275" s="710"/>
      <c r="N1275" s="710"/>
      <c r="O1275" s="702"/>
      <c r="P1275" s="702"/>
      <c r="Q1275" s="706"/>
      <c r="R1275" s="702"/>
      <c r="S1275" s="700"/>
      <c r="T1275" s="702"/>
      <c r="U1275" s="702"/>
      <c r="V1275" s="702"/>
      <c r="W1275" s="700"/>
      <c r="X1275" s="700"/>
      <c r="Y1275" s="700"/>
      <c r="Z1275" s="700"/>
      <c r="AA1275" s="698"/>
      <c r="AB1275" s="702"/>
      <c r="AC1275" s="700"/>
      <c r="AD1275" s="698"/>
      <c r="AE1275" s="702"/>
      <c r="AF1275" s="700"/>
      <c r="AG1275" s="702"/>
      <c r="AH1275" s="727"/>
      <c r="AI1275" s="698"/>
      <c r="AJ1275" s="700"/>
    </row>
    <row r="1276" spans="1:36" ht="24" hidden="1" customHeight="1">
      <c r="B1276" s="701">
        <v>1022</v>
      </c>
      <c r="C1276" s="699" t="s">
        <v>534</v>
      </c>
      <c r="D1276" s="699"/>
      <c r="E1276" s="699" t="s">
        <v>535</v>
      </c>
      <c r="F1276" s="699"/>
      <c r="G1276" s="699" t="s">
        <v>60</v>
      </c>
      <c r="H1276" s="699" t="s">
        <v>3122</v>
      </c>
      <c r="I1276" s="709" t="s">
        <v>537</v>
      </c>
      <c r="J1276" s="712">
        <v>70000</v>
      </c>
      <c r="K1276" s="709" t="s">
        <v>537</v>
      </c>
      <c r="L1276" s="709" t="s">
        <v>537</v>
      </c>
      <c r="M1276" s="709">
        <v>0</v>
      </c>
      <c r="N1276" s="709" t="s">
        <v>537</v>
      </c>
      <c r="O1276" s="701" t="s">
        <v>537</v>
      </c>
      <c r="P1276" s="701" t="s">
        <v>537</v>
      </c>
      <c r="Q1276" s="705">
        <v>70000</v>
      </c>
      <c r="R1276" s="701" t="s">
        <v>552</v>
      </c>
      <c r="S1276" s="699"/>
      <c r="T1276" s="701">
        <v>60</v>
      </c>
      <c r="U1276" s="701">
        <v>10</v>
      </c>
      <c r="V1276" s="701">
        <v>0</v>
      </c>
      <c r="W1276" s="699"/>
      <c r="X1276" s="699"/>
      <c r="Y1276" s="699"/>
      <c r="Z1276" s="699"/>
      <c r="AA1276" s="697" t="s">
        <v>633</v>
      </c>
      <c r="AB1276" s="701" t="s">
        <v>539</v>
      </c>
      <c r="AC1276" s="699"/>
      <c r="AD1276" s="697" t="s">
        <v>1690</v>
      </c>
      <c r="AE1276" s="701" t="s">
        <v>539</v>
      </c>
      <c r="AF1276" s="699"/>
      <c r="AG1276" s="701" t="s">
        <v>376</v>
      </c>
      <c r="AH1276" s="725"/>
      <c r="AI1276" s="697" t="s">
        <v>566</v>
      </c>
      <c r="AJ1276" s="699"/>
    </row>
    <row r="1277" spans="1:36" ht="24" hidden="1" customHeight="1">
      <c r="B1277" s="702"/>
      <c r="C1277" s="700"/>
      <c r="D1277" s="700"/>
      <c r="E1277" s="700"/>
      <c r="F1277" s="700"/>
      <c r="G1277" s="700"/>
      <c r="H1277" s="700"/>
      <c r="I1277" s="710"/>
      <c r="J1277" s="713"/>
      <c r="K1277" s="710"/>
      <c r="L1277" s="710"/>
      <c r="M1277" s="710"/>
      <c r="N1277" s="710"/>
      <c r="O1277" s="702"/>
      <c r="P1277" s="702"/>
      <c r="Q1277" s="706"/>
      <c r="R1277" s="702"/>
      <c r="S1277" s="700"/>
      <c r="T1277" s="702"/>
      <c r="U1277" s="702"/>
      <c r="V1277" s="702"/>
      <c r="W1277" s="700"/>
      <c r="X1277" s="700"/>
      <c r="Y1277" s="700"/>
      <c r="Z1277" s="700"/>
      <c r="AA1277" s="698"/>
      <c r="AB1277" s="702"/>
      <c r="AC1277" s="700"/>
      <c r="AD1277" s="698"/>
      <c r="AE1277" s="702"/>
      <c r="AF1277" s="700"/>
      <c r="AG1277" s="702"/>
      <c r="AH1277" s="727"/>
      <c r="AI1277" s="698"/>
      <c r="AJ1277" s="700"/>
    </row>
    <row r="1278" spans="1:36" ht="24" hidden="1" customHeight="1">
      <c r="B1278" s="701">
        <v>1023</v>
      </c>
      <c r="C1278" s="699" t="s">
        <v>534</v>
      </c>
      <c r="D1278" s="699"/>
      <c r="E1278" s="699" t="s">
        <v>535</v>
      </c>
      <c r="F1278" s="699"/>
      <c r="G1278" s="699" t="s">
        <v>60</v>
      </c>
      <c r="H1278" s="699" t="s">
        <v>3123</v>
      </c>
      <c r="I1278" s="709" t="s">
        <v>537</v>
      </c>
      <c r="J1278" s="712">
        <v>50000</v>
      </c>
      <c r="K1278" s="709" t="s">
        <v>537</v>
      </c>
      <c r="L1278" s="709" t="s">
        <v>537</v>
      </c>
      <c r="M1278" s="709">
        <v>0</v>
      </c>
      <c r="N1278" s="709" t="s">
        <v>537</v>
      </c>
      <c r="O1278" s="701" t="s">
        <v>537</v>
      </c>
      <c r="P1278" s="701" t="s">
        <v>537</v>
      </c>
      <c r="Q1278" s="705">
        <v>50000</v>
      </c>
      <c r="R1278" s="701" t="s">
        <v>552</v>
      </c>
      <c r="S1278" s="699"/>
      <c r="T1278" s="701">
        <v>10</v>
      </c>
      <c r="U1278" s="701">
        <v>5</v>
      </c>
      <c r="V1278" s="701">
        <v>300</v>
      </c>
      <c r="W1278" s="699"/>
      <c r="X1278" s="699"/>
      <c r="Y1278" s="699"/>
      <c r="Z1278" s="699"/>
      <c r="AA1278" s="697" t="s">
        <v>1181</v>
      </c>
      <c r="AB1278" s="701" t="s">
        <v>539</v>
      </c>
      <c r="AC1278" s="699"/>
      <c r="AD1278" s="697" t="s">
        <v>1016</v>
      </c>
      <c r="AE1278" s="701">
        <v>80</v>
      </c>
      <c r="AF1278" s="699"/>
      <c r="AG1278" s="701" t="s">
        <v>376</v>
      </c>
      <c r="AH1278" s="725"/>
      <c r="AI1278" s="697" t="s">
        <v>566</v>
      </c>
      <c r="AJ1278" s="699"/>
    </row>
    <row r="1279" spans="1:36" ht="24" hidden="1" customHeight="1">
      <c r="B1279" s="702"/>
      <c r="C1279" s="700"/>
      <c r="D1279" s="700"/>
      <c r="E1279" s="700"/>
      <c r="F1279" s="700"/>
      <c r="G1279" s="700"/>
      <c r="H1279" s="700"/>
      <c r="I1279" s="710"/>
      <c r="J1279" s="713"/>
      <c r="K1279" s="710"/>
      <c r="L1279" s="710"/>
      <c r="M1279" s="710"/>
      <c r="N1279" s="710"/>
      <c r="O1279" s="702"/>
      <c r="P1279" s="702"/>
      <c r="Q1279" s="706"/>
      <c r="R1279" s="702"/>
      <c r="S1279" s="700"/>
      <c r="T1279" s="702"/>
      <c r="U1279" s="702"/>
      <c r="V1279" s="702"/>
      <c r="W1279" s="700"/>
      <c r="X1279" s="700"/>
      <c r="Y1279" s="700"/>
      <c r="Z1279" s="700"/>
      <c r="AA1279" s="698"/>
      <c r="AB1279" s="702"/>
      <c r="AC1279" s="700"/>
      <c r="AD1279" s="698"/>
      <c r="AE1279" s="702"/>
      <c r="AF1279" s="700"/>
      <c r="AG1279" s="702"/>
      <c r="AH1279" s="727"/>
      <c r="AI1279" s="698"/>
      <c r="AJ1279" s="700"/>
    </row>
    <row r="1280" spans="1:36" ht="24" customHeight="1">
      <c r="A1280" s="452">
        <v>187</v>
      </c>
      <c r="B1280" s="701">
        <v>1024</v>
      </c>
      <c r="C1280" s="699" t="s">
        <v>337</v>
      </c>
      <c r="D1280" s="699"/>
      <c r="E1280" s="699" t="s">
        <v>545</v>
      </c>
      <c r="F1280" s="699"/>
      <c r="G1280" s="699" t="s">
        <v>60</v>
      </c>
      <c r="H1280" s="699" t="s">
        <v>3124</v>
      </c>
      <c r="I1280" s="712">
        <v>15000</v>
      </c>
      <c r="J1280" s="709" t="s">
        <v>537</v>
      </c>
      <c r="K1280" s="709" t="s">
        <v>537</v>
      </c>
      <c r="L1280" s="709">
        <v>0</v>
      </c>
      <c r="M1280" s="709" t="s">
        <v>537</v>
      </c>
      <c r="N1280" s="709" t="s">
        <v>537</v>
      </c>
      <c r="O1280" s="701" t="s">
        <v>537</v>
      </c>
      <c r="P1280" s="701" t="s">
        <v>537</v>
      </c>
      <c r="Q1280" s="705">
        <v>15000</v>
      </c>
      <c r="R1280" s="701" t="s">
        <v>1984</v>
      </c>
      <c r="S1280" s="699"/>
      <c r="T1280" s="701">
        <v>4</v>
      </c>
      <c r="U1280" s="701">
        <v>1</v>
      </c>
      <c r="V1280" s="701">
        <v>5</v>
      </c>
      <c r="W1280" s="699"/>
      <c r="X1280" s="699"/>
      <c r="Y1280" s="699"/>
      <c r="Z1280" s="699"/>
      <c r="AA1280" s="458" t="s">
        <v>547</v>
      </c>
      <c r="AB1280" s="459" t="s">
        <v>539</v>
      </c>
      <c r="AC1280" s="699"/>
      <c r="AD1280" s="458" t="s">
        <v>548</v>
      </c>
      <c r="AE1280" s="459">
        <v>80</v>
      </c>
      <c r="AF1280" s="699"/>
      <c r="AG1280" s="701" t="s">
        <v>376</v>
      </c>
      <c r="AH1280" s="725" t="s">
        <v>3125</v>
      </c>
      <c r="AI1280" s="699"/>
      <c r="AJ1280" s="699"/>
    </row>
    <row r="1281" spans="1:36" ht="24" hidden="1" customHeight="1">
      <c r="B1281" s="715"/>
      <c r="C1281" s="714"/>
      <c r="D1281" s="714"/>
      <c r="E1281" s="714"/>
      <c r="F1281" s="714"/>
      <c r="G1281" s="714"/>
      <c r="H1281" s="714"/>
      <c r="I1281" s="720"/>
      <c r="J1281" s="717"/>
      <c r="K1281" s="717"/>
      <c r="L1281" s="717"/>
      <c r="M1281" s="717"/>
      <c r="N1281" s="717"/>
      <c r="O1281" s="715"/>
      <c r="P1281" s="715"/>
      <c r="Q1281" s="718"/>
      <c r="R1281" s="715"/>
      <c r="S1281" s="714"/>
      <c r="T1281" s="715"/>
      <c r="U1281" s="715"/>
      <c r="V1281" s="715"/>
      <c r="W1281" s="714"/>
      <c r="X1281" s="714"/>
      <c r="Y1281" s="714"/>
      <c r="Z1281" s="714"/>
      <c r="AA1281" s="460" t="s">
        <v>3126</v>
      </c>
      <c r="AB1281" s="461" t="s">
        <v>539</v>
      </c>
      <c r="AC1281" s="714"/>
      <c r="AD1281" s="460" t="s">
        <v>3127</v>
      </c>
      <c r="AE1281" s="461" t="s">
        <v>539</v>
      </c>
      <c r="AF1281" s="714"/>
      <c r="AG1281" s="715"/>
      <c r="AH1281" s="726"/>
      <c r="AI1281" s="714"/>
      <c r="AJ1281" s="714"/>
    </row>
    <row r="1282" spans="1:36" ht="24" hidden="1" customHeight="1">
      <c r="B1282" s="702"/>
      <c r="C1282" s="700"/>
      <c r="D1282" s="700"/>
      <c r="E1282" s="700"/>
      <c r="F1282" s="700"/>
      <c r="G1282" s="700"/>
      <c r="H1282" s="700"/>
      <c r="I1282" s="713"/>
      <c r="J1282" s="710"/>
      <c r="K1282" s="710"/>
      <c r="L1282" s="710"/>
      <c r="M1282" s="710"/>
      <c r="N1282" s="710"/>
      <c r="O1282" s="702"/>
      <c r="P1282" s="702"/>
      <c r="Q1282" s="706"/>
      <c r="R1282" s="702"/>
      <c r="S1282" s="700"/>
      <c r="T1282" s="702"/>
      <c r="U1282" s="702"/>
      <c r="V1282" s="702"/>
      <c r="W1282" s="700"/>
      <c r="X1282" s="700"/>
      <c r="Y1282" s="700"/>
      <c r="Z1282" s="700"/>
      <c r="AA1282" s="462"/>
      <c r="AB1282" s="462"/>
      <c r="AC1282" s="700"/>
      <c r="AD1282" s="462"/>
      <c r="AE1282" s="462"/>
      <c r="AF1282" s="700"/>
      <c r="AG1282" s="702"/>
      <c r="AH1282" s="727"/>
      <c r="AI1282" s="700"/>
      <c r="AJ1282" s="700"/>
    </row>
    <row r="1283" spans="1:36" ht="24" customHeight="1">
      <c r="A1283" s="452">
        <v>188</v>
      </c>
      <c r="B1283" s="701">
        <v>1025</v>
      </c>
      <c r="C1283" s="699" t="s">
        <v>337</v>
      </c>
      <c r="D1283" s="699"/>
      <c r="E1283" s="699" t="s">
        <v>545</v>
      </c>
      <c r="F1283" s="699"/>
      <c r="G1283" s="699" t="s">
        <v>60</v>
      </c>
      <c r="H1283" s="699" t="s">
        <v>3128</v>
      </c>
      <c r="I1283" s="712">
        <v>40000</v>
      </c>
      <c r="J1283" s="709" t="s">
        <v>537</v>
      </c>
      <c r="K1283" s="709" t="s">
        <v>537</v>
      </c>
      <c r="L1283" s="709">
        <v>0</v>
      </c>
      <c r="M1283" s="709" t="s">
        <v>537</v>
      </c>
      <c r="N1283" s="709" t="s">
        <v>537</v>
      </c>
      <c r="O1283" s="701" t="s">
        <v>537</v>
      </c>
      <c r="P1283" s="701" t="s">
        <v>537</v>
      </c>
      <c r="Q1283" s="705">
        <v>40000</v>
      </c>
      <c r="R1283" s="701" t="s">
        <v>1984</v>
      </c>
      <c r="S1283" s="699"/>
      <c r="T1283" s="701">
        <v>3</v>
      </c>
      <c r="U1283" s="701">
        <v>2</v>
      </c>
      <c r="V1283" s="701">
        <v>25</v>
      </c>
      <c r="W1283" s="699"/>
      <c r="X1283" s="699"/>
      <c r="Y1283" s="699"/>
      <c r="Z1283" s="699"/>
      <c r="AA1283" s="458" t="s">
        <v>3129</v>
      </c>
      <c r="AB1283" s="459" t="s">
        <v>539</v>
      </c>
      <c r="AC1283" s="699"/>
      <c r="AD1283" s="697" t="s">
        <v>548</v>
      </c>
      <c r="AE1283" s="701" t="s">
        <v>539</v>
      </c>
      <c r="AF1283" s="699"/>
      <c r="AG1283" s="701" t="s">
        <v>376</v>
      </c>
      <c r="AH1283" s="725" t="s">
        <v>3130</v>
      </c>
      <c r="AI1283" s="699"/>
      <c r="AJ1283" s="699"/>
    </row>
    <row r="1284" spans="1:36" ht="24" hidden="1" customHeight="1">
      <c r="B1284" s="715"/>
      <c r="C1284" s="714"/>
      <c r="D1284" s="714"/>
      <c r="E1284" s="714"/>
      <c r="F1284" s="714"/>
      <c r="G1284" s="714"/>
      <c r="H1284" s="714"/>
      <c r="I1284" s="720"/>
      <c r="J1284" s="717"/>
      <c r="K1284" s="717"/>
      <c r="L1284" s="717"/>
      <c r="M1284" s="717"/>
      <c r="N1284" s="717"/>
      <c r="O1284" s="715"/>
      <c r="P1284" s="715"/>
      <c r="Q1284" s="718"/>
      <c r="R1284" s="715"/>
      <c r="S1284" s="714"/>
      <c r="T1284" s="715"/>
      <c r="U1284" s="715"/>
      <c r="V1284" s="715"/>
      <c r="W1284" s="714"/>
      <c r="X1284" s="714"/>
      <c r="Y1284" s="714"/>
      <c r="Z1284" s="714"/>
      <c r="AA1284" s="460" t="s">
        <v>3131</v>
      </c>
      <c r="AB1284" s="461" t="s">
        <v>539</v>
      </c>
      <c r="AC1284" s="714"/>
      <c r="AD1284" s="711"/>
      <c r="AE1284" s="715"/>
      <c r="AF1284" s="714"/>
      <c r="AG1284" s="715"/>
      <c r="AH1284" s="726"/>
      <c r="AI1284" s="714"/>
      <c r="AJ1284" s="714"/>
    </row>
    <row r="1285" spans="1:36" ht="24" hidden="1" customHeight="1">
      <c r="B1285" s="702"/>
      <c r="C1285" s="700"/>
      <c r="D1285" s="700"/>
      <c r="E1285" s="700"/>
      <c r="F1285" s="700"/>
      <c r="G1285" s="700"/>
      <c r="H1285" s="700"/>
      <c r="I1285" s="713"/>
      <c r="J1285" s="710"/>
      <c r="K1285" s="710"/>
      <c r="L1285" s="710"/>
      <c r="M1285" s="710"/>
      <c r="N1285" s="710"/>
      <c r="O1285" s="702"/>
      <c r="P1285" s="702"/>
      <c r="Q1285" s="706"/>
      <c r="R1285" s="702"/>
      <c r="S1285" s="700"/>
      <c r="T1285" s="702"/>
      <c r="U1285" s="702"/>
      <c r="V1285" s="702"/>
      <c r="W1285" s="700"/>
      <c r="X1285" s="700"/>
      <c r="Y1285" s="700"/>
      <c r="Z1285" s="700"/>
      <c r="AA1285" s="462"/>
      <c r="AB1285" s="462"/>
      <c r="AC1285" s="700"/>
      <c r="AD1285" s="698"/>
      <c r="AE1285" s="702"/>
      <c r="AF1285" s="700"/>
      <c r="AG1285" s="702"/>
      <c r="AH1285" s="727"/>
      <c r="AI1285" s="700"/>
      <c r="AJ1285" s="700"/>
    </row>
    <row r="1286" spans="1:36" ht="24" customHeight="1">
      <c r="A1286" s="452">
        <v>189</v>
      </c>
      <c r="B1286" s="701">
        <v>1026</v>
      </c>
      <c r="C1286" s="699" t="s">
        <v>337</v>
      </c>
      <c r="D1286" s="699"/>
      <c r="E1286" s="699" t="s">
        <v>545</v>
      </c>
      <c r="F1286" s="699"/>
      <c r="G1286" s="699" t="s">
        <v>60</v>
      </c>
      <c r="H1286" s="699" t="s">
        <v>3132</v>
      </c>
      <c r="I1286" s="712">
        <v>30000</v>
      </c>
      <c r="J1286" s="709" t="s">
        <v>537</v>
      </c>
      <c r="K1286" s="709" t="s">
        <v>537</v>
      </c>
      <c r="L1286" s="709">
        <v>0</v>
      </c>
      <c r="M1286" s="709" t="s">
        <v>537</v>
      </c>
      <c r="N1286" s="709" t="s">
        <v>537</v>
      </c>
      <c r="O1286" s="701" t="s">
        <v>537</v>
      </c>
      <c r="P1286" s="701" t="s">
        <v>537</v>
      </c>
      <c r="Q1286" s="705">
        <v>30000</v>
      </c>
      <c r="R1286" s="701" t="s">
        <v>3133</v>
      </c>
      <c r="S1286" s="699"/>
      <c r="T1286" s="701">
        <v>3</v>
      </c>
      <c r="U1286" s="701">
        <v>2</v>
      </c>
      <c r="V1286" s="701">
        <v>25</v>
      </c>
      <c r="W1286" s="699"/>
      <c r="X1286" s="699"/>
      <c r="Y1286" s="699"/>
      <c r="Z1286" s="699"/>
      <c r="AA1286" s="458" t="s">
        <v>547</v>
      </c>
      <c r="AB1286" s="459" t="s">
        <v>539</v>
      </c>
      <c r="AC1286" s="699"/>
      <c r="AD1286" s="458" t="s">
        <v>3134</v>
      </c>
      <c r="AE1286" s="459">
        <v>80</v>
      </c>
      <c r="AF1286" s="699"/>
      <c r="AG1286" s="701" t="s">
        <v>376</v>
      </c>
      <c r="AH1286" s="725" t="s">
        <v>3135</v>
      </c>
      <c r="AI1286" s="699"/>
      <c r="AJ1286" s="699"/>
    </row>
    <row r="1287" spans="1:36" ht="24" hidden="1" customHeight="1">
      <c r="B1287" s="715"/>
      <c r="C1287" s="714"/>
      <c r="D1287" s="714"/>
      <c r="E1287" s="714"/>
      <c r="F1287" s="714"/>
      <c r="G1287" s="714"/>
      <c r="H1287" s="714"/>
      <c r="I1287" s="720"/>
      <c r="J1287" s="717"/>
      <c r="K1287" s="717"/>
      <c r="L1287" s="717"/>
      <c r="M1287" s="717"/>
      <c r="N1287" s="717"/>
      <c r="O1287" s="715"/>
      <c r="P1287" s="715"/>
      <c r="Q1287" s="718"/>
      <c r="R1287" s="715"/>
      <c r="S1287" s="714"/>
      <c r="T1287" s="715"/>
      <c r="U1287" s="715"/>
      <c r="V1287" s="715"/>
      <c r="W1287" s="714"/>
      <c r="X1287" s="714"/>
      <c r="Y1287" s="714"/>
      <c r="Z1287" s="714"/>
      <c r="AA1287" s="460" t="s">
        <v>3136</v>
      </c>
      <c r="AB1287" s="461" t="s">
        <v>539</v>
      </c>
      <c r="AC1287" s="714"/>
      <c r="AD1287" s="460" t="s">
        <v>3137</v>
      </c>
      <c r="AE1287" s="461" t="s">
        <v>539</v>
      </c>
      <c r="AF1287" s="714"/>
      <c r="AG1287" s="715"/>
      <c r="AH1287" s="726"/>
      <c r="AI1287" s="714"/>
      <c r="AJ1287" s="714"/>
    </row>
    <row r="1288" spans="1:36" ht="24" hidden="1" customHeight="1">
      <c r="B1288" s="702"/>
      <c r="C1288" s="700"/>
      <c r="D1288" s="700"/>
      <c r="E1288" s="700"/>
      <c r="F1288" s="700"/>
      <c r="G1288" s="700"/>
      <c r="H1288" s="700"/>
      <c r="I1288" s="713"/>
      <c r="J1288" s="710"/>
      <c r="K1288" s="710"/>
      <c r="L1288" s="710"/>
      <c r="M1288" s="710"/>
      <c r="N1288" s="710"/>
      <c r="O1288" s="702"/>
      <c r="P1288" s="702"/>
      <c r="Q1288" s="706"/>
      <c r="R1288" s="702"/>
      <c r="S1288" s="700"/>
      <c r="T1288" s="702"/>
      <c r="U1288" s="702"/>
      <c r="V1288" s="702"/>
      <c r="W1288" s="700"/>
      <c r="X1288" s="700"/>
      <c r="Y1288" s="700"/>
      <c r="Z1288" s="700"/>
      <c r="AA1288" s="462"/>
      <c r="AB1288" s="462"/>
      <c r="AC1288" s="700"/>
      <c r="AD1288" s="462"/>
      <c r="AE1288" s="462"/>
      <c r="AF1288" s="700"/>
      <c r="AG1288" s="702"/>
      <c r="AH1288" s="727"/>
      <c r="AI1288" s="700"/>
      <c r="AJ1288" s="700"/>
    </row>
    <row r="1289" spans="1:36" ht="24" hidden="1" customHeight="1">
      <c r="B1289" s="701">
        <v>1027</v>
      </c>
      <c r="C1289" s="699" t="s">
        <v>165</v>
      </c>
      <c r="D1289" s="699"/>
      <c r="E1289" s="699" t="s">
        <v>535</v>
      </c>
      <c r="F1289" s="699"/>
      <c r="G1289" s="699" t="s">
        <v>274</v>
      </c>
      <c r="H1289" s="699" t="s">
        <v>3138</v>
      </c>
      <c r="I1289" s="712">
        <v>44000</v>
      </c>
      <c r="J1289" s="709" t="s">
        <v>537</v>
      </c>
      <c r="K1289" s="709" t="s">
        <v>537</v>
      </c>
      <c r="L1289" s="709">
        <v>0</v>
      </c>
      <c r="M1289" s="709" t="s">
        <v>537</v>
      </c>
      <c r="N1289" s="709" t="s">
        <v>537</v>
      </c>
      <c r="O1289" s="701" t="s">
        <v>537</v>
      </c>
      <c r="P1289" s="701" t="s">
        <v>537</v>
      </c>
      <c r="Q1289" s="705">
        <v>44000</v>
      </c>
      <c r="R1289" s="707">
        <v>241397</v>
      </c>
      <c r="S1289" s="699"/>
      <c r="T1289" s="701">
        <v>400</v>
      </c>
      <c r="U1289" s="701">
        <v>0</v>
      </c>
      <c r="V1289" s="701">
        <v>0</v>
      </c>
      <c r="W1289" s="699"/>
      <c r="X1289" s="699"/>
      <c r="Y1289" s="699"/>
      <c r="Z1289" s="699"/>
      <c r="AA1289" s="697" t="s">
        <v>728</v>
      </c>
      <c r="AB1289" s="701">
        <v>1</v>
      </c>
      <c r="AC1289" s="699"/>
      <c r="AD1289" s="697" t="s">
        <v>651</v>
      </c>
      <c r="AE1289" s="701">
        <v>1</v>
      </c>
      <c r="AF1289" s="699"/>
      <c r="AG1289" s="701" t="s">
        <v>376</v>
      </c>
      <c r="AH1289" s="725"/>
      <c r="AI1289" s="697" t="s">
        <v>566</v>
      </c>
      <c r="AJ1289" s="699"/>
    </row>
    <row r="1290" spans="1:36" ht="24" hidden="1" customHeight="1">
      <c r="B1290" s="702"/>
      <c r="C1290" s="700"/>
      <c r="D1290" s="700"/>
      <c r="E1290" s="700"/>
      <c r="F1290" s="700"/>
      <c r="G1290" s="700"/>
      <c r="H1290" s="700"/>
      <c r="I1290" s="713"/>
      <c r="J1290" s="710"/>
      <c r="K1290" s="710"/>
      <c r="L1290" s="710"/>
      <c r="M1290" s="710"/>
      <c r="N1290" s="710"/>
      <c r="O1290" s="702"/>
      <c r="P1290" s="702"/>
      <c r="Q1290" s="706"/>
      <c r="R1290" s="708"/>
      <c r="S1290" s="700"/>
      <c r="T1290" s="702"/>
      <c r="U1290" s="702"/>
      <c r="V1290" s="702"/>
      <c r="W1290" s="700"/>
      <c r="X1290" s="700"/>
      <c r="Y1290" s="700"/>
      <c r="Z1290" s="700"/>
      <c r="AA1290" s="698"/>
      <c r="AB1290" s="702"/>
      <c r="AC1290" s="700"/>
      <c r="AD1290" s="698"/>
      <c r="AE1290" s="702"/>
      <c r="AF1290" s="700"/>
      <c r="AG1290" s="702"/>
      <c r="AH1290" s="727"/>
      <c r="AI1290" s="698"/>
      <c r="AJ1290" s="700"/>
    </row>
    <row r="1291" spans="1:36" ht="24" hidden="1" customHeight="1">
      <c r="B1291" s="701">
        <v>1028</v>
      </c>
      <c r="C1291" s="699" t="s">
        <v>534</v>
      </c>
      <c r="D1291" s="699"/>
      <c r="E1291" s="699" t="s">
        <v>535</v>
      </c>
      <c r="F1291" s="699"/>
      <c r="G1291" s="699" t="s">
        <v>57</v>
      </c>
      <c r="H1291" s="699" t="s">
        <v>3139</v>
      </c>
      <c r="I1291" s="712">
        <v>150000</v>
      </c>
      <c r="J1291" s="709" t="s">
        <v>537</v>
      </c>
      <c r="K1291" s="709" t="s">
        <v>537</v>
      </c>
      <c r="L1291" s="709">
        <v>0</v>
      </c>
      <c r="M1291" s="709" t="s">
        <v>537</v>
      </c>
      <c r="N1291" s="709" t="s">
        <v>537</v>
      </c>
      <c r="O1291" s="701" t="s">
        <v>537</v>
      </c>
      <c r="P1291" s="701" t="s">
        <v>537</v>
      </c>
      <c r="Q1291" s="705">
        <v>150000</v>
      </c>
      <c r="R1291" s="707">
        <v>241518</v>
      </c>
      <c r="S1291" s="699"/>
      <c r="T1291" s="701">
        <v>8</v>
      </c>
      <c r="U1291" s="701">
        <v>4</v>
      </c>
      <c r="V1291" s="701">
        <v>0</v>
      </c>
      <c r="W1291" s="699"/>
      <c r="X1291" s="699"/>
      <c r="Y1291" s="699"/>
      <c r="Z1291" s="699"/>
      <c r="AA1291" s="697" t="s">
        <v>728</v>
      </c>
      <c r="AB1291" s="701">
        <v>1</v>
      </c>
      <c r="AC1291" s="699"/>
      <c r="AD1291" s="697" t="s">
        <v>729</v>
      </c>
      <c r="AE1291" s="701">
        <v>1</v>
      </c>
      <c r="AF1291" s="699"/>
      <c r="AG1291" s="701" t="s">
        <v>376</v>
      </c>
      <c r="AH1291" s="725"/>
      <c r="AI1291" s="697" t="s">
        <v>2343</v>
      </c>
      <c r="AJ1291" s="699"/>
    </row>
    <row r="1292" spans="1:36" ht="24" hidden="1" customHeight="1">
      <c r="B1292" s="702"/>
      <c r="C1292" s="700"/>
      <c r="D1292" s="700"/>
      <c r="E1292" s="700"/>
      <c r="F1292" s="700"/>
      <c r="G1292" s="700"/>
      <c r="H1292" s="700"/>
      <c r="I1292" s="713"/>
      <c r="J1292" s="710"/>
      <c r="K1292" s="710"/>
      <c r="L1292" s="710"/>
      <c r="M1292" s="710"/>
      <c r="N1292" s="710"/>
      <c r="O1292" s="702"/>
      <c r="P1292" s="702"/>
      <c r="Q1292" s="706"/>
      <c r="R1292" s="708"/>
      <c r="S1292" s="700"/>
      <c r="T1292" s="702"/>
      <c r="U1292" s="702"/>
      <c r="V1292" s="702"/>
      <c r="W1292" s="700"/>
      <c r="X1292" s="700"/>
      <c r="Y1292" s="700"/>
      <c r="Z1292" s="700"/>
      <c r="AA1292" s="698"/>
      <c r="AB1292" s="702"/>
      <c r="AC1292" s="700"/>
      <c r="AD1292" s="698"/>
      <c r="AE1292" s="702"/>
      <c r="AF1292" s="700"/>
      <c r="AG1292" s="702"/>
      <c r="AH1292" s="727"/>
      <c r="AI1292" s="698"/>
      <c r="AJ1292" s="700"/>
    </row>
    <row r="1293" spans="1:36" ht="24" hidden="1" customHeight="1">
      <c r="B1293" s="701">
        <v>1029</v>
      </c>
      <c r="C1293" s="699" t="s">
        <v>534</v>
      </c>
      <c r="D1293" s="699"/>
      <c r="E1293" s="699" t="s">
        <v>535</v>
      </c>
      <c r="F1293" s="699"/>
      <c r="G1293" s="699" t="s">
        <v>57</v>
      </c>
      <c r="H1293" s="699" t="s">
        <v>3140</v>
      </c>
      <c r="I1293" s="709" t="s">
        <v>537</v>
      </c>
      <c r="J1293" s="709" t="s">
        <v>537</v>
      </c>
      <c r="K1293" s="712">
        <v>54000</v>
      </c>
      <c r="L1293" s="709" t="s">
        <v>537</v>
      </c>
      <c r="M1293" s="709" t="s">
        <v>537</v>
      </c>
      <c r="N1293" s="709">
        <v>0</v>
      </c>
      <c r="O1293" s="701" t="s">
        <v>537</v>
      </c>
      <c r="P1293" s="701" t="s">
        <v>537</v>
      </c>
      <c r="Q1293" s="705">
        <v>54000</v>
      </c>
      <c r="R1293" s="701" t="s">
        <v>877</v>
      </c>
      <c r="S1293" s="699"/>
      <c r="T1293" s="701">
        <v>5</v>
      </c>
      <c r="U1293" s="701">
        <v>0</v>
      </c>
      <c r="V1293" s="701">
        <v>10</v>
      </c>
      <c r="W1293" s="699"/>
      <c r="X1293" s="699"/>
      <c r="Y1293" s="699"/>
      <c r="Z1293" s="699"/>
      <c r="AA1293" s="697" t="s">
        <v>547</v>
      </c>
      <c r="AB1293" s="701" t="s">
        <v>539</v>
      </c>
      <c r="AC1293" s="699"/>
      <c r="AD1293" s="458" t="s">
        <v>3141</v>
      </c>
      <c r="AE1293" s="459">
        <v>1</v>
      </c>
      <c r="AF1293" s="699"/>
      <c r="AG1293" s="701" t="s">
        <v>376</v>
      </c>
      <c r="AH1293" s="725"/>
      <c r="AI1293" s="699"/>
      <c r="AJ1293" s="697" t="s">
        <v>792</v>
      </c>
    </row>
    <row r="1294" spans="1:36" ht="24" hidden="1" customHeight="1">
      <c r="B1294" s="715"/>
      <c r="C1294" s="714"/>
      <c r="D1294" s="714"/>
      <c r="E1294" s="714"/>
      <c r="F1294" s="714"/>
      <c r="G1294" s="714"/>
      <c r="H1294" s="714"/>
      <c r="I1294" s="717"/>
      <c r="J1294" s="717"/>
      <c r="K1294" s="720"/>
      <c r="L1294" s="717"/>
      <c r="M1294" s="717"/>
      <c r="N1294" s="717"/>
      <c r="O1294" s="715"/>
      <c r="P1294" s="715"/>
      <c r="Q1294" s="718"/>
      <c r="R1294" s="715"/>
      <c r="S1294" s="714"/>
      <c r="T1294" s="715"/>
      <c r="U1294" s="715"/>
      <c r="V1294" s="715"/>
      <c r="W1294" s="714"/>
      <c r="X1294" s="714"/>
      <c r="Y1294" s="714"/>
      <c r="Z1294" s="714"/>
      <c r="AA1294" s="711"/>
      <c r="AB1294" s="715"/>
      <c r="AC1294" s="714"/>
      <c r="AD1294" s="460" t="s">
        <v>3142</v>
      </c>
      <c r="AE1294" s="461">
        <v>6</v>
      </c>
      <c r="AF1294" s="714"/>
      <c r="AG1294" s="715"/>
      <c r="AH1294" s="726"/>
      <c r="AI1294" s="714"/>
      <c r="AJ1294" s="711"/>
    </row>
    <row r="1295" spans="1:36" ht="24" hidden="1" customHeight="1">
      <c r="B1295" s="702"/>
      <c r="C1295" s="700"/>
      <c r="D1295" s="700"/>
      <c r="E1295" s="700"/>
      <c r="F1295" s="700"/>
      <c r="G1295" s="700"/>
      <c r="H1295" s="700"/>
      <c r="I1295" s="710"/>
      <c r="J1295" s="710"/>
      <c r="K1295" s="713"/>
      <c r="L1295" s="710"/>
      <c r="M1295" s="710"/>
      <c r="N1295" s="710"/>
      <c r="O1295" s="702"/>
      <c r="P1295" s="702"/>
      <c r="Q1295" s="706"/>
      <c r="R1295" s="702"/>
      <c r="S1295" s="700"/>
      <c r="T1295" s="702"/>
      <c r="U1295" s="702"/>
      <c r="V1295" s="702"/>
      <c r="W1295" s="700"/>
      <c r="X1295" s="700"/>
      <c r="Y1295" s="700"/>
      <c r="Z1295" s="700"/>
      <c r="AA1295" s="698"/>
      <c r="AB1295" s="702"/>
      <c r="AC1295" s="700"/>
      <c r="AD1295" s="462"/>
      <c r="AE1295" s="462"/>
      <c r="AF1295" s="700"/>
      <c r="AG1295" s="702"/>
      <c r="AH1295" s="727"/>
      <c r="AI1295" s="700"/>
      <c r="AJ1295" s="698"/>
    </row>
    <row r="1296" spans="1:36" ht="24" hidden="1" customHeight="1">
      <c r="B1296" s="701">
        <v>1030</v>
      </c>
      <c r="C1296" s="699" t="s">
        <v>534</v>
      </c>
      <c r="D1296" s="699"/>
      <c r="E1296" s="699" t="s">
        <v>577</v>
      </c>
      <c r="F1296" s="699"/>
      <c r="G1296" s="699" t="s">
        <v>57</v>
      </c>
      <c r="H1296" s="699" t="s">
        <v>3143</v>
      </c>
      <c r="I1296" s="709" t="s">
        <v>537</v>
      </c>
      <c r="J1296" s="709" t="s">
        <v>537</v>
      </c>
      <c r="K1296" s="712">
        <v>40000</v>
      </c>
      <c r="L1296" s="709" t="s">
        <v>537</v>
      </c>
      <c r="M1296" s="709" t="s">
        <v>537</v>
      </c>
      <c r="N1296" s="709">
        <v>0</v>
      </c>
      <c r="O1296" s="701" t="s">
        <v>537</v>
      </c>
      <c r="P1296" s="701" t="s">
        <v>537</v>
      </c>
      <c r="Q1296" s="705">
        <v>40000</v>
      </c>
      <c r="R1296" s="707">
        <v>241518</v>
      </c>
      <c r="S1296" s="699"/>
      <c r="T1296" s="701">
        <v>0</v>
      </c>
      <c r="U1296" s="701">
        <v>0</v>
      </c>
      <c r="V1296" s="701">
        <v>0</v>
      </c>
      <c r="W1296" s="699"/>
      <c r="X1296" s="699"/>
      <c r="Y1296" s="699"/>
      <c r="Z1296" s="699"/>
      <c r="AA1296" s="458" t="s">
        <v>3144</v>
      </c>
      <c r="AB1296" s="459" t="s">
        <v>539</v>
      </c>
      <c r="AC1296" s="699"/>
      <c r="AD1296" s="458" t="s">
        <v>3145</v>
      </c>
      <c r="AE1296" s="459">
        <v>1</v>
      </c>
      <c r="AF1296" s="699"/>
      <c r="AG1296" s="701" t="s">
        <v>376</v>
      </c>
      <c r="AH1296" s="725" t="s">
        <v>3146</v>
      </c>
      <c r="AI1296" s="697" t="s">
        <v>2363</v>
      </c>
      <c r="AJ1296" s="697" t="s">
        <v>543</v>
      </c>
    </row>
    <row r="1297" spans="2:36" ht="24" hidden="1" customHeight="1">
      <c r="B1297" s="715"/>
      <c r="C1297" s="714"/>
      <c r="D1297" s="714"/>
      <c r="E1297" s="714"/>
      <c r="F1297" s="714"/>
      <c r="G1297" s="714"/>
      <c r="H1297" s="714"/>
      <c r="I1297" s="717"/>
      <c r="J1297" s="717"/>
      <c r="K1297" s="720"/>
      <c r="L1297" s="717"/>
      <c r="M1297" s="717"/>
      <c r="N1297" s="717"/>
      <c r="O1297" s="715"/>
      <c r="P1297" s="715"/>
      <c r="Q1297" s="718"/>
      <c r="R1297" s="719"/>
      <c r="S1297" s="714"/>
      <c r="T1297" s="715"/>
      <c r="U1297" s="715"/>
      <c r="V1297" s="715"/>
      <c r="W1297" s="714"/>
      <c r="X1297" s="714"/>
      <c r="Y1297" s="714"/>
      <c r="Z1297" s="714"/>
      <c r="AA1297" s="460" t="s">
        <v>3147</v>
      </c>
      <c r="AB1297" s="461" t="s">
        <v>539</v>
      </c>
      <c r="AC1297" s="714"/>
      <c r="AD1297" s="460" t="s">
        <v>3148</v>
      </c>
      <c r="AE1297" s="461">
        <v>1</v>
      </c>
      <c r="AF1297" s="714"/>
      <c r="AG1297" s="715"/>
      <c r="AH1297" s="726"/>
      <c r="AI1297" s="711"/>
      <c r="AJ1297" s="711"/>
    </row>
    <row r="1298" spans="2:36" ht="24" hidden="1" customHeight="1">
      <c r="B1298" s="702"/>
      <c r="C1298" s="700"/>
      <c r="D1298" s="700"/>
      <c r="E1298" s="700"/>
      <c r="F1298" s="700"/>
      <c r="G1298" s="700"/>
      <c r="H1298" s="700"/>
      <c r="I1298" s="710"/>
      <c r="J1298" s="710"/>
      <c r="K1298" s="713"/>
      <c r="L1298" s="710"/>
      <c r="M1298" s="710"/>
      <c r="N1298" s="710"/>
      <c r="O1298" s="702"/>
      <c r="P1298" s="702"/>
      <c r="Q1298" s="706"/>
      <c r="R1298" s="708"/>
      <c r="S1298" s="700"/>
      <c r="T1298" s="702"/>
      <c r="U1298" s="702"/>
      <c r="V1298" s="702"/>
      <c r="W1298" s="700"/>
      <c r="X1298" s="700"/>
      <c r="Y1298" s="700"/>
      <c r="Z1298" s="700"/>
      <c r="AA1298" s="462"/>
      <c r="AB1298" s="462"/>
      <c r="AC1298" s="700"/>
      <c r="AD1298" s="462"/>
      <c r="AE1298" s="462"/>
      <c r="AF1298" s="700"/>
      <c r="AG1298" s="702"/>
      <c r="AH1298" s="727"/>
      <c r="AI1298" s="698"/>
      <c r="AJ1298" s="698"/>
    </row>
    <row r="1299" spans="2:36" ht="24" hidden="1" customHeight="1">
      <c r="B1299" s="701">
        <v>1031</v>
      </c>
      <c r="C1299" s="699" t="s">
        <v>534</v>
      </c>
      <c r="D1299" s="699"/>
      <c r="E1299" s="699" t="s">
        <v>535</v>
      </c>
      <c r="F1299" s="699"/>
      <c r="G1299" s="699" t="s">
        <v>47</v>
      </c>
      <c r="H1299" s="699" t="s">
        <v>3149</v>
      </c>
      <c r="I1299" s="712">
        <v>50000</v>
      </c>
      <c r="J1299" s="709" t="s">
        <v>537</v>
      </c>
      <c r="K1299" s="709" t="s">
        <v>537</v>
      </c>
      <c r="L1299" s="709">
        <v>0</v>
      </c>
      <c r="M1299" s="709" t="s">
        <v>537</v>
      </c>
      <c r="N1299" s="709" t="s">
        <v>537</v>
      </c>
      <c r="O1299" s="701" t="s">
        <v>537</v>
      </c>
      <c r="P1299" s="701" t="s">
        <v>537</v>
      </c>
      <c r="Q1299" s="705">
        <v>50000</v>
      </c>
      <c r="R1299" s="707">
        <v>241428</v>
      </c>
      <c r="S1299" s="699"/>
      <c r="T1299" s="701">
        <v>40</v>
      </c>
      <c r="U1299" s="701">
        <v>7</v>
      </c>
      <c r="V1299" s="701">
        <v>0</v>
      </c>
      <c r="W1299" s="699"/>
      <c r="X1299" s="699"/>
      <c r="Y1299" s="699"/>
      <c r="Z1299" s="699"/>
      <c r="AA1299" s="697" t="s">
        <v>2071</v>
      </c>
      <c r="AB1299" s="701" t="s">
        <v>539</v>
      </c>
      <c r="AC1299" s="699"/>
      <c r="AD1299" s="697" t="s">
        <v>2833</v>
      </c>
      <c r="AE1299" s="701">
        <v>80</v>
      </c>
      <c r="AF1299" s="699"/>
      <c r="AG1299" s="701" t="s">
        <v>376</v>
      </c>
      <c r="AH1299" s="725"/>
      <c r="AI1299" s="697">
        <v>841609127</v>
      </c>
      <c r="AJ1299" s="699"/>
    </row>
    <row r="1300" spans="2:36" ht="24" hidden="1" customHeight="1">
      <c r="B1300" s="702"/>
      <c r="C1300" s="700"/>
      <c r="D1300" s="700"/>
      <c r="E1300" s="700"/>
      <c r="F1300" s="700"/>
      <c r="G1300" s="700"/>
      <c r="H1300" s="700"/>
      <c r="I1300" s="713"/>
      <c r="J1300" s="710"/>
      <c r="K1300" s="710"/>
      <c r="L1300" s="710"/>
      <c r="M1300" s="710"/>
      <c r="N1300" s="710"/>
      <c r="O1300" s="702"/>
      <c r="P1300" s="702"/>
      <c r="Q1300" s="706"/>
      <c r="R1300" s="708"/>
      <c r="S1300" s="700"/>
      <c r="T1300" s="702"/>
      <c r="U1300" s="702"/>
      <c r="V1300" s="702"/>
      <c r="W1300" s="700"/>
      <c r="X1300" s="700"/>
      <c r="Y1300" s="700"/>
      <c r="Z1300" s="700"/>
      <c r="AA1300" s="698"/>
      <c r="AB1300" s="702"/>
      <c r="AC1300" s="700"/>
      <c r="AD1300" s="698"/>
      <c r="AE1300" s="702"/>
      <c r="AF1300" s="700"/>
      <c r="AG1300" s="702"/>
      <c r="AH1300" s="727"/>
      <c r="AI1300" s="698"/>
      <c r="AJ1300" s="700"/>
    </row>
    <row r="1301" spans="2:36" ht="24" hidden="1" customHeight="1">
      <c r="B1301" s="701">
        <v>1032</v>
      </c>
      <c r="C1301" s="699" t="s">
        <v>10</v>
      </c>
      <c r="D1301" s="699"/>
      <c r="E1301" s="699" t="s">
        <v>558</v>
      </c>
      <c r="F1301" s="699"/>
      <c r="G1301" s="699" t="s">
        <v>47</v>
      </c>
      <c r="H1301" s="699" t="s">
        <v>3150</v>
      </c>
      <c r="I1301" s="709" t="s">
        <v>537</v>
      </c>
      <c r="J1301" s="709" t="s">
        <v>537</v>
      </c>
      <c r="K1301" s="712">
        <v>166560</v>
      </c>
      <c r="L1301" s="709" t="s">
        <v>537</v>
      </c>
      <c r="M1301" s="709" t="s">
        <v>537</v>
      </c>
      <c r="N1301" s="709">
        <v>0</v>
      </c>
      <c r="O1301" s="701" t="s">
        <v>537</v>
      </c>
      <c r="P1301" s="701" t="s">
        <v>537</v>
      </c>
      <c r="Q1301" s="705">
        <v>166560</v>
      </c>
      <c r="R1301" s="707">
        <v>241397</v>
      </c>
      <c r="S1301" s="699"/>
      <c r="T1301" s="701">
        <v>27</v>
      </c>
      <c r="U1301" s="701">
        <v>14</v>
      </c>
      <c r="V1301" s="701">
        <v>0</v>
      </c>
      <c r="W1301" s="699"/>
      <c r="X1301" s="699"/>
      <c r="Y1301" s="699"/>
      <c r="Z1301" s="699"/>
      <c r="AA1301" s="458" t="s">
        <v>3151</v>
      </c>
      <c r="AB1301" s="459">
        <v>80</v>
      </c>
      <c r="AC1301" s="699"/>
      <c r="AD1301" s="697" t="s">
        <v>3152</v>
      </c>
      <c r="AE1301" s="701" t="s">
        <v>539</v>
      </c>
      <c r="AF1301" s="699"/>
      <c r="AG1301" s="701" t="s">
        <v>376</v>
      </c>
      <c r="AH1301" s="725"/>
      <c r="AI1301" s="697">
        <v>819691032</v>
      </c>
      <c r="AJ1301" s="697" t="s">
        <v>562</v>
      </c>
    </row>
    <row r="1302" spans="2:36" ht="24" hidden="1" customHeight="1">
      <c r="B1302" s="715"/>
      <c r="C1302" s="714"/>
      <c r="D1302" s="714"/>
      <c r="E1302" s="714"/>
      <c r="F1302" s="714"/>
      <c r="G1302" s="714"/>
      <c r="H1302" s="714"/>
      <c r="I1302" s="717"/>
      <c r="J1302" s="717"/>
      <c r="K1302" s="720"/>
      <c r="L1302" s="717"/>
      <c r="M1302" s="717"/>
      <c r="N1302" s="717"/>
      <c r="O1302" s="715"/>
      <c r="P1302" s="715"/>
      <c r="Q1302" s="718"/>
      <c r="R1302" s="719"/>
      <c r="S1302" s="714"/>
      <c r="T1302" s="715"/>
      <c r="U1302" s="715"/>
      <c r="V1302" s="715"/>
      <c r="W1302" s="714"/>
      <c r="X1302" s="714"/>
      <c r="Y1302" s="714"/>
      <c r="Z1302" s="714"/>
      <c r="AA1302" s="460" t="s">
        <v>3153</v>
      </c>
      <c r="AB1302" s="461" t="s">
        <v>539</v>
      </c>
      <c r="AC1302" s="714"/>
      <c r="AD1302" s="711"/>
      <c r="AE1302" s="715"/>
      <c r="AF1302" s="714"/>
      <c r="AG1302" s="715"/>
      <c r="AH1302" s="726"/>
      <c r="AI1302" s="711"/>
      <c r="AJ1302" s="711"/>
    </row>
    <row r="1303" spans="2:36" ht="24" hidden="1" customHeight="1">
      <c r="B1303" s="702"/>
      <c r="C1303" s="700"/>
      <c r="D1303" s="700"/>
      <c r="E1303" s="700"/>
      <c r="F1303" s="700"/>
      <c r="G1303" s="700"/>
      <c r="H1303" s="700"/>
      <c r="I1303" s="710"/>
      <c r="J1303" s="710"/>
      <c r="K1303" s="713"/>
      <c r="L1303" s="710"/>
      <c r="M1303" s="710"/>
      <c r="N1303" s="710"/>
      <c r="O1303" s="702"/>
      <c r="P1303" s="702"/>
      <c r="Q1303" s="706"/>
      <c r="R1303" s="708"/>
      <c r="S1303" s="700"/>
      <c r="T1303" s="702"/>
      <c r="U1303" s="702"/>
      <c r="V1303" s="702"/>
      <c r="W1303" s="700"/>
      <c r="X1303" s="700"/>
      <c r="Y1303" s="700"/>
      <c r="Z1303" s="700"/>
      <c r="AA1303" s="462"/>
      <c r="AB1303" s="462"/>
      <c r="AC1303" s="700"/>
      <c r="AD1303" s="698"/>
      <c r="AE1303" s="702"/>
      <c r="AF1303" s="700"/>
      <c r="AG1303" s="702"/>
      <c r="AH1303" s="727"/>
      <c r="AI1303" s="698"/>
      <c r="AJ1303" s="698"/>
    </row>
    <row r="1304" spans="2:36" ht="24" hidden="1" customHeight="1">
      <c r="B1304" s="701">
        <v>1033</v>
      </c>
      <c r="C1304" s="699" t="s">
        <v>534</v>
      </c>
      <c r="D1304" s="699" t="s">
        <v>544</v>
      </c>
      <c r="E1304" s="699" t="s">
        <v>535</v>
      </c>
      <c r="F1304" s="699"/>
      <c r="G1304" s="699" t="s">
        <v>270</v>
      </c>
      <c r="H1304" s="699" t="s">
        <v>3154</v>
      </c>
      <c r="I1304" s="709" t="s">
        <v>537</v>
      </c>
      <c r="J1304" s="712">
        <v>40000</v>
      </c>
      <c r="K1304" s="709" t="s">
        <v>537</v>
      </c>
      <c r="L1304" s="709" t="s">
        <v>537</v>
      </c>
      <c r="M1304" s="709">
        <v>0</v>
      </c>
      <c r="N1304" s="709" t="s">
        <v>537</v>
      </c>
      <c r="O1304" s="701" t="s">
        <v>537</v>
      </c>
      <c r="P1304" s="701" t="s">
        <v>537</v>
      </c>
      <c r="Q1304" s="705">
        <v>40000</v>
      </c>
      <c r="R1304" s="701" t="s">
        <v>643</v>
      </c>
      <c r="S1304" s="699"/>
      <c r="T1304" s="701">
        <v>0</v>
      </c>
      <c r="U1304" s="701">
        <v>35</v>
      </c>
      <c r="V1304" s="701">
        <v>0</v>
      </c>
      <c r="W1304" s="699"/>
      <c r="X1304" s="699"/>
      <c r="Y1304" s="699"/>
      <c r="Z1304" s="699"/>
      <c r="AA1304" s="697" t="s">
        <v>547</v>
      </c>
      <c r="AB1304" s="701" t="s">
        <v>539</v>
      </c>
      <c r="AC1304" s="699"/>
      <c r="AD1304" s="697" t="s">
        <v>548</v>
      </c>
      <c r="AE1304" s="701">
        <v>80</v>
      </c>
      <c r="AF1304" s="699"/>
      <c r="AG1304" s="701" t="s">
        <v>376</v>
      </c>
      <c r="AH1304" s="703" t="s">
        <v>3155</v>
      </c>
      <c r="AI1304" s="697" t="s">
        <v>3156</v>
      </c>
      <c r="AJ1304" s="699"/>
    </row>
    <row r="1305" spans="2:36" ht="24" hidden="1" customHeight="1">
      <c r="B1305" s="702"/>
      <c r="C1305" s="700"/>
      <c r="D1305" s="700"/>
      <c r="E1305" s="700"/>
      <c r="F1305" s="700"/>
      <c r="G1305" s="700"/>
      <c r="H1305" s="700"/>
      <c r="I1305" s="710"/>
      <c r="J1305" s="713"/>
      <c r="K1305" s="710"/>
      <c r="L1305" s="710"/>
      <c r="M1305" s="710"/>
      <c r="N1305" s="710"/>
      <c r="O1305" s="702"/>
      <c r="P1305" s="702"/>
      <c r="Q1305" s="706"/>
      <c r="R1305" s="702"/>
      <c r="S1305" s="700"/>
      <c r="T1305" s="702"/>
      <c r="U1305" s="702"/>
      <c r="V1305" s="702"/>
      <c r="W1305" s="700"/>
      <c r="X1305" s="700"/>
      <c r="Y1305" s="700"/>
      <c r="Z1305" s="700"/>
      <c r="AA1305" s="698"/>
      <c r="AB1305" s="702"/>
      <c r="AC1305" s="700"/>
      <c r="AD1305" s="698"/>
      <c r="AE1305" s="702"/>
      <c r="AF1305" s="700"/>
      <c r="AG1305" s="702"/>
      <c r="AH1305" s="704"/>
      <c r="AI1305" s="698"/>
      <c r="AJ1305" s="700"/>
    </row>
    <row r="1306" spans="2:36" ht="24" hidden="1" customHeight="1">
      <c r="B1306" s="701">
        <v>1034</v>
      </c>
      <c r="C1306" s="699" t="s">
        <v>534</v>
      </c>
      <c r="D1306" s="699"/>
      <c r="E1306" s="699" t="s">
        <v>535</v>
      </c>
      <c r="F1306" s="699"/>
      <c r="G1306" s="699" t="s">
        <v>58</v>
      </c>
      <c r="H1306" s="699" t="s">
        <v>3157</v>
      </c>
      <c r="I1306" s="709" t="s">
        <v>537</v>
      </c>
      <c r="J1306" s="709" t="s">
        <v>537</v>
      </c>
      <c r="K1306" s="712">
        <v>30000</v>
      </c>
      <c r="L1306" s="709" t="s">
        <v>537</v>
      </c>
      <c r="M1306" s="709" t="s">
        <v>537</v>
      </c>
      <c r="N1306" s="709">
        <v>0</v>
      </c>
      <c r="O1306" s="701" t="s">
        <v>537</v>
      </c>
      <c r="P1306" s="701" t="s">
        <v>537</v>
      </c>
      <c r="Q1306" s="705">
        <v>30000</v>
      </c>
      <c r="R1306" s="707">
        <v>241459</v>
      </c>
      <c r="S1306" s="699"/>
      <c r="T1306" s="701">
        <v>0</v>
      </c>
      <c r="U1306" s="701">
        <v>33</v>
      </c>
      <c r="V1306" s="701">
        <v>0</v>
      </c>
      <c r="W1306" s="699"/>
      <c r="X1306" s="699"/>
      <c r="Y1306" s="699"/>
      <c r="Z1306" s="699"/>
      <c r="AA1306" s="697" t="s">
        <v>547</v>
      </c>
      <c r="AB1306" s="701" t="s">
        <v>539</v>
      </c>
      <c r="AC1306" s="699"/>
      <c r="AD1306" s="697" t="s">
        <v>548</v>
      </c>
      <c r="AE1306" s="701">
        <v>80</v>
      </c>
      <c r="AF1306" s="699"/>
      <c r="AG1306" s="701" t="s">
        <v>376</v>
      </c>
      <c r="AH1306" s="703"/>
      <c r="AI1306" s="699"/>
      <c r="AJ1306" s="697" t="s">
        <v>543</v>
      </c>
    </row>
    <row r="1307" spans="2:36" ht="24" hidden="1" customHeight="1">
      <c r="B1307" s="702"/>
      <c r="C1307" s="700"/>
      <c r="D1307" s="700"/>
      <c r="E1307" s="700"/>
      <c r="F1307" s="700"/>
      <c r="G1307" s="700"/>
      <c r="H1307" s="700"/>
      <c r="I1307" s="710"/>
      <c r="J1307" s="710"/>
      <c r="K1307" s="713"/>
      <c r="L1307" s="710"/>
      <c r="M1307" s="710"/>
      <c r="N1307" s="710"/>
      <c r="O1307" s="702"/>
      <c r="P1307" s="702"/>
      <c r="Q1307" s="706"/>
      <c r="R1307" s="708"/>
      <c r="S1307" s="700"/>
      <c r="T1307" s="702"/>
      <c r="U1307" s="702"/>
      <c r="V1307" s="702"/>
      <c r="W1307" s="700"/>
      <c r="X1307" s="700"/>
      <c r="Y1307" s="700"/>
      <c r="Z1307" s="700"/>
      <c r="AA1307" s="698"/>
      <c r="AB1307" s="702"/>
      <c r="AC1307" s="700"/>
      <c r="AD1307" s="698"/>
      <c r="AE1307" s="702"/>
      <c r="AF1307" s="700"/>
      <c r="AG1307" s="702"/>
      <c r="AH1307" s="704"/>
      <c r="AI1307" s="700"/>
      <c r="AJ1307" s="698"/>
    </row>
    <row r="1308" spans="2:36" ht="24" hidden="1" customHeight="1">
      <c r="B1308" s="701">
        <v>1035</v>
      </c>
      <c r="C1308" s="699" t="s">
        <v>534</v>
      </c>
      <c r="D1308" s="699"/>
      <c r="E1308" s="699" t="s">
        <v>535</v>
      </c>
      <c r="F1308" s="699"/>
      <c r="G1308" s="699" t="s">
        <v>58</v>
      </c>
      <c r="H1308" s="699" t="s">
        <v>3158</v>
      </c>
      <c r="I1308" s="709" t="s">
        <v>537</v>
      </c>
      <c r="J1308" s="709" t="s">
        <v>537</v>
      </c>
      <c r="K1308" s="712">
        <v>30000</v>
      </c>
      <c r="L1308" s="709" t="s">
        <v>537</v>
      </c>
      <c r="M1308" s="709" t="s">
        <v>537</v>
      </c>
      <c r="N1308" s="709">
        <v>0</v>
      </c>
      <c r="O1308" s="701" t="s">
        <v>537</v>
      </c>
      <c r="P1308" s="701" t="s">
        <v>537</v>
      </c>
      <c r="Q1308" s="705">
        <v>30000</v>
      </c>
      <c r="R1308" s="707">
        <v>241459</v>
      </c>
      <c r="S1308" s="699"/>
      <c r="T1308" s="701">
        <v>75</v>
      </c>
      <c r="U1308" s="701">
        <v>15</v>
      </c>
      <c r="V1308" s="701">
        <v>20</v>
      </c>
      <c r="W1308" s="699"/>
      <c r="X1308" s="699"/>
      <c r="Y1308" s="699"/>
      <c r="Z1308" s="699"/>
      <c r="AA1308" s="697" t="s">
        <v>3159</v>
      </c>
      <c r="AB1308" s="701">
        <v>5</v>
      </c>
      <c r="AC1308" s="699"/>
      <c r="AD1308" s="697" t="s">
        <v>729</v>
      </c>
      <c r="AE1308" s="701">
        <v>1</v>
      </c>
      <c r="AF1308" s="699"/>
      <c r="AG1308" s="701" t="s">
        <v>376</v>
      </c>
      <c r="AH1308" s="703"/>
      <c r="AI1308" s="699"/>
      <c r="AJ1308" s="697" t="s">
        <v>543</v>
      </c>
    </row>
    <row r="1309" spans="2:36" ht="24" hidden="1" customHeight="1">
      <c r="B1309" s="702"/>
      <c r="C1309" s="700"/>
      <c r="D1309" s="700"/>
      <c r="E1309" s="700"/>
      <c r="F1309" s="700"/>
      <c r="G1309" s="700"/>
      <c r="H1309" s="700"/>
      <c r="I1309" s="710"/>
      <c r="J1309" s="710"/>
      <c r="K1309" s="713"/>
      <c r="L1309" s="710"/>
      <c r="M1309" s="710"/>
      <c r="N1309" s="710"/>
      <c r="O1309" s="702"/>
      <c r="P1309" s="702"/>
      <c r="Q1309" s="706"/>
      <c r="R1309" s="708"/>
      <c r="S1309" s="700"/>
      <c r="T1309" s="702"/>
      <c r="U1309" s="702"/>
      <c r="V1309" s="702"/>
      <c r="W1309" s="700"/>
      <c r="X1309" s="700"/>
      <c r="Y1309" s="700"/>
      <c r="Z1309" s="700"/>
      <c r="AA1309" s="698"/>
      <c r="AB1309" s="702"/>
      <c r="AC1309" s="700"/>
      <c r="AD1309" s="698"/>
      <c r="AE1309" s="702"/>
      <c r="AF1309" s="700"/>
      <c r="AG1309" s="702"/>
      <c r="AH1309" s="704"/>
      <c r="AI1309" s="700"/>
      <c r="AJ1309" s="698"/>
    </row>
    <row r="1310" spans="2:36" ht="24" hidden="1" customHeight="1">
      <c r="B1310" s="701">
        <v>1036</v>
      </c>
      <c r="C1310" s="699" t="s">
        <v>534</v>
      </c>
      <c r="D1310" s="699"/>
      <c r="E1310" s="699" t="s">
        <v>535</v>
      </c>
      <c r="F1310" s="699"/>
      <c r="G1310" s="699" t="s">
        <v>186</v>
      </c>
      <c r="H1310" s="699" t="s">
        <v>3160</v>
      </c>
      <c r="I1310" s="709" t="s">
        <v>537</v>
      </c>
      <c r="J1310" s="709" t="s">
        <v>537</v>
      </c>
      <c r="K1310" s="712">
        <v>144000</v>
      </c>
      <c r="L1310" s="709" t="s">
        <v>537</v>
      </c>
      <c r="M1310" s="709" t="s">
        <v>537</v>
      </c>
      <c r="N1310" s="709">
        <v>0</v>
      </c>
      <c r="O1310" s="701" t="s">
        <v>537</v>
      </c>
      <c r="P1310" s="701" t="s">
        <v>537</v>
      </c>
      <c r="Q1310" s="705">
        <v>144000</v>
      </c>
      <c r="R1310" s="707">
        <v>241609</v>
      </c>
      <c r="S1310" s="699"/>
      <c r="T1310" s="701">
        <v>0</v>
      </c>
      <c r="U1310" s="701">
        <v>130</v>
      </c>
      <c r="V1310" s="701">
        <v>0</v>
      </c>
      <c r="W1310" s="699"/>
      <c r="X1310" s="699"/>
      <c r="Y1310" s="699"/>
      <c r="Z1310" s="699"/>
      <c r="AA1310" s="697" t="s">
        <v>3161</v>
      </c>
      <c r="AB1310" s="701">
        <v>80</v>
      </c>
      <c r="AC1310" s="699"/>
      <c r="AD1310" s="697" t="s">
        <v>3162</v>
      </c>
      <c r="AE1310" s="701">
        <v>80</v>
      </c>
      <c r="AF1310" s="699"/>
      <c r="AG1310" s="701" t="s">
        <v>376</v>
      </c>
      <c r="AH1310" s="703"/>
      <c r="AI1310" s="699"/>
      <c r="AJ1310" s="697" t="s">
        <v>543</v>
      </c>
    </row>
    <row r="1311" spans="2:36" ht="24" hidden="1" customHeight="1">
      <c r="B1311" s="702"/>
      <c r="C1311" s="700"/>
      <c r="D1311" s="700"/>
      <c r="E1311" s="700"/>
      <c r="F1311" s="700"/>
      <c r="G1311" s="700"/>
      <c r="H1311" s="700"/>
      <c r="I1311" s="710"/>
      <c r="J1311" s="710"/>
      <c r="K1311" s="713"/>
      <c r="L1311" s="710"/>
      <c r="M1311" s="710"/>
      <c r="N1311" s="710"/>
      <c r="O1311" s="702"/>
      <c r="P1311" s="702"/>
      <c r="Q1311" s="706"/>
      <c r="R1311" s="708"/>
      <c r="S1311" s="700"/>
      <c r="T1311" s="702"/>
      <c r="U1311" s="702"/>
      <c r="V1311" s="702"/>
      <c r="W1311" s="700"/>
      <c r="X1311" s="700"/>
      <c r="Y1311" s="700"/>
      <c r="Z1311" s="700"/>
      <c r="AA1311" s="698"/>
      <c r="AB1311" s="702"/>
      <c r="AC1311" s="700"/>
      <c r="AD1311" s="698"/>
      <c r="AE1311" s="702"/>
      <c r="AF1311" s="700"/>
      <c r="AG1311" s="702"/>
      <c r="AH1311" s="704"/>
      <c r="AI1311" s="700"/>
      <c r="AJ1311" s="698"/>
    </row>
    <row r="1312" spans="2:36" ht="24" hidden="1" customHeight="1">
      <c r="B1312" s="701">
        <v>1037</v>
      </c>
      <c r="C1312" s="699" t="s">
        <v>377</v>
      </c>
      <c r="D1312" s="699"/>
      <c r="E1312" s="699" t="s">
        <v>602</v>
      </c>
      <c r="F1312" s="699"/>
      <c r="G1312" s="699" t="s">
        <v>186</v>
      </c>
      <c r="H1312" s="699" t="s">
        <v>3163</v>
      </c>
      <c r="I1312" s="712">
        <v>11000</v>
      </c>
      <c r="J1312" s="709" t="s">
        <v>537</v>
      </c>
      <c r="K1312" s="709" t="s">
        <v>537</v>
      </c>
      <c r="L1312" s="709">
        <v>0</v>
      </c>
      <c r="M1312" s="709" t="s">
        <v>537</v>
      </c>
      <c r="N1312" s="709" t="s">
        <v>537</v>
      </c>
      <c r="O1312" s="701" t="s">
        <v>537</v>
      </c>
      <c r="P1312" s="701" t="s">
        <v>537</v>
      </c>
      <c r="Q1312" s="705">
        <v>11000</v>
      </c>
      <c r="R1312" s="707">
        <v>241518</v>
      </c>
      <c r="S1312" s="699"/>
      <c r="T1312" s="701">
        <v>0</v>
      </c>
      <c r="U1312" s="701">
        <v>254</v>
      </c>
      <c r="V1312" s="701">
        <v>0</v>
      </c>
      <c r="W1312" s="699"/>
      <c r="X1312" s="699"/>
      <c r="Y1312" s="699"/>
      <c r="Z1312" s="699"/>
      <c r="AA1312" s="697" t="s">
        <v>612</v>
      </c>
      <c r="AB1312" s="701" t="s">
        <v>539</v>
      </c>
      <c r="AC1312" s="699"/>
      <c r="AD1312" s="697" t="s">
        <v>993</v>
      </c>
      <c r="AE1312" s="701">
        <v>80</v>
      </c>
      <c r="AF1312" s="699"/>
      <c r="AG1312" s="701" t="s">
        <v>376</v>
      </c>
      <c r="AH1312" s="703"/>
      <c r="AI1312" s="699"/>
      <c r="AJ1312" s="699"/>
    </row>
    <row r="1313" spans="2:36" ht="24" hidden="1" customHeight="1">
      <c r="B1313" s="702"/>
      <c r="C1313" s="700"/>
      <c r="D1313" s="700"/>
      <c r="E1313" s="700"/>
      <c r="F1313" s="700"/>
      <c r="G1313" s="700"/>
      <c r="H1313" s="700"/>
      <c r="I1313" s="713"/>
      <c r="J1313" s="710"/>
      <c r="K1313" s="710"/>
      <c r="L1313" s="710"/>
      <c r="M1313" s="710"/>
      <c r="N1313" s="710"/>
      <c r="O1313" s="702"/>
      <c r="P1313" s="702"/>
      <c r="Q1313" s="706"/>
      <c r="R1313" s="708"/>
      <c r="S1313" s="700"/>
      <c r="T1313" s="702"/>
      <c r="U1313" s="702"/>
      <c r="V1313" s="702"/>
      <c r="W1313" s="700"/>
      <c r="X1313" s="700"/>
      <c r="Y1313" s="700"/>
      <c r="Z1313" s="700"/>
      <c r="AA1313" s="698"/>
      <c r="AB1313" s="702"/>
      <c r="AC1313" s="700"/>
      <c r="AD1313" s="698"/>
      <c r="AE1313" s="702"/>
      <c r="AF1313" s="700"/>
      <c r="AG1313" s="702"/>
      <c r="AH1313" s="704"/>
      <c r="AI1313" s="700"/>
      <c r="AJ1313" s="700"/>
    </row>
    <row r="1314" spans="2:36" ht="24" hidden="1" customHeight="1">
      <c r="B1314" s="701">
        <v>1038</v>
      </c>
      <c r="C1314" s="699" t="s">
        <v>377</v>
      </c>
      <c r="D1314" s="699"/>
      <c r="E1314" s="699" t="s">
        <v>602</v>
      </c>
      <c r="F1314" s="699"/>
      <c r="G1314" s="699" t="s">
        <v>59</v>
      </c>
      <c r="H1314" s="699" t="s">
        <v>3164</v>
      </c>
      <c r="I1314" s="712">
        <v>50000</v>
      </c>
      <c r="J1314" s="709" t="s">
        <v>537</v>
      </c>
      <c r="K1314" s="709" t="s">
        <v>537</v>
      </c>
      <c r="L1314" s="709">
        <v>0</v>
      </c>
      <c r="M1314" s="709" t="s">
        <v>537</v>
      </c>
      <c r="N1314" s="709" t="s">
        <v>537</v>
      </c>
      <c r="O1314" s="701" t="s">
        <v>537</v>
      </c>
      <c r="P1314" s="701" t="s">
        <v>537</v>
      </c>
      <c r="Q1314" s="705">
        <v>50000</v>
      </c>
      <c r="R1314" s="707">
        <v>241671</v>
      </c>
      <c r="S1314" s="699"/>
      <c r="T1314" s="701">
        <v>28</v>
      </c>
      <c r="U1314" s="701">
        <v>22</v>
      </c>
      <c r="V1314" s="701">
        <v>0</v>
      </c>
      <c r="W1314" s="699"/>
      <c r="X1314" s="699"/>
      <c r="Y1314" s="699"/>
      <c r="Z1314" s="699"/>
      <c r="AA1314" s="697" t="s">
        <v>619</v>
      </c>
      <c r="AB1314" s="701" t="s">
        <v>539</v>
      </c>
      <c r="AC1314" s="699"/>
      <c r="AD1314" s="697" t="s">
        <v>565</v>
      </c>
      <c r="AE1314" s="701">
        <v>80</v>
      </c>
      <c r="AF1314" s="699"/>
      <c r="AG1314" s="701" t="s">
        <v>376</v>
      </c>
      <c r="AH1314" s="703"/>
      <c r="AI1314" s="697" t="s">
        <v>1239</v>
      </c>
      <c r="AJ1314" s="699"/>
    </row>
    <row r="1315" spans="2:36" ht="24" hidden="1" customHeight="1">
      <c r="B1315" s="702"/>
      <c r="C1315" s="700"/>
      <c r="D1315" s="700"/>
      <c r="E1315" s="700"/>
      <c r="F1315" s="700"/>
      <c r="G1315" s="700"/>
      <c r="H1315" s="700"/>
      <c r="I1315" s="713"/>
      <c r="J1315" s="710"/>
      <c r="K1315" s="710"/>
      <c r="L1315" s="710"/>
      <c r="M1315" s="710"/>
      <c r="N1315" s="710"/>
      <c r="O1315" s="702"/>
      <c r="P1315" s="702"/>
      <c r="Q1315" s="706"/>
      <c r="R1315" s="708"/>
      <c r="S1315" s="700"/>
      <c r="T1315" s="702"/>
      <c r="U1315" s="702"/>
      <c r="V1315" s="702"/>
      <c r="W1315" s="700"/>
      <c r="X1315" s="700"/>
      <c r="Y1315" s="700"/>
      <c r="Z1315" s="700"/>
      <c r="AA1315" s="698"/>
      <c r="AB1315" s="702"/>
      <c r="AC1315" s="700"/>
      <c r="AD1315" s="698"/>
      <c r="AE1315" s="702"/>
      <c r="AF1315" s="700"/>
      <c r="AG1315" s="702"/>
      <c r="AH1315" s="704"/>
      <c r="AI1315" s="698"/>
      <c r="AJ1315" s="700"/>
    </row>
    <row r="1316" spans="2:36" ht="24" hidden="1" customHeight="1">
      <c r="B1316" s="701">
        <v>1039</v>
      </c>
      <c r="C1316" s="699" t="s">
        <v>377</v>
      </c>
      <c r="D1316" s="699"/>
      <c r="E1316" s="699" t="s">
        <v>602</v>
      </c>
      <c r="F1316" s="699"/>
      <c r="G1316" s="699" t="s">
        <v>59</v>
      </c>
      <c r="H1316" s="699" t="s">
        <v>3165</v>
      </c>
      <c r="I1316" s="712">
        <v>50000</v>
      </c>
      <c r="J1316" s="709" t="s">
        <v>537</v>
      </c>
      <c r="K1316" s="709" t="s">
        <v>537</v>
      </c>
      <c r="L1316" s="709">
        <v>0</v>
      </c>
      <c r="M1316" s="709" t="s">
        <v>537</v>
      </c>
      <c r="N1316" s="709" t="s">
        <v>537</v>
      </c>
      <c r="O1316" s="701" t="s">
        <v>537</v>
      </c>
      <c r="P1316" s="701" t="s">
        <v>537</v>
      </c>
      <c r="Q1316" s="705">
        <v>50000</v>
      </c>
      <c r="R1316" s="701" t="s">
        <v>1342</v>
      </c>
      <c r="S1316" s="699"/>
      <c r="T1316" s="701">
        <v>0</v>
      </c>
      <c r="U1316" s="701">
        <v>80</v>
      </c>
      <c r="V1316" s="701">
        <v>0</v>
      </c>
      <c r="W1316" s="699"/>
      <c r="X1316" s="699"/>
      <c r="Y1316" s="699"/>
      <c r="Z1316" s="699"/>
      <c r="AA1316" s="697" t="s">
        <v>3166</v>
      </c>
      <c r="AB1316" s="701" t="s">
        <v>539</v>
      </c>
      <c r="AC1316" s="699"/>
      <c r="AD1316" s="697" t="s">
        <v>565</v>
      </c>
      <c r="AE1316" s="701">
        <v>80</v>
      </c>
      <c r="AF1316" s="699"/>
      <c r="AG1316" s="701" t="s">
        <v>376</v>
      </c>
      <c r="AH1316" s="703"/>
      <c r="AI1316" s="697" t="s">
        <v>1374</v>
      </c>
      <c r="AJ1316" s="699"/>
    </row>
    <row r="1317" spans="2:36" ht="24" hidden="1" customHeight="1">
      <c r="B1317" s="702"/>
      <c r="C1317" s="700"/>
      <c r="D1317" s="700"/>
      <c r="E1317" s="700"/>
      <c r="F1317" s="700"/>
      <c r="G1317" s="700"/>
      <c r="H1317" s="700"/>
      <c r="I1317" s="713"/>
      <c r="J1317" s="710"/>
      <c r="K1317" s="710"/>
      <c r="L1317" s="710"/>
      <c r="M1317" s="710"/>
      <c r="N1317" s="710"/>
      <c r="O1317" s="702"/>
      <c r="P1317" s="702"/>
      <c r="Q1317" s="706"/>
      <c r="R1317" s="702"/>
      <c r="S1317" s="700"/>
      <c r="T1317" s="702"/>
      <c r="U1317" s="702"/>
      <c r="V1317" s="702"/>
      <c r="W1317" s="700"/>
      <c r="X1317" s="700"/>
      <c r="Y1317" s="700"/>
      <c r="Z1317" s="700"/>
      <c r="AA1317" s="698"/>
      <c r="AB1317" s="702"/>
      <c r="AC1317" s="700"/>
      <c r="AD1317" s="698"/>
      <c r="AE1317" s="702"/>
      <c r="AF1317" s="700"/>
      <c r="AG1317" s="702"/>
      <c r="AH1317" s="704"/>
      <c r="AI1317" s="698"/>
      <c r="AJ1317" s="700"/>
    </row>
    <row r="1318" spans="2:36" ht="24" hidden="1" customHeight="1">
      <c r="B1318" s="701">
        <v>1040</v>
      </c>
      <c r="C1318" s="699" t="s">
        <v>534</v>
      </c>
      <c r="D1318" s="699"/>
      <c r="E1318" s="699" t="s">
        <v>535</v>
      </c>
      <c r="F1318" s="699"/>
      <c r="G1318" s="699" t="s">
        <v>59</v>
      </c>
      <c r="H1318" s="699" t="s">
        <v>3167</v>
      </c>
      <c r="I1318" s="709" t="s">
        <v>537</v>
      </c>
      <c r="J1318" s="712">
        <v>3500</v>
      </c>
      <c r="K1318" s="709" t="s">
        <v>537</v>
      </c>
      <c r="L1318" s="709" t="s">
        <v>537</v>
      </c>
      <c r="M1318" s="709">
        <v>0</v>
      </c>
      <c r="N1318" s="709" t="s">
        <v>537</v>
      </c>
      <c r="O1318" s="701" t="s">
        <v>537</v>
      </c>
      <c r="P1318" s="701" t="s">
        <v>537</v>
      </c>
      <c r="Q1318" s="705">
        <v>3500</v>
      </c>
      <c r="R1318" s="707">
        <v>241579</v>
      </c>
      <c r="S1318" s="699"/>
      <c r="T1318" s="701">
        <v>4</v>
      </c>
      <c r="U1318" s="701">
        <v>36</v>
      </c>
      <c r="V1318" s="701">
        <v>0</v>
      </c>
      <c r="W1318" s="699"/>
      <c r="X1318" s="699"/>
      <c r="Y1318" s="699"/>
      <c r="Z1318" s="699"/>
      <c r="AA1318" s="697" t="s">
        <v>1296</v>
      </c>
      <c r="AB1318" s="701">
        <v>1</v>
      </c>
      <c r="AC1318" s="699"/>
      <c r="AD1318" s="697" t="s">
        <v>651</v>
      </c>
      <c r="AE1318" s="701">
        <v>1</v>
      </c>
      <c r="AF1318" s="699"/>
      <c r="AG1318" s="701" t="s">
        <v>376</v>
      </c>
      <c r="AH1318" s="703"/>
      <c r="AI1318" s="697" t="s">
        <v>1260</v>
      </c>
      <c r="AJ1318" s="699"/>
    </row>
    <row r="1319" spans="2:36" ht="24" hidden="1" customHeight="1">
      <c r="B1319" s="702"/>
      <c r="C1319" s="700"/>
      <c r="D1319" s="700"/>
      <c r="E1319" s="700"/>
      <c r="F1319" s="700"/>
      <c r="G1319" s="700"/>
      <c r="H1319" s="700"/>
      <c r="I1319" s="710"/>
      <c r="J1319" s="713"/>
      <c r="K1319" s="710"/>
      <c r="L1319" s="710"/>
      <c r="M1319" s="710"/>
      <c r="N1319" s="710"/>
      <c r="O1319" s="702"/>
      <c r="P1319" s="702"/>
      <c r="Q1319" s="706"/>
      <c r="R1319" s="708"/>
      <c r="S1319" s="700"/>
      <c r="T1319" s="702"/>
      <c r="U1319" s="702"/>
      <c r="V1319" s="702"/>
      <c r="W1319" s="700"/>
      <c r="X1319" s="700"/>
      <c r="Y1319" s="700"/>
      <c r="Z1319" s="700"/>
      <c r="AA1319" s="698"/>
      <c r="AB1319" s="702"/>
      <c r="AC1319" s="700"/>
      <c r="AD1319" s="698"/>
      <c r="AE1319" s="702"/>
      <c r="AF1319" s="700"/>
      <c r="AG1319" s="702"/>
      <c r="AH1319" s="704"/>
      <c r="AI1319" s="698"/>
      <c r="AJ1319" s="700"/>
    </row>
    <row r="1320" spans="2:36" ht="24" hidden="1" customHeight="1">
      <c r="B1320" s="701">
        <v>1041</v>
      </c>
      <c r="C1320" s="699" t="s">
        <v>534</v>
      </c>
      <c r="D1320" s="699"/>
      <c r="E1320" s="699" t="s">
        <v>535</v>
      </c>
      <c r="F1320" s="699"/>
      <c r="G1320" s="699" t="s">
        <v>59</v>
      </c>
      <c r="H1320" s="699" t="s">
        <v>3168</v>
      </c>
      <c r="I1320" s="709" t="s">
        <v>537</v>
      </c>
      <c r="J1320" s="712">
        <v>3500</v>
      </c>
      <c r="K1320" s="709" t="s">
        <v>537</v>
      </c>
      <c r="L1320" s="709" t="s">
        <v>537</v>
      </c>
      <c r="M1320" s="709">
        <v>0</v>
      </c>
      <c r="N1320" s="709" t="s">
        <v>537</v>
      </c>
      <c r="O1320" s="701" t="s">
        <v>537</v>
      </c>
      <c r="P1320" s="701" t="s">
        <v>537</v>
      </c>
      <c r="Q1320" s="705">
        <v>3500</v>
      </c>
      <c r="R1320" s="707">
        <v>241640</v>
      </c>
      <c r="S1320" s="699"/>
      <c r="T1320" s="701">
        <v>4</v>
      </c>
      <c r="U1320" s="701">
        <v>36</v>
      </c>
      <c r="V1320" s="701">
        <v>0</v>
      </c>
      <c r="W1320" s="699"/>
      <c r="X1320" s="699"/>
      <c r="Y1320" s="699"/>
      <c r="Z1320" s="699"/>
      <c r="AA1320" s="697" t="s">
        <v>1296</v>
      </c>
      <c r="AB1320" s="701">
        <v>1</v>
      </c>
      <c r="AC1320" s="699"/>
      <c r="AD1320" s="697" t="s">
        <v>651</v>
      </c>
      <c r="AE1320" s="701">
        <v>1</v>
      </c>
      <c r="AF1320" s="699"/>
      <c r="AG1320" s="701" t="s">
        <v>376</v>
      </c>
      <c r="AH1320" s="703"/>
      <c r="AI1320" s="697" t="s">
        <v>1260</v>
      </c>
      <c r="AJ1320" s="699"/>
    </row>
    <row r="1321" spans="2:36" ht="24" hidden="1" customHeight="1">
      <c r="B1321" s="702"/>
      <c r="C1321" s="700"/>
      <c r="D1321" s="700"/>
      <c r="E1321" s="700"/>
      <c r="F1321" s="700"/>
      <c r="G1321" s="700"/>
      <c r="H1321" s="700"/>
      <c r="I1321" s="710"/>
      <c r="J1321" s="713"/>
      <c r="K1321" s="710"/>
      <c r="L1321" s="710"/>
      <c r="M1321" s="710"/>
      <c r="N1321" s="710"/>
      <c r="O1321" s="702"/>
      <c r="P1321" s="702"/>
      <c r="Q1321" s="706"/>
      <c r="R1321" s="708"/>
      <c r="S1321" s="700"/>
      <c r="T1321" s="702"/>
      <c r="U1321" s="702"/>
      <c r="V1321" s="702"/>
      <c r="W1321" s="700"/>
      <c r="X1321" s="700"/>
      <c r="Y1321" s="700"/>
      <c r="Z1321" s="700"/>
      <c r="AA1321" s="698"/>
      <c r="AB1321" s="702"/>
      <c r="AC1321" s="700"/>
      <c r="AD1321" s="698"/>
      <c r="AE1321" s="702"/>
      <c r="AF1321" s="700"/>
      <c r="AG1321" s="702"/>
      <c r="AH1321" s="704"/>
      <c r="AI1321" s="698"/>
      <c r="AJ1321" s="700"/>
    </row>
    <row r="1322" spans="2:36" ht="24" hidden="1" customHeight="1">
      <c r="B1322" s="463">
        <v>1042</v>
      </c>
      <c r="C1322" s="464" t="s">
        <v>10</v>
      </c>
      <c r="D1322" s="464"/>
      <c r="E1322" s="464" t="s">
        <v>558</v>
      </c>
      <c r="F1322" s="464"/>
      <c r="G1322" s="464" t="s">
        <v>44</v>
      </c>
      <c r="H1322" s="464" t="s">
        <v>3169</v>
      </c>
      <c r="I1322" s="465" t="s">
        <v>537</v>
      </c>
      <c r="J1322" s="465" t="s">
        <v>537</v>
      </c>
      <c r="K1322" s="466">
        <v>51080</v>
      </c>
      <c r="L1322" s="465" t="s">
        <v>537</v>
      </c>
      <c r="M1322" s="465" t="s">
        <v>537</v>
      </c>
      <c r="N1322" s="465">
        <v>0</v>
      </c>
      <c r="O1322" s="463" t="s">
        <v>537</v>
      </c>
      <c r="P1322" s="463" t="s">
        <v>537</v>
      </c>
      <c r="Q1322" s="468">
        <v>51080</v>
      </c>
      <c r="R1322" s="470">
        <v>241609</v>
      </c>
      <c r="S1322" s="463" t="s">
        <v>1477</v>
      </c>
      <c r="T1322" s="463">
        <v>5</v>
      </c>
      <c r="U1322" s="463">
        <v>91</v>
      </c>
      <c r="V1322" s="463">
        <v>8</v>
      </c>
      <c r="W1322" s="464"/>
      <c r="X1322" s="464"/>
      <c r="Y1322" s="464"/>
      <c r="Z1322" s="464"/>
      <c r="AA1322" s="472" t="s">
        <v>3170</v>
      </c>
      <c r="AB1322" s="463">
        <v>50</v>
      </c>
      <c r="AC1322" s="463">
        <v>3.36</v>
      </c>
      <c r="AD1322" s="472" t="s">
        <v>3171</v>
      </c>
      <c r="AE1322" s="463">
        <v>80</v>
      </c>
      <c r="AF1322" s="463">
        <v>92.2</v>
      </c>
      <c r="AG1322" s="463" t="s">
        <v>375</v>
      </c>
      <c r="AH1322" s="480"/>
      <c r="AI1322" s="464"/>
      <c r="AJ1322" s="472" t="s">
        <v>562</v>
      </c>
    </row>
    <row r="1323" spans="2:36" ht="24" hidden="1" customHeight="1">
      <c r="B1323" s="701">
        <v>1043</v>
      </c>
      <c r="C1323" s="699" t="s">
        <v>10</v>
      </c>
      <c r="D1323" s="699"/>
      <c r="E1323" s="699" t="s">
        <v>558</v>
      </c>
      <c r="F1323" s="699"/>
      <c r="G1323" s="699" t="s">
        <v>44</v>
      </c>
      <c r="H1323" s="699" t="s">
        <v>3172</v>
      </c>
      <c r="I1323" s="709" t="s">
        <v>537</v>
      </c>
      <c r="J1323" s="709" t="s">
        <v>537</v>
      </c>
      <c r="K1323" s="712">
        <v>94448</v>
      </c>
      <c r="L1323" s="709" t="s">
        <v>537</v>
      </c>
      <c r="M1323" s="709" t="s">
        <v>537</v>
      </c>
      <c r="N1323" s="709">
        <v>0</v>
      </c>
      <c r="O1323" s="701" t="s">
        <v>537</v>
      </c>
      <c r="P1323" s="701" t="s">
        <v>537</v>
      </c>
      <c r="Q1323" s="705">
        <v>94448</v>
      </c>
      <c r="R1323" s="707">
        <v>241609</v>
      </c>
      <c r="S1323" s="699"/>
      <c r="T1323" s="701">
        <v>18</v>
      </c>
      <c r="U1323" s="701">
        <v>130</v>
      </c>
      <c r="V1323" s="701">
        <v>30</v>
      </c>
      <c r="W1323" s="699"/>
      <c r="X1323" s="699"/>
      <c r="Y1323" s="699"/>
      <c r="Z1323" s="699"/>
      <c r="AA1323" s="697" t="s">
        <v>3173</v>
      </c>
      <c r="AB1323" s="701">
        <v>5</v>
      </c>
      <c r="AC1323" s="699"/>
      <c r="AD1323" s="697" t="s">
        <v>3171</v>
      </c>
      <c r="AE1323" s="701">
        <v>80</v>
      </c>
      <c r="AF1323" s="699"/>
      <c r="AG1323" s="701" t="s">
        <v>376</v>
      </c>
      <c r="AH1323" s="703"/>
      <c r="AI1323" s="699"/>
      <c r="AJ1323" s="697" t="s">
        <v>562</v>
      </c>
    </row>
    <row r="1324" spans="2:36" ht="24" hidden="1" customHeight="1">
      <c r="B1324" s="702"/>
      <c r="C1324" s="700"/>
      <c r="D1324" s="700"/>
      <c r="E1324" s="700"/>
      <c r="F1324" s="700"/>
      <c r="G1324" s="700"/>
      <c r="H1324" s="700"/>
      <c r="I1324" s="710"/>
      <c r="J1324" s="710"/>
      <c r="K1324" s="713"/>
      <c r="L1324" s="710"/>
      <c r="M1324" s="710"/>
      <c r="N1324" s="710"/>
      <c r="O1324" s="702"/>
      <c r="P1324" s="702"/>
      <c r="Q1324" s="706"/>
      <c r="R1324" s="708"/>
      <c r="S1324" s="700"/>
      <c r="T1324" s="702"/>
      <c r="U1324" s="702"/>
      <c r="V1324" s="702"/>
      <c r="W1324" s="700"/>
      <c r="X1324" s="700"/>
      <c r="Y1324" s="700"/>
      <c r="Z1324" s="700"/>
      <c r="AA1324" s="698"/>
      <c r="AB1324" s="702"/>
      <c r="AC1324" s="700"/>
      <c r="AD1324" s="698"/>
      <c r="AE1324" s="702"/>
      <c r="AF1324" s="700"/>
      <c r="AG1324" s="702"/>
      <c r="AH1324" s="704"/>
      <c r="AI1324" s="700"/>
      <c r="AJ1324" s="698"/>
    </row>
    <row r="1325" spans="2:36" ht="24" hidden="1" customHeight="1">
      <c r="B1325" s="701">
        <v>1044</v>
      </c>
      <c r="C1325" s="699" t="s">
        <v>534</v>
      </c>
      <c r="D1325" s="699" t="s">
        <v>544</v>
      </c>
      <c r="E1325" s="699" t="s">
        <v>535</v>
      </c>
      <c r="F1325" s="699"/>
      <c r="G1325" s="699" t="s">
        <v>193</v>
      </c>
      <c r="H1325" s="699" t="s">
        <v>3174</v>
      </c>
      <c r="I1325" s="712">
        <v>150000</v>
      </c>
      <c r="J1325" s="709" t="s">
        <v>537</v>
      </c>
      <c r="K1325" s="709" t="s">
        <v>537</v>
      </c>
      <c r="L1325" s="709">
        <v>0</v>
      </c>
      <c r="M1325" s="709" t="s">
        <v>537</v>
      </c>
      <c r="N1325" s="709" t="s">
        <v>537</v>
      </c>
      <c r="O1325" s="701" t="s">
        <v>537</v>
      </c>
      <c r="P1325" s="701" t="s">
        <v>537</v>
      </c>
      <c r="Q1325" s="705">
        <v>150000</v>
      </c>
      <c r="R1325" s="701" t="s">
        <v>984</v>
      </c>
      <c r="S1325" s="699"/>
      <c r="T1325" s="701">
        <v>0</v>
      </c>
      <c r="U1325" s="701">
        <v>40</v>
      </c>
      <c r="V1325" s="701">
        <v>50</v>
      </c>
      <c r="W1325" s="699"/>
      <c r="X1325" s="699"/>
      <c r="Y1325" s="699"/>
      <c r="Z1325" s="699"/>
      <c r="AA1325" s="697" t="s">
        <v>3175</v>
      </c>
      <c r="AB1325" s="701" t="s">
        <v>539</v>
      </c>
      <c r="AC1325" s="699"/>
      <c r="AD1325" s="697" t="s">
        <v>1016</v>
      </c>
      <c r="AE1325" s="701">
        <v>80</v>
      </c>
      <c r="AF1325" s="699"/>
      <c r="AG1325" s="701" t="s">
        <v>376</v>
      </c>
      <c r="AH1325" s="703"/>
      <c r="AI1325" s="699"/>
      <c r="AJ1325" s="699"/>
    </row>
    <row r="1326" spans="2:36" ht="24" hidden="1" customHeight="1">
      <c r="B1326" s="702"/>
      <c r="C1326" s="700"/>
      <c r="D1326" s="700"/>
      <c r="E1326" s="700"/>
      <c r="F1326" s="700"/>
      <c r="G1326" s="700"/>
      <c r="H1326" s="700"/>
      <c r="I1326" s="713"/>
      <c r="J1326" s="710"/>
      <c r="K1326" s="710"/>
      <c r="L1326" s="710"/>
      <c r="M1326" s="710"/>
      <c r="N1326" s="710"/>
      <c r="O1326" s="702"/>
      <c r="P1326" s="702"/>
      <c r="Q1326" s="706"/>
      <c r="R1326" s="702"/>
      <c r="S1326" s="700"/>
      <c r="T1326" s="702"/>
      <c r="U1326" s="702"/>
      <c r="V1326" s="702"/>
      <c r="W1326" s="700"/>
      <c r="X1326" s="700"/>
      <c r="Y1326" s="700"/>
      <c r="Z1326" s="700"/>
      <c r="AA1326" s="698"/>
      <c r="AB1326" s="702"/>
      <c r="AC1326" s="700"/>
      <c r="AD1326" s="698"/>
      <c r="AE1326" s="702"/>
      <c r="AF1326" s="700"/>
      <c r="AG1326" s="702"/>
      <c r="AH1326" s="704"/>
      <c r="AI1326" s="700"/>
      <c r="AJ1326" s="700"/>
    </row>
    <row r="1327" spans="2:36" ht="24" hidden="1" customHeight="1">
      <c r="B1327" s="701">
        <v>1045</v>
      </c>
      <c r="C1327" s="699" t="s">
        <v>534</v>
      </c>
      <c r="D1327" s="699"/>
      <c r="E1327" s="699" t="s">
        <v>535</v>
      </c>
      <c r="F1327" s="699"/>
      <c r="G1327" s="699" t="s">
        <v>60</v>
      </c>
      <c r="H1327" s="699" t="s">
        <v>3176</v>
      </c>
      <c r="I1327" s="709" t="s">
        <v>537</v>
      </c>
      <c r="J1327" s="709" t="s">
        <v>537</v>
      </c>
      <c r="K1327" s="712">
        <v>53120</v>
      </c>
      <c r="L1327" s="709" t="s">
        <v>537</v>
      </c>
      <c r="M1327" s="709" t="s">
        <v>537</v>
      </c>
      <c r="N1327" s="709">
        <v>0</v>
      </c>
      <c r="O1327" s="701" t="s">
        <v>537</v>
      </c>
      <c r="P1327" s="701" t="s">
        <v>537</v>
      </c>
      <c r="Q1327" s="705">
        <v>53120</v>
      </c>
      <c r="R1327" s="707">
        <v>241459</v>
      </c>
      <c r="S1327" s="699"/>
      <c r="T1327" s="701">
        <v>2</v>
      </c>
      <c r="U1327" s="701">
        <v>2</v>
      </c>
      <c r="V1327" s="701">
        <v>0</v>
      </c>
      <c r="W1327" s="699"/>
      <c r="X1327" s="699"/>
      <c r="Y1327" s="699"/>
      <c r="Z1327" s="699"/>
      <c r="AA1327" s="697" t="s">
        <v>651</v>
      </c>
      <c r="AB1327" s="701">
        <v>1</v>
      </c>
      <c r="AC1327" s="699"/>
      <c r="AD1327" s="697" t="s">
        <v>3177</v>
      </c>
      <c r="AE1327" s="701">
        <v>2</v>
      </c>
      <c r="AF1327" s="699"/>
      <c r="AG1327" s="701" t="s">
        <v>376</v>
      </c>
      <c r="AH1327" s="703"/>
      <c r="AI1327" s="699"/>
      <c r="AJ1327" s="697" t="s">
        <v>543</v>
      </c>
    </row>
    <row r="1328" spans="2:36" ht="24" hidden="1" customHeight="1">
      <c r="B1328" s="702"/>
      <c r="C1328" s="700"/>
      <c r="D1328" s="700"/>
      <c r="E1328" s="700"/>
      <c r="F1328" s="700"/>
      <c r="G1328" s="700"/>
      <c r="H1328" s="700"/>
      <c r="I1328" s="710"/>
      <c r="J1328" s="710"/>
      <c r="K1328" s="713"/>
      <c r="L1328" s="710"/>
      <c r="M1328" s="710"/>
      <c r="N1328" s="710"/>
      <c r="O1328" s="702"/>
      <c r="P1328" s="702"/>
      <c r="Q1328" s="706"/>
      <c r="R1328" s="708"/>
      <c r="S1328" s="700"/>
      <c r="T1328" s="702"/>
      <c r="U1328" s="702"/>
      <c r="V1328" s="702"/>
      <c r="W1328" s="700"/>
      <c r="X1328" s="700"/>
      <c r="Y1328" s="700"/>
      <c r="Z1328" s="700"/>
      <c r="AA1328" s="698"/>
      <c r="AB1328" s="702"/>
      <c r="AC1328" s="700"/>
      <c r="AD1328" s="698"/>
      <c r="AE1328" s="702"/>
      <c r="AF1328" s="700"/>
      <c r="AG1328" s="702"/>
      <c r="AH1328" s="704"/>
      <c r="AI1328" s="700"/>
      <c r="AJ1328" s="698"/>
    </row>
    <row r="1329" spans="2:36" ht="24" hidden="1" customHeight="1">
      <c r="B1329" s="701">
        <v>1046</v>
      </c>
      <c r="C1329" s="699" t="s">
        <v>534</v>
      </c>
      <c r="D1329" s="699"/>
      <c r="E1329" s="699" t="s">
        <v>535</v>
      </c>
      <c r="F1329" s="699"/>
      <c r="G1329" s="699" t="s">
        <v>60</v>
      </c>
      <c r="H1329" s="699" t="s">
        <v>3178</v>
      </c>
      <c r="I1329" s="709" t="s">
        <v>537</v>
      </c>
      <c r="J1329" s="709">
        <v>0</v>
      </c>
      <c r="K1329" s="709" t="s">
        <v>537</v>
      </c>
      <c r="L1329" s="709" t="s">
        <v>537</v>
      </c>
      <c r="M1329" s="709">
        <v>0</v>
      </c>
      <c r="N1329" s="709" t="s">
        <v>537</v>
      </c>
      <c r="O1329" s="701" t="s">
        <v>537</v>
      </c>
      <c r="P1329" s="723">
        <v>3000</v>
      </c>
      <c r="Q1329" s="705">
        <v>3000</v>
      </c>
      <c r="R1329" s="707">
        <v>241579</v>
      </c>
      <c r="S1329" s="721">
        <v>22455</v>
      </c>
      <c r="T1329" s="701">
        <v>50</v>
      </c>
      <c r="U1329" s="701">
        <v>20</v>
      </c>
      <c r="V1329" s="701">
        <v>50</v>
      </c>
      <c r="W1329" s="701">
        <v>50</v>
      </c>
      <c r="X1329" s="701">
        <v>20</v>
      </c>
      <c r="Y1329" s="701">
        <v>50</v>
      </c>
      <c r="Z1329" s="699"/>
      <c r="AA1329" s="697" t="s">
        <v>677</v>
      </c>
      <c r="AB1329" s="701" t="s">
        <v>539</v>
      </c>
      <c r="AC1329" s="699"/>
      <c r="AD1329" s="697" t="s">
        <v>571</v>
      </c>
      <c r="AE1329" s="701">
        <v>80</v>
      </c>
      <c r="AF1329" s="699"/>
      <c r="AG1329" s="701" t="s">
        <v>376</v>
      </c>
      <c r="AH1329" s="703" t="s">
        <v>3179</v>
      </c>
      <c r="AI1329" s="697" t="s">
        <v>1716</v>
      </c>
      <c r="AJ1329" s="699"/>
    </row>
    <row r="1330" spans="2:36" ht="24" hidden="1" customHeight="1">
      <c r="B1330" s="702"/>
      <c r="C1330" s="700"/>
      <c r="D1330" s="700"/>
      <c r="E1330" s="700"/>
      <c r="F1330" s="700"/>
      <c r="G1330" s="700"/>
      <c r="H1330" s="700"/>
      <c r="I1330" s="710"/>
      <c r="J1330" s="710"/>
      <c r="K1330" s="710"/>
      <c r="L1330" s="710"/>
      <c r="M1330" s="710"/>
      <c r="N1330" s="710"/>
      <c r="O1330" s="702"/>
      <c r="P1330" s="724"/>
      <c r="Q1330" s="706"/>
      <c r="R1330" s="708"/>
      <c r="S1330" s="722"/>
      <c r="T1330" s="702"/>
      <c r="U1330" s="702"/>
      <c r="V1330" s="702"/>
      <c r="W1330" s="702"/>
      <c r="X1330" s="702"/>
      <c r="Y1330" s="702"/>
      <c r="Z1330" s="700"/>
      <c r="AA1330" s="698"/>
      <c r="AB1330" s="702"/>
      <c r="AC1330" s="700"/>
      <c r="AD1330" s="698"/>
      <c r="AE1330" s="702"/>
      <c r="AF1330" s="700"/>
      <c r="AG1330" s="702"/>
      <c r="AH1330" s="704"/>
      <c r="AI1330" s="698"/>
      <c r="AJ1330" s="700"/>
    </row>
    <row r="1331" spans="2:36" ht="24" hidden="1" customHeight="1">
      <c r="B1331" s="701">
        <v>1047</v>
      </c>
      <c r="C1331" s="699" t="s">
        <v>377</v>
      </c>
      <c r="D1331" s="699"/>
      <c r="E1331" s="699" t="s">
        <v>602</v>
      </c>
      <c r="F1331" s="699"/>
      <c r="G1331" s="699" t="s">
        <v>198</v>
      </c>
      <c r="H1331" s="699" t="s">
        <v>3180</v>
      </c>
      <c r="I1331" s="712">
        <v>50000</v>
      </c>
      <c r="J1331" s="709" t="s">
        <v>537</v>
      </c>
      <c r="K1331" s="709" t="s">
        <v>537</v>
      </c>
      <c r="L1331" s="709">
        <v>0</v>
      </c>
      <c r="M1331" s="709" t="s">
        <v>537</v>
      </c>
      <c r="N1331" s="709" t="s">
        <v>537</v>
      </c>
      <c r="O1331" s="701" t="s">
        <v>537</v>
      </c>
      <c r="P1331" s="701" t="s">
        <v>537</v>
      </c>
      <c r="Q1331" s="705">
        <v>50000</v>
      </c>
      <c r="R1331" s="707">
        <v>241397</v>
      </c>
      <c r="S1331" s="699"/>
      <c r="T1331" s="701">
        <v>0</v>
      </c>
      <c r="U1331" s="701">
        <v>30</v>
      </c>
      <c r="V1331" s="701">
        <v>0</v>
      </c>
      <c r="W1331" s="699"/>
      <c r="X1331" s="699"/>
      <c r="Y1331" s="699"/>
      <c r="Z1331" s="699"/>
      <c r="AA1331" s="697" t="s">
        <v>612</v>
      </c>
      <c r="AB1331" s="701" t="s">
        <v>539</v>
      </c>
      <c r="AC1331" s="699"/>
      <c r="AD1331" s="697" t="s">
        <v>565</v>
      </c>
      <c r="AE1331" s="701">
        <v>80</v>
      </c>
      <c r="AF1331" s="699"/>
      <c r="AG1331" s="701" t="s">
        <v>376</v>
      </c>
      <c r="AH1331" s="703" t="s">
        <v>3181</v>
      </c>
      <c r="AI1331" s="699"/>
      <c r="AJ1331" s="699"/>
    </row>
    <row r="1332" spans="2:36" ht="24" hidden="1" customHeight="1">
      <c r="B1332" s="702"/>
      <c r="C1332" s="700"/>
      <c r="D1332" s="700"/>
      <c r="E1332" s="700"/>
      <c r="F1332" s="700"/>
      <c r="G1332" s="700"/>
      <c r="H1332" s="700"/>
      <c r="I1332" s="713"/>
      <c r="J1332" s="710"/>
      <c r="K1332" s="710"/>
      <c r="L1332" s="710"/>
      <c r="M1332" s="710"/>
      <c r="N1332" s="710"/>
      <c r="O1332" s="702"/>
      <c r="P1332" s="702"/>
      <c r="Q1332" s="706"/>
      <c r="R1332" s="708"/>
      <c r="S1332" s="700"/>
      <c r="T1332" s="702"/>
      <c r="U1332" s="702"/>
      <c r="V1332" s="702"/>
      <c r="W1332" s="700"/>
      <c r="X1332" s="700"/>
      <c r="Y1332" s="700"/>
      <c r="Z1332" s="700"/>
      <c r="AA1332" s="698"/>
      <c r="AB1332" s="702"/>
      <c r="AC1332" s="700"/>
      <c r="AD1332" s="698"/>
      <c r="AE1332" s="702"/>
      <c r="AF1332" s="700"/>
      <c r="AG1332" s="702"/>
      <c r="AH1332" s="704"/>
      <c r="AI1332" s="700"/>
      <c r="AJ1332" s="700"/>
    </row>
    <row r="1333" spans="2:36" ht="24" hidden="1" customHeight="1">
      <c r="B1333" s="701">
        <v>1048</v>
      </c>
      <c r="C1333" s="699" t="s">
        <v>534</v>
      </c>
      <c r="D1333" s="699" t="s">
        <v>544</v>
      </c>
      <c r="E1333" s="699" t="s">
        <v>535</v>
      </c>
      <c r="F1333" s="699"/>
      <c r="G1333" s="699" t="s">
        <v>283</v>
      </c>
      <c r="H1333" s="699" t="s">
        <v>3182</v>
      </c>
      <c r="I1333" s="709" t="s">
        <v>537</v>
      </c>
      <c r="J1333" s="712">
        <v>50000</v>
      </c>
      <c r="K1333" s="709" t="s">
        <v>537</v>
      </c>
      <c r="L1333" s="709" t="s">
        <v>537</v>
      </c>
      <c r="M1333" s="709">
        <v>0</v>
      </c>
      <c r="N1333" s="709" t="s">
        <v>537</v>
      </c>
      <c r="O1333" s="701" t="s">
        <v>537</v>
      </c>
      <c r="P1333" s="701" t="s">
        <v>537</v>
      </c>
      <c r="Q1333" s="705">
        <v>50000</v>
      </c>
      <c r="R1333" s="707">
        <v>241487</v>
      </c>
      <c r="S1333" s="699"/>
      <c r="T1333" s="701">
        <v>100</v>
      </c>
      <c r="U1333" s="701">
        <v>10</v>
      </c>
      <c r="V1333" s="701">
        <v>10</v>
      </c>
      <c r="W1333" s="699"/>
      <c r="X1333" s="699"/>
      <c r="Y1333" s="699"/>
      <c r="Z1333" s="699"/>
      <c r="AA1333" s="697" t="s">
        <v>547</v>
      </c>
      <c r="AB1333" s="701" t="s">
        <v>539</v>
      </c>
      <c r="AC1333" s="699"/>
      <c r="AD1333" s="697" t="s">
        <v>548</v>
      </c>
      <c r="AE1333" s="701" t="s">
        <v>620</v>
      </c>
      <c r="AF1333" s="699"/>
      <c r="AG1333" s="701" t="s">
        <v>376</v>
      </c>
      <c r="AH1333" s="703"/>
      <c r="AI1333" s="699"/>
      <c r="AJ1333" s="699"/>
    </row>
    <row r="1334" spans="2:36" ht="24" hidden="1" customHeight="1">
      <c r="B1334" s="702"/>
      <c r="C1334" s="700"/>
      <c r="D1334" s="700"/>
      <c r="E1334" s="700"/>
      <c r="F1334" s="700"/>
      <c r="G1334" s="700"/>
      <c r="H1334" s="700"/>
      <c r="I1334" s="710"/>
      <c r="J1334" s="713"/>
      <c r="K1334" s="710"/>
      <c r="L1334" s="710"/>
      <c r="M1334" s="710"/>
      <c r="N1334" s="710"/>
      <c r="O1334" s="702"/>
      <c r="P1334" s="702"/>
      <c r="Q1334" s="706"/>
      <c r="R1334" s="708"/>
      <c r="S1334" s="700"/>
      <c r="T1334" s="702"/>
      <c r="U1334" s="702"/>
      <c r="V1334" s="702"/>
      <c r="W1334" s="700"/>
      <c r="X1334" s="700"/>
      <c r="Y1334" s="700"/>
      <c r="Z1334" s="700"/>
      <c r="AA1334" s="698"/>
      <c r="AB1334" s="702"/>
      <c r="AC1334" s="700"/>
      <c r="AD1334" s="698"/>
      <c r="AE1334" s="702"/>
      <c r="AF1334" s="700"/>
      <c r="AG1334" s="702"/>
      <c r="AH1334" s="704"/>
      <c r="AI1334" s="700"/>
      <c r="AJ1334" s="700"/>
    </row>
    <row r="1335" spans="2:36" ht="24" hidden="1" customHeight="1">
      <c r="B1335" s="701">
        <v>1049</v>
      </c>
      <c r="C1335" s="699" t="s">
        <v>534</v>
      </c>
      <c r="D1335" s="699"/>
      <c r="E1335" s="699" t="s">
        <v>535</v>
      </c>
      <c r="F1335" s="699"/>
      <c r="G1335" s="699" t="s">
        <v>55</v>
      </c>
      <c r="H1335" s="699" t="s">
        <v>3183</v>
      </c>
      <c r="I1335" s="712">
        <v>25000</v>
      </c>
      <c r="J1335" s="709" t="s">
        <v>537</v>
      </c>
      <c r="K1335" s="709" t="s">
        <v>537</v>
      </c>
      <c r="L1335" s="709">
        <v>0</v>
      </c>
      <c r="M1335" s="709" t="s">
        <v>537</v>
      </c>
      <c r="N1335" s="709" t="s">
        <v>537</v>
      </c>
      <c r="O1335" s="701" t="s">
        <v>537</v>
      </c>
      <c r="P1335" s="701" t="s">
        <v>537</v>
      </c>
      <c r="Q1335" s="705">
        <v>25000</v>
      </c>
      <c r="R1335" s="707">
        <v>241671</v>
      </c>
      <c r="S1335" s="699"/>
      <c r="T1335" s="701">
        <v>8</v>
      </c>
      <c r="U1335" s="701">
        <v>1</v>
      </c>
      <c r="V1335" s="701">
        <v>0</v>
      </c>
      <c r="W1335" s="699"/>
      <c r="X1335" s="699"/>
      <c r="Y1335" s="699"/>
      <c r="Z1335" s="699"/>
      <c r="AA1335" s="458" t="s">
        <v>547</v>
      </c>
      <c r="AB1335" s="459" t="s">
        <v>539</v>
      </c>
      <c r="AC1335" s="699"/>
      <c r="AD1335" s="458" t="s">
        <v>548</v>
      </c>
      <c r="AE1335" s="459">
        <v>80</v>
      </c>
      <c r="AF1335" s="699"/>
      <c r="AG1335" s="701" t="s">
        <v>376</v>
      </c>
      <c r="AH1335" s="703"/>
      <c r="AI1335" s="697">
        <v>896510266</v>
      </c>
      <c r="AJ1335" s="699"/>
    </row>
    <row r="1336" spans="2:36" ht="24" hidden="1" customHeight="1">
      <c r="B1336" s="715"/>
      <c r="C1336" s="714"/>
      <c r="D1336" s="714"/>
      <c r="E1336" s="714"/>
      <c r="F1336" s="714"/>
      <c r="G1336" s="714"/>
      <c r="H1336" s="714"/>
      <c r="I1336" s="720"/>
      <c r="J1336" s="717"/>
      <c r="K1336" s="717"/>
      <c r="L1336" s="717"/>
      <c r="M1336" s="717"/>
      <c r="N1336" s="717"/>
      <c r="O1336" s="715"/>
      <c r="P1336" s="715"/>
      <c r="Q1336" s="718"/>
      <c r="R1336" s="719"/>
      <c r="S1336" s="714"/>
      <c r="T1336" s="715"/>
      <c r="U1336" s="715"/>
      <c r="V1336" s="715"/>
      <c r="W1336" s="714"/>
      <c r="X1336" s="714"/>
      <c r="Y1336" s="714"/>
      <c r="Z1336" s="714"/>
      <c r="AA1336" s="460" t="s">
        <v>3184</v>
      </c>
      <c r="AB1336" s="461" t="s">
        <v>539</v>
      </c>
      <c r="AC1336" s="714"/>
      <c r="AD1336" s="460" t="s">
        <v>3185</v>
      </c>
      <c r="AE1336" s="461">
        <v>8</v>
      </c>
      <c r="AF1336" s="714"/>
      <c r="AG1336" s="715"/>
      <c r="AH1336" s="716"/>
      <c r="AI1336" s="711"/>
      <c r="AJ1336" s="714"/>
    </row>
    <row r="1337" spans="2:36" ht="24" hidden="1" customHeight="1">
      <c r="B1337" s="702"/>
      <c r="C1337" s="700"/>
      <c r="D1337" s="700"/>
      <c r="E1337" s="700"/>
      <c r="F1337" s="700"/>
      <c r="G1337" s="700"/>
      <c r="H1337" s="700"/>
      <c r="I1337" s="713"/>
      <c r="J1337" s="710"/>
      <c r="K1337" s="710"/>
      <c r="L1337" s="710"/>
      <c r="M1337" s="710"/>
      <c r="N1337" s="710"/>
      <c r="O1337" s="702"/>
      <c r="P1337" s="702"/>
      <c r="Q1337" s="706"/>
      <c r="R1337" s="708"/>
      <c r="S1337" s="700"/>
      <c r="T1337" s="702"/>
      <c r="U1337" s="702"/>
      <c r="V1337" s="702"/>
      <c r="W1337" s="700"/>
      <c r="X1337" s="700"/>
      <c r="Y1337" s="700"/>
      <c r="Z1337" s="700"/>
      <c r="AA1337" s="462"/>
      <c r="AB1337" s="462"/>
      <c r="AC1337" s="700"/>
      <c r="AD1337" s="462"/>
      <c r="AE1337" s="462"/>
      <c r="AF1337" s="700"/>
      <c r="AG1337" s="702"/>
      <c r="AH1337" s="704"/>
      <c r="AI1337" s="698"/>
      <c r="AJ1337" s="700"/>
    </row>
    <row r="1338" spans="2:36" ht="24" hidden="1" customHeight="1">
      <c r="B1338" s="701">
        <v>1050</v>
      </c>
      <c r="C1338" s="699" t="s">
        <v>534</v>
      </c>
      <c r="D1338" s="699"/>
      <c r="E1338" s="699" t="s">
        <v>535</v>
      </c>
      <c r="F1338" s="699"/>
      <c r="G1338" s="699" t="s">
        <v>57</v>
      </c>
      <c r="H1338" s="699" t="s">
        <v>3186</v>
      </c>
      <c r="I1338" s="709" t="s">
        <v>537</v>
      </c>
      <c r="J1338" s="712">
        <v>10000</v>
      </c>
      <c r="K1338" s="709" t="s">
        <v>537</v>
      </c>
      <c r="L1338" s="709" t="s">
        <v>537</v>
      </c>
      <c r="M1338" s="709">
        <v>0</v>
      </c>
      <c r="N1338" s="709" t="s">
        <v>537</v>
      </c>
      <c r="O1338" s="701" t="s">
        <v>537</v>
      </c>
      <c r="P1338" s="701" t="s">
        <v>537</v>
      </c>
      <c r="Q1338" s="705">
        <v>10000</v>
      </c>
      <c r="R1338" s="707">
        <v>241428</v>
      </c>
      <c r="S1338" s="699"/>
      <c r="T1338" s="701">
        <v>0</v>
      </c>
      <c r="U1338" s="701">
        <v>35</v>
      </c>
      <c r="V1338" s="701">
        <v>0</v>
      </c>
      <c r="W1338" s="699"/>
      <c r="X1338" s="699"/>
      <c r="Y1338" s="699"/>
      <c r="Z1338" s="699"/>
      <c r="AA1338" s="697" t="s">
        <v>547</v>
      </c>
      <c r="AB1338" s="701" t="s">
        <v>539</v>
      </c>
      <c r="AC1338" s="699"/>
      <c r="AD1338" s="697" t="s">
        <v>548</v>
      </c>
      <c r="AE1338" s="701">
        <v>80</v>
      </c>
      <c r="AF1338" s="699"/>
      <c r="AG1338" s="701" t="s">
        <v>376</v>
      </c>
      <c r="AH1338" s="703"/>
      <c r="AI1338" s="699"/>
      <c r="AJ1338" s="699"/>
    </row>
    <row r="1339" spans="2:36" ht="24" hidden="1" customHeight="1">
      <c r="B1339" s="702"/>
      <c r="C1339" s="700"/>
      <c r="D1339" s="700"/>
      <c r="E1339" s="700"/>
      <c r="F1339" s="700"/>
      <c r="G1339" s="700"/>
      <c r="H1339" s="700"/>
      <c r="I1339" s="710"/>
      <c r="J1339" s="713"/>
      <c r="K1339" s="710"/>
      <c r="L1339" s="710"/>
      <c r="M1339" s="710"/>
      <c r="N1339" s="710"/>
      <c r="O1339" s="702"/>
      <c r="P1339" s="702"/>
      <c r="Q1339" s="706"/>
      <c r="R1339" s="708"/>
      <c r="S1339" s="700"/>
      <c r="T1339" s="702"/>
      <c r="U1339" s="702"/>
      <c r="V1339" s="702"/>
      <c r="W1339" s="700"/>
      <c r="X1339" s="700"/>
      <c r="Y1339" s="700"/>
      <c r="Z1339" s="700"/>
      <c r="AA1339" s="698"/>
      <c r="AB1339" s="702"/>
      <c r="AC1339" s="700"/>
      <c r="AD1339" s="698"/>
      <c r="AE1339" s="702"/>
      <c r="AF1339" s="700"/>
      <c r="AG1339" s="702"/>
      <c r="AH1339" s="704"/>
      <c r="AI1339" s="700"/>
      <c r="AJ1339" s="700"/>
    </row>
    <row r="1340" spans="2:36" ht="24" hidden="1" customHeight="1">
      <c r="B1340" s="463">
        <v>1051</v>
      </c>
      <c r="C1340" s="464" t="s">
        <v>377</v>
      </c>
      <c r="D1340" s="464"/>
      <c r="E1340" s="464" t="s">
        <v>602</v>
      </c>
      <c r="F1340" s="464"/>
      <c r="G1340" s="464" t="s">
        <v>419</v>
      </c>
      <c r="H1340" s="464" t="s">
        <v>3187</v>
      </c>
      <c r="I1340" s="465" t="s">
        <v>537</v>
      </c>
      <c r="J1340" s="465" t="s">
        <v>537</v>
      </c>
      <c r="K1340" s="466">
        <v>77000</v>
      </c>
      <c r="L1340" s="465" t="s">
        <v>537</v>
      </c>
      <c r="M1340" s="465" t="s">
        <v>537</v>
      </c>
      <c r="N1340" s="465">
        <v>0</v>
      </c>
      <c r="O1340" s="463" t="s">
        <v>537</v>
      </c>
      <c r="P1340" s="463" t="s">
        <v>537</v>
      </c>
      <c r="Q1340" s="468">
        <v>77000</v>
      </c>
      <c r="R1340" s="470">
        <v>241640</v>
      </c>
      <c r="S1340" s="463" t="s">
        <v>3188</v>
      </c>
      <c r="T1340" s="463">
        <v>48</v>
      </c>
      <c r="U1340" s="463">
        <v>12</v>
      </c>
      <c r="V1340" s="463">
        <v>0</v>
      </c>
      <c r="W1340" s="463">
        <v>0</v>
      </c>
      <c r="X1340" s="463">
        <v>0</v>
      </c>
      <c r="Y1340" s="463">
        <v>0</v>
      </c>
      <c r="Z1340" s="463">
        <v>0</v>
      </c>
      <c r="AA1340" s="472" t="s">
        <v>2600</v>
      </c>
      <c r="AB1340" s="463" t="s">
        <v>539</v>
      </c>
      <c r="AC1340" s="463" t="s">
        <v>537</v>
      </c>
      <c r="AD1340" s="472" t="s">
        <v>2601</v>
      </c>
      <c r="AE1340" s="463" t="s">
        <v>539</v>
      </c>
      <c r="AF1340" s="463" t="s">
        <v>537</v>
      </c>
      <c r="AG1340" s="463" t="s">
        <v>376</v>
      </c>
      <c r="AH1340" s="480" t="s">
        <v>3189</v>
      </c>
      <c r="AI1340" s="472" t="s">
        <v>2607</v>
      </c>
      <c r="AJ1340" s="472" t="s">
        <v>543</v>
      </c>
    </row>
    <row r="1341" spans="2:36" ht="24" hidden="1" customHeight="1">
      <c r="B1341" s="463">
        <v>1052</v>
      </c>
      <c r="C1341" s="464" t="s">
        <v>377</v>
      </c>
      <c r="D1341" s="464"/>
      <c r="E1341" s="464" t="s">
        <v>602</v>
      </c>
      <c r="F1341" s="464"/>
      <c r="G1341" s="464" t="s">
        <v>419</v>
      </c>
      <c r="H1341" s="464" t="s">
        <v>3190</v>
      </c>
      <c r="I1341" s="465" t="s">
        <v>537</v>
      </c>
      <c r="J1341" s="465" t="s">
        <v>537</v>
      </c>
      <c r="K1341" s="466">
        <v>16000</v>
      </c>
      <c r="L1341" s="465" t="s">
        <v>537</v>
      </c>
      <c r="M1341" s="465" t="s">
        <v>537</v>
      </c>
      <c r="N1341" s="465">
        <v>0</v>
      </c>
      <c r="O1341" s="463" t="s">
        <v>537</v>
      </c>
      <c r="P1341" s="463" t="s">
        <v>537</v>
      </c>
      <c r="Q1341" s="468">
        <v>16000</v>
      </c>
      <c r="R1341" s="470">
        <v>241640</v>
      </c>
      <c r="S1341" s="464"/>
      <c r="T1341" s="463">
        <v>0</v>
      </c>
      <c r="U1341" s="463">
        <v>30</v>
      </c>
      <c r="V1341" s="463">
        <v>0</v>
      </c>
      <c r="W1341" s="463">
        <v>0</v>
      </c>
      <c r="X1341" s="463">
        <v>0</v>
      </c>
      <c r="Y1341" s="463">
        <v>0</v>
      </c>
      <c r="Z1341" s="463">
        <v>0</v>
      </c>
      <c r="AA1341" s="472" t="s">
        <v>2600</v>
      </c>
      <c r="AB1341" s="463" t="s">
        <v>539</v>
      </c>
      <c r="AC1341" s="463" t="s">
        <v>537</v>
      </c>
      <c r="AD1341" s="472" t="s">
        <v>2601</v>
      </c>
      <c r="AE1341" s="463" t="s">
        <v>539</v>
      </c>
      <c r="AF1341" s="463" t="s">
        <v>537</v>
      </c>
      <c r="AG1341" s="463" t="s">
        <v>376</v>
      </c>
      <c r="AH1341" s="480" t="s">
        <v>3191</v>
      </c>
      <c r="AI1341" s="472" t="s">
        <v>2607</v>
      </c>
      <c r="AJ1341" s="472" t="s">
        <v>543</v>
      </c>
    </row>
    <row r="1342" spans="2:36" ht="24" hidden="1" customHeight="1">
      <c r="B1342" s="701">
        <v>1053</v>
      </c>
      <c r="C1342" s="699" t="s">
        <v>534</v>
      </c>
      <c r="D1342" s="699"/>
      <c r="E1342" s="699" t="s">
        <v>535</v>
      </c>
      <c r="F1342" s="699"/>
      <c r="G1342" s="699" t="s">
        <v>49</v>
      </c>
      <c r="H1342" s="699" t="s">
        <v>3192</v>
      </c>
      <c r="I1342" s="712">
        <v>50000</v>
      </c>
      <c r="J1342" s="709" t="s">
        <v>537</v>
      </c>
      <c r="K1342" s="709" t="s">
        <v>537</v>
      </c>
      <c r="L1342" s="709">
        <v>0</v>
      </c>
      <c r="M1342" s="709" t="s">
        <v>537</v>
      </c>
      <c r="N1342" s="709" t="s">
        <v>537</v>
      </c>
      <c r="O1342" s="701" t="s">
        <v>537</v>
      </c>
      <c r="P1342" s="701" t="s">
        <v>537</v>
      </c>
      <c r="Q1342" s="705">
        <v>50000</v>
      </c>
      <c r="R1342" s="707">
        <v>241671</v>
      </c>
      <c r="S1342" s="699"/>
      <c r="T1342" s="701">
        <v>8</v>
      </c>
      <c r="U1342" s="701">
        <v>2</v>
      </c>
      <c r="V1342" s="701">
        <v>0</v>
      </c>
      <c r="W1342" s="699"/>
      <c r="X1342" s="699"/>
      <c r="Y1342" s="699"/>
      <c r="Z1342" s="699"/>
      <c r="AA1342" s="697" t="s">
        <v>2624</v>
      </c>
      <c r="AB1342" s="701">
        <v>1</v>
      </c>
      <c r="AC1342" s="699"/>
      <c r="AD1342" s="697" t="s">
        <v>651</v>
      </c>
      <c r="AE1342" s="701">
        <v>1</v>
      </c>
      <c r="AF1342" s="699"/>
      <c r="AG1342" s="701" t="s">
        <v>376</v>
      </c>
      <c r="AH1342" s="703" t="s">
        <v>3193</v>
      </c>
      <c r="AI1342" s="697" t="s">
        <v>2631</v>
      </c>
      <c r="AJ1342" s="699"/>
    </row>
    <row r="1343" spans="2:36" ht="24" hidden="1" customHeight="1">
      <c r="B1343" s="702"/>
      <c r="C1343" s="700"/>
      <c r="D1343" s="700"/>
      <c r="E1343" s="700"/>
      <c r="F1343" s="700"/>
      <c r="G1343" s="700"/>
      <c r="H1343" s="700"/>
      <c r="I1343" s="713"/>
      <c r="J1343" s="710"/>
      <c r="K1343" s="710"/>
      <c r="L1343" s="710"/>
      <c r="M1343" s="710"/>
      <c r="N1343" s="710"/>
      <c r="O1343" s="702"/>
      <c r="P1343" s="702"/>
      <c r="Q1343" s="706"/>
      <c r="R1343" s="708"/>
      <c r="S1343" s="700"/>
      <c r="T1343" s="702"/>
      <c r="U1343" s="702"/>
      <c r="V1343" s="702"/>
      <c r="W1343" s="700"/>
      <c r="X1343" s="700"/>
      <c r="Y1343" s="700"/>
      <c r="Z1343" s="700"/>
      <c r="AA1343" s="698"/>
      <c r="AB1343" s="702"/>
      <c r="AC1343" s="700"/>
      <c r="AD1343" s="698"/>
      <c r="AE1343" s="702"/>
      <c r="AF1343" s="700"/>
      <c r="AG1343" s="702"/>
      <c r="AH1343" s="704"/>
      <c r="AI1343" s="698"/>
      <c r="AJ1343" s="700"/>
    </row>
    <row r="1344" spans="2:36" ht="24" hidden="1" customHeight="1">
      <c r="B1344" s="701">
        <v>1054</v>
      </c>
      <c r="C1344" s="699" t="s">
        <v>534</v>
      </c>
      <c r="D1344" s="699"/>
      <c r="E1344" s="699" t="s">
        <v>535</v>
      </c>
      <c r="F1344" s="699"/>
      <c r="G1344" s="699" t="s">
        <v>49</v>
      </c>
      <c r="H1344" s="699" t="s">
        <v>3194</v>
      </c>
      <c r="I1344" s="712">
        <v>50000</v>
      </c>
      <c r="J1344" s="709" t="s">
        <v>537</v>
      </c>
      <c r="K1344" s="709" t="s">
        <v>537</v>
      </c>
      <c r="L1344" s="709">
        <v>0</v>
      </c>
      <c r="M1344" s="709" t="s">
        <v>537</v>
      </c>
      <c r="N1344" s="709" t="s">
        <v>537</v>
      </c>
      <c r="O1344" s="701" t="s">
        <v>537</v>
      </c>
      <c r="P1344" s="701" t="s">
        <v>537</v>
      </c>
      <c r="Q1344" s="705">
        <v>50000</v>
      </c>
      <c r="R1344" s="707">
        <v>241671</v>
      </c>
      <c r="S1344" s="699"/>
      <c r="T1344" s="701">
        <v>9</v>
      </c>
      <c r="U1344" s="701">
        <v>3</v>
      </c>
      <c r="V1344" s="701">
        <v>0</v>
      </c>
      <c r="W1344" s="699"/>
      <c r="X1344" s="699"/>
      <c r="Y1344" s="699"/>
      <c r="Z1344" s="699"/>
      <c r="AA1344" s="697" t="s">
        <v>2624</v>
      </c>
      <c r="AB1344" s="701">
        <v>1</v>
      </c>
      <c r="AC1344" s="699"/>
      <c r="AD1344" s="697" t="s">
        <v>651</v>
      </c>
      <c r="AE1344" s="701">
        <v>1</v>
      </c>
      <c r="AF1344" s="699"/>
      <c r="AG1344" s="701" t="s">
        <v>376</v>
      </c>
      <c r="AH1344" s="703" t="s">
        <v>3195</v>
      </c>
      <c r="AI1344" s="697" t="s">
        <v>3196</v>
      </c>
      <c r="AJ1344" s="699"/>
    </row>
    <row r="1345" spans="2:36" ht="24" hidden="1" customHeight="1">
      <c r="B1345" s="702"/>
      <c r="C1345" s="700"/>
      <c r="D1345" s="700"/>
      <c r="E1345" s="700"/>
      <c r="F1345" s="700"/>
      <c r="G1345" s="700"/>
      <c r="H1345" s="700"/>
      <c r="I1345" s="713"/>
      <c r="J1345" s="710"/>
      <c r="K1345" s="710"/>
      <c r="L1345" s="710"/>
      <c r="M1345" s="710"/>
      <c r="N1345" s="710"/>
      <c r="O1345" s="702"/>
      <c r="P1345" s="702"/>
      <c r="Q1345" s="706"/>
      <c r="R1345" s="708"/>
      <c r="S1345" s="700"/>
      <c r="T1345" s="702"/>
      <c r="U1345" s="702"/>
      <c r="V1345" s="702"/>
      <c r="W1345" s="700"/>
      <c r="X1345" s="700"/>
      <c r="Y1345" s="700"/>
      <c r="Z1345" s="700"/>
      <c r="AA1345" s="698"/>
      <c r="AB1345" s="702"/>
      <c r="AC1345" s="700"/>
      <c r="AD1345" s="698"/>
      <c r="AE1345" s="702"/>
      <c r="AF1345" s="700"/>
      <c r="AG1345" s="702"/>
      <c r="AH1345" s="704"/>
      <c r="AI1345" s="698"/>
      <c r="AJ1345" s="700"/>
    </row>
    <row r="1346" spans="2:36" ht="24" hidden="1" customHeight="1">
      <c r="B1346" s="701">
        <v>1055</v>
      </c>
      <c r="C1346" s="699" t="s">
        <v>165</v>
      </c>
      <c r="D1346" s="699"/>
      <c r="E1346" s="699" t="s">
        <v>535</v>
      </c>
      <c r="F1346" s="699"/>
      <c r="G1346" s="699" t="s">
        <v>49</v>
      </c>
      <c r="H1346" s="699" t="s">
        <v>3197</v>
      </c>
      <c r="I1346" s="712">
        <v>6070</v>
      </c>
      <c r="J1346" s="709" t="s">
        <v>537</v>
      </c>
      <c r="K1346" s="709" t="s">
        <v>537</v>
      </c>
      <c r="L1346" s="709">
        <v>0</v>
      </c>
      <c r="M1346" s="709" t="s">
        <v>537</v>
      </c>
      <c r="N1346" s="709" t="s">
        <v>537</v>
      </c>
      <c r="O1346" s="701" t="s">
        <v>537</v>
      </c>
      <c r="P1346" s="701" t="s">
        <v>537</v>
      </c>
      <c r="Q1346" s="705">
        <v>6070</v>
      </c>
      <c r="R1346" s="707">
        <v>241609</v>
      </c>
      <c r="S1346" s="699"/>
      <c r="T1346" s="701">
        <v>10</v>
      </c>
      <c r="U1346" s="701">
        <v>17</v>
      </c>
      <c r="V1346" s="701">
        <v>2</v>
      </c>
      <c r="W1346" s="699"/>
      <c r="X1346" s="699"/>
      <c r="Y1346" s="699"/>
      <c r="Z1346" s="699"/>
      <c r="AA1346" s="697" t="s">
        <v>2672</v>
      </c>
      <c r="AB1346" s="701" t="s">
        <v>539</v>
      </c>
      <c r="AC1346" s="699"/>
      <c r="AD1346" s="697" t="s">
        <v>925</v>
      </c>
      <c r="AE1346" s="701">
        <v>80</v>
      </c>
      <c r="AF1346" s="699"/>
      <c r="AG1346" s="701" t="s">
        <v>376</v>
      </c>
      <c r="AH1346" s="703"/>
      <c r="AI1346" s="697" t="s">
        <v>2675</v>
      </c>
      <c r="AJ1346" s="699"/>
    </row>
    <row r="1347" spans="2:36" ht="24" hidden="1" customHeight="1">
      <c r="B1347" s="702"/>
      <c r="C1347" s="700"/>
      <c r="D1347" s="700"/>
      <c r="E1347" s="700"/>
      <c r="F1347" s="700"/>
      <c r="G1347" s="700"/>
      <c r="H1347" s="700"/>
      <c r="I1347" s="713"/>
      <c r="J1347" s="710"/>
      <c r="K1347" s="710"/>
      <c r="L1347" s="710"/>
      <c r="M1347" s="710"/>
      <c r="N1347" s="710"/>
      <c r="O1347" s="702"/>
      <c r="P1347" s="702"/>
      <c r="Q1347" s="706"/>
      <c r="R1347" s="708"/>
      <c r="S1347" s="700"/>
      <c r="T1347" s="702"/>
      <c r="U1347" s="702"/>
      <c r="V1347" s="702"/>
      <c r="W1347" s="700"/>
      <c r="X1347" s="700"/>
      <c r="Y1347" s="700"/>
      <c r="Z1347" s="700"/>
      <c r="AA1347" s="698"/>
      <c r="AB1347" s="702"/>
      <c r="AC1347" s="700"/>
      <c r="AD1347" s="698"/>
      <c r="AE1347" s="702"/>
      <c r="AF1347" s="700"/>
      <c r="AG1347" s="702"/>
      <c r="AH1347" s="704"/>
      <c r="AI1347" s="698"/>
      <c r="AJ1347" s="700"/>
    </row>
    <row r="1348" spans="2:36" ht="24" hidden="1" customHeight="1">
      <c r="B1348" s="701">
        <v>1056</v>
      </c>
      <c r="C1348" s="699" t="s">
        <v>165</v>
      </c>
      <c r="D1348" s="699"/>
      <c r="E1348" s="699" t="s">
        <v>535</v>
      </c>
      <c r="F1348" s="699"/>
      <c r="G1348" s="699" t="s">
        <v>49</v>
      </c>
      <c r="H1348" s="699" t="s">
        <v>3198</v>
      </c>
      <c r="I1348" s="712">
        <v>10860</v>
      </c>
      <c r="J1348" s="709" t="s">
        <v>537</v>
      </c>
      <c r="K1348" s="709" t="s">
        <v>537</v>
      </c>
      <c r="L1348" s="709">
        <v>0</v>
      </c>
      <c r="M1348" s="709" t="s">
        <v>537</v>
      </c>
      <c r="N1348" s="709" t="s">
        <v>537</v>
      </c>
      <c r="O1348" s="701" t="s">
        <v>537</v>
      </c>
      <c r="P1348" s="701" t="s">
        <v>537</v>
      </c>
      <c r="Q1348" s="705">
        <v>10860</v>
      </c>
      <c r="R1348" s="707">
        <v>241609</v>
      </c>
      <c r="S1348" s="699"/>
      <c r="T1348" s="701">
        <v>10</v>
      </c>
      <c r="U1348" s="701">
        <v>17</v>
      </c>
      <c r="V1348" s="701">
        <v>2</v>
      </c>
      <c r="W1348" s="699"/>
      <c r="X1348" s="699"/>
      <c r="Y1348" s="699"/>
      <c r="Z1348" s="699"/>
      <c r="AA1348" s="697" t="s">
        <v>2672</v>
      </c>
      <c r="AB1348" s="701" t="s">
        <v>539</v>
      </c>
      <c r="AC1348" s="699"/>
      <c r="AD1348" s="697" t="s">
        <v>925</v>
      </c>
      <c r="AE1348" s="701">
        <v>80</v>
      </c>
      <c r="AF1348" s="699"/>
      <c r="AG1348" s="701" t="s">
        <v>376</v>
      </c>
      <c r="AH1348" s="703"/>
      <c r="AI1348" s="697" t="s">
        <v>2675</v>
      </c>
      <c r="AJ1348" s="699"/>
    </row>
    <row r="1349" spans="2:36" ht="24" hidden="1" customHeight="1">
      <c r="B1349" s="702"/>
      <c r="C1349" s="700"/>
      <c r="D1349" s="700"/>
      <c r="E1349" s="700"/>
      <c r="F1349" s="700"/>
      <c r="G1349" s="700"/>
      <c r="H1349" s="700"/>
      <c r="I1349" s="713"/>
      <c r="J1349" s="710"/>
      <c r="K1349" s="710"/>
      <c r="L1349" s="710"/>
      <c r="M1349" s="710"/>
      <c r="N1349" s="710"/>
      <c r="O1349" s="702"/>
      <c r="P1349" s="702"/>
      <c r="Q1349" s="706"/>
      <c r="R1349" s="708"/>
      <c r="S1349" s="700"/>
      <c r="T1349" s="702"/>
      <c r="U1349" s="702"/>
      <c r="V1349" s="702"/>
      <c r="W1349" s="700"/>
      <c r="X1349" s="700"/>
      <c r="Y1349" s="700"/>
      <c r="Z1349" s="700"/>
      <c r="AA1349" s="698"/>
      <c r="AB1349" s="702"/>
      <c r="AC1349" s="700"/>
      <c r="AD1349" s="698"/>
      <c r="AE1349" s="702"/>
      <c r="AF1349" s="700"/>
      <c r="AG1349" s="702"/>
      <c r="AH1349" s="704"/>
      <c r="AI1349" s="698"/>
      <c r="AJ1349" s="700"/>
    </row>
    <row r="1350" spans="2:36" ht="24" hidden="1" customHeight="1">
      <c r="B1350" s="701">
        <v>1057</v>
      </c>
      <c r="C1350" s="699" t="s">
        <v>165</v>
      </c>
      <c r="D1350" s="699"/>
      <c r="E1350" s="699" t="s">
        <v>535</v>
      </c>
      <c r="F1350" s="699"/>
      <c r="G1350" s="699" t="s">
        <v>49</v>
      </c>
      <c r="H1350" s="699" t="s">
        <v>3199</v>
      </c>
      <c r="I1350" s="712">
        <v>6070</v>
      </c>
      <c r="J1350" s="709" t="s">
        <v>537</v>
      </c>
      <c r="K1350" s="709" t="s">
        <v>537</v>
      </c>
      <c r="L1350" s="709">
        <v>0</v>
      </c>
      <c r="M1350" s="709" t="s">
        <v>537</v>
      </c>
      <c r="N1350" s="709" t="s">
        <v>537</v>
      </c>
      <c r="O1350" s="701" t="s">
        <v>537</v>
      </c>
      <c r="P1350" s="701" t="s">
        <v>537</v>
      </c>
      <c r="Q1350" s="705">
        <v>6070</v>
      </c>
      <c r="R1350" s="707">
        <v>241609</v>
      </c>
      <c r="S1350" s="699"/>
      <c r="T1350" s="701">
        <v>10</v>
      </c>
      <c r="U1350" s="701">
        <v>17</v>
      </c>
      <c r="V1350" s="701">
        <v>2</v>
      </c>
      <c r="W1350" s="699"/>
      <c r="X1350" s="699"/>
      <c r="Y1350" s="699"/>
      <c r="Z1350" s="699"/>
      <c r="AA1350" s="697" t="s">
        <v>2672</v>
      </c>
      <c r="AB1350" s="701" t="s">
        <v>539</v>
      </c>
      <c r="AC1350" s="699"/>
      <c r="AD1350" s="697" t="s">
        <v>925</v>
      </c>
      <c r="AE1350" s="701">
        <v>80</v>
      </c>
      <c r="AF1350" s="699"/>
      <c r="AG1350" s="701" t="s">
        <v>376</v>
      </c>
      <c r="AH1350" s="703"/>
      <c r="AI1350" s="697" t="s">
        <v>2675</v>
      </c>
      <c r="AJ1350" s="699"/>
    </row>
    <row r="1351" spans="2:36" ht="24" hidden="1" customHeight="1">
      <c r="B1351" s="702"/>
      <c r="C1351" s="700"/>
      <c r="D1351" s="700"/>
      <c r="E1351" s="700"/>
      <c r="F1351" s="700"/>
      <c r="G1351" s="700"/>
      <c r="H1351" s="700"/>
      <c r="I1351" s="713"/>
      <c r="J1351" s="710"/>
      <c r="K1351" s="710"/>
      <c r="L1351" s="710"/>
      <c r="M1351" s="710"/>
      <c r="N1351" s="710"/>
      <c r="O1351" s="702"/>
      <c r="P1351" s="702"/>
      <c r="Q1351" s="706"/>
      <c r="R1351" s="708"/>
      <c r="S1351" s="700"/>
      <c r="T1351" s="702"/>
      <c r="U1351" s="702"/>
      <c r="V1351" s="702"/>
      <c r="W1351" s="700"/>
      <c r="X1351" s="700"/>
      <c r="Y1351" s="700"/>
      <c r="Z1351" s="700"/>
      <c r="AA1351" s="698"/>
      <c r="AB1351" s="702"/>
      <c r="AC1351" s="700"/>
      <c r="AD1351" s="698"/>
      <c r="AE1351" s="702"/>
      <c r="AF1351" s="700"/>
      <c r="AG1351" s="702"/>
      <c r="AH1351" s="704"/>
      <c r="AI1351" s="698"/>
      <c r="AJ1351" s="700"/>
    </row>
    <row r="1352" spans="2:36" ht="24" hidden="1" customHeight="1">
      <c r="B1352" s="701">
        <v>1058</v>
      </c>
      <c r="C1352" s="699" t="s">
        <v>165</v>
      </c>
      <c r="D1352" s="699"/>
      <c r="E1352" s="699" t="s">
        <v>535</v>
      </c>
      <c r="F1352" s="699"/>
      <c r="G1352" s="699" t="s">
        <v>49</v>
      </c>
      <c r="H1352" s="699" t="s">
        <v>3200</v>
      </c>
      <c r="I1352" s="712">
        <v>6070</v>
      </c>
      <c r="J1352" s="709" t="s">
        <v>537</v>
      </c>
      <c r="K1352" s="709" t="s">
        <v>537</v>
      </c>
      <c r="L1352" s="709">
        <v>0</v>
      </c>
      <c r="M1352" s="709" t="s">
        <v>537</v>
      </c>
      <c r="N1352" s="709" t="s">
        <v>537</v>
      </c>
      <c r="O1352" s="701" t="s">
        <v>537</v>
      </c>
      <c r="P1352" s="701" t="s">
        <v>537</v>
      </c>
      <c r="Q1352" s="705">
        <v>6070</v>
      </c>
      <c r="R1352" s="707">
        <v>241640</v>
      </c>
      <c r="S1352" s="699"/>
      <c r="T1352" s="701">
        <v>10</v>
      </c>
      <c r="U1352" s="701">
        <v>17</v>
      </c>
      <c r="V1352" s="701">
        <v>2</v>
      </c>
      <c r="W1352" s="699"/>
      <c r="X1352" s="699"/>
      <c r="Y1352" s="699"/>
      <c r="Z1352" s="699"/>
      <c r="AA1352" s="697" t="s">
        <v>2672</v>
      </c>
      <c r="AB1352" s="701" t="s">
        <v>539</v>
      </c>
      <c r="AC1352" s="699"/>
      <c r="AD1352" s="697" t="s">
        <v>925</v>
      </c>
      <c r="AE1352" s="701">
        <v>80</v>
      </c>
      <c r="AF1352" s="699"/>
      <c r="AG1352" s="701" t="s">
        <v>376</v>
      </c>
      <c r="AH1352" s="703"/>
      <c r="AI1352" s="697" t="s">
        <v>2675</v>
      </c>
      <c r="AJ1352" s="699"/>
    </row>
    <row r="1353" spans="2:36" ht="24" hidden="1" customHeight="1">
      <c r="B1353" s="702"/>
      <c r="C1353" s="700"/>
      <c r="D1353" s="700"/>
      <c r="E1353" s="700"/>
      <c r="F1353" s="700"/>
      <c r="G1353" s="700"/>
      <c r="H1353" s="700"/>
      <c r="I1353" s="713"/>
      <c r="J1353" s="710"/>
      <c r="K1353" s="710"/>
      <c r="L1353" s="710"/>
      <c r="M1353" s="710"/>
      <c r="N1353" s="710"/>
      <c r="O1353" s="702"/>
      <c r="P1353" s="702"/>
      <c r="Q1353" s="706"/>
      <c r="R1353" s="708"/>
      <c r="S1353" s="700"/>
      <c r="T1353" s="702"/>
      <c r="U1353" s="702"/>
      <c r="V1353" s="702"/>
      <c r="W1353" s="700"/>
      <c r="X1353" s="700"/>
      <c r="Y1353" s="700"/>
      <c r="Z1353" s="700"/>
      <c r="AA1353" s="698"/>
      <c r="AB1353" s="702"/>
      <c r="AC1353" s="700"/>
      <c r="AD1353" s="698"/>
      <c r="AE1353" s="702"/>
      <c r="AF1353" s="700"/>
      <c r="AG1353" s="702"/>
      <c r="AH1353" s="704"/>
      <c r="AI1353" s="698"/>
      <c r="AJ1353" s="700"/>
    </row>
    <row r="1354" spans="2:36" ht="24" hidden="1" customHeight="1">
      <c r="B1354" s="701">
        <v>1059</v>
      </c>
      <c r="C1354" s="699" t="s">
        <v>165</v>
      </c>
      <c r="D1354" s="699"/>
      <c r="E1354" s="699" t="s">
        <v>535</v>
      </c>
      <c r="F1354" s="699"/>
      <c r="G1354" s="699" t="s">
        <v>49</v>
      </c>
      <c r="H1354" s="699" t="s">
        <v>3201</v>
      </c>
      <c r="I1354" s="712">
        <v>10860</v>
      </c>
      <c r="J1354" s="709" t="s">
        <v>537</v>
      </c>
      <c r="K1354" s="709" t="s">
        <v>537</v>
      </c>
      <c r="L1354" s="709">
        <v>0</v>
      </c>
      <c r="M1354" s="709" t="s">
        <v>537</v>
      </c>
      <c r="N1354" s="709" t="s">
        <v>537</v>
      </c>
      <c r="O1354" s="701" t="s">
        <v>537</v>
      </c>
      <c r="P1354" s="701" t="s">
        <v>537</v>
      </c>
      <c r="Q1354" s="705">
        <v>10860</v>
      </c>
      <c r="R1354" s="707">
        <v>241640</v>
      </c>
      <c r="S1354" s="699"/>
      <c r="T1354" s="701">
        <v>10</v>
      </c>
      <c r="U1354" s="701">
        <v>17</v>
      </c>
      <c r="V1354" s="701">
        <v>2</v>
      </c>
      <c r="W1354" s="699"/>
      <c r="X1354" s="699"/>
      <c r="Y1354" s="699"/>
      <c r="Z1354" s="699"/>
      <c r="AA1354" s="697" t="s">
        <v>2672</v>
      </c>
      <c r="AB1354" s="701" t="s">
        <v>539</v>
      </c>
      <c r="AC1354" s="699"/>
      <c r="AD1354" s="697" t="s">
        <v>925</v>
      </c>
      <c r="AE1354" s="701">
        <v>80</v>
      </c>
      <c r="AF1354" s="699"/>
      <c r="AG1354" s="701" t="s">
        <v>376</v>
      </c>
      <c r="AH1354" s="703"/>
      <c r="AI1354" s="697" t="s">
        <v>2675</v>
      </c>
      <c r="AJ1354" s="699"/>
    </row>
    <row r="1355" spans="2:36" ht="24" hidden="1" customHeight="1">
      <c r="B1355" s="702"/>
      <c r="C1355" s="700"/>
      <c r="D1355" s="700"/>
      <c r="E1355" s="700"/>
      <c r="F1355" s="700"/>
      <c r="G1355" s="700"/>
      <c r="H1355" s="700"/>
      <c r="I1355" s="713"/>
      <c r="J1355" s="710"/>
      <c r="K1355" s="710"/>
      <c r="L1355" s="710"/>
      <c r="M1355" s="710"/>
      <c r="N1355" s="710"/>
      <c r="O1355" s="702"/>
      <c r="P1355" s="702"/>
      <c r="Q1355" s="706"/>
      <c r="R1355" s="708"/>
      <c r="S1355" s="700"/>
      <c r="T1355" s="702"/>
      <c r="U1355" s="702"/>
      <c r="V1355" s="702"/>
      <c r="W1355" s="700"/>
      <c r="X1355" s="700"/>
      <c r="Y1355" s="700"/>
      <c r="Z1355" s="700"/>
      <c r="AA1355" s="698"/>
      <c r="AB1355" s="702"/>
      <c r="AC1355" s="700"/>
      <c r="AD1355" s="698"/>
      <c r="AE1355" s="702"/>
      <c r="AF1355" s="700"/>
      <c r="AG1355" s="702"/>
      <c r="AH1355" s="704"/>
      <c r="AI1355" s="698"/>
      <c r="AJ1355" s="700"/>
    </row>
    <row r="1356" spans="2:36" ht="24" hidden="1" customHeight="1">
      <c r="B1356" s="701">
        <v>1060</v>
      </c>
      <c r="C1356" s="699" t="s">
        <v>165</v>
      </c>
      <c r="D1356" s="699"/>
      <c r="E1356" s="699" t="s">
        <v>535</v>
      </c>
      <c r="F1356" s="699"/>
      <c r="G1356" s="699" t="s">
        <v>49</v>
      </c>
      <c r="H1356" s="699" t="s">
        <v>3202</v>
      </c>
      <c r="I1356" s="709" t="s">
        <v>537</v>
      </c>
      <c r="J1356" s="712">
        <v>64800</v>
      </c>
      <c r="K1356" s="709" t="s">
        <v>537</v>
      </c>
      <c r="L1356" s="709" t="s">
        <v>537</v>
      </c>
      <c r="M1356" s="709">
        <v>0</v>
      </c>
      <c r="N1356" s="709" t="s">
        <v>537</v>
      </c>
      <c r="O1356" s="701" t="s">
        <v>537</v>
      </c>
      <c r="P1356" s="701" t="s">
        <v>537</v>
      </c>
      <c r="Q1356" s="705">
        <v>64800</v>
      </c>
      <c r="R1356" s="707">
        <v>241487</v>
      </c>
      <c r="S1356" s="699"/>
      <c r="T1356" s="701">
        <v>30</v>
      </c>
      <c r="U1356" s="701">
        <v>2</v>
      </c>
      <c r="V1356" s="701">
        <v>0</v>
      </c>
      <c r="W1356" s="699"/>
      <c r="X1356" s="699"/>
      <c r="Y1356" s="699"/>
      <c r="Z1356" s="699"/>
      <c r="AA1356" s="697" t="s">
        <v>633</v>
      </c>
      <c r="AB1356" s="701" t="s">
        <v>539</v>
      </c>
      <c r="AC1356" s="699"/>
      <c r="AD1356" s="697" t="s">
        <v>635</v>
      </c>
      <c r="AE1356" s="701" t="s">
        <v>539</v>
      </c>
      <c r="AF1356" s="699"/>
      <c r="AG1356" s="701" t="s">
        <v>376</v>
      </c>
      <c r="AH1356" s="703"/>
      <c r="AI1356" s="697" t="s">
        <v>3196</v>
      </c>
      <c r="AJ1356" s="699"/>
    </row>
    <row r="1357" spans="2:36" ht="24" hidden="1" customHeight="1">
      <c r="B1357" s="702"/>
      <c r="C1357" s="700"/>
      <c r="D1357" s="700"/>
      <c r="E1357" s="700"/>
      <c r="F1357" s="700"/>
      <c r="G1357" s="700"/>
      <c r="H1357" s="700"/>
      <c r="I1357" s="710"/>
      <c r="J1357" s="713"/>
      <c r="K1357" s="710"/>
      <c r="L1357" s="710"/>
      <c r="M1357" s="710"/>
      <c r="N1357" s="710"/>
      <c r="O1357" s="702"/>
      <c r="P1357" s="702"/>
      <c r="Q1357" s="706"/>
      <c r="R1357" s="708"/>
      <c r="S1357" s="700"/>
      <c r="T1357" s="702"/>
      <c r="U1357" s="702"/>
      <c r="V1357" s="702"/>
      <c r="W1357" s="700"/>
      <c r="X1357" s="700"/>
      <c r="Y1357" s="700"/>
      <c r="Z1357" s="700"/>
      <c r="AA1357" s="698"/>
      <c r="AB1357" s="702"/>
      <c r="AC1357" s="700"/>
      <c r="AD1357" s="698"/>
      <c r="AE1357" s="702"/>
      <c r="AF1357" s="700"/>
      <c r="AG1357" s="702"/>
      <c r="AH1357" s="704"/>
      <c r="AI1357" s="698"/>
      <c r="AJ1357" s="700"/>
    </row>
    <row r="1358" spans="2:36" ht="24" hidden="1" customHeight="1">
      <c r="B1358" s="701">
        <v>1061</v>
      </c>
      <c r="C1358" s="699" t="s">
        <v>10</v>
      </c>
      <c r="D1358" s="699"/>
      <c r="E1358" s="699" t="s">
        <v>558</v>
      </c>
      <c r="F1358" s="699"/>
      <c r="G1358" s="699" t="s">
        <v>49</v>
      </c>
      <c r="H1358" s="699" t="s">
        <v>3203</v>
      </c>
      <c r="I1358" s="709" t="s">
        <v>537</v>
      </c>
      <c r="J1358" s="709" t="s">
        <v>537</v>
      </c>
      <c r="K1358" s="712">
        <v>30000</v>
      </c>
      <c r="L1358" s="709" t="s">
        <v>537</v>
      </c>
      <c r="M1358" s="709" t="s">
        <v>537</v>
      </c>
      <c r="N1358" s="709">
        <v>0</v>
      </c>
      <c r="O1358" s="701" t="s">
        <v>537</v>
      </c>
      <c r="P1358" s="701" t="s">
        <v>537</v>
      </c>
      <c r="Q1358" s="705">
        <v>30000</v>
      </c>
      <c r="R1358" s="707">
        <v>241640</v>
      </c>
      <c r="S1358" s="699"/>
      <c r="T1358" s="701">
        <v>25</v>
      </c>
      <c r="U1358" s="701">
        <v>10</v>
      </c>
      <c r="V1358" s="701">
        <v>5</v>
      </c>
      <c r="W1358" s="699"/>
      <c r="X1358" s="699"/>
      <c r="Y1358" s="699"/>
      <c r="Z1358" s="699"/>
      <c r="AA1358" s="458" t="s">
        <v>548</v>
      </c>
      <c r="AB1358" s="459" t="s">
        <v>539</v>
      </c>
      <c r="AC1358" s="699"/>
      <c r="AD1358" s="458" t="s">
        <v>547</v>
      </c>
      <c r="AE1358" s="459" t="s">
        <v>539</v>
      </c>
      <c r="AF1358" s="699"/>
      <c r="AG1358" s="701" t="s">
        <v>376</v>
      </c>
      <c r="AH1358" s="703"/>
      <c r="AI1358" s="699"/>
      <c r="AJ1358" s="697" t="s">
        <v>562</v>
      </c>
    </row>
    <row r="1359" spans="2:36" ht="24" hidden="1" customHeight="1">
      <c r="B1359" s="715"/>
      <c r="C1359" s="714"/>
      <c r="D1359" s="714"/>
      <c r="E1359" s="714"/>
      <c r="F1359" s="714"/>
      <c r="G1359" s="714"/>
      <c r="H1359" s="714"/>
      <c r="I1359" s="717"/>
      <c r="J1359" s="717"/>
      <c r="K1359" s="720"/>
      <c r="L1359" s="717"/>
      <c r="M1359" s="717"/>
      <c r="N1359" s="717"/>
      <c r="O1359" s="715"/>
      <c r="P1359" s="715"/>
      <c r="Q1359" s="718"/>
      <c r="R1359" s="719"/>
      <c r="S1359" s="714"/>
      <c r="T1359" s="715"/>
      <c r="U1359" s="715"/>
      <c r="V1359" s="715"/>
      <c r="W1359" s="714"/>
      <c r="X1359" s="714"/>
      <c r="Y1359" s="714"/>
      <c r="Z1359" s="714"/>
      <c r="AA1359" s="460" t="s">
        <v>3204</v>
      </c>
      <c r="AB1359" s="461" t="s">
        <v>539</v>
      </c>
      <c r="AC1359" s="714"/>
      <c r="AD1359" s="460" t="s">
        <v>3205</v>
      </c>
      <c r="AE1359" s="461" t="s">
        <v>539</v>
      </c>
      <c r="AF1359" s="714"/>
      <c r="AG1359" s="715"/>
      <c r="AH1359" s="716"/>
      <c r="AI1359" s="714"/>
      <c r="AJ1359" s="711"/>
    </row>
    <row r="1360" spans="2:36" ht="24" hidden="1" customHeight="1">
      <c r="B1360" s="702"/>
      <c r="C1360" s="700"/>
      <c r="D1360" s="700"/>
      <c r="E1360" s="700"/>
      <c r="F1360" s="700"/>
      <c r="G1360" s="700"/>
      <c r="H1360" s="700"/>
      <c r="I1360" s="710"/>
      <c r="J1360" s="710"/>
      <c r="K1360" s="713"/>
      <c r="L1360" s="710"/>
      <c r="M1360" s="710"/>
      <c r="N1360" s="710"/>
      <c r="O1360" s="702"/>
      <c r="P1360" s="702"/>
      <c r="Q1360" s="706"/>
      <c r="R1360" s="708"/>
      <c r="S1360" s="700"/>
      <c r="T1360" s="702"/>
      <c r="U1360" s="702"/>
      <c r="V1360" s="702"/>
      <c r="W1360" s="700"/>
      <c r="X1360" s="700"/>
      <c r="Y1360" s="700"/>
      <c r="Z1360" s="700"/>
      <c r="AA1360" s="462"/>
      <c r="AB1360" s="462"/>
      <c r="AC1360" s="700"/>
      <c r="AD1360" s="462"/>
      <c r="AE1360" s="462"/>
      <c r="AF1360" s="700"/>
      <c r="AG1360" s="702"/>
      <c r="AH1360" s="704"/>
      <c r="AI1360" s="700"/>
      <c r="AJ1360" s="698"/>
    </row>
    <row r="1361" spans="2:36" ht="24" hidden="1" customHeight="1">
      <c r="B1361" s="701">
        <v>1062</v>
      </c>
      <c r="C1361" s="699" t="s">
        <v>534</v>
      </c>
      <c r="D1361" s="699"/>
      <c r="E1361" s="699" t="s">
        <v>535</v>
      </c>
      <c r="F1361" s="699"/>
      <c r="G1361" s="699" t="s">
        <v>47</v>
      </c>
      <c r="H1361" s="699" t="s">
        <v>642</v>
      </c>
      <c r="I1361" s="712">
        <v>60000</v>
      </c>
      <c r="J1361" s="709" t="s">
        <v>537</v>
      </c>
      <c r="K1361" s="709" t="s">
        <v>537</v>
      </c>
      <c r="L1361" s="709">
        <v>0</v>
      </c>
      <c r="M1361" s="709" t="s">
        <v>537</v>
      </c>
      <c r="N1361" s="709" t="s">
        <v>537</v>
      </c>
      <c r="O1361" s="701" t="s">
        <v>537</v>
      </c>
      <c r="P1361" s="701" t="s">
        <v>537</v>
      </c>
      <c r="Q1361" s="705">
        <v>60000</v>
      </c>
      <c r="R1361" s="707">
        <v>241609</v>
      </c>
      <c r="S1361" s="699"/>
      <c r="T1361" s="701">
        <v>0</v>
      </c>
      <c r="U1361" s="701">
        <v>2</v>
      </c>
      <c r="V1361" s="701">
        <v>0</v>
      </c>
      <c r="W1361" s="699"/>
      <c r="X1361" s="699"/>
      <c r="Y1361" s="699"/>
      <c r="Z1361" s="699"/>
      <c r="AA1361" s="697" t="s">
        <v>3206</v>
      </c>
      <c r="AB1361" s="701" t="s">
        <v>539</v>
      </c>
      <c r="AC1361" s="699"/>
      <c r="AD1361" s="697" t="s">
        <v>635</v>
      </c>
      <c r="AE1361" s="701" t="s">
        <v>539</v>
      </c>
      <c r="AF1361" s="699"/>
      <c r="AG1361" s="701" t="s">
        <v>376</v>
      </c>
      <c r="AH1361" s="703"/>
      <c r="AI1361" s="697">
        <v>818972480</v>
      </c>
      <c r="AJ1361" s="699"/>
    </row>
    <row r="1362" spans="2:36" ht="24" hidden="1" customHeight="1">
      <c r="B1362" s="702"/>
      <c r="C1362" s="700"/>
      <c r="D1362" s="700"/>
      <c r="E1362" s="700"/>
      <c r="F1362" s="700"/>
      <c r="G1362" s="700"/>
      <c r="H1362" s="700"/>
      <c r="I1362" s="713"/>
      <c r="J1362" s="710"/>
      <c r="K1362" s="710"/>
      <c r="L1362" s="710"/>
      <c r="M1362" s="710"/>
      <c r="N1362" s="710"/>
      <c r="O1362" s="702"/>
      <c r="P1362" s="702"/>
      <c r="Q1362" s="706"/>
      <c r="R1362" s="708"/>
      <c r="S1362" s="700"/>
      <c r="T1362" s="702"/>
      <c r="U1362" s="702"/>
      <c r="V1362" s="702"/>
      <c r="W1362" s="700"/>
      <c r="X1362" s="700"/>
      <c r="Y1362" s="700"/>
      <c r="Z1362" s="700"/>
      <c r="AA1362" s="698"/>
      <c r="AB1362" s="702"/>
      <c r="AC1362" s="700"/>
      <c r="AD1362" s="698"/>
      <c r="AE1362" s="702"/>
      <c r="AF1362" s="700"/>
      <c r="AG1362" s="702"/>
      <c r="AH1362" s="704"/>
      <c r="AI1362" s="698"/>
      <c r="AJ1362" s="700"/>
    </row>
    <row r="1363" spans="2:36" ht="24" hidden="1" customHeight="1">
      <c r="B1363" s="481" t="s">
        <v>67</v>
      </c>
      <c r="C1363" s="482"/>
      <c r="D1363" s="482"/>
    </row>
    <row r="1364" spans="2:36" ht="24" hidden="1" customHeight="1">
      <c r="B1364" s="482"/>
      <c r="C1364" s="483"/>
      <c r="D1364" s="482" t="s">
        <v>3207</v>
      </c>
    </row>
    <row r="1365" spans="2:36" ht="24" customHeight="1">
      <c r="B1365" s="482"/>
      <c r="C1365" s="482"/>
      <c r="D1365" s="482"/>
    </row>
    <row r="1366" spans="2:36" ht="24" customHeight="1">
      <c r="B1366" s="482"/>
      <c r="C1366" s="484"/>
      <c r="D1366" s="482" t="s">
        <v>3208</v>
      </c>
    </row>
    <row r="1367" spans="2:36" ht="24" customHeight="1">
      <c r="B1367" s="482"/>
      <c r="C1367" s="482"/>
      <c r="D1367" s="482"/>
    </row>
    <row r="1368" spans="2:36" ht="24" customHeight="1">
      <c r="B1368" s="482"/>
      <c r="C1368" s="485"/>
      <c r="D1368" s="482" t="s">
        <v>3209</v>
      </c>
    </row>
    <row r="1369" spans="2:36" ht="24" customHeight="1">
      <c r="B1369" s="482"/>
      <c r="C1369" s="482"/>
      <c r="D1369" s="482"/>
    </row>
    <row r="1370" spans="2:36" ht="24" customHeight="1">
      <c r="B1370" s="482"/>
      <c r="C1370" s="486"/>
      <c r="D1370" s="482" t="s">
        <v>3210</v>
      </c>
    </row>
    <row r="1371" spans="2:36" ht="24" customHeight="1">
      <c r="B1371" s="482"/>
      <c r="C1371" s="482"/>
      <c r="D1371" s="482"/>
    </row>
    <row r="1372" spans="2:36" ht="24" customHeight="1">
      <c r="B1372" s="482"/>
      <c r="C1372" s="487"/>
      <c r="D1372" s="482" t="s">
        <v>3211</v>
      </c>
    </row>
    <row r="1373" spans="2:36" ht="24" customHeight="1">
      <c r="B1373" s="482"/>
      <c r="C1373" s="482"/>
      <c r="D1373" s="482"/>
    </row>
    <row r="1374" spans="2:36" ht="24" customHeight="1">
      <c r="B1374" s="482"/>
      <c r="C1374" s="488"/>
      <c r="D1374" s="482" t="s">
        <v>3212</v>
      </c>
    </row>
  </sheetData>
  <autoFilter ref="B8:AJ1364">
    <filterColumn colId="1">
      <filters>
        <filter val="บริการ"/>
      </filters>
    </filterColumn>
  </autoFilter>
  <mergeCells count="7428">
    <mergeCell ref="B2:AJ2"/>
    <mergeCell ref="B3:AJ3"/>
    <mergeCell ref="B4:AJ4"/>
    <mergeCell ref="B5:B8"/>
    <mergeCell ref="C5:C8"/>
    <mergeCell ref="D5:D8"/>
    <mergeCell ref="E5:E8"/>
    <mergeCell ref="F5:F8"/>
    <mergeCell ref="G5:G8"/>
    <mergeCell ref="H5:H8"/>
    <mergeCell ref="W5:Y6"/>
    <mergeCell ref="Z5:Z8"/>
    <mergeCell ref="AA5:AF6"/>
    <mergeCell ref="AJ5:AJ8"/>
    <mergeCell ref="R6:S6"/>
    <mergeCell ref="I7:I8"/>
    <mergeCell ref="J7:J8"/>
    <mergeCell ref="K7:K8"/>
    <mergeCell ref="L7:L8"/>
    <mergeCell ref="M7:M8"/>
    <mergeCell ref="I5:K6"/>
    <mergeCell ref="L5:N6"/>
    <mergeCell ref="O5:P6"/>
    <mergeCell ref="Q5:Q8"/>
    <mergeCell ref="R5:S5"/>
    <mergeCell ref="T5:V6"/>
    <mergeCell ref="N7:N8"/>
    <mergeCell ref="O7:O8"/>
    <mergeCell ref="P7:P8"/>
    <mergeCell ref="R7:R8"/>
    <mergeCell ref="P9:P10"/>
    <mergeCell ref="Q9:Q10"/>
    <mergeCell ref="R9:R10"/>
    <mergeCell ref="S9:S10"/>
    <mergeCell ref="T9:T10"/>
    <mergeCell ref="I9:I10"/>
    <mergeCell ref="J9:J10"/>
    <mergeCell ref="K9:K10"/>
    <mergeCell ref="L9:L10"/>
    <mergeCell ref="M9:M10"/>
    <mergeCell ref="N9:N10"/>
    <mergeCell ref="Y7:Y8"/>
    <mergeCell ref="AA7:AC7"/>
    <mergeCell ref="AD7:AF7"/>
    <mergeCell ref="B9:B10"/>
    <mergeCell ref="C9:C10"/>
    <mergeCell ref="D9:D10"/>
    <mergeCell ref="E9:E10"/>
    <mergeCell ref="F9:F10"/>
    <mergeCell ref="G9:G10"/>
    <mergeCell ref="H9:H10"/>
    <mergeCell ref="S7:S8"/>
    <mergeCell ref="T7:T8"/>
    <mergeCell ref="U7:U8"/>
    <mergeCell ref="V7:V8"/>
    <mergeCell ref="W7:W8"/>
    <mergeCell ref="X7:X8"/>
    <mergeCell ref="Q11:Q13"/>
    <mergeCell ref="R11:R13"/>
    <mergeCell ref="S11:S13"/>
    <mergeCell ref="H11:H13"/>
    <mergeCell ref="I11:I13"/>
    <mergeCell ref="J11:J13"/>
    <mergeCell ref="K11:K13"/>
    <mergeCell ref="L11:L13"/>
    <mergeCell ref="M11:M13"/>
    <mergeCell ref="AG9:AG10"/>
    <mergeCell ref="AH9:AH10"/>
    <mergeCell ref="AI9:AI10"/>
    <mergeCell ref="AJ9:AJ10"/>
    <mergeCell ref="B11:B13"/>
    <mergeCell ref="C11:C13"/>
    <mergeCell ref="D11:D13"/>
    <mergeCell ref="E11:E13"/>
    <mergeCell ref="F11:F13"/>
    <mergeCell ref="G11:G13"/>
    <mergeCell ref="AA9:AA10"/>
    <mergeCell ref="AB9:AB10"/>
    <mergeCell ref="AC9:AC10"/>
    <mergeCell ref="AD9:AD10"/>
    <mergeCell ref="AE9:AE10"/>
    <mergeCell ref="AF9:AF10"/>
    <mergeCell ref="U9:U10"/>
    <mergeCell ref="V9:V10"/>
    <mergeCell ref="W9:W10"/>
    <mergeCell ref="X9:X10"/>
    <mergeCell ref="Y9:Y10"/>
    <mergeCell ref="Z9:Z10"/>
    <mergeCell ref="O9:O10"/>
    <mergeCell ref="T16:T18"/>
    <mergeCell ref="I16:I18"/>
    <mergeCell ref="J16:J18"/>
    <mergeCell ref="K16:K18"/>
    <mergeCell ref="L16:L18"/>
    <mergeCell ref="M16:M18"/>
    <mergeCell ref="N16:N18"/>
    <mergeCell ref="AH11:AH13"/>
    <mergeCell ref="AI11:AI13"/>
    <mergeCell ref="AJ11:AJ13"/>
    <mergeCell ref="B16:B18"/>
    <mergeCell ref="C16:C18"/>
    <mergeCell ref="D16:D18"/>
    <mergeCell ref="E16:E18"/>
    <mergeCell ref="F16:F18"/>
    <mergeCell ref="G16:G18"/>
    <mergeCell ref="H16:H18"/>
    <mergeCell ref="Z11:Z13"/>
    <mergeCell ref="AA11:AA13"/>
    <mergeCell ref="AB11:AB13"/>
    <mergeCell ref="AC11:AC13"/>
    <mergeCell ref="AF11:AF13"/>
    <mergeCell ref="AG11:AG13"/>
    <mergeCell ref="T11:T13"/>
    <mergeCell ref="U11:U13"/>
    <mergeCell ref="V11:V13"/>
    <mergeCell ref="W11:W13"/>
    <mergeCell ref="X11:X13"/>
    <mergeCell ref="Y11:Y13"/>
    <mergeCell ref="N11:N13"/>
    <mergeCell ref="O11:O13"/>
    <mergeCell ref="P11:P13"/>
    <mergeCell ref="K21:K23"/>
    <mergeCell ref="L21:L23"/>
    <mergeCell ref="M21:M23"/>
    <mergeCell ref="N21:N23"/>
    <mergeCell ref="O21:O23"/>
    <mergeCell ref="AI16:AI18"/>
    <mergeCell ref="AJ16:AJ18"/>
    <mergeCell ref="B21:B23"/>
    <mergeCell ref="C21:C23"/>
    <mergeCell ref="D21:D23"/>
    <mergeCell ref="E21:E23"/>
    <mergeCell ref="F21:F23"/>
    <mergeCell ref="G21:G23"/>
    <mergeCell ref="H21:H23"/>
    <mergeCell ref="I21:I23"/>
    <mergeCell ref="AC16:AC18"/>
    <mergeCell ref="AD16:AD18"/>
    <mergeCell ref="AE16:AE18"/>
    <mergeCell ref="AF16:AF18"/>
    <mergeCell ref="AG16:AG18"/>
    <mergeCell ref="AH16:AH18"/>
    <mergeCell ref="U16:U18"/>
    <mergeCell ref="V16:V18"/>
    <mergeCell ref="W16:W18"/>
    <mergeCell ref="X16:X18"/>
    <mergeCell ref="Y16:Y18"/>
    <mergeCell ref="Z16:Z18"/>
    <mergeCell ref="O16:O18"/>
    <mergeCell ref="P16:P18"/>
    <mergeCell ref="Q16:Q18"/>
    <mergeCell ref="R16:R18"/>
    <mergeCell ref="S16:S18"/>
    <mergeCell ref="N24:N25"/>
    <mergeCell ref="O24:O25"/>
    <mergeCell ref="P24:P25"/>
    <mergeCell ref="AJ21:AJ23"/>
    <mergeCell ref="B24:B25"/>
    <mergeCell ref="C24:C25"/>
    <mergeCell ref="D24:D25"/>
    <mergeCell ref="E24:E25"/>
    <mergeCell ref="F24:F25"/>
    <mergeCell ref="G24:G25"/>
    <mergeCell ref="H24:H25"/>
    <mergeCell ref="I24:I25"/>
    <mergeCell ref="J24:J25"/>
    <mergeCell ref="AB21:AB23"/>
    <mergeCell ref="AC21:AC23"/>
    <mergeCell ref="AF21:AF23"/>
    <mergeCell ref="AG21:AG23"/>
    <mergeCell ref="AH21:AH23"/>
    <mergeCell ref="AI21:AI23"/>
    <mergeCell ref="V21:V23"/>
    <mergeCell ref="W21:W23"/>
    <mergeCell ref="X21:X23"/>
    <mergeCell ref="Y21:Y23"/>
    <mergeCell ref="Z21:Z23"/>
    <mergeCell ref="AA21:AA23"/>
    <mergeCell ref="P21:P23"/>
    <mergeCell ref="Q21:Q23"/>
    <mergeCell ref="R21:R23"/>
    <mergeCell ref="S21:S23"/>
    <mergeCell ref="T21:T23"/>
    <mergeCell ref="U21:U23"/>
    <mergeCell ref="J21:J23"/>
    <mergeCell ref="AJ29:AJ31"/>
    <mergeCell ref="AI24:AI25"/>
    <mergeCell ref="AJ24:AJ25"/>
    <mergeCell ref="B27:B28"/>
    <mergeCell ref="C27:C28"/>
    <mergeCell ref="D27:D28"/>
    <mergeCell ref="E27:E28"/>
    <mergeCell ref="F27:F28"/>
    <mergeCell ref="G27:G28"/>
    <mergeCell ref="H27:H28"/>
    <mergeCell ref="I27:I28"/>
    <mergeCell ref="AC24:AC25"/>
    <mergeCell ref="AD24:AD25"/>
    <mergeCell ref="AE24:AE25"/>
    <mergeCell ref="AF24:AF25"/>
    <mergeCell ref="AG24:AG25"/>
    <mergeCell ref="AH24:AH25"/>
    <mergeCell ref="W24:W25"/>
    <mergeCell ref="X24:X25"/>
    <mergeCell ref="Y24:Y25"/>
    <mergeCell ref="Z24:Z25"/>
    <mergeCell ref="AA24:AA25"/>
    <mergeCell ref="AB24:AB25"/>
    <mergeCell ref="Q24:Q25"/>
    <mergeCell ref="R24:R25"/>
    <mergeCell ref="S24:S25"/>
    <mergeCell ref="T24:T25"/>
    <mergeCell ref="U24:U25"/>
    <mergeCell ref="V24:V25"/>
    <mergeCell ref="K24:K25"/>
    <mergeCell ref="L24:L25"/>
    <mergeCell ref="M24:M25"/>
    <mergeCell ref="L29:L31"/>
    <mergeCell ref="M29:M31"/>
    <mergeCell ref="N29:N31"/>
    <mergeCell ref="AH27:AH28"/>
    <mergeCell ref="AI27:AI28"/>
    <mergeCell ref="AJ27:AJ28"/>
    <mergeCell ref="B29:B31"/>
    <mergeCell ref="C29:C31"/>
    <mergeCell ref="D29:D31"/>
    <mergeCell ref="E29:E31"/>
    <mergeCell ref="F29:F31"/>
    <mergeCell ref="G29:G31"/>
    <mergeCell ref="H29:H31"/>
    <mergeCell ref="V27:V28"/>
    <mergeCell ref="W27:W28"/>
    <mergeCell ref="X27:X28"/>
    <mergeCell ref="Y27:Y28"/>
    <mergeCell ref="Z27:Z28"/>
    <mergeCell ref="AG27:AG28"/>
    <mergeCell ref="P27:P28"/>
    <mergeCell ref="Q27:Q28"/>
    <mergeCell ref="R27:R28"/>
    <mergeCell ref="S27:S28"/>
    <mergeCell ref="T27:T28"/>
    <mergeCell ref="U27:U28"/>
    <mergeCell ref="J27:J28"/>
    <mergeCell ref="K27:K28"/>
    <mergeCell ref="L27:L28"/>
    <mergeCell ref="M27:M28"/>
    <mergeCell ref="N27:N28"/>
    <mergeCell ref="O27:O28"/>
    <mergeCell ref="AI29:AI31"/>
    <mergeCell ref="AH35:AH36"/>
    <mergeCell ref="AI35:AI36"/>
    <mergeCell ref="AJ35:AJ36"/>
    <mergeCell ref="B33:B34"/>
    <mergeCell ref="C33:C34"/>
    <mergeCell ref="D33:D34"/>
    <mergeCell ref="E33:E34"/>
    <mergeCell ref="F33:F34"/>
    <mergeCell ref="G33:G34"/>
    <mergeCell ref="H33:H34"/>
    <mergeCell ref="I33:I34"/>
    <mergeCell ref="AA29:AA31"/>
    <mergeCell ref="AB29:AB31"/>
    <mergeCell ref="AC29:AC31"/>
    <mergeCell ref="AF29:AF31"/>
    <mergeCell ref="AG29:AG31"/>
    <mergeCell ref="AH29:AH31"/>
    <mergeCell ref="U29:U31"/>
    <mergeCell ref="V29:V31"/>
    <mergeCell ref="W29:W31"/>
    <mergeCell ref="X29:X31"/>
    <mergeCell ref="Y29:Y31"/>
    <mergeCell ref="Z29:Z31"/>
    <mergeCell ref="O29:O31"/>
    <mergeCell ref="P29:P31"/>
    <mergeCell ref="Q29:Q31"/>
    <mergeCell ref="R29:R31"/>
    <mergeCell ref="S29:S31"/>
    <mergeCell ref="T29:T31"/>
    <mergeCell ref="I29:I31"/>
    <mergeCell ref="J29:J31"/>
    <mergeCell ref="K29:K31"/>
    <mergeCell ref="B35:B36"/>
    <mergeCell ref="C35:C36"/>
    <mergeCell ref="D35:D36"/>
    <mergeCell ref="E35:E36"/>
    <mergeCell ref="F35:F36"/>
    <mergeCell ref="G35:G36"/>
    <mergeCell ref="AE33:AE34"/>
    <mergeCell ref="AF33:AF34"/>
    <mergeCell ref="AG33:AG34"/>
    <mergeCell ref="AH33:AH34"/>
    <mergeCell ref="AI33:AI34"/>
    <mergeCell ref="AJ33:AJ34"/>
    <mergeCell ref="V33:V34"/>
    <mergeCell ref="W33:W34"/>
    <mergeCell ref="X33:X34"/>
    <mergeCell ref="Y33:Y34"/>
    <mergeCell ref="Z33:Z34"/>
    <mergeCell ref="AD33:AD34"/>
    <mergeCell ref="P33:P34"/>
    <mergeCell ref="Q33:Q34"/>
    <mergeCell ref="R33:R34"/>
    <mergeCell ref="S33:S34"/>
    <mergeCell ref="T33:T34"/>
    <mergeCell ref="U33:U34"/>
    <mergeCell ref="J33:J34"/>
    <mergeCell ref="K33:K34"/>
    <mergeCell ref="L33:L34"/>
    <mergeCell ref="M33:M34"/>
    <mergeCell ref="N33:N34"/>
    <mergeCell ref="O33:O34"/>
    <mergeCell ref="Z35:Z36"/>
    <mergeCell ref="AG35:AG36"/>
    <mergeCell ref="T35:T36"/>
    <mergeCell ref="U35:U36"/>
    <mergeCell ref="V35:V36"/>
    <mergeCell ref="W35:W36"/>
    <mergeCell ref="X35:X36"/>
    <mergeCell ref="Y35:Y36"/>
    <mergeCell ref="N35:N36"/>
    <mergeCell ref="O35:O36"/>
    <mergeCell ref="P35:P36"/>
    <mergeCell ref="Q35:Q36"/>
    <mergeCell ref="R35:R36"/>
    <mergeCell ref="S35:S36"/>
    <mergeCell ref="H35:H36"/>
    <mergeCell ref="I35:I36"/>
    <mergeCell ref="J35:J36"/>
    <mergeCell ref="K35:K36"/>
    <mergeCell ref="L35:L36"/>
    <mergeCell ref="M35:M36"/>
    <mergeCell ref="AJ39:AJ40"/>
    <mergeCell ref="Y39:Y40"/>
    <mergeCell ref="Z39:Z40"/>
    <mergeCell ref="AA39:AA40"/>
    <mergeCell ref="AB39:AB40"/>
    <mergeCell ref="AC39:AC40"/>
    <mergeCell ref="AD39:AD40"/>
    <mergeCell ref="S39:S40"/>
    <mergeCell ref="T39:T40"/>
    <mergeCell ref="U39:U40"/>
    <mergeCell ref="V39:V40"/>
    <mergeCell ref="W39:W40"/>
    <mergeCell ref="X39:X40"/>
    <mergeCell ref="M39:M40"/>
    <mergeCell ref="N39:N40"/>
    <mergeCell ref="O39:O40"/>
    <mergeCell ref="P39:P40"/>
    <mergeCell ref="Q39:Q40"/>
    <mergeCell ref="R39:R40"/>
    <mergeCell ref="H41:H42"/>
    <mergeCell ref="I41:I42"/>
    <mergeCell ref="J41:J42"/>
    <mergeCell ref="K41:K42"/>
    <mergeCell ref="L41:L42"/>
    <mergeCell ref="M41:M42"/>
    <mergeCell ref="B41:B42"/>
    <mergeCell ref="C41:C42"/>
    <mergeCell ref="D41:D42"/>
    <mergeCell ref="E41:E42"/>
    <mergeCell ref="F41:F42"/>
    <mergeCell ref="G41:G42"/>
    <mergeCell ref="AE39:AE40"/>
    <mergeCell ref="AF39:AF40"/>
    <mergeCell ref="AG39:AG40"/>
    <mergeCell ref="AH39:AH40"/>
    <mergeCell ref="AI39:AI40"/>
    <mergeCell ref="G39:G40"/>
    <mergeCell ref="H39:H40"/>
    <mergeCell ref="I39:I40"/>
    <mergeCell ref="J39:J40"/>
    <mergeCell ref="K39:K40"/>
    <mergeCell ref="L39:L40"/>
    <mergeCell ref="B39:B40"/>
    <mergeCell ref="C39:C40"/>
    <mergeCell ref="D39:D40"/>
    <mergeCell ref="E39:E40"/>
    <mergeCell ref="F39:F40"/>
    <mergeCell ref="I91:I92"/>
    <mergeCell ref="J91:J92"/>
    <mergeCell ref="K91:K92"/>
    <mergeCell ref="L91:L92"/>
    <mergeCell ref="AF41:AF42"/>
    <mergeCell ref="AG41:AG42"/>
    <mergeCell ref="AH41:AH42"/>
    <mergeCell ref="AI41:AI42"/>
    <mergeCell ref="AJ41:AJ42"/>
    <mergeCell ref="B91:B92"/>
    <mergeCell ref="C91:C92"/>
    <mergeCell ref="D91:D92"/>
    <mergeCell ref="E91:E92"/>
    <mergeCell ref="F91:F92"/>
    <mergeCell ref="Z41:Z42"/>
    <mergeCell ref="AA41:AA42"/>
    <mergeCell ref="AB41:AB42"/>
    <mergeCell ref="AC41:AC42"/>
    <mergeCell ref="AD41:AD42"/>
    <mergeCell ref="AE41:AE42"/>
    <mergeCell ref="T41:T42"/>
    <mergeCell ref="U41:U42"/>
    <mergeCell ref="V41:V42"/>
    <mergeCell ref="W41:W42"/>
    <mergeCell ref="X41:X42"/>
    <mergeCell ref="Y41:Y42"/>
    <mergeCell ref="N41:N42"/>
    <mergeCell ref="O41:O42"/>
    <mergeCell ref="P41:P42"/>
    <mergeCell ref="Q41:Q42"/>
    <mergeCell ref="R41:R42"/>
    <mergeCell ref="S41:S42"/>
    <mergeCell ref="M94:M95"/>
    <mergeCell ref="N94:N95"/>
    <mergeCell ref="AH91:AH92"/>
    <mergeCell ref="AI91:AI92"/>
    <mergeCell ref="AJ91:AJ92"/>
    <mergeCell ref="B94:B95"/>
    <mergeCell ref="C94:C95"/>
    <mergeCell ref="D94:D95"/>
    <mergeCell ref="E94:E95"/>
    <mergeCell ref="F94:F95"/>
    <mergeCell ref="G94:G95"/>
    <mergeCell ref="H94:H95"/>
    <mergeCell ref="Y91:Y92"/>
    <mergeCell ref="Z91:Z92"/>
    <mergeCell ref="AA91:AA92"/>
    <mergeCell ref="AB91:AB92"/>
    <mergeCell ref="AC91:AC92"/>
    <mergeCell ref="AG91:AG92"/>
    <mergeCell ref="S91:S92"/>
    <mergeCell ref="T91:T92"/>
    <mergeCell ref="U91:U92"/>
    <mergeCell ref="V91:V92"/>
    <mergeCell ref="W91:W92"/>
    <mergeCell ref="X91:X92"/>
    <mergeCell ref="M91:M92"/>
    <mergeCell ref="N91:N92"/>
    <mergeCell ref="O91:O92"/>
    <mergeCell ref="P91:P92"/>
    <mergeCell ref="Q91:Q92"/>
    <mergeCell ref="R91:R92"/>
    <mergeCell ref="G91:G92"/>
    <mergeCell ref="H91:H92"/>
    <mergeCell ref="AJ94:AJ95"/>
    <mergeCell ref="B102:B103"/>
    <mergeCell ref="C102:C103"/>
    <mergeCell ref="D102:D103"/>
    <mergeCell ref="E102:E103"/>
    <mergeCell ref="F102:F103"/>
    <mergeCell ref="G102:G103"/>
    <mergeCell ref="H102:H103"/>
    <mergeCell ref="I102:I103"/>
    <mergeCell ref="J102:J103"/>
    <mergeCell ref="AA94:AA95"/>
    <mergeCell ref="AB94:AB95"/>
    <mergeCell ref="AC94:AC95"/>
    <mergeCell ref="AG94:AG95"/>
    <mergeCell ref="AH94:AH95"/>
    <mergeCell ref="AI94:AI95"/>
    <mergeCell ref="U94:U95"/>
    <mergeCell ref="V94:V95"/>
    <mergeCell ref="W94:W95"/>
    <mergeCell ref="X94:X95"/>
    <mergeCell ref="Y94:Y95"/>
    <mergeCell ref="Z94:Z95"/>
    <mergeCell ref="O94:O95"/>
    <mergeCell ref="P94:P95"/>
    <mergeCell ref="Q94:Q95"/>
    <mergeCell ref="R94:R95"/>
    <mergeCell ref="S94:S95"/>
    <mergeCell ref="T94:T95"/>
    <mergeCell ref="I94:I95"/>
    <mergeCell ref="J94:J95"/>
    <mergeCell ref="K94:K95"/>
    <mergeCell ref="L94:L95"/>
    <mergeCell ref="AI102:AI103"/>
    <mergeCell ref="AJ102:AJ103"/>
    <mergeCell ref="B104:B105"/>
    <mergeCell ref="C104:C105"/>
    <mergeCell ref="D104:D105"/>
    <mergeCell ref="E104:E105"/>
    <mergeCell ref="F104:F105"/>
    <mergeCell ref="G104:G105"/>
    <mergeCell ref="H104:H105"/>
    <mergeCell ref="I104:I105"/>
    <mergeCell ref="W102:W103"/>
    <mergeCell ref="X102:X103"/>
    <mergeCell ref="Y102:Y103"/>
    <mergeCell ref="Z102:Z103"/>
    <mergeCell ref="AG102:AG103"/>
    <mergeCell ref="AH102:AH103"/>
    <mergeCell ref="Q102:Q103"/>
    <mergeCell ref="R102:R103"/>
    <mergeCell ref="S102:S103"/>
    <mergeCell ref="T102:T103"/>
    <mergeCell ref="U102:U103"/>
    <mergeCell ref="V102:V103"/>
    <mergeCell ref="K102:K103"/>
    <mergeCell ref="L102:L103"/>
    <mergeCell ref="M102:M103"/>
    <mergeCell ref="N102:N103"/>
    <mergeCell ref="O102:O103"/>
    <mergeCell ref="P102:P103"/>
    <mergeCell ref="AH104:AH105"/>
    <mergeCell ref="AI104:AI105"/>
    <mergeCell ref="AJ104:AJ105"/>
    <mergeCell ref="B107:B108"/>
    <mergeCell ref="C107:C108"/>
    <mergeCell ref="D107:D108"/>
    <mergeCell ref="E107:E108"/>
    <mergeCell ref="F107:F108"/>
    <mergeCell ref="G107:G108"/>
    <mergeCell ref="H107:H108"/>
    <mergeCell ref="V104:V105"/>
    <mergeCell ref="W104:W105"/>
    <mergeCell ref="X104:X105"/>
    <mergeCell ref="Y104:Y105"/>
    <mergeCell ref="Z104:Z105"/>
    <mergeCell ref="AG104:AG105"/>
    <mergeCell ref="P104:P105"/>
    <mergeCell ref="Q104:Q105"/>
    <mergeCell ref="R104:R105"/>
    <mergeCell ref="S104:S105"/>
    <mergeCell ref="T104:T105"/>
    <mergeCell ref="U104:U105"/>
    <mergeCell ref="J104:J105"/>
    <mergeCell ref="K104:K105"/>
    <mergeCell ref="L104:L105"/>
    <mergeCell ref="M104:M105"/>
    <mergeCell ref="N104:N105"/>
    <mergeCell ref="O104:O105"/>
    <mergeCell ref="AJ107:AJ108"/>
    <mergeCell ref="G132:G133"/>
    <mergeCell ref="H132:H133"/>
    <mergeCell ref="I132:I133"/>
    <mergeCell ref="J132:J133"/>
    <mergeCell ref="AA107:AA108"/>
    <mergeCell ref="AB107:AB108"/>
    <mergeCell ref="AC107:AC108"/>
    <mergeCell ref="AG107:AG108"/>
    <mergeCell ref="AH107:AH108"/>
    <mergeCell ref="AI107:AI108"/>
    <mergeCell ref="U107:U108"/>
    <mergeCell ref="V107:V108"/>
    <mergeCell ref="W107:W108"/>
    <mergeCell ref="X107:X108"/>
    <mergeCell ref="Y107:Y108"/>
    <mergeCell ref="Z107:Z108"/>
    <mergeCell ref="O107:O108"/>
    <mergeCell ref="P107:P108"/>
    <mergeCell ref="Q107:Q108"/>
    <mergeCell ref="R107:R108"/>
    <mergeCell ref="S107:S108"/>
    <mergeCell ref="T107:T108"/>
    <mergeCell ref="I107:I108"/>
    <mergeCell ref="J107:J108"/>
    <mergeCell ref="K107:K108"/>
    <mergeCell ref="L107:L108"/>
    <mergeCell ref="AI132:AI133"/>
    <mergeCell ref="M107:M108"/>
    <mergeCell ref="N107:N108"/>
    <mergeCell ref="AJ132:AJ133"/>
    <mergeCell ref="B134:B135"/>
    <mergeCell ref="C134:C135"/>
    <mergeCell ref="D134:D135"/>
    <mergeCell ref="E134:E135"/>
    <mergeCell ref="F134:F135"/>
    <mergeCell ref="G134:G135"/>
    <mergeCell ref="H134:H135"/>
    <mergeCell ref="I134:I135"/>
    <mergeCell ref="W132:W133"/>
    <mergeCell ref="X132:X133"/>
    <mergeCell ref="Y132:Y133"/>
    <mergeCell ref="Z132:Z133"/>
    <mergeCell ref="AG132:AG133"/>
    <mergeCell ref="AH132:AH133"/>
    <mergeCell ref="Q132:Q133"/>
    <mergeCell ref="R132:R133"/>
    <mergeCell ref="S132:S133"/>
    <mergeCell ref="T132:T133"/>
    <mergeCell ref="U132:U133"/>
    <mergeCell ref="V132:V133"/>
    <mergeCell ref="K132:K133"/>
    <mergeCell ref="L132:L133"/>
    <mergeCell ref="M132:M133"/>
    <mergeCell ref="N132:N133"/>
    <mergeCell ref="O132:O133"/>
    <mergeCell ref="P132:P133"/>
    <mergeCell ref="B132:B133"/>
    <mergeCell ref="C132:C133"/>
    <mergeCell ref="D132:D133"/>
    <mergeCell ref="E132:E133"/>
    <mergeCell ref="F132:F133"/>
    <mergeCell ref="L136:L137"/>
    <mergeCell ref="M136:M137"/>
    <mergeCell ref="B136:B137"/>
    <mergeCell ref="C136:C137"/>
    <mergeCell ref="D136:D137"/>
    <mergeCell ref="E136:E137"/>
    <mergeCell ref="F136:F137"/>
    <mergeCell ref="G136:G137"/>
    <mergeCell ref="AE134:AE135"/>
    <mergeCell ref="AF134:AF135"/>
    <mergeCell ref="AG134:AG135"/>
    <mergeCell ref="AH134:AH135"/>
    <mergeCell ref="AI134:AI135"/>
    <mergeCell ref="AJ134:AJ135"/>
    <mergeCell ref="V134:V135"/>
    <mergeCell ref="W134:W135"/>
    <mergeCell ref="X134:X135"/>
    <mergeCell ref="Y134:Y135"/>
    <mergeCell ref="Z134:Z135"/>
    <mergeCell ref="AD134:AD135"/>
    <mergeCell ref="P134:P135"/>
    <mergeCell ref="Q134:Q135"/>
    <mergeCell ref="R134:R135"/>
    <mergeCell ref="S134:S135"/>
    <mergeCell ref="T134:T135"/>
    <mergeCell ref="U134:U135"/>
    <mergeCell ref="J134:J135"/>
    <mergeCell ref="K134:K135"/>
    <mergeCell ref="L134:L135"/>
    <mergeCell ref="M134:M135"/>
    <mergeCell ref="N134:N135"/>
    <mergeCell ref="O134:O135"/>
    <mergeCell ref="AI136:AI137"/>
    <mergeCell ref="AJ136:AJ137"/>
    <mergeCell ref="B138:B139"/>
    <mergeCell ref="C138:C139"/>
    <mergeCell ref="D138:D139"/>
    <mergeCell ref="E138:E139"/>
    <mergeCell ref="F138:F139"/>
    <mergeCell ref="G138:G139"/>
    <mergeCell ref="H138:H139"/>
    <mergeCell ref="I138:I139"/>
    <mergeCell ref="Z136:Z137"/>
    <mergeCell ref="AA136:AA137"/>
    <mergeCell ref="AB136:AB137"/>
    <mergeCell ref="AC136:AC137"/>
    <mergeCell ref="AG136:AG137"/>
    <mergeCell ref="AH136:AH137"/>
    <mergeCell ref="T136:T137"/>
    <mergeCell ref="U136:U137"/>
    <mergeCell ref="V136:V137"/>
    <mergeCell ref="W136:W137"/>
    <mergeCell ref="X136:X137"/>
    <mergeCell ref="Y136:Y137"/>
    <mergeCell ref="N136:N137"/>
    <mergeCell ref="O136:O137"/>
    <mergeCell ref="P136:P137"/>
    <mergeCell ref="Q136:Q137"/>
    <mergeCell ref="R136:R137"/>
    <mergeCell ref="S136:S137"/>
    <mergeCell ref="H136:H137"/>
    <mergeCell ref="I136:I137"/>
    <mergeCell ref="J136:J137"/>
    <mergeCell ref="K136:K137"/>
    <mergeCell ref="AI144:AI145"/>
    <mergeCell ref="M140:M141"/>
    <mergeCell ref="N140:N141"/>
    <mergeCell ref="AH138:AH139"/>
    <mergeCell ref="AI138:AI139"/>
    <mergeCell ref="AJ138:AJ139"/>
    <mergeCell ref="B140:B141"/>
    <mergeCell ref="C140:C141"/>
    <mergeCell ref="D140:D141"/>
    <mergeCell ref="E140:E141"/>
    <mergeCell ref="F140:F141"/>
    <mergeCell ref="G140:G141"/>
    <mergeCell ref="H140:H141"/>
    <mergeCell ref="V138:V139"/>
    <mergeCell ref="W138:W139"/>
    <mergeCell ref="X138:X139"/>
    <mergeCell ref="Y138:Y139"/>
    <mergeCell ref="Z138:Z139"/>
    <mergeCell ref="AG138:AG139"/>
    <mergeCell ref="P138:P139"/>
    <mergeCell ref="Q138:Q139"/>
    <mergeCell ref="R138:R139"/>
    <mergeCell ref="S138:S139"/>
    <mergeCell ref="T138:T139"/>
    <mergeCell ref="U138:U139"/>
    <mergeCell ref="J138:J139"/>
    <mergeCell ref="K138:K139"/>
    <mergeCell ref="L138:L139"/>
    <mergeCell ref="M138:M139"/>
    <mergeCell ref="N138:N139"/>
    <mergeCell ref="O138:O139"/>
    <mergeCell ref="AJ140:AJ141"/>
    <mergeCell ref="AF140:AF141"/>
    <mergeCell ref="AG140:AG141"/>
    <mergeCell ref="AH140:AH141"/>
    <mergeCell ref="AI140:AI141"/>
    <mergeCell ref="U140:U141"/>
    <mergeCell ref="V140:V141"/>
    <mergeCell ref="W140:W141"/>
    <mergeCell ref="X140:X141"/>
    <mergeCell ref="Y140:Y141"/>
    <mergeCell ref="Z140:Z141"/>
    <mergeCell ref="O140:O141"/>
    <mergeCell ref="P140:P141"/>
    <mergeCell ref="Q140:Q141"/>
    <mergeCell ref="R140:R141"/>
    <mergeCell ref="S140:S141"/>
    <mergeCell ref="T140:T141"/>
    <mergeCell ref="I140:I141"/>
    <mergeCell ref="J140:J141"/>
    <mergeCell ref="K140:K141"/>
    <mergeCell ref="L140:L141"/>
    <mergeCell ref="K144:K145"/>
    <mergeCell ref="L144:L145"/>
    <mergeCell ref="M144:M145"/>
    <mergeCell ref="N144:N145"/>
    <mergeCell ref="O144:O145"/>
    <mergeCell ref="P144:P145"/>
    <mergeCell ref="B144:B145"/>
    <mergeCell ref="C144:C145"/>
    <mergeCell ref="D144:D145"/>
    <mergeCell ref="E144:E145"/>
    <mergeCell ref="F144:F145"/>
    <mergeCell ref="G144:G145"/>
    <mergeCell ref="H144:H145"/>
    <mergeCell ref="I144:I145"/>
    <mergeCell ref="J144:J145"/>
    <mergeCell ref="AD140:AD141"/>
    <mergeCell ref="AE140:AE141"/>
    <mergeCell ref="J147:J148"/>
    <mergeCell ref="K147:K148"/>
    <mergeCell ref="L147:L148"/>
    <mergeCell ref="M147:M148"/>
    <mergeCell ref="N147:N148"/>
    <mergeCell ref="O147:O148"/>
    <mergeCell ref="Z149:Z150"/>
    <mergeCell ref="AG149:AG150"/>
    <mergeCell ref="AH149:AH150"/>
    <mergeCell ref="AI149:AI150"/>
    <mergeCell ref="AJ149:AJ150"/>
    <mergeCell ref="AJ144:AJ145"/>
    <mergeCell ref="B147:B148"/>
    <mergeCell ref="C147:C148"/>
    <mergeCell ref="D147:D148"/>
    <mergeCell ref="E147:E148"/>
    <mergeCell ref="F147:F148"/>
    <mergeCell ref="G147:G148"/>
    <mergeCell ref="H147:H148"/>
    <mergeCell ref="I147:I148"/>
    <mergeCell ref="W144:W145"/>
    <mergeCell ref="X144:X145"/>
    <mergeCell ref="Y144:Y145"/>
    <mergeCell ref="Z144:Z145"/>
    <mergeCell ref="AG144:AG145"/>
    <mergeCell ref="AH144:AH145"/>
    <mergeCell ref="Q144:Q145"/>
    <mergeCell ref="R144:R145"/>
    <mergeCell ref="S144:S145"/>
    <mergeCell ref="T144:T145"/>
    <mergeCell ref="U144:U145"/>
    <mergeCell ref="V144:V145"/>
    <mergeCell ref="AB147:AB148"/>
    <mergeCell ref="AC147:AC148"/>
    <mergeCell ref="AG147:AG148"/>
    <mergeCell ref="AH147:AH148"/>
    <mergeCell ref="AI147:AI148"/>
    <mergeCell ref="AJ147:AJ148"/>
    <mergeCell ref="V147:V148"/>
    <mergeCell ref="W147:W148"/>
    <mergeCell ref="X147:X148"/>
    <mergeCell ref="Y147:Y148"/>
    <mergeCell ref="Z147:Z148"/>
    <mergeCell ref="AA147:AA148"/>
    <mergeCell ref="P147:P148"/>
    <mergeCell ref="Q147:Q148"/>
    <mergeCell ref="R147:R148"/>
    <mergeCell ref="S147:S148"/>
    <mergeCell ref="T147:T148"/>
    <mergeCell ref="U147:U148"/>
    <mergeCell ref="B201:B202"/>
    <mergeCell ref="C201:C202"/>
    <mergeCell ref="D201:D202"/>
    <mergeCell ref="E201:E202"/>
    <mergeCell ref="F201:F202"/>
    <mergeCell ref="T149:T150"/>
    <mergeCell ref="U149:U150"/>
    <mergeCell ref="V149:V150"/>
    <mergeCell ref="W149:W150"/>
    <mergeCell ref="X149:X150"/>
    <mergeCell ref="Y149:Y150"/>
    <mergeCell ref="N149:N150"/>
    <mergeCell ref="O149:O150"/>
    <mergeCell ref="P149:P150"/>
    <mergeCell ref="Q149:Q150"/>
    <mergeCell ref="R149:R150"/>
    <mergeCell ref="S149:S150"/>
    <mergeCell ref="H149:H150"/>
    <mergeCell ref="I149:I150"/>
    <mergeCell ref="J149:J150"/>
    <mergeCell ref="K149:K150"/>
    <mergeCell ref="L149:L150"/>
    <mergeCell ref="M149:M150"/>
    <mergeCell ref="B149:B150"/>
    <mergeCell ref="C149:C150"/>
    <mergeCell ref="D149:D150"/>
    <mergeCell ref="E149:E150"/>
    <mergeCell ref="F149:F150"/>
    <mergeCell ref="G149:G150"/>
    <mergeCell ref="D210:D212"/>
    <mergeCell ref="E210:E212"/>
    <mergeCell ref="F210:F212"/>
    <mergeCell ref="G210:G212"/>
    <mergeCell ref="Y201:Y202"/>
    <mergeCell ref="Z201:Z202"/>
    <mergeCell ref="AG201:AG202"/>
    <mergeCell ref="AH201:AH202"/>
    <mergeCell ref="AI201:AI202"/>
    <mergeCell ref="AJ201:AJ202"/>
    <mergeCell ref="S201:S202"/>
    <mergeCell ref="T201:T202"/>
    <mergeCell ref="U201:U202"/>
    <mergeCell ref="V201:V202"/>
    <mergeCell ref="W201:W202"/>
    <mergeCell ref="X201:X202"/>
    <mergeCell ref="M201:M202"/>
    <mergeCell ref="N201:N202"/>
    <mergeCell ref="O201:O202"/>
    <mergeCell ref="P201:P202"/>
    <mergeCell ref="Q201:Q202"/>
    <mergeCell ref="R201:R202"/>
    <mergeCell ref="G201:G202"/>
    <mergeCell ref="H201:H202"/>
    <mergeCell ref="I201:I202"/>
    <mergeCell ref="J201:J202"/>
    <mergeCell ref="K201:K202"/>
    <mergeCell ref="L201:L202"/>
    <mergeCell ref="K213:K216"/>
    <mergeCell ref="L213:L216"/>
    <mergeCell ref="Z210:Z212"/>
    <mergeCell ref="AG210:AG212"/>
    <mergeCell ref="AH210:AH212"/>
    <mergeCell ref="AI210:AI212"/>
    <mergeCell ref="AJ210:AJ212"/>
    <mergeCell ref="B213:B216"/>
    <mergeCell ref="C213:C216"/>
    <mergeCell ref="D213:D216"/>
    <mergeCell ref="E213:E216"/>
    <mergeCell ref="F213:F216"/>
    <mergeCell ref="T210:T212"/>
    <mergeCell ref="U210:U212"/>
    <mergeCell ref="V210:V212"/>
    <mergeCell ref="W210:W212"/>
    <mergeCell ref="X210:X212"/>
    <mergeCell ref="Y210:Y212"/>
    <mergeCell ref="N210:N212"/>
    <mergeCell ref="O210:O212"/>
    <mergeCell ref="P210:P212"/>
    <mergeCell ref="Q210:Q212"/>
    <mergeCell ref="R210:R212"/>
    <mergeCell ref="S210:S212"/>
    <mergeCell ref="H210:H212"/>
    <mergeCell ref="I210:I212"/>
    <mergeCell ref="J210:J212"/>
    <mergeCell ref="K210:K212"/>
    <mergeCell ref="L210:L212"/>
    <mergeCell ref="M210:M212"/>
    <mergeCell ref="B210:B212"/>
    <mergeCell ref="C210:C212"/>
    <mergeCell ref="AI213:AI216"/>
    <mergeCell ref="AJ213:AJ216"/>
    <mergeCell ref="B217:B219"/>
    <mergeCell ref="C217:C219"/>
    <mergeCell ref="D217:D219"/>
    <mergeCell ref="E217:E219"/>
    <mergeCell ref="F217:F219"/>
    <mergeCell ref="G217:G219"/>
    <mergeCell ref="H217:H219"/>
    <mergeCell ref="I217:I219"/>
    <mergeCell ref="Y213:Y216"/>
    <mergeCell ref="Z213:Z216"/>
    <mergeCell ref="AC213:AC216"/>
    <mergeCell ref="AF213:AF216"/>
    <mergeCell ref="AG213:AG216"/>
    <mergeCell ref="AH213:AH216"/>
    <mergeCell ref="S213:S216"/>
    <mergeCell ref="T213:T216"/>
    <mergeCell ref="U213:U216"/>
    <mergeCell ref="V213:V216"/>
    <mergeCell ref="W213:W216"/>
    <mergeCell ref="X213:X216"/>
    <mergeCell ref="M213:M216"/>
    <mergeCell ref="N213:N216"/>
    <mergeCell ref="O213:O216"/>
    <mergeCell ref="P213:P216"/>
    <mergeCell ref="Q213:Q216"/>
    <mergeCell ref="R213:R216"/>
    <mergeCell ref="G213:G216"/>
    <mergeCell ref="H213:H216"/>
    <mergeCell ref="I213:I216"/>
    <mergeCell ref="J213:J216"/>
    <mergeCell ref="AF217:AF219"/>
    <mergeCell ref="AG217:AG219"/>
    <mergeCell ref="AH217:AH219"/>
    <mergeCell ref="AI217:AI219"/>
    <mergeCell ref="AJ217:AJ219"/>
    <mergeCell ref="B220:B221"/>
    <mergeCell ref="C220:C221"/>
    <mergeCell ref="D220:D221"/>
    <mergeCell ref="E220:E221"/>
    <mergeCell ref="F220:F221"/>
    <mergeCell ref="V217:V219"/>
    <mergeCell ref="W217:W219"/>
    <mergeCell ref="X217:X219"/>
    <mergeCell ref="Y217:Y219"/>
    <mergeCell ref="Z217:Z219"/>
    <mergeCell ref="AC217:AC219"/>
    <mergeCell ref="P217:P219"/>
    <mergeCell ref="Q217:Q219"/>
    <mergeCell ref="R217:R219"/>
    <mergeCell ref="S217:S219"/>
    <mergeCell ref="T217:T219"/>
    <mergeCell ref="U217:U219"/>
    <mergeCell ref="J217:J219"/>
    <mergeCell ref="K217:K219"/>
    <mergeCell ref="L217:L219"/>
    <mergeCell ref="M217:M219"/>
    <mergeCell ref="N217:N219"/>
    <mergeCell ref="O217:O219"/>
    <mergeCell ref="AH220:AH221"/>
    <mergeCell ref="AI220:AI221"/>
    <mergeCell ref="AJ220:AJ221"/>
    <mergeCell ref="E222:E223"/>
    <mergeCell ref="F222:F223"/>
    <mergeCell ref="G222:G223"/>
    <mergeCell ref="H222:H223"/>
    <mergeCell ref="Y220:Y221"/>
    <mergeCell ref="Z220:Z221"/>
    <mergeCell ref="AA220:AA221"/>
    <mergeCell ref="AB220:AB221"/>
    <mergeCell ref="AC220:AC221"/>
    <mergeCell ref="AG220:AG221"/>
    <mergeCell ref="S220:S221"/>
    <mergeCell ref="T220:T221"/>
    <mergeCell ref="U220:U221"/>
    <mergeCell ref="V220:V221"/>
    <mergeCell ref="W220:W221"/>
    <mergeCell ref="X220:X221"/>
    <mergeCell ref="M220:M221"/>
    <mergeCell ref="N220:N221"/>
    <mergeCell ref="O220:O221"/>
    <mergeCell ref="P220:P221"/>
    <mergeCell ref="Q220:Q221"/>
    <mergeCell ref="R220:R221"/>
    <mergeCell ref="G220:G221"/>
    <mergeCell ref="H220:H221"/>
    <mergeCell ref="I220:I221"/>
    <mergeCell ref="J220:J221"/>
    <mergeCell ref="K220:K221"/>
    <mergeCell ref="L220:L221"/>
    <mergeCell ref="AG222:AG223"/>
    <mergeCell ref="AH222:AH223"/>
    <mergeCell ref="AI222:AI223"/>
    <mergeCell ref="AJ222:AJ223"/>
    <mergeCell ref="B224:B225"/>
    <mergeCell ref="C224:C225"/>
    <mergeCell ref="D224:D225"/>
    <mergeCell ref="E224:E225"/>
    <mergeCell ref="F224:F225"/>
    <mergeCell ref="G224:G225"/>
    <mergeCell ref="U222:U223"/>
    <mergeCell ref="V222:V223"/>
    <mergeCell ref="W222:W223"/>
    <mergeCell ref="X222:X223"/>
    <mergeCell ref="Y222:Y223"/>
    <mergeCell ref="Z222:Z223"/>
    <mergeCell ref="O222:O223"/>
    <mergeCell ref="P222:P223"/>
    <mergeCell ref="Q222:Q223"/>
    <mergeCell ref="R222:R223"/>
    <mergeCell ref="S222:S223"/>
    <mergeCell ref="T222:T223"/>
    <mergeCell ref="I222:I223"/>
    <mergeCell ref="J222:J223"/>
    <mergeCell ref="K222:K223"/>
    <mergeCell ref="L222:L223"/>
    <mergeCell ref="M222:M223"/>
    <mergeCell ref="N222:N223"/>
    <mergeCell ref="AI224:AI225"/>
    <mergeCell ref="AJ224:AJ225"/>
    <mergeCell ref="B222:B223"/>
    <mergeCell ref="C222:C223"/>
    <mergeCell ref="D222:D223"/>
    <mergeCell ref="D226:D227"/>
    <mergeCell ref="E226:E227"/>
    <mergeCell ref="F226:F227"/>
    <mergeCell ref="G226:G227"/>
    <mergeCell ref="H226:H227"/>
    <mergeCell ref="I226:I227"/>
    <mergeCell ref="Z224:Z225"/>
    <mergeCell ref="AD224:AD225"/>
    <mergeCell ref="AE224:AE225"/>
    <mergeCell ref="AF224:AF225"/>
    <mergeCell ref="AG224:AG225"/>
    <mergeCell ref="AH224:AH225"/>
    <mergeCell ref="T224:T225"/>
    <mergeCell ref="U224:U225"/>
    <mergeCell ref="V224:V225"/>
    <mergeCell ref="W224:W225"/>
    <mergeCell ref="X224:X225"/>
    <mergeCell ref="Y224:Y225"/>
    <mergeCell ref="N224:N225"/>
    <mergeCell ref="O224:O225"/>
    <mergeCell ref="P224:P225"/>
    <mergeCell ref="Q224:Q225"/>
    <mergeCell ref="R224:R225"/>
    <mergeCell ref="S224:S225"/>
    <mergeCell ref="H224:H225"/>
    <mergeCell ref="I224:I225"/>
    <mergeCell ref="J224:J225"/>
    <mergeCell ref="K224:K225"/>
    <mergeCell ref="AH226:AH227"/>
    <mergeCell ref="L224:L225"/>
    <mergeCell ref="M224:M225"/>
    <mergeCell ref="L229:L231"/>
    <mergeCell ref="M229:M231"/>
    <mergeCell ref="N229:N231"/>
    <mergeCell ref="AI226:AI227"/>
    <mergeCell ref="AJ226:AJ227"/>
    <mergeCell ref="B229:B231"/>
    <mergeCell ref="C229:C231"/>
    <mergeCell ref="D229:D231"/>
    <mergeCell ref="E229:E231"/>
    <mergeCell ref="F229:F231"/>
    <mergeCell ref="G229:G231"/>
    <mergeCell ref="H229:H231"/>
    <mergeCell ref="V226:V227"/>
    <mergeCell ref="W226:W227"/>
    <mergeCell ref="X226:X227"/>
    <mergeCell ref="Y226:Y227"/>
    <mergeCell ref="Z226:Z227"/>
    <mergeCell ref="AG226:AG227"/>
    <mergeCell ref="P226:P227"/>
    <mergeCell ref="Q226:Q227"/>
    <mergeCell ref="R226:R227"/>
    <mergeCell ref="S226:S227"/>
    <mergeCell ref="T226:T227"/>
    <mergeCell ref="U226:U227"/>
    <mergeCell ref="J226:J227"/>
    <mergeCell ref="K226:K227"/>
    <mergeCell ref="L226:L227"/>
    <mergeCell ref="M226:M227"/>
    <mergeCell ref="N226:N227"/>
    <mergeCell ref="O226:O227"/>
    <mergeCell ref="B226:B227"/>
    <mergeCell ref="C226:C227"/>
    <mergeCell ref="I232:I235"/>
    <mergeCell ref="J232:J235"/>
    <mergeCell ref="K232:K235"/>
    <mergeCell ref="L232:L235"/>
    <mergeCell ref="M232:M235"/>
    <mergeCell ref="B232:B235"/>
    <mergeCell ref="C232:C235"/>
    <mergeCell ref="D232:D235"/>
    <mergeCell ref="E232:E235"/>
    <mergeCell ref="F232:F235"/>
    <mergeCell ref="G232:G235"/>
    <mergeCell ref="AC229:AC231"/>
    <mergeCell ref="AF229:AF231"/>
    <mergeCell ref="AG229:AG231"/>
    <mergeCell ref="AH229:AH231"/>
    <mergeCell ref="AI229:AI231"/>
    <mergeCell ref="AJ229:AJ231"/>
    <mergeCell ref="U229:U231"/>
    <mergeCell ref="V229:V231"/>
    <mergeCell ref="W229:W231"/>
    <mergeCell ref="X229:X231"/>
    <mergeCell ref="Y229:Y231"/>
    <mergeCell ref="Z229:Z231"/>
    <mergeCell ref="O229:O231"/>
    <mergeCell ref="P229:P231"/>
    <mergeCell ref="Q229:Q231"/>
    <mergeCell ref="R229:R231"/>
    <mergeCell ref="S229:S231"/>
    <mergeCell ref="T229:T231"/>
    <mergeCell ref="I229:I231"/>
    <mergeCell ref="J229:J231"/>
    <mergeCell ref="K229:K231"/>
    <mergeCell ref="O236:O240"/>
    <mergeCell ref="P236:P240"/>
    <mergeCell ref="AJ241:AJ244"/>
    <mergeCell ref="AJ232:AJ235"/>
    <mergeCell ref="B236:B240"/>
    <mergeCell ref="C236:C240"/>
    <mergeCell ref="D236:D240"/>
    <mergeCell ref="E236:E240"/>
    <mergeCell ref="F236:F240"/>
    <mergeCell ref="G236:G240"/>
    <mergeCell ref="H236:H240"/>
    <mergeCell ref="I236:I240"/>
    <mergeCell ref="J236:J240"/>
    <mergeCell ref="Z232:Z235"/>
    <mergeCell ref="AC232:AC235"/>
    <mergeCell ref="AF232:AF235"/>
    <mergeCell ref="AG232:AG235"/>
    <mergeCell ref="AH232:AH235"/>
    <mergeCell ref="AI232:AI235"/>
    <mergeCell ref="T232:T235"/>
    <mergeCell ref="U232:U235"/>
    <mergeCell ref="V232:V235"/>
    <mergeCell ref="W232:W235"/>
    <mergeCell ref="X232:X235"/>
    <mergeCell ref="Y232:Y235"/>
    <mergeCell ref="N232:N235"/>
    <mergeCell ref="O232:O235"/>
    <mergeCell ref="P232:P235"/>
    <mergeCell ref="Q232:Q235"/>
    <mergeCell ref="R232:R235"/>
    <mergeCell ref="S232:S235"/>
    <mergeCell ref="H232:H235"/>
    <mergeCell ref="H241:H244"/>
    <mergeCell ref="I241:I244"/>
    <mergeCell ref="J241:J244"/>
    <mergeCell ref="K241:K244"/>
    <mergeCell ref="L241:L244"/>
    <mergeCell ref="M241:M244"/>
    <mergeCell ref="AG236:AG240"/>
    <mergeCell ref="AH236:AH240"/>
    <mergeCell ref="AI236:AI240"/>
    <mergeCell ref="AJ236:AJ240"/>
    <mergeCell ref="B241:B244"/>
    <mergeCell ref="C241:C244"/>
    <mergeCell ref="D241:D244"/>
    <mergeCell ref="E241:E244"/>
    <mergeCell ref="F241:F244"/>
    <mergeCell ref="G241:G244"/>
    <mergeCell ref="W236:W240"/>
    <mergeCell ref="X236:X240"/>
    <mergeCell ref="Y236:Y240"/>
    <mergeCell ref="Z236:Z240"/>
    <mergeCell ref="AC236:AC240"/>
    <mergeCell ref="AF236:AF240"/>
    <mergeCell ref="Q236:Q240"/>
    <mergeCell ref="R236:R240"/>
    <mergeCell ref="S236:S240"/>
    <mergeCell ref="T236:T240"/>
    <mergeCell ref="U236:U240"/>
    <mergeCell ref="V236:V240"/>
    <mergeCell ref="K236:K240"/>
    <mergeCell ref="L236:L240"/>
    <mergeCell ref="M236:M240"/>
    <mergeCell ref="N236:N240"/>
    <mergeCell ref="Z241:Z244"/>
    <mergeCell ref="AC241:AC244"/>
    <mergeCell ref="AF241:AF244"/>
    <mergeCell ref="AG241:AG244"/>
    <mergeCell ref="AH241:AH244"/>
    <mergeCell ref="AI241:AI244"/>
    <mergeCell ref="T241:T244"/>
    <mergeCell ref="U241:U244"/>
    <mergeCell ref="V241:V244"/>
    <mergeCell ref="W241:W244"/>
    <mergeCell ref="X241:X244"/>
    <mergeCell ref="Y241:Y244"/>
    <mergeCell ref="N241:N244"/>
    <mergeCell ref="O241:O244"/>
    <mergeCell ref="P241:P244"/>
    <mergeCell ref="Q241:Q244"/>
    <mergeCell ref="R241:R244"/>
    <mergeCell ref="S241:S244"/>
    <mergeCell ref="K245:K248"/>
    <mergeCell ref="L245:L248"/>
    <mergeCell ref="M245:M248"/>
    <mergeCell ref="N245:N248"/>
    <mergeCell ref="O245:O248"/>
    <mergeCell ref="P245:P248"/>
    <mergeCell ref="Z250:Z251"/>
    <mergeCell ref="AG250:AG251"/>
    <mergeCell ref="AH250:AH251"/>
    <mergeCell ref="AI250:AI251"/>
    <mergeCell ref="AJ250:AJ251"/>
    <mergeCell ref="B245:B248"/>
    <mergeCell ref="C245:C248"/>
    <mergeCell ref="D245:D248"/>
    <mergeCell ref="E245:E248"/>
    <mergeCell ref="F245:F248"/>
    <mergeCell ref="G245:G248"/>
    <mergeCell ref="H245:H248"/>
    <mergeCell ref="I245:I248"/>
    <mergeCell ref="J245:J248"/>
    <mergeCell ref="AC245:AC248"/>
    <mergeCell ref="AF245:AF248"/>
    <mergeCell ref="AG245:AG248"/>
    <mergeCell ref="AH245:AH248"/>
    <mergeCell ref="AI245:AI248"/>
    <mergeCell ref="AJ245:AJ248"/>
    <mergeCell ref="W245:W248"/>
    <mergeCell ref="X245:X248"/>
    <mergeCell ref="Y245:Y248"/>
    <mergeCell ref="Z245:Z248"/>
    <mergeCell ref="AA245:AA248"/>
    <mergeCell ref="AB245:AB248"/>
    <mergeCell ref="Q245:Q248"/>
    <mergeCell ref="R245:R248"/>
    <mergeCell ref="S245:S248"/>
    <mergeCell ref="T245:T248"/>
    <mergeCell ref="U245:U248"/>
    <mergeCell ref="V245:V248"/>
    <mergeCell ref="B253:B254"/>
    <mergeCell ref="C253:C254"/>
    <mergeCell ref="D253:D254"/>
    <mergeCell ref="E253:E254"/>
    <mergeCell ref="F253:F254"/>
    <mergeCell ref="T250:T251"/>
    <mergeCell ref="U250:U251"/>
    <mergeCell ref="V250:V251"/>
    <mergeCell ref="W250:W251"/>
    <mergeCell ref="X250:X251"/>
    <mergeCell ref="Y250:Y251"/>
    <mergeCell ref="N250:N251"/>
    <mergeCell ref="O250:O251"/>
    <mergeCell ref="P250:P251"/>
    <mergeCell ref="Q250:Q251"/>
    <mergeCell ref="R250:R251"/>
    <mergeCell ref="S250:S251"/>
    <mergeCell ref="H250:H251"/>
    <mergeCell ref="I250:I251"/>
    <mergeCell ref="J250:J251"/>
    <mergeCell ref="K250:K251"/>
    <mergeCell ref="L250:L251"/>
    <mergeCell ref="M250:M251"/>
    <mergeCell ref="B250:B251"/>
    <mergeCell ref="C250:C251"/>
    <mergeCell ref="D250:D251"/>
    <mergeCell ref="E250:E251"/>
    <mergeCell ref="F250:F251"/>
    <mergeCell ref="G250:G251"/>
    <mergeCell ref="L272:L273"/>
    <mergeCell ref="M272:M273"/>
    <mergeCell ref="B272:B273"/>
    <mergeCell ref="C272:C273"/>
    <mergeCell ref="D272:D273"/>
    <mergeCell ref="E272:E273"/>
    <mergeCell ref="F272:F273"/>
    <mergeCell ref="G272:G273"/>
    <mergeCell ref="Y253:Y254"/>
    <mergeCell ref="Z253:Z254"/>
    <mergeCell ref="AG253:AG254"/>
    <mergeCell ref="AH253:AH254"/>
    <mergeCell ref="AI253:AI254"/>
    <mergeCell ref="AJ253:AJ254"/>
    <mergeCell ref="S253:S254"/>
    <mergeCell ref="T253:T254"/>
    <mergeCell ref="U253:U254"/>
    <mergeCell ref="V253:V254"/>
    <mergeCell ref="W253:W254"/>
    <mergeCell ref="X253:X254"/>
    <mergeCell ref="M253:M254"/>
    <mergeCell ref="N253:N254"/>
    <mergeCell ref="O253:O254"/>
    <mergeCell ref="P253:P254"/>
    <mergeCell ref="Q253:Q254"/>
    <mergeCell ref="R253:R254"/>
    <mergeCell ref="G253:G254"/>
    <mergeCell ref="H253:H254"/>
    <mergeCell ref="I253:I254"/>
    <mergeCell ref="J253:J254"/>
    <mergeCell ref="K253:K254"/>
    <mergeCell ref="L253:L254"/>
    <mergeCell ref="AI272:AI273"/>
    <mergeCell ref="AJ272:AJ273"/>
    <mergeCell ref="B280:B281"/>
    <mergeCell ref="C280:C281"/>
    <mergeCell ref="D280:D281"/>
    <mergeCell ref="E280:E281"/>
    <mergeCell ref="F280:F281"/>
    <mergeCell ref="G280:G281"/>
    <mergeCell ref="H280:H281"/>
    <mergeCell ref="I280:I281"/>
    <mergeCell ref="Z272:Z273"/>
    <mergeCell ref="AD272:AD273"/>
    <mergeCell ref="AE272:AE273"/>
    <mergeCell ref="AF272:AF273"/>
    <mergeCell ref="AG272:AG273"/>
    <mergeCell ref="AH272:AH273"/>
    <mergeCell ref="T272:T273"/>
    <mergeCell ref="U272:U273"/>
    <mergeCell ref="V272:V273"/>
    <mergeCell ref="W272:W273"/>
    <mergeCell ref="X272:X273"/>
    <mergeCell ref="Y272:Y273"/>
    <mergeCell ref="N272:N273"/>
    <mergeCell ref="O272:O273"/>
    <mergeCell ref="P272:P273"/>
    <mergeCell ref="Q272:Q273"/>
    <mergeCell ref="R272:R273"/>
    <mergeCell ref="S272:S273"/>
    <mergeCell ref="H272:H273"/>
    <mergeCell ref="I272:I273"/>
    <mergeCell ref="J272:J273"/>
    <mergeCell ref="K272:K273"/>
    <mergeCell ref="B282:B283"/>
    <mergeCell ref="C282:C283"/>
    <mergeCell ref="D282:D283"/>
    <mergeCell ref="E282:E283"/>
    <mergeCell ref="F282:F283"/>
    <mergeCell ref="G282:G283"/>
    <mergeCell ref="AB280:AB281"/>
    <mergeCell ref="AC280:AC281"/>
    <mergeCell ref="AG280:AG281"/>
    <mergeCell ref="AH280:AH281"/>
    <mergeCell ref="AI280:AI281"/>
    <mergeCell ref="AJ280:AJ281"/>
    <mergeCell ref="V280:V281"/>
    <mergeCell ref="W280:W281"/>
    <mergeCell ref="X280:X281"/>
    <mergeCell ref="Y280:Y281"/>
    <mergeCell ref="Z280:Z281"/>
    <mergeCell ref="AA280:AA281"/>
    <mergeCell ref="P280:P281"/>
    <mergeCell ref="Q280:Q281"/>
    <mergeCell ref="R280:R281"/>
    <mergeCell ref="S280:S281"/>
    <mergeCell ref="T280:T281"/>
    <mergeCell ref="U280:U281"/>
    <mergeCell ref="J280:J281"/>
    <mergeCell ref="K280:K281"/>
    <mergeCell ref="L280:L281"/>
    <mergeCell ref="M280:M281"/>
    <mergeCell ref="N280:N281"/>
    <mergeCell ref="O280:O281"/>
    <mergeCell ref="I296:I297"/>
    <mergeCell ref="J296:J297"/>
    <mergeCell ref="K296:K297"/>
    <mergeCell ref="L296:L297"/>
    <mergeCell ref="Z282:Z283"/>
    <mergeCell ref="AG282:AG283"/>
    <mergeCell ref="AH282:AH283"/>
    <mergeCell ref="AI282:AI283"/>
    <mergeCell ref="AJ282:AJ283"/>
    <mergeCell ref="B296:B297"/>
    <mergeCell ref="C296:C297"/>
    <mergeCell ref="D296:D297"/>
    <mergeCell ref="E296:E297"/>
    <mergeCell ref="F296:F297"/>
    <mergeCell ref="T282:T283"/>
    <mergeCell ref="U282:U283"/>
    <mergeCell ref="V282:V283"/>
    <mergeCell ref="W282:W283"/>
    <mergeCell ref="X282:X283"/>
    <mergeCell ref="Y282:Y283"/>
    <mergeCell ref="N282:N283"/>
    <mergeCell ref="O282:O283"/>
    <mergeCell ref="P282:P283"/>
    <mergeCell ref="Q282:Q283"/>
    <mergeCell ref="R282:R283"/>
    <mergeCell ref="S282:S283"/>
    <mergeCell ref="H282:H283"/>
    <mergeCell ref="I282:I283"/>
    <mergeCell ref="J282:J283"/>
    <mergeCell ref="K282:K283"/>
    <mergeCell ref="L282:L283"/>
    <mergeCell ref="M282:M283"/>
    <mergeCell ref="M312:M314"/>
    <mergeCell ref="N312:N314"/>
    <mergeCell ref="AH296:AH297"/>
    <mergeCell ref="AI296:AI297"/>
    <mergeCell ref="AJ296:AJ297"/>
    <mergeCell ref="B312:B314"/>
    <mergeCell ref="C312:C314"/>
    <mergeCell ref="D312:D314"/>
    <mergeCell ref="E312:E314"/>
    <mergeCell ref="F312:F314"/>
    <mergeCell ref="G312:G314"/>
    <mergeCell ref="H312:H314"/>
    <mergeCell ref="Y296:Y297"/>
    <mergeCell ref="Z296:Z297"/>
    <mergeCell ref="AD296:AD297"/>
    <mergeCell ref="AE296:AE297"/>
    <mergeCell ref="AF296:AF297"/>
    <mergeCell ref="AG296:AG297"/>
    <mergeCell ref="S296:S297"/>
    <mergeCell ref="T296:T297"/>
    <mergeCell ref="U296:U297"/>
    <mergeCell ref="V296:V297"/>
    <mergeCell ref="W296:W297"/>
    <mergeCell ref="X296:X297"/>
    <mergeCell ref="M296:M297"/>
    <mergeCell ref="N296:N297"/>
    <mergeCell ref="O296:O297"/>
    <mergeCell ref="P296:P297"/>
    <mergeCell ref="Q296:Q297"/>
    <mergeCell ref="R296:R297"/>
    <mergeCell ref="G296:G297"/>
    <mergeCell ref="H296:H297"/>
    <mergeCell ref="AJ312:AJ314"/>
    <mergeCell ref="B329:B330"/>
    <mergeCell ref="C329:C330"/>
    <mergeCell ref="D329:D330"/>
    <mergeCell ref="E329:E330"/>
    <mergeCell ref="F329:F330"/>
    <mergeCell ref="G329:G330"/>
    <mergeCell ref="H329:H330"/>
    <mergeCell ref="I329:I330"/>
    <mergeCell ref="J329:J330"/>
    <mergeCell ref="AA312:AA314"/>
    <mergeCell ref="AB312:AB314"/>
    <mergeCell ref="AC312:AC314"/>
    <mergeCell ref="AG312:AG314"/>
    <mergeCell ref="AH312:AH314"/>
    <mergeCell ref="AI312:AI314"/>
    <mergeCell ref="U312:U314"/>
    <mergeCell ref="V312:V314"/>
    <mergeCell ref="W312:W314"/>
    <mergeCell ref="X312:X314"/>
    <mergeCell ref="Y312:Y314"/>
    <mergeCell ref="Z312:Z314"/>
    <mergeCell ref="O312:O314"/>
    <mergeCell ref="P312:P314"/>
    <mergeCell ref="Q312:Q314"/>
    <mergeCell ref="R312:R314"/>
    <mergeCell ref="S312:S314"/>
    <mergeCell ref="T312:T314"/>
    <mergeCell ref="I312:I314"/>
    <mergeCell ref="J312:J314"/>
    <mergeCell ref="K312:K314"/>
    <mergeCell ref="L312:L314"/>
    <mergeCell ref="AC329:AC330"/>
    <mergeCell ref="AG329:AG330"/>
    <mergeCell ref="AH329:AH330"/>
    <mergeCell ref="AI329:AI330"/>
    <mergeCell ref="AJ329:AJ330"/>
    <mergeCell ref="B347:B348"/>
    <mergeCell ref="C347:C348"/>
    <mergeCell ref="D347:D348"/>
    <mergeCell ref="E347:E348"/>
    <mergeCell ref="F347:F348"/>
    <mergeCell ref="W329:W330"/>
    <mergeCell ref="X329:X330"/>
    <mergeCell ref="Y329:Y330"/>
    <mergeCell ref="Z329:Z330"/>
    <mergeCell ref="AA329:AA330"/>
    <mergeCell ref="AB329:AB330"/>
    <mergeCell ref="Q329:Q330"/>
    <mergeCell ref="R329:R330"/>
    <mergeCell ref="S329:S330"/>
    <mergeCell ref="T329:T330"/>
    <mergeCell ref="U329:U330"/>
    <mergeCell ref="V329:V330"/>
    <mergeCell ref="K329:K330"/>
    <mergeCell ref="L329:L330"/>
    <mergeCell ref="M329:M330"/>
    <mergeCell ref="N329:N330"/>
    <mergeCell ref="O329:O330"/>
    <mergeCell ref="P329:P330"/>
    <mergeCell ref="AH347:AH348"/>
    <mergeCell ref="AI347:AI348"/>
    <mergeCell ref="AJ347:AJ348"/>
    <mergeCell ref="E349:E350"/>
    <mergeCell ref="F349:F350"/>
    <mergeCell ref="G349:G350"/>
    <mergeCell ref="H349:H350"/>
    <mergeCell ref="Y347:Y348"/>
    <mergeCell ref="Z347:Z348"/>
    <mergeCell ref="AD347:AD348"/>
    <mergeCell ref="AE347:AE348"/>
    <mergeCell ref="AF347:AF348"/>
    <mergeCell ref="AG347:AG348"/>
    <mergeCell ref="S347:S348"/>
    <mergeCell ref="T347:T348"/>
    <mergeCell ref="U347:U348"/>
    <mergeCell ref="V347:V348"/>
    <mergeCell ref="W347:W348"/>
    <mergeCell ref="X347:X348"/>
    <mergeCell ref="M347:M348"/>
    <mergeCell ref="N347:N348"/>
    <mergeCell ref="O347:O348"/>
    <mergeCell ref="P347:P348"/>
    <mergeCell ref="Q347:Q348"/>
    <mergeCell ref="R347:R348"/>
    <mergeCell ref="G347:G348"/>
    <mergeCell ref="H347:H348"/>
    <mergeCell ref="I347:I348"/>
    <mergeCell ref="J347:J348"/>
    <mergeCell ref="K347:K348"/>
    <mergeCell ref="L347:L348"/>
    <mergeCell ref="AG349:AG350"/>
    <mergeCell ref="AH349:AH350"/>
    <mergeCell ref="AI349:AI350"/>
    <mergeCell ref="AJ349:AJ350"/>
    <mergeCell ref="B352:B353"/>
    <mergeCell ref="C352:C353"/>
    <mergeCell ref="D352:D353"/>
    <mergeCell ref="E352:E353"/>
    <mergeCell ref="F352:F353"/>
    <mergeCell ref="G352:G353"/>
    <mergeCell ref="U349:U350"/>
    <mergeCell ref="V349:V350"/>
    <mergeCell ref="W349:W350"/>
    <mergeCell ref="X349:X350"/>
    <mergeCell ref="Y349:Y350"/>
    <mergeCell ref="Z349:Z350"/>
    <mergeCell ref="O349:O350"/>
    <mergeCell ref="P349:P350"/>
    <mergeCell ref="Q349:Q350"/>
    <mergeCell ref="R349:R350"/>
    <mergeCell ref="S349:S350"/>
    <mergeCell ref="T349:T350"/>
    <mergeCell ref="I349:I350"/>
    <mergeCell ref="J349:J350"/>
    <mergeCell ref="K349:K350"/>
    <mergeCell ref="L349:L350"/>
    <mergeCell ref="M349:M350"/>
    <mergeCell ref="N349:N350"/>
    <mergeCell ref="AI352:AI353"/>
    <mergeCell ref="AJ352:AJ353"/>
    <mergeCell ref="B349:B350"/>
    <mergeCell ref="C349:C350"/>
    <mergeCell ref="D349:D350"/>
    <mergeCell ref="B354:B356"/>
    <mergeCell ref="C354:C356"/>
    <mergeCell ref="D354:D356"/>
    <mergeCell ref="E354:E356"/>
    <mergeCell ref="F354:F356"/>
    <mergeCell ref="G354:G356"/>
    <mergeCell ref="H354:H356"/>
    <mergeCell ref="I354:I356"/>
    <mergeCell ref="Z352:Z353"/>
    <mergeCell ref="AD352:AD353"/>
    <mergeCell ref="AE352:AE353"/>
    <mergeCell ref="AF352:AF353"/>
    <mergeCell ref="AG352:AG353"/>
    <mergeCell ref="AH352:AH353"/>
    <mergeCell ref="T352:T353"/>
    <mergeCell ref="U352:U353"/>
    <mergeCell ref="V352:V353"/>
    <mergeCell ref="W352:W353"/>
    <mergeCell ref="X352:X353"/>
    <mergeCell ref="Y352:Y353"/>
    <mergeCell ref="N352:N353"/>
    <mergeCell ref="O352:O353"/>
    <mergeCell ref="P352:P353"/>
    <mergeCell ref="Q352:Q353"/>
    <mergeCell ref="R352:R353"/>
    <mergeCell ref="S352:S353"/>
    <mergeCell ref="H352:H353"/>
    <mergeCell ref="I352:I353"/>
    <mergeCell ref="J352:J353"/>
    <mergeCell ref="K352:K353"/>
    <mergeCell ref="L352:L353"/>
    <mergeCell ref="M352:M353"/>
    <mergeCell ref="L358:L359"/>
    <mergeCell ref="M358:M359"/>
    <mergeCell ref="B358:B359"/>
    <mergeCell ref="C358:C359"/>
    <mergeCell ref="D358:D359"/>
    <mergeCell ref="E358:E359"/>
    <mergeCell ref="F358:F359"/>
    <mergeCell ref="G358:G359"/>
    <mergeCell ref="AE354:AE356"/>
    <mergeCell ref="AF354:AF356"/>
    <mergeCell ref="AG354:AG356"/>
    <mergeCell ref="AH354:AH356"/>
    <mergeCell ref="AI354:AI356"/>
    <mergeCell ref="AJ354:AJ356"/>
    <mergeCell ref="V354:V356"/>
    <mergeCell ref="W354:W356"/>
    <mergeCell ref="X354:X356"/>
    <mergeCell ref="Y354:Y356"/>
    <mergeCell ref="Z354:Z356"/>
    <mergeCell ref="AD354:AD356"/>
    <mergeCell ref="P354:P356"/>
    <mergeCell ref="Q354:Q356"/>
    <mergeCell ref="R354:R356"/>
    <mergeCell ref="S354:S356"/>
    <mergeCell ref="T354:T356"/>
    <mergeCell ref="U354:U356"/>
    <mergeCell ref="J354:J356"/>
    <mergeCell ref="K354:K356"/>
    <mergeCell ref="L354:L356"/>
    <mergeCell ref="M354:M356"/>
    <mergeCell ref="N354:N356"/>
    <mergeCell ref="O354:O356"/>
    <mergeCell ref="AI358:AI359"/>
    <mergeCell ref="AJ358:AJ359"/>
    <mergeCell ref="B360:B361"/>
    <mergeCell ref="C360:C361"/>
    <mergeCell ref="D360:D361"/>
    <mergeCell ref="E360:E361"/>
    <mergeCell ref="F360:F361"/>
    <mergeCell ref="G360:G361"/>
    <mergeCell ref="H360:H361"/>
    <mergeCell ref="I360:I361"/>
    <mergeCell ref="Z358:Z359"/>
    <mergeCell ref="AD358:AD359"/>
    <mergeCell ref="AE358:AE359"/>
    <mergeCell ref="AF358:AF359"/>
    <mergeCell ref="AG358:AG359"/>
    <mergeCell ref="AH358:AH359"/>
    <mergeCell ref="T358:T359"/>
    <mergeCell ref="U358:U359"/>
    <mergeCell ref="V358:V359"/>
    <mergeCell ref="W358:W359"/>
    <mergeCell ref="X358:X359"/>
    <mergeCell ref="Y358:Y359"/>
    <mergeCell ref="N358:N359"/>
    <mergeCell ref="O358:O359"/>
    <mergeCell ref="P358:P359"/>
    <mergeCell ref="Q358:Q359"/>
    <mergeCell ref="R358:R359"/>
    <mergeCell ref="S358:S359"/>
    <mergeCell ref="H358:H359"/>
    <mergeCell ref="I358:I359"/>
    <mergeCell ref="J358:J359"/>
    <mergeCell ref="K358:K359"/>
    <mergeCell ref="AH360:AH361"/>
    <mergeCell ref="AI360:AI361"/>
    <mergeCell ref="AJ360:AJ361"/>
    <mergeCell ref="B417:B418"/>
    <mergeCell ref="C417:C418"/>
    <mergeCell ref="D417:D418"/>
    <mergeCell ref="E417:E418"/>
    <mergeCell ref="F417:F418"/>
    <mergeCell ref="G417:G418"/>
    <mergeCell ref="H417:H418"/>
    <mergeCell ref="V360:V361"/>
    <mergeCell ref="W360:W361"/>
    <mergeCell ref="X360:X361"/>
    <mergeCell ref="Y360:Y361"/>
    <mergeCell ref="Z360:Z361"/>
    <mergeCell ref="AG360:AG361"/>
    <mergeCell ref="P360:P361"/>
    <mergeCell ref="Q360:Q361"/>
    <mergeCell ref="R360:R361"/>
    <mergeCell ref="S360:S361"/>
    <mergeCell ref="T360:T361"/>
    <mergeCell ref="U360:U361"/>
    <mergeCell ref="J360:J361"/>
    <mergeCell ref="K360:K361"/>
    <mergeCell ref="L360:L361"/>
    <mergeCell ref="M360:M361"/>
    <mergeCell ref="N360:N361"/>
    <mergeCell ref="O360:O361"/>
    <mergeCell ref="AG417:AG418"/>
    <mergeCell ref="AH417:AH418"/>
    <mergeCell ref="AI417:AI418"/>
    <mergeCell ref="AJ417:AJ418"/>
    <mergeCell ref="B420:B421"/>
    <mergeCell ref="C420:C421"/>
    <mergeCell ref="D420:D421"/>
    <mergeCell ref="E420:E421"/>
    <mergeCell ref="F420:F421"/>
    <mergeCell ref="G420:G421"/>
    <mergeCell ref="U417:U418"/>
    <mergeCell ref="V417:V418"/>
    <mergeCell ref="W417:W418"/>
    <mergeCell ref="X417:X418"/>
    <mergeCell ref="Y417:Y418"/>
    <mergeCell ref="Z417:Z418"/>
    <mergeCell ref="O417:O418"/>
    <mergeCell ref="P417:P418"/>
    <mergeCell ref="Q417:Q418"/>
    <mergeCell ref="R417:R418"/>
    <mergeCell ref="S417:S418"/>
    <mergeCell ref="T417:T418"/>
    <mergeCell ref="I417:I418"/>
    <mergeCell ref="J417:J418"/>
    <mergeCell ref="K417:K418"/>
    <mergeCell ref="L417:L418"/>
    <mergeCell ref="M417:M418"/>
    <mergeCell ref="N417:N418"/>
    <mergeCell ref="I422:I423"/>
    <mergeCell ref="J422:J423"/>
    <mergeCell ref="K422:K423"/>
    <mergeCell ref="L422:L423"/>
    <mergeCell ref="Z420:Z421"/>
    <mergeCell ref="AG420:AG421"/>
    <mergeCell ref="AH420:AH421"/>
    <mergeCell ref="AI420:AI421"/>
    <mergeCell ref="AJ420:AJ421"/>
    <mergeCell ref="B422:B423"/>
    <mergeCell ref="C422:C423"/>
    <mergeCell ref="D422:D423"/>
    <mergeCell ref="E422:E423"/>
    <mergeCell ref="F422:F423"/>
    <mergeCell ref="T420:T421"/>
    <mergeCell ref="U420:U421"/>
    <mergeCell ref="V420:V421"/>
    <mergeCell ref="W420:W421"/>
    <mergeCell ref="X420:X421"/>
    <mergeCell ref="Y420:Y421"/>
    <mergeCell ref="N420:N421"/>
    <mergeCell ref="O420:O421"/>
    <mergeCell ref="P420:P421"/>
    <mergeCell ref="Q420:Q421"/>
    <mergeCell ref="R420:R421"/>
    <mergeCell ref="S420:S421"/>
    <mergeCell ref="H420:H421"/>
    <mergeCell ref="I420:I421"/>
    <mergeCell ref="J420:J421"/>
    <mergeCell ref="K420:K421"/>
    <mergeCell ref="L420:L421"/>
    <mergeCell ref="M420:M421"/>
    <mergeCell ref="M441:M442"/>
    <mergeCell ref="N441:N442"/>
    <mergeCell ref="AH422:AH423"/>
    <mergeCell ref="AI422:AI423"/>
    <mergeCell ref="AJ422:AJ423"/>
    <mergeCell ref="B441:B442"/>
    <mergeCell ref="C441:C442"/>
    <mergeCell ref="D441:D442"/>
    <mergeCell ref="E441:E442"/>
    <mergeCell ref="F441:F442"/>
    <mergeCell ref="G441:G442"/>
    <mergeCell ref="H441:H442"/>
    <mergeCell ref="Y422:Y423"/>
    <mergeCell ref="Z422:Z423"/>
    <mergeCell ref="AD422:AD423"/>
    <mergeCell ref="AE422:AE423"/>
    <mergeCell ref="AF422:AF423"/>
    <mergeCell ref="AG422:AG423"/>
    <mergeCell ref="S422:S423"/>
    <mergeCell ref="T422:T423"/>
    <mergeCell ref="U422:U423"/>
    <mergeCell ref="V422:V423"/>
    <mergeCell ref="W422:W423"/>
    <mergeCell ref="X422:X423"/>
    <mergeCell ref="M422:M423"/>
    <mergeCell ref="N422:N423"/>
    <mergeCell ref="O422:O423"/>
    <mergeCell ref="P422:P423"/>
    <mergeCell ref="Q422:Q423"/>
    <mergeCell ref="R422:R423"/>
    <mergeCell ref="G422:G423"/>
    <mergeCell ref="H422:H423"/>
    <mergeCell ref="AJ441:AJ442"/>
    <mergeCell ref="B444:B445"/>
    <mergeCell ref="C444:C445"/>
    <mergeCell ref="D444:D445"/>
    <mergeCell ref="E444:E445"/>
    <mergeCell ref="F444:F445"/>
    <mergeCell ref="G444:G445"/>
    <mergeCell ref="H444:H445"/>
    <mergeCell ref="I444:I445"/>
    <mergeCell ref="J444:J445"/>
    <mergeCell ref="AD441:AD442"/>
    <mergeCell ref="AE441:AE442"/>
    <mergeCell ref="AF441:AF442"/>
    <mergeCell ref="AG441:AG442"/>
    <mergeCell ref="AH441:AH442"/>
    <mergeCell ref="AI441:AI442"/>
    <mergeCell ref="U441:U442"/>
    <mergeCell ref="V441:V442"/>
    <mergeCell ref="W441:W442"/>
    <mergeCell ref="X441:X442"/>
    <mergeCell ref="Y441:Y442"/>
    <mergeCell ref="Z441:Z442"/>
    <mergeCell ref="O441:O442"/>
    <mergeCell ref="P441:P442"/>
    <mergeCell ref="Q441:Q442"/>
    <mergeCell ref="R441:R442"/>
    <mergeCell ref="S441:S442"/>
    <mergeCell ref="T441:T442"/>
    <mergeCell ref="I441:I442"/>
    <mergeCell ref="J441:J442"/>
    <mergeCell ref="K441:K442"/>
    <mergeCell ref="L441:L442"/>
    <mergeCell ref="AI444:AI445"/>
    <mergeCell ref="AJ444:AJ445"/>
    <mergeCell ref="B463:B464"/>
    <mergeCell ref="C463:C464"/>
    <mergeCell ref="D463:D464"/>
    <mergeCell ref="E463:E464"/>
    <mergeCell ref="F463:F464"/>
    <mergeCell ref="G463:G464"/>
    <mergeCell ref="H463:H464"/>
    <mergeCell ref="I463:I464"/>
    <mergeCell ref="W444:W445"/>
    <mergeCell ref="X444:X445"/>
    <mergeCell ref="Y444:Y445"/>
    <mergeCell ref="Z444:Z445"/>
    <mergeCell ref="AG444:AG445"/>
    <mergeCell ref="AH444:AH445"/>
    <mergeCell ref="Q444:Q445"/>
    <mergeCell ref="R444:R445"/>
    <mergeCell ref="S444:S445"/>
    <mergeCell ref="T444:T445"/>
    <mergeCell ref="U444:U445"/>
    <mergeCell ref="V444:V445"/>
    <mergeCell ref="K444:K445"/>
    <mergeCell ref="L444:L445"/>
    <mergeCell ref="M444:M445"/>
    <mergeCell ref="N444:N445"/>
    <mergeCell ref="O444:O445"/>
    <mergeCell ref="P444:P445"/>
    <mergeCell ref="AH463:AH464"/>
    <mergeCell ref="AI463:AI464"/>
    <mergeCell ref="AJ463:AJ464"/>
    <mergeCell ref="B465:B466"/>
    <mergeCell ref="C465:C466"/>
    <mergeCell ref="D465:D466"/>
    <mergeCell ref="E465:E466"/>
    <mergeCell ref="F465:F466"/>
    <mergeCell ref="G465:G466"/>
    <mergeCell ref="H465:H466"/>
    <mergeCell ref="V463:V464"/>
    <mergeCell ref="W463:W464"/>
    <mergeCell ref="X463:X464"/>
    <mergeCell ref="Y463:Y464"/>
    <mergeCell ref="Z463:Z464"/>
    <mergeCell ref="AG463:AG464"/>
    <mergeCell ref="P463:P464"/>
    <mergeCell ref="Q463:Q464"/>
    <mergeCell ref="R463:R464"/>
    <mergeCell ref="S463:S464"/>
    <mergeCell ref="T463:T464"/>
    <mergeCell ref="U463:U464"/>
    <mergeCell ref="J463:J464"/>
    <mergeCell ref="K463:K464"/>
    <mergeCell ref="L463:L464"/>
    <mergeCell ref="M463:M464"/>
    <mergeCell ref="N463:N464"/>
    <mergeCell ref="O463:O464"/>
    <mergeCell ref="AG465:AG466"/>
    <mergeCell ref="AH465:AH466"/>
    <mergeCell ref="AI465:AI466"/>
    <mergeCell ref="AJ465:AJ466"/>
    <mergeCell ref="B467:B468"/>
    <mergeCell ref="C467:C468"/>
    <mergeCell ref="D467:D468"/>
    <mergeCell ref="E467:E468"/>
    <mergeCell ref="F467:F468"/>
    <mergeCell ref="G467:G468"/>
    <mergeCell ref="U465:U466"/>
    <mergeCell ref="V465:V466"/>
    <mergeCell ref="W465:W466"/>
    <mergeCell ref="X465:X466"/>
    <mergeCell ref="Y465:Y466"/>
    <mergeCell ref="Z465:Z466"/>
    <mergeCell ref="O465:O466"/>
    <mergeCell ref="P465:P466"/>
    <mergeCell ref="Q465:Q466"/>
    <mergeCell ref="R465:R466"/>
    <mergeCell ref="S465:S466"/>
    <mergeCell ref="T465:T466"/>
    <mergeCell ref="I465:I466"/>
    <mergeCell ref="J465:J466"/>
    <mergeCell ref="K465:K466"/>
    <mergeCell ref="L465:L466"/>
    <mergeCell ref="M465:M466"/>
    <mergeCell ref="N465:N466"/>
    <mergeCell ref="Z467:Z468"/>
    <mergeCell ref="AG467:AG468"/>
    <mergeCell ref="AH467:AH468"/>
    <mergeCell ref="AI467:AI468"/>
    <mergeCell ref="AJ467:AJ468"/>
    <mergeCell ref="T467:T468"/>
    <mergeCell ref="U467:U468"/>
    <mergeCell ref="V467:V468"/>
    <mergeCell ref="W467:W468"/>
    <mergeCell ref="X467:X468"/>
    <mergeCell ref="Y467:Y468"/>
    <mergeCell ref="N467:N468"/>
    <mergeCell ref="O467:O468"/>
    <mergeCell ref="P467:P468"/>
    <mergeCell ref="Q467:Q468"/>
    <mergeCell ref="R467:R468"/>
    <mergeCell ref="S467:S468"/>
    <mergeCell ref="H467:H468"/>
    <mergeCell ref="I467:I468"/>
    <mergeCell ref="J467:J468"/>
    <mergeCell ref="K467:K468"/>
    <mergeCell ref="L467:L468"/>
    <mergeCell ref="M467:M468"/>
    <mergeCell ref="AJ469:AJ470"/>
    <mergeCell ref="S469:S470"/>
    <mergeCell ref="T469:T470"/>
    <mergeCell ref="U469:U470"/>
    <mergeCell ref="V469:V470"/>
    <mergeCell ref="W469:W470"/>
    <mergeCell ref="X469:X470"/>
    <mergeCell ref="M469:M470"/>
    <mergeCell ref="N469:N470"/>
    <mergeCell ref="O469:O470"/>
    <mergeCell ref="P469:P470"/>
    <mergeCell ref="Q469:Q470"/>
    <mergeCell ref="R469:R470"/>
    <mergeCell ref="AJ471:AJ472"/>
    <mergeCell ref="B469:B470"/>
    <mergeCell ref="C469:C470"/>
    <mergeCell ref="D469:D470"/>
    <mergeCell ref="E469:E470"/>
    <mergeCell ref="F469:F470"/>
    <mergeCell ref="L471:L472"/>
    <mergeCell ref="M471:M472"/>
    <mergeCell ref="B471:B472"/>
    <mergeCell ref="C471:C472"/>
    <mergeCell ref="D471:D472"/>
    <mergeCell ref="E471:E472"/>
    <mergeCell ref="F471:F472"/>
    <mergeCell ref="G471:G472"/>
    <mergeCell ref="G469:G470"/>
    <mergeCell ref="H469:H470"/>
    <mergeCell ref="I469:I470"/>
    <mergeCell ref="J469:J470"/>
    <mergeCell ref="K469:K470"/>
    <mergeCell ref="L469:L470"/>
    <mergeCell ref="Z471:Z472"/>
    <mergeCell ref="AG471:AG472"/>
    <mergeCell ref="AH471:AH472"/>
    <mergeCell ref="AI471:AI472"/>
    <mergeCell ref="G473:G474"/>
    <mergeCell ref="H473:H474"/>
    <mergeCell ref="I473:I474"/>
    <mergeCell ref="J473:J474"/>
    <mergeCell ref="K473:K474"/>
    <mergeCell ref="L473:L474"/>
    <mergeCell ref="Z475:Z476"/>
    <mergeCell ref="AG475:AG476"/>
    <mergeCell ref="AH475:AH476"/>
    <mergeCell ref="AI475:AI476"/>
    <mergeCell ref="W473:W474"/>
    <mergeCell ref="X473:X474"/>
    <mergeCell ref="M473:M474"/>
    <mergeCell ref="N473:N474"/>
    <mergeCell ref="O473:O474"/>
    <mergeCell ref="P473:P474"/>
    <mergeCell ref="Q473:Q474"/>
    <mergeCell ref="R473:R474"/>
    <mergeCell ref="Y469:Y470"/>
    <mergeCell ref="Z469:Z470"/>
    <mergeCell ref="AG469:AG470"/>
    <mergeCell ref="AH469:AH470"/>
    <mergeCell ref="AI469:AI470"/>
    <mergeCell ref="AJ475:AJ476"/>
    <mergeCell ref="B473:B474"/>
    <mergeCell ref="C473:C474"/>
    <mergeCell ref="D473:D474"/>
    <mergeCell ref="E473:E474"/>
    <mergeCell ref="F473:F474"/>
    <mergeCell ref="T471:T472"/>
    <mergeCell ref="U471:U472"/>
    <mergeCell ref="V471:V472"/>
    <mergeCell ref="W471:W472"/>
    <mergeCell ref="X471:X472"/>
    <mergeCell ref="Y471:Y472"/>
    <mergeCell ref="N471:N472"/>
    <mergeCell ref="O471:O472"/>
    <mergeCell ref="P471:P472"/>
    <mergeCell ref="Q471:Q472"/>
    <mergeCell ref="R471:R472"/>
    <mergeCell ref="S471:S472"/>
    <mergeCell ref="H471:H472"/>
    <mergeCell ref="I471:I472"/>
    <mergeCell ref="J471:J472"/>
    <mergeCell ref="K471:K472"/>
    <mergeCell ref="Y473:Y474"/>
    <mergeCell ref="Z473:Z474"/>
    <mergeCell ref="AG473:AG474"/>
    <mergeCell ref="AH473:AH474"/>
    <mergeCell ref="AI473:AI474"/>
    <mergeCell ref="AJ473:AJ474"/>
    <mergeCell ref="S473:S474"/>
    <mergeCell ref="T473:T474"/>
    <mergeCell ref="U473:U474"/>
    <mergeCell ref="V473:V474"/>
    <mergeCell ref="B488:B489"/>
    <mergeCell ref="C488:C489"/>
    <mergeCell ref="D488:D489"/>
    <mergeCell ref="E488:E489"/>
    <mergeCell ref="F488:F489"/>
    <mergeCell ref="T475:T476"/>
    <mergeCell ref="U475:U476"/>
    <mergeCell ref="V475:V476"/>
    <mergeCell ref="W475:W476"/>
    <mergeCell ref="X475:X476"/>
    <mergeCell ref="Y475:Y476"/>
    <mergeCell ref="N475:N476"/>
    <mergeCell ref="O475:O476"/>
    <mergeCell ref="P475:P476"/>
    <mergeCell ref="Q475:Q476"/>
    <mergeCell ref="R475:R476"/>
    <mergeCell ref="S475:S476"/>
    <mergeCell ref="H475:H476"/>
    <mergeCell ref="I475:I476"/>
    <mergeCell ref="J475:J476"/>
    <mergeCell ref="K475:K476"/>
    <mergeCell ref="L475:L476"/>
    <mergeCell ref="M475:M476"/>
    <mergeCell ref="B475:B476"/>
    <mergeCell ref="C475:C476"/>
    <mergeCell ref="D475:D476"/>
    <mergeCell ref="E475:E476"/>
    <mergeCell ref="F475:F476"/>
    <mergeCell ref="G475:G476"/>
    <mergeCell ref="L490:L491"/>
    <mergeCell ref="M490:M491"/>
    <mergeCell ref="B490:B491"/>
    <mergeCell ref="C490:C491"/>
    <mergeCell ref="D490:D491"/>
    <mergeCell ref="E490:E491"/>
    <mergeCell ref="F490:F491"/>
    <mergeCell ref="G490:G491"/>
    <mergeCell ref="Y488:Y489"/>
    <mergeCell ref="Z488:Z489"/>
    <mergeCell ref="AG488:AG489"/>
    <mergeCell ref="AH488:AH489"/>
    <mergeCell ref="AI488:AI489"/>
    <mergeCell ref="AJ488:AJ489"/>
    <mergeCell ref="S488:S489"/>
    <mergeCell ref="T488:T489"/>
    <mergeCell ref="U488:U489"/>
    <mergeCell ref="V488:V489"/>
    <mergeCell ref="W488:W489"/>
    <mergeCell ref="X488:X489"/>
    <mergeCell ref="M488:M489"/>
    <mergeCell ref="N488:N489"/>
    <mergeCell ref="O488:O489"/>
    <mergeCell ref="P488:P489"/>
    <mergeCell ref="Q488:Q489"/>
    <mergeCell ref="R488:R489"/>
    <mergeCell ref="G488:G489"/>
    <mergeCell ref="H488:H489"/>
    <mergeCell ref="I488:I489"/>
    <mergeCell ref="J488:J489"/>
    <mergeCell ref="K488:K489"/>
    <mergeCell ref="L488:L489"/>
    <mergeCell ref="AI490:AI491"/>
    <mergeCell ref="AJ490:AJ491"/>
    <mergeCell ref="B492:B493"/>
    <mergeCell ref="C492:C493"/>
    <mergeCell ref="D492:D493"/>
    <mergeCell ref="E492:E493"/>
    <mergeCell ref="F492:F493"/>
    <mergeCell ref="G492:G493"/>
    <mergeCell ref="H492:H493"/>
    <mergeCell ref="I492:I493"/>
    <mergeCell ref="Z490:Z491"/>
    <mergeCell ref="AA490:AA491"/>
    <mergeCell ref="AB490:AB491"/>
    <mergeCell ref="AC490:AC491"/>
    <mergeCell ref="AG490:AG491"/>
    <mergeCell ref="AH490:AH491"/>
    <mergeCell ref="T490:T491"/>
    <mergeCell ref="U490:U491"/>
    <mergeCell ref="V490:V491"/>
    <mergeCell ref="W490:W491"/>
    <mergeCell ref="X490:X491"/>
    <mergeCell ref="Y490:Y491"/>
    <mergeCell ref="N490:N491"/>
    <mergeCell ref="O490:O491"/>
    <mergeCell ref="P490:P491"/>
    <mergeCell ref="Q490:Q491"/>
    <mergeCell ref="R490:R491"/>
    <mergeCell ref="S490:S491"/>
    <mergeCell ref="H490:H491"/>
    <mergeCell ref="I490:I491"/>
    <mergeCell ref="J490:J491"/>
    <mergeCell ref="K490:K491"/>
    <mergeCell ref="K520:K521"/>
    <mergeCell ref="L520:L521"/>
    <mergeCell ref="M520:M521"/>
    <mergeCell ref="N520:N521"/>
    <mergeCell ref="AH492:AH493"/>
    <mergeCell ref="AI492:AI493"/>
    <mergeCell ref="AJ492:AJ493"/>
    <mergeCell ref="B520:B521"/>
    <mergeCell ref="C520:C521"/>
    <mergeCell ref="D520:D521"/>
    <mergeCell ref="E520:E521"/>
    <mergeCell ref="F520:F521"/>
    <mergeCell ref="G520:G521"/>
    <mergeCell ref="H520:H521"/>
    <mergeCell ref="V492:V493"/>
    <mergeCell ref="W492:W493"/>
    <mergeCell ref="X492:X493"/>
    <mergeCell ref="Y492:Y493"/>
    <mergeCell ref="Z492:Z493"/>
    <mergeCell ref="AG492:AG493"/>
    <mergeCell ref="P492:P493"/>
    <mergeCell ref="Q492:Q493"/>
    <mergeCell ref="R492:R493"/>
    <mergeCell ref="S492:S493"/>
    <mergeCell ref="T492:T493"/>
    <mergeCell ref="U492:U493"/>
    <mergeCell ref="J492:J493"/>
    <mergeCell ref="K492:K493"/>
    <mergeCell ref="L492:L493"/>
    <mergeCell ref="M492:M493"/>
    <mergeCell ref="N492:N493"/>
    <mergeCell ref="O492:O493"/>
    <mergeCell ref="L570:L571"/>
    <mergeCell ref="M570:M571"/>
    <mergeCell ref="AG520:AG521"/>
    <mergeCell ref="AH520:AH521"/>
    <mergeCell ref="AI520:AI521"/>
    <mergeCell ref="AJ520:AJ521"/>
    <mergeCell ref="B570:B571"/>
    <mergeCell ref="C570:C571"/>
    <mergeCell ref="D570:D571"/>
    <mergeCell ref="E570:E571"/>
    <mergeCell ref="F570:F571"/>
    <mergeCell ref="G570:G571"/>
    <mergeCell ref="AA520:AA521"/>
    <mergeCell ref="AB520:AB521"/>
    <mergeCell ref="AC520:AC521"/>
    <mergeCell ref="AD520:AD521"/>
    <mergeCell ref="AE520:AE521"/>
    <mergeCell ref="AF520:AF521"/>
    <mergeCell ref="U520:U521"/>
    <mergeCell ref="V520:V521"/>
    <mergeCell ref="W520:W521"/>
    <mergeCell ref="X520:X521"/>
    <mergeCell ref="Y520:Y521"/>
    <mergeCell ref="Z520:Z521"/>
    <mergeCell ref="O520:O521"/>
    <mergeCell ref="P520:P521"/>
    <mergeCell ref="Q520:Q521"/>
    <mergeCell ref="R520:R521"/>
    <mergeCell ref="S520:S521"/>
    <mergeCell ref="T520:T521"/>
    <mergeCell ref="I520:I521"/>
    <mergeCell ref="J520:J521"/>
    <mergeCell ref="AI570:AI571"/>
    <mergeCell ref="AJ570:AJ571"/>
    <mergeCell ref="B574:B575"/>
    <mergeCell ref="C574:C575"/>
    <mergeCell ref="D574:D575"/>
    <mergeCell ref="E574:E575"/>
    <mergeCell ref="F574:F575"/>
    <mergeCell ref="G574:G575"/>
    <mergeCell ref="H574:H575"/>
    <mergeCell ref="I574:I575"/>
    <mergeCell ref="Z570:Z571"/>
    <mergeCell ref="AA570:AA571"/>
    <mergeCell ref="AB570:AB571"/>
    <mergeCell ref="AC570:AC571"/>
    <mergeCell ref="AG570:AG571"/>
    <mergeCell ref="AH570:AH571"/>
    <mergeCell ref="T570:T571"/>
    <mergeCell ref="U570:U571"/>
    <mergeCell ref="V570:V571"/>
    <mergeCell ref="W570:W571"/>
    <mergeCell ref="X570:X571"/>
    <mergeCell ref="Y570:Y571"/>
    <mergeCell ref="N570:N571"/>
    <mergeCell ref="O570:O571"/>
    <mergeCell ref="P570:P571"/>
    <mergeCell ref="Q570:Q571"/>
    <mergeCell ref="R570:R571"/>
    <mergeCell ref="S570:S571"/>
    <mergeCell ref="H570:H571"/>
    <mergeCell ref="I570:I571"/>
    <mergeCell ref="J570:J571"/>
    <mergeCell ref="K570:K571"/>
    <mergeCell ref="B576:B577"/>
    <mergeCell ref="C576:C577"/>
    <mergeCell ref="D576:D577"/>
    <mergeCell ref="E576:E577"/>
    <mergeCell ref="F576:F577"/>
    <mergeCell ref="G576:G577"/>
    <mergeCell ref="AB574:AB575"/>
    <mergeCell ref="AC574:AC575"/>
    <mergeCell ref="AG574:AG575"/>
    <mergeCell ref="AH574:AH575"/>
    <mergeCell ref="AI574:AI575"/>
    <mergeCell ref="AJ574:AJ575"/>
    <mergeCell ref="V574:V575"/>
    <mergeCell ref="W574:W575"/>
    <mergeCell ref="X574:X575"/>
    <mergeCell ref="Y574:Y575"/>
    <mergeCell ref="Z574:Z575"/>
    <mergeCell ref="AA574:AA575"/>
    <mergeCell ref="P574:P575"/>
    <mergeCell ref="Q574:Q575"/>
    <mergeCell ref="R574:R575"/>
    <mergeCell ref="S574:S575"/>
    <mergeCell ref="T574:T575"/>
    <mergeCell ref="U574:U575"/>
    <mergeCell ref="J574:J575"/>
    <mergeCell ref="K574:K575"/>
    <mergeCell ref="L574:L575"/>
    <mergeCell ref="M574:M575"/>
    <mergeCell ref="N574:N575"/>
    <mergeCell ref="O574:O575"/>
    <mergeCell ref="I582:I583"/>
    <mergeCell ref="J582:J583"/>
    <mergeCell ref="K582:K583"/>
    <mergeCell ref="L582:L583"/>
    <mergeCell ref="Z576:Z577"/>
    <mergeCell ref="AG576:AG577"/>
    <mergeCell ref="AH576:AH577"/>
    <mergeCell ref="AI576:AI577"/>
    <mergeCell ref="AJ576:AJ577"/>
    <mergeCell ref="B582:B583"/>
    <mergeCell ref="C582:C583"/>
    <mergeCell ref="D582:D583"/>
    <mergeCell ref="E582:E583"/>
    <mergeCell ref="F582:F583"/>
    <mergeCell ref="T576:T577"/>
    <mergeCell ref="U576:U577"/>
    <mergeCell ref="V576:V577"/>
    <mergeCell ref="W576:W577"/>
    <mergeCell ref="X576:X577"/>
    <mergeCell ref="Y576:Y577"/>
    <mergeCell ref="N576:N577"/>
    <mergeCell ref="O576:O577"/>
    <mergeCell ref="P576:P577"/>
    <mergeCell ref="Q576:Q577"/>
    <mergeCell ref="R576:R577"/>
    <mergeCell ref="S576:S577"/>
    <mergeCell ref="H576:H577"/>
    <mergeCell ref="I576:I577"/>
    <mergeCell ref="J576:J577"/>
    <mergeCell ref="K576:K577"/>
    <mergeCell ref="L576:L577"/>
    <mergeCell ref="M576:M577"/>
    <mergeCell ref="M594:M595"/>
    <mergeCell ref="N594:N595"/>
    <mergeCell ref="AH582:AH583"/>
    <mergeCell ref="AI582:AI583"/>
    <mergeCell ref="AJ582:AJ583"/>
    <mergeCell ref="B594:B595"/>
    <mergeCell ref="C594:C595"/>
    <mergeCell ref="D594:D595"/>
    <mergeCell ref="E594:E595"/>
    <mergeCell ref="F594:F595"/>
    <mergeCell ref="G594:G595"/>
    <mergeCell ref="H594:H595"/>
    <mergeCell ref="Y582:Y583"/>
    <mergeCell ref="Z582:Z583"/>
    <mergeCell ref="AA582:AA583"/>
    <mergeCell ref="AB582:AB583"/>
    <mergeCell ref="AC582:AC583"/>
    <mergeCell ref="AG582:AG583"/>
    <mergeCell ref="S582:S583"/>
    <mergeCell ref="T582:T583"/>
    <mergeCell ref="U582:U583"/>
    <mergeCell ref="V582:V583"/>
    <mergeCell ref="W582:W583"/>
    <mergeCell ref="X582:X583"/>
    <mergeCell ref="M582:M583"/>
    <mergeCell ref="N582:N583"/>
    <mergeCell ref="O582:O583"/>
    <mergeCell ref="P582:P583"/>
    <mergeCell ref="Q582:Q583"/>
    <mergeCell ref="R582:R583"/>
    <mergeCell ref="G582:G583"/>
    <mergeCell ref="H582:H583"/>
    <mergeCell ref="AJ594:AJ595"/>
    <mergeCell ref="B596:B597"/>
    <mergeCell ref="C596:C597"/>
    <mergeCell ref="D596:D597"/>
    <mergeCell ref="E596:E597"/>
    <mergeCell ref="F596:F597"/>
    <mergeCell ref="G596:G597"/>
    <mergeCell ref="H596:H597"/>
    <mergeCell ref="I596:I597"/>
    <mergeCell ref="J596:J597"/>
    <mergeCell ref="AA594:AA595"/>
    <mergeCell ref="AB594:AB595"/>
    <mergeCell ref="AC594:AC595"/>
    <mergeCell ref="AG594:AG595"/>
    <mergeCell ref="AH594:AH595"/>
    <mergeCell ref="AI594:AI595"/>
    <mergeCell ref="U594:U595"/>
    <mergeCell ref="V594:V595"/>
    <mergeCell ref="W594:W595"/>
    <mergeCell ref="X594:X595"/>
    <mergeCell ref="Y594:Y595"/>
    <mergeCell ref="Z594:Z595"/>
    <mergeCell ref="O594:O595"/>
    <mergeCell ref="P594:P595"/>
    <mergeCell ref="Q594:Q595"/>
    <mergeCell ref="R594:R595"/>
    <mergeCell ref="S594:S595"/>
    <mergeCell ref="T594:T595"/>
    <mergeCell ref="I594:I595"/>
    <mergeCell ref="J594:J595"/>
    <mergeCell ref="K594:K595"/>
    <mergeCell ref="L594:L595"/>
    <mergeCell ref="I598:I599"/>
    <mergeCell ref="J598:J599"/>
    <mergeCell ref="K598:K599"/>
    <mergeCell ref="L598:L599"/>
    <mergeCell ref="AC596:AC597"/>
    <mergeCell ref="AG596:AG597"/>
    <mergeCell ref="AH596:AH597"/>
    <mergeCell ref="AI596:AI597"/>
    <mergeCell ref="AJ596:AJ597"/>
    <mergeCell ref="B598:B599"/>
    <mergeCell ref="C598:C599"/>
    <mergeCell ref="D598:D599"/>
    <mergeCell ref="E598:E599"/>
    <mergeCell ref="F598:F599"/>
    <mergeCell ref="W596:W597"/>
    <mergeCell ref="X596:X597"/>
    <mergeCell ref="Y596:Y597"/>
    <mergeCell ref="Z596:Z597"/>
    <mergeCell ref="AA596:AA597"/>
    <mergeCell ref="AB596:AB597"/>
    <mergeCell ref="Q596:Q597"/>
    <mergeCell ref="R596:R597"/>
    <mergeCell ref="S596:S597"/>
    <mergeCell ref="T596:T597"/>
    <mergeCell ref="U596:U597"/>
    <mergeCell ref="V596:V597"/>
    <mergeCell ref="K596:K597"/>
    <mergeCell ref="L596:L597"/>
    <mergeCell ref="M596:M597"/>
    <mergeCell ref="N596:N597"/>
    <mergeCell ref="O596:O597"/>
    <mergeCell ref="P596:P597"/>
    <mergeCell ref="M600:M601"/>
    <mergeCell ref="N600:N601"/>
    <mergeCell ref="AH598:AH599"/>
    <mergeCell ref="AI598:AI599"/>
    <mergeCell ref="AJ598:AJ599"/>
    <mergeCell ref="B600:B601"/>
    <mergeCell ref="C600:C601"/>
    <mergeCell ref="D600:D601"/>
    <mergeCell ref="E600:E601"/>
    <mergeCell ref="F600:F601"/>
    <mergeCell ref="G600:G601"/>
    <mergeCell ref="H600:H601"/>
    <mergeCell ref="Y598:Y599"/>
    <mergeCell ref="Z598:Z599"/>
    <mergeCell ref="AA598:AA599"/>
    <mergeCell ref="AB598:AB599"/>
    <mergeCell ref="AC598:AC599"/>
    <mergeCell ref="AG598:AG599"/>
    <mergeCell ref="S598:S599"/>
    <mergeCell ref="T598:T599"/>
    <mergeCell ref="U598:U599"/>
    <mergeCell ref="V598:V599"/>
    <mergeCell ref="W598:W599"/>
    <mergeCell ref="X598:X599"/>
    <mergeCell ref="M598:M599"/>
    <mergeCell ref="N598:N599"/>
    <mergeCell ref="O598:O599"/>
    <mergeCell ref="P598:P599"/>
    <mergeCell ref="Q598:Q599"/>
    <mergeCell ref="R598:R599"/>
    <mergeCell ref="G598:G599"/>
    <mergeCell ref="H598:H599"/>
    <mergeCell ref="AJ600:AJ601"/>
    <mergeCell ref="B602:B603"/>
    <mergeCell ref="C602:C603"/>
    <mergeCell ref="D602:D603"/>
    <mergeCell ref="E602:E603"/>
    <mergeCell ref="F602:F603"/>
    <mergeCell ref="G602:G603"/>
    <mergeCell ref="H602:H603"/>
    <mergeCell ref="I602:I603"/>
    <mergeCell ref="J602:J603"/>
    <mergeCell ref="AA600:AA601"/>
    <mergeCell ref="AB600:AB601"/>
    <mergeCell ref="AC600:AC601"/>
    <mergeCell ref="AG600:AG601"/>
    <mergeCell ref="AH600:AH601"/>
    <mergeCell ref="AI600:AI601"/>
    <mergeCell ref="U600:U601"/>
    <mergeCell ref="V600:V601"/>
    <mergeCell ref="W600:W601"/>
    <mergeCell ref="X600:X601"/>
    <mergeCell ref="Y600:Y601"/>
    <mergeCell ref="Z600:Z601"/>
    <mergeCell ref="O600:O601"/>
    <mergeCell ref="P600:P601"/>
    <mergeCell ref="Q600:Q601"/>
    <mergeCell ref="R600:R601"/>
    <mergeCell ref="S600:S601"/>
    <mergeCell ref="T600:T601"/>
    <mergeCell ref="I600:I601"/>
    <mergeCell ref="J600:J601"/>
    <mergeCell ref="K600:K601"/>
    <mergeCell ref="L600:L601"/>
    <mergeCell ref="AC602:AC603"/>
    <mergeCell ref="AG602:AG603"/>
    <mergeCell ref="AH602:AH603"/>
    <mergeCell ref="AI602:AI603"/>
    <mergeCell ref="AJ602:AJ603"/>
    <mergeCell ref="B605:B606"/>
    <mergeCell ref="C605:C606"/>
    <mergeCell ref="D605:D606"/>
    <mergeCell ref="E605:E606"/>
    <mergeCell ref="F605:F606"/>
    <mergeCell ref="W602:W603"/>
    <mergeCell ref="X602:X603"/>
    <mergeCell ref="Y602:Y603"/>
    <mergeCell ref="Z602:Z603"/>
    <mergeCell ref="AA602:AA603"/>
    <mergeCell ref="AB602:AB603"/>
    <mergeCell ref="Q602:Q603"/>
    <mergeCell ref="R602:R603"/>
    <mergeCell ref="S602:S603"/>
    <mergeCell ref="T602:T603"/>
    <mergeCell ref="U602:U603"/>
    <mergeCell ref="V602:V603"/>
    <mergeCell ref="K602:K603"/>
    <mergeCell ref="L602:L603"/>
    <mergeCell ref="M602:M603"/>
    <mergeCell ref="N602:N603"/>
    <mergeCell ref="O602:O603"/>
    <mergeCell ref="P602:P603"/>
    <mergeCell ref="L607:L608"/>
    <mergeCell ref="M607:M608"/>
    <mergeCell ref="B607:B608"/>
    <mergeCell ref="C607:C608"/>
    <mergeCell ref="D607:D608"/>
    <mergeCell ref="E607:E608"/>
    <mergeCell ref="F607:F608"/>
    <mergeCell ref="G607:G608"/>
    <mergeCell ref="Y605:Y606"/>
    <mergeCell ref="Z605:Z606"/>
    <mergeCell ref="AG605:AG606"/>
    <mergeCell ref="AH605:AH606"/>
    <mergeCell ref="AI605:AI606"/>
    <mergeCell ref="AJ605:AJ606"/>
    <mergeCell ref="S605:S606"/>
    <mergeCell ref="T605:T606"/>
    <mergeCell ref="U605:U606"/>
    <mergeCell ref="V605:V606"/>
    <mergeCell ref="W605:W606"/>
    <mergeCell ref="X605:X606"/>
    <mergeCell ref="M605:M606"/>
    <mergeCell ref="N605:N606"/>
    <mergeCell ref="O605:O606"/>
    <mergeCell ref="P605:P606"/>
    <mergeCell ref="Q605:Q606"/>
    <mergeCell ref="R605:R606"/>
    <mergeCell ref="G605:G606"/>
    <mergeCell ref="H605:H606"/>
    <mergeCell ref="I605:I606"/>
    <mergeCell ref="J605:J606"/>
    <mergeCell ref="K605:K606"/>
    <mergeCell ref="L605:L606"/>
    <mergeCell ref="AI607:AI608"/>
    <mergeCell ref="AJ607:AJ608"/>
    <mergeCell ref="B610:B611"/>
    <mergeCell ref="C610:C611"/>
    <mergeCell ref="D610:D611"/>
    <mergeCell ref="E610:E611"/>
    <mergeCell ref="F610:F611"/>
    <mergeCell ref="G610:G611"/>
    <mergeCell ref="H610:H611"/>
    <mergeCell ref="I610:I611"/>
    <mergeCell ref="Z607:Z608"/>
    <mergeCell ref="AA607:AA608"/>
    <mergeCell ref="AB607:AB608"/>
    <mergeCell ref="AC607:AC608"/>
    <mergeCell ref="AG607:AG608"/>
    <mergeCell ref="AH607:AH608"/>
    <mergeCell ref="T607:T608"/>
    <mergeCell ref="U607:U608"/>
    <mergeCell ref="V607:V608"/>
    <mergeCell ref="W607:W608"/>
    <mergeCell ref="X607:X608"/>
    <mergeCell ref="Y607:Y608"/>
    <mergeCell ref="N607:N608"/>
    <mergeCell ref="O607:O608"/>
    <mergeCell ref="P607:P608"/>
    <mergeCell ref="Q607:Q608"/>
    <mergeCell ref="R607:R608"/>
    <mergeCell ref="S607:S608"/>
    <mergeCell ref="H607:H608"/>
    <mergeCell ref="I607:I608"/>
    <mergeCell ref="J607:J608"/>
    <mergeCell ref="K607:K608"/>
    <mergeCell ref="L618:L619"/>
    <mergeCell ref="M618:M619"/>
    <mergeCell ref="B618:B619"/>
    <mergeCell ref="C618:C619"/>
    <mergeCell ref="D618:D619"/>
    <mergeCell ref="E618:E619"/>
    <mergeCell ref="F618:F619"/>
    <mergeCell ref="G618:G619"/>
    <mergeCell ref="AB610:AB611"/>
    <mergeCell ref="AC610:AC611"/>
    <mergeCell ref="AG610:AG611"/>
    <mergeCell ref="AH610:AH611"/>
    <mergeCell ref="AI610:AI611"/>
    <mergeCell ref="AJ610:AJ611"/>
    <mergeCell ref="V610:V611"/>
    <mergeCell ref="W610:W611"/>
    <mergeCell ref="X610:X611"/>
    <mergeCell ref="Y610:Y611"/>
    <mergeCell ref="Z610:Z611"/>
    <mergeCell ref="AA610:AA611"/>
    <mergeCell ref="P610:P611"/>
    <mergeCell ref="Q610:Q611"/>
    <mergeCell ref="R610:R611"/>
    <mergeCell ref="S610:S611"/>
    <mergeCell ref="T610:T611"/>
    <mergeCell ref="U610:U611"/>
    <mergeCell ref="J610:J611"/>
    <mergeCell ref="K610:K611"/>
    <mergeCell ref="L610:L611"/>
    <mergeCell ref="M610:M611"/>
    <mergeCell ref="N610:N611"/>
    <mergeCell ref="O610:O611"/>
    <mergeCell ref="AI618:AI619"/>
    <mergeCell ref="AJ618:AJ619"/>
    <mergeCell ref="B625:B626"/>
    <mergeCell ref="C625:C626"/>
    <mergeCell ref="D625:D626"/>
    <mergeCell ref="E625:E626"/>
    <mergeCell ref="F625:F626"/>
    <mergeCell ref="G625:G626"/>
    <mergeCell ref="H625:H626"/>
    <mergeCell ref="I625:I626"/>
    <mergeCell ref="Z618:Z619"/>
    <mergeCell ref="AA618:AA619"/>
    <mergeCell ref="AB618:AB619"/>
    <mergeCell ref="AC618:AC619"/>
    <mergeCell ref="AG618:AG619"/>
    <mergeCell ref="AH618:AH619"/>
    <mergeCell ref="T618:T619"/>
    <mergeCell ref="U618:U619"/>
    <mergeCell ref="V618:V619"/>
    <mergeCell ref="W618:W619"/>
    <mergeCell ref="X618:X619"/>
    <mergeCell ref="Y618:Y619"/>
    <mergeCell ref="N618:N619"/>
    <mergeCell ref="O618:O619"/>
    <mergeCell ref="P618:P619"/>
    <mergeCell ref="Q618:Q619"/>
    <mergeCell ref="R618:R619"/>
    <mergeCell ref="S618:S619"/>
    <mergeCell ref="H618:H619"/>
    <mergeCell ref="I618:I619"/>
    <mergeCell ref="J618:J619"/>
    <mergeCell ref="K618:K619"/>
    <mergeCell ref="AH625:AH626"/>
    <mergeCell ref="AI625:AI626"/>
    <mergeCell ref="AJ625:AJ626"/>
    <mergeCell ref="V625:V626"/>
    <mergeCell ref="W625:W626"/>
    <mergeCell ref="X625:X626"/>
    <mergeCell ref="Y625:Y626"/>
    <mergeCell ref="Z625:Z626"/>
    <mergeCell ref="AA625:AA626"/>
    <mergeCell ref="P625:P626"/>
    <mergeCell ref="Q625:Q626"/>
    <mergeCell ref="R625:R626"/>
    <mergeCell ref="S625:S626"/>
    <mergeCell ref="T625:T626"/>
    <mergeCell ref="U625:U626"/>
    <mergeCell ref="J625:J626"/>
    <mergeCell ref="K625:K626"/>
    <mergeCell ref="L625:L626"/>
    <mergeCell ref="M625:M626"/>
    <mergeCell ref="N625:N626"/>
    <mergeCell ref="O625:O626"/>
    <mergeCell ref="R627:R628"/>
    <mergeCell ref="S627:S628"/>
    <mergeCell ref="H627:H628"/>
    <mergeCell ref="I627:I628"/>
    <mergeCell ref="J627:J628"/>
    <mergeCell ref="K627:K628"/>
    <mergeCell ref="L627:L628"/>
    <mergeCell ref="M627:M628"/>
    <mergeCell ref="B627:B628"/>
    <mergeCell ref="C627:C628"/>
    <mergeCell ref="D627:D628"/>
    <mergeCell ref="E627:E628"/>
    <mergeCell ref="F627:F628"/>
    <mergeCell ref="G627:G628"/>
    <mergeCell ref="AB625:AB626"/>
    <mergeCell ref="AC625:AC626"/>
    <mergeCell ref="AG625:AG626"/>
    <mergeCell ref="J629:J630"/>
    <mergeCell ref="K629:K630"/>
    <mergeCell ref="L629:L630"/>
    <mergeCell ref="M629:M630"/>
    <mergeCell ref="N629:N630"/>
    <mergeCell ref="O629:O630"/>
    <mergeCell ref="AI627:AI628"/>
    <mergeCell ref="AJ627:AJ628"/>
    <mergeCell ref="B629:B630"/>
    <mergeCell ref="C629:C630"/>
    <mergeCell ref="D629:D630"/>
    <mergeCell ref="E629:E630"/>
    <mergeCell ref="F629:F630"/>
    <mergeCell ref="G629:G630"/>
    <mergeCell ref="H629:H630"/>
    <mergeCell ref="I629:I630"/>
    <mergeCell ref="Z627:Z628"/>
    <mergeCell ref="AA627:AA628"/>
    <mergeCell ref="AB627:AB628"/>
    <mergeCell ref="AC627:AC628"/>
    <mergeCell ref="AG627:AG628"/>
    <mergeCell ref="AH627:AH628"/>
    <mergeCell ref="T627:T628"/>
    <mergeCell ref="U627:U628"/>
    <mergeCell ref="V627:V628"/>
    <mergeCell ref="W627:W628"/>
    <mergeCell ref="X627:X628"/>
    <mergeCell ref="Y627:Y628"/>
    <mergeCell ref="N627:N628"/>
    <mergeCell ref="O627:O628"/>
    <mergeCell ref="P627:P628"/>
    <mergeCell ref="Q627:Q628"/>
    <mergeCell ref="AB629:AB630"/>
    <mergeCell ref="AC629:AC630"/>
    <mergeCell ref="AG629:AG630"/>
    <mergeCell ref="AH629:AH630"/>
    <mergeCell ref="AI629:AI630"/>
    <mergeCell ref="AJ629:AJ630"/>
    <mergeCell ref="V629:V630"/>
    <mergeCell ref="W629:W630"/>
    <mergeCell ref="X629:X630"/>
    <mergeCell ref="Y629:Y630"/>
    <mergeCell ref="Z629:Z630"/>
    <mergeCell ref="AA629:AA630"/>
    <mergeCell ref="P629:P630"/>
    <mergeCell ref="Q629:Q630"/>
    <mergeCell ref="R629:R630"/>
    <mergeCell ref="S629:S630"/>
    <mergeCell ref="T629:T630"/>
    <mergeCell ref="U629:U630"/>
    <mergeCell ref="Y631:Y632"/>
    <mergeCell ref="N631:N632"/>
    <mergeCell ref="O631:O632"/>
    <mergeCell ref="P631:P632"/>
    <mergeCell ref="Q631:Q632"/>
    <mergeCell ref="R631:R632"/>
    <mergeCell ref="S631:S632"/>
    <mergeCell ref="H631:H632"/>
    <mergeCell ref="I631:I632"/>
    <mergeCell ref="J631:J632"/>
    <mergeCell ref="K631:K632"/>
    <mergeCell ref="L631:L632"/>
    <mergeCell ref="M631:M632"/>
    <mergeCell ref="B631:B632"/>
    <mergeCell ref="C631:C632"/>
    <mergeCell ref="D631:D632"/>
    <mergeCell ref="E631:E632"/>
    <mergeCell ref="F631:F632"/>
    <mergeCell ref="G631:G632"/>
    <mergeCell ref="J633:J634"/>
    <mergeCell ref="K633:K634"/>
    <mergeCell ref="L633:L634"/>
    <mergeCell ref="M633:M634"/>
    <mergeCell ref="N633:N634"/>
    <mergeCell ref="O633:O634"/>
    <mergeCell ref="Z702:Z703"/>
    <mergeCell ref="AG702:AG703"/>
    <mergeCell ref="AH702:AH703"/>
    <mergeCell ref="AI702:AI703"/>
    <mergeCell ref="AJ702:AJ703"/>
    <mergeCell ref="AI631:AI632"/>
    <mergeCell ref="AJ631:AJ632"/>
    <mergeCell ref="B633:B634"/>
    <mergeCell ref="C633:C634"/>
    <mergeCell ref="D633:D634"/>
    <mergeCell ref="E633:E634"/>
    <mergeCell ref="F633:F634"/>
    <mergeCell ref="G633:G634"/>
    <mergeCell ref="H633:H634"/>
    <mergeCell ref="I633:I634"/>
    <mergeCell ref="Z631:Z632"/>
    <mergeCell ref="AA631:AA632"/>
    <mergeCell ref="AB631:AB632"/>
    <mergeCell ref="AC631:AC632"/>
    <mergeCell ref="AG631:AG632"/>
    <mergeCell ref="AH631:AH632"/>
    <mergeCell ref="T631:T632"/>
    <mergeCell ref="U631:U632"/>
    <mergeCell ref="V631:V632"/>
    <mergeCell ref="W631:W632"/>
    <mergeCell ref="X631:X632"/>
    <mergeCell ref="AB633:AB634"/>
    <mergeCell ref="AC633:AC634"/>
    <mergeCell ref="AG633:AG634"/>
    <mergeCell ref="AH633:AH634"/>
    <mergeCell ref="AI633:AI634"/>
    <mergeCell ref="AJ633:AJ634"/>
    <mergeCell ref="V633:V634"/>
    <mergeCell ref="W633:W634"/>
    <mergeCell ref="X633:X634"/>
    <mergeCell ref="Y633:Y634"/>
    <mergeCell ref="Z633:Z634"/>
    <mergeCell ref="AA633:AA634"/>
    <mergeCell ref="P633:P634"/>
    <mergeCell ref="Q633:Q634"/>
    <mergeCell ref="R633:R634"/>
    <mergeCell ref="S633:S634"/>
    <mergeCell ref="T633:T634"/>
    <mergeCell ref="U633:U634"/>
    <mergeCell ref="B704:B705"/>
    <mergeCell ref="C704:C705"/>
    <mergeCell ref="D704:D705"/>
    <mergeCell ref="E704:E705"/>
    <mergeCell ref="F704:F705"/>
    <mergeCell ref="T702:T703"/>
    <mergeCell ref="U702:U703"/>
    <mergeCell ref="V702:V703"/>
    <mergeCell ref="W702:W703"/>
    <mergeCell ref="X702:X703"/>
    <mergeCell ref="Y702:Y703"/>
    <mergeCell ref="N702:N703"/>
    <mergeCell ref="O702:O703"/>
    <mergeCell ref="P702:P703"/>
    <mergeCell ref="Q702:Q703"/>
    <mergeCell ref="R702:R703"/>
    <mergeCell ref="S702:S703"/>
    <mergeCell ref="H702:H703"/>
    <mergeCell ref="I702:I703"/>
    <mergeCell ref="J702:J703"/>
    <mergeCell ref="K702:K703"/>
    <mergeCell ref="L702:L703"/>
    <mergeCell ref="M702:M703"/>
    <mergeCell ref="B702:B703"/>
    <mergeCell ref="C702:C703"/>
    <mergeCell ref="D702:D703"/>
    <mergeCell ref="E702:E703"/>
    <mergeCell ref="F702:F703"/>
    <mergeCell ref="G702:G703"/>
    <mergeCell ref="L706:L707"/>
    <mergeCell ref="M706:M707"/>
    <mergeCell ref="B706:B707"/>
    <mergeCell ref="C706:C707"/>
    <mergeCell ref="D706:D707"/>
    <mergeCell ref="E706:E707"/>
    <mergeCell ref="F706:F707"/>
    <mergeCell ref="G706:G707"/>
    <mergeCell ref="Y704:Y705"/>
    <mergeCell ref="Z704:Z705"/>
    <mergeCell ref="AG704:AG705"/>
    <mergeCell ref="AH704:AH705"/>
    <mergeCell ref="AI704:AI705"/>
    <mergeCell ref="AJ704:AJ705"/>
    <mergeCell ref="S704:S705"/>
    <mergeCell ref="T704:T705"/>
    <mergeCell ref="U704:U705"/>
    <mergeCell ref="V704:V705"/>
    <mergeCell ref="W704:W705"/>
    <mergeCell ref="X704:X705"/>
    <mergeCell ref="M704:M705"/>
    <mergeCell ref="N704:N705"/>
    <mergeCell ref="O704:O705"/>
    <mergeCell ref="P704:P705"/>
    <mergeCell ref="Q704:Q705"/>
    <mergeCell ref="R704:R705"/>
    <mergeCell ref="G704:G705"/>
    <mergeCell ref="H704:H705"/>
    <mergeCell ref="I704:I705"/>
    <mergeCell ref="J704:J705"/>
    <mergeCell ref="K704:K705"/>
    <mergeCell ref="L704:L705"/>
    <mergeCell ref="AI706:AI707"/>
    <mergeCell ref="AJ706:AJ707"/>
    <mergeCell ref="B708:B709"/>
    <mergeCell ref="C708:C709"/>
    <mergeCell ref="D708:D709"/>
    <mergeCell ref="E708:E709"/>
    <mergeCell ref="F708:F709"/>
    <mergeCell ref="G708:G709"/>
    <mergeCell ref="H708:H709"/>
    <mergeCell ref="I708:I709"/>
    <mergeCell ref="Z706:Z707"/>
    <mergeCell ref="AA706:AA707"/>
    <mergeCell ref="AB706:AB707"/>
    <mergeCell ref="AC706:AC707"/>
    <mergeCell ref="AG706:AG707"/>
    <mergeCell ref="AH706:AH707"/>
    <mergeCell ref="T706:T707"/>
    <mergeCell ref="U706:U707"/>
    <mergeCell ref="V706:V707"/>
    <mergeCell ref="W706:W707"/>
    <mergeCell ref="X706:X707"/>
    <mergeCell ref="Y706:Y707"/>
    <mergeCell ref="N706:N707"/>
    <mergeCell ref="O706:O707"/>
    <mergeCell ref="P706:P707"/>
    <mergeCell ref="Q706:Q707"/>
    <mergeCell ref="R706:R707"/>
    <mergeCell ref="S706:S707"/>
    <mergeCell ref="H706:H707"/>
    <mergeCell ref="I706:I707"/>
    <mergeCell ref="J706:J707"/>
    <mergeCell ref="K706:K707"/>
    <mergeCell ref="AH708:AH709"/>
    <mergeCell ref="AI708:AI709"/>
    <mergeCell ref="AJ708:AJ709"/>
    <mergeCell ref="B710:B712"/>
    <mergeCell ref="C710:C712"/>
    <mergeCell ref="D710:D712"/>
    <mergeCell ref="E710:E712"/>
    <mergeCell ref="F710:F712"/>
    <mergeCell ref="G710:G712"/>
    <mergeCell ref="H710:H712"/>
    <mergeCell ref="V708:V709"/>
    <mergeCell ref="W708:W709"/>
    <mergeCell ref="X708:X709"/>
    <mergeCell ref="Y708:Y709"/>
    <mergeCell ref="Z708:Z709"/>
    <mergeCell ref="AG708:AG709"/>
    <mergeCell ref="P708:P709"/>
    <mergeCell ref="Q708:Q709"/>
    <mergeCell ref="R708:R709"/>
    <mergeCell ref="S708:S709"/>
    <mergeCell ref="T708:T709"/>
    <mergeCell ref="U708:U709"/>
    <mergeCell ref="J708:J709"/>
    <mergeCell ref="K708:K709"/>
    <mergeCell ref="L708:L709"/>
    <mergeCell ref="M708:M709"/>
    <mergeCell ref="N708:N709"/>
    <mergeCell ref="O708:O709"/>
    <mergeCell ref="AG710:AG712"/>
    <mergeCell ref="AH710:AH712"/>
    <mergeCell ref="AI710:AI712"/>
    <mergeCell ref="AJ710:AJ712"/>
    <mergeCell ref="G720:G721"/>
    <mergeCell ref="U710:U712"/>
    <mergeCell ref="V710:V712"/>
    <mergeCell ref="W710:W712"/>
    <mergeCell ref="X710:X712"/>
    <mergeCell ref="Y710:Y712"/>
    <mergeCell ref="Z710:Z712"/>
    <mergeCell ref="O710:O712"/>
    <mergeCell ref="P710:P712"/>
    <mergeCell ref="Q710:Q712"/>
    <mergeCell ref="R710:R712"/>
    <mergeCell ref="S710:S712"/>
    <mergeCell ref="T710:T712"/>
    <mergeCell ref="I710:I712"/>
    <mergeCell ref="J710:J712"/>
    <mergeCell ref="K710:K712"/>
    <mergeCell ref="L710:L712"/>
    <mergeCell ref="M710:M712"/>
    <mergeCell ref="N710:N712"/>
    <mergeCell ref="Z720:Z721"/>
    <mergeCell ref="AG720:AG721"/>
    <mergeCell ref="AH720:AH721"/>
    <mergeCell ref="AI720:AI721"/>
    <mergeCell ref="AJ720:AJ721"/>
    <mergeCell ref="B723:B727"/>
    <mergeCell ref="C723:C727"/>
    <mergeCell ref="D723:D727"/>
    <mergeCell ref="E723:E727"/>
    <mergeCell ref="F723:F727"/>
    <mergeCell ref="T720:T721"/>
    <mergeCell ref="U720:U721"/>
    <mergeCell ref="V720:V721"/>
    <mergeCell ref="W720:W721"/>
    <mergeCell ref="X720:X721"/>
    <mergeCell ref="Y720:Y721"/>
    <mergeCell ref="N720:N721"/>
    <mergeCell ref="O720:O721"/>
    <mergeCell ref="P720:P721"/>
    <mergeCell ref="Q720:Q721"/>
    <mergeCell ref="R720:R721"/>
    <mergeCell ref="S720:S721"/>
    <mergeCell ref="H720:H721"/>
    <mergeCell ref="I720:I721"/>
    <mergeCell ref="J720:J721"/>
    <mergeCell ref="K720:K721"/>
    <mergeCell ref="L720:L721"/>
    <mergeCell ref="M720:M721"/>
    <mergeCell ref="B720:B721"/>
    <mergeCell ref="C720:C721"/>
    <mergeCell ref="D720:D721"/>
    <mergeCell ref="E720:E721"/>
    <mergeCell ref="F720:F721"/>
    <mergeCell ref="D728:D729"/>
    <mergeCell ref="E728:E729"/>
    <mergeCell ref="F728:F729"/>
    <mergeCell ref="G728:G729"/>
    <mergeCell ref="Y723:Y727"/>
    <mergeCell ref="Z723:Z727"/>
    <mergeCell ref="AG723:AG727"/>
    <mergeCell ref="AH723:AH727"/>
    <mergeCell ref="AI723:AI727"/>
    <mergeCell ref="AJ723:AJ727"/>
    <mergeCell ref="S723:S727"/>
    <mergeCell ref="T723:T727"/>
    <mergeCell ref="U723:U727"/>
    <mergeCell ref="V723:V727"/>
    <mergeCell ref="W723:W727"/>
    <mergeCell ref="X723:X727"/>
    <mergeCell ref="M723:M727"/>
    <mergeCell ref="N723:N727"/>
    <mergeCell ref="O723:O727"/>
    <mergeCell ref="P723:P727"/>
    <mergeCell ref="Q723:Q727"/>
    <mergeCell ref="R723:R727"/>
    <mergeCell ref="G723:G727"/>
    <mergeCell ref="H723:H727"/>
    <mergeCell ref="I723:I727"/>
    <mergeCell ref="J723:J727"/>
    <mergeCell ref="K723:K727"/>
    <mergeCell ref="L723:L727"/>
    <mergeCell ref="K731:K732"/>
    <mergeCell ref="L731:L732"/>
    <mergeCell ref="Z728:Z729"/>
    <mergeCell ref="AG728:AG729"/>
    <mergeCell ref="AH728:AH729"/>
    <mergeCell ref="AI728:AI729"/>
    <mergeCell ref="AJ728:AJ729"/>
    <mergeCell ref="B731:B732"/>
    <mergeCell ref="C731:C732"/>
    <mergeCell ref="D731:D732"/>
    <mergeCell ref="E731:E732"/>
    <mergeCell ref="F731:F732"/>
    <mergeCell ref="T728:T729"/>
    <mergeCell ref="U728:U729"/>
    <mergeCell ref="V728:V729"/>
    <mergeCell ref="W728:W729"/>
    <mergeCell ref="X728:X729"/>
    <mergeCell ref="Y728:Y729"/>
    <mergeCell ref="N728:N729"/>
    <mergeCell ref="O728:O729"/>
    <mergeCell ref="P728:P729"/>
    <mergeCell ref="Q728:Q729"/>
    <mergeCell ref="R728:R729"/>
    <mergeCell ref="S728:S729"/>
    <mergeCell ref="H728:H729"/>
    <mergeCell ref="I728:I729"/>
    <mergeCell ref="J728:J729"/>
    <mergeCell ref="K728:K729"/>
    <mergeCell ref="L728:L729"/>
    <mergeCell ref="M728:M729"/>
    <mergeCell ref="B728:B729"/>
    <mergeCell ref="C728:C729"/>
    <mergeCell ref="AH731:AH732"/>
    <mergeCell ref="AI731:AI732"/>
    <mergeCell ref="AJ731:AJ732"/>
    <mergeCell ref="B733:B735"/>
    <mergeCell ref="C733:C735"/>
    <mergeCell ref="D733:D735"/>
    <mergeCell ref="E733:E735"/>
    <mergeCell ref="F733:F735"/>
    <mergeCell ref="G733:G735"/>
    <mergeCell ref="H733:H735"/>
    <mergeCell ref="Y731:Y732"/>
    <mergeCell ref="Z731:Z732"/>
    <mergeCell ref="AD731:AD732"/>
    <mergeCell ref="AE731:AE732"/>
    <mergeCell ref="AF731:AF732"/>
    <mergeCell ref="AG731:AG732"/>
    <mergeCell ref="S731:S732"/>
    <mergeCell ref="T731:T732"/>
    <mergeCell ref="U731:U732"/>
    <mergeCell ref="V731:V732"/>
    <mergeCell ref="W731:W732"/>
    <mergeCell ref="X731:X732"/>
    <mergeCell ref="M731:M732"/>
    <mergeCell ref="N731:N732"/>
    <mergeCell ref="O731:O732"/>
    <mergeCell ref="P731:P732"/>
    <mergeCell ref="Q731:Q732"/>
    <mergeCell ref="R731:R732"/>
    <mergeCell ref="G731:G732"/>
    <mergeCell ref="H731:H732"/>
    <mergeCell ref="I731:I732"/>
    <mergeCell ref="J731:J732"/>
    <mergeCell ref="AG733:AG735"/>
    <mergeCell ref="AH733:AH735"/>
    <mergeCell ref="AI733:AI735"/>
    <mergeCell ref="AJ733:AJ735"/>
    <mergeCell ref="B736:B738"/>
    <mergeCell ref="C736:C738"/>
    <mergeCell ref="D736:D738"/>
    <mergeCell ref="E736:E738"/>
    <mergeCell ref="F736:F738"/>
    <mergeCell ref="G736:G738"/>
    <mergeCell ref="U733:U735"/>
    <mergeCell ref="V733:V735"/>
    <mergeCell ref="W733:W735"/>
    <mergeCell ref="X733:X735"/>
    <mergeCell ref="Y733:Y735"/>
    <mergeCell ref="Z733:Z735"/>
    <mergeCell ref="O733:O735"/>
    <mergeCell ref="P733:P735"/>
    <mergeCell ref="Q733:Q735"/>
    <mergeCell ref="R733:R735"/>
    <mergeCell ref="S733:S735"/>
    <mergeCell ref="T733:T735"/>
    <mergeCell ref="I733:I735"/>
    <mergeCell ref="J733:J735"/>
    <mergeCell ref="K733:K735"/>
    <mergeCell ref="L733:L735"/>
    <mergeCell ref="M733:M735"/>
    <mergeCell ref="N733:N735"/>
    <mergeCell ref="Z736:Z738"/>
    <mergeCell ref="AG736:AG738"/>
    <mergeCell ref="AH736:AH738"/>
    <mergeCell ref="AI736:AI738"/>
    <mergeCell ref="L739:L741"/>
    <mergeCell ref="AJ736:AJ738"/>
    <mergeCell ref="B739:B741"/>
    <mergeCell ref="C739:C741"/>
    <mergeCell ref="D739:D741"/>
    <mergeCell ref="E739:E741"/>
    <mergeCell ref="F739:F741"/>
    <mergeCell ref="T736:T738"/>
    <mergeCell ref="U736:U738"/>
    <mergeCell ref="V736:V738"/>
    <mergeCell ref="W736:W738"/>
    <mergeCell ref="X736:X738"/>
    <mergeCell ref="Y736:Y738"/>
    <mergeCell ref="N736:N738"/>
    <mergeCell ref="O736:O738"/>
    <mergeCell ref="P736:P738"/>
    <mergeCell ref="Q736:Q738"/>
    <mergeCell ref="R736:R738"/>
    <mergeCell ref="S736:S738"/>
    <mergeCell ref="H736:H738"/>
    <mergeCell ref="I736:I738"/>
    <mergeCell ref="J736:J738"/>
    <mergeCell ref="K736:K738"/>
    <mergeCell ref="L736:L738"/>
    <mergeCell ref="M736:M738"/>
    <mergeCell ref="K742:K743"/>
    <mergeCell ref="L742:L743"/>
    <mergeCell ref="M742:M743"/>
    <mergeCell ref="B742:B743"/>
    <mergeCell ref="C742:C743"/>
    <mergeCell ref="D742:D743"/>
    <mergeCell ref="E742:E743"/>
    <mergeCell ref="F742:F743"/>
    <mergeCell ref="G742:G743"/>
    <mergeCell ref="Y739:Y741"/>
    <mergeCell ref="Z739:Z741"/>
    <mergeCell ref="AG739:AG741"/>
    <mergeCell ref="AH739:AH741"/>
    <mergeCell ref="AI739:AI741"/>
    <mergeCell ref="AJ739:AJ741"/>
    <mergeCell ref="S739:S741"/>
    <mergeCell ref="T739:T741"/>
    <mergeCell ref="U739:U741"/>
    <mergeCell ref="V739:V741"/>
    <mergeCell ref="W739:W741"/>
    <mergeCell ref="X739:X741"/>
    <mergeCell ref="M739:M741"/>
    <mergeCell ref="N739:N741"/>
    <mergeCell ref="O739:O741"/>
    <mergeCell ref="P739:P741"/>
    <mergeCell ref="Q739:Q741"/>
    <mergeCell ref="R739:R741"/>
    <mergeCell ref="G739:G741"/>
    <mergeCell ref="H739:H741"/>
    <mergeCell ref="I739:I741"/>
    <mergeCell ref="J739:J741"/>
    <mergeCell ref="K739:K741"/>
    <mergeCell ref="R749:R750"/>
    <mergeCell ref="G749:G750"/>
    <mergeCell ref="H749:H750"/>
    <mergeCell ref="I749:I750"/>
    <mergeCell ref="J749:J750"/>
    <mergeCell ref="K749:K750"/>
    <mergeCell ref="L749:L750"/>
    <mergeCell ref="Z742:Z743"/>
    <mergeCell ref="AG742:AG743"/>
    <mergeCell ref="AH742:AH743"/>
    <mergeCell ref="AI742:AI743"/>
    <mergeCell ref="AJ742:AJ743"/>
    <mergeCell ref="B749:B750"/>
    <mergeCell ref="C749:C750"/>
    <mergeCell ref="D749:D750"/>
    <mergeCell ref="E749:E750"/>
    <mergeCell ref="F749:F750"/>
    <mergeCell ref="T742:T743"/>
    <mergeCell ref="U742:U743"/>
    <mergeCell ref="V742:V743"/>
    <mergeCell ref="W742:W743"/>
    <mergeCell ref="X742:X743"/>
    <mergeCell ref="Y742:Y743"/>
    <mergeCell ref="N742:N743"/>
    <mergeCell ref="O742:O743"/>
    <mergeCell ref="P742:P743"/>
    <mergeCell ref="Q742:Q743"/>
    <mergeCell ref="R742:R743"/>
    <mergeCell ref="S742:S743"/>
    <mergeCell ref="H742:H743"/>
    <mergeCell ref="I742:I743"/>
    <mergeCell ref="J742:J743"/>
    <mergeCell ref="J755:J756"/>
    <mergeCell ref="K755:K756"/>
    <mergeCell ref="L755:L756"/>
    <mergeCell ref="M755:M756"/>
    <mergeCell ref="N755:N756"/>
    <mergeCell ref="AH749:AH750"/>
    <mergeCell ref="AI749:AI750"/>
    <mergeCell ref="AJ749:AJ750"/>
    <mergeCell ref="B755:B756"/>
    <mergeCell ref="C755:C756"/>
    <mergeCell ref="D755:D756"/>
    <mergeCell ref="E755:E756"/>
    <mergeCell ref="F755:F756"/>
    <mergeCell ref="G755:G756"/>
    <mergeCell ref="H755:H756"/>
    <mergeCell ref="Y749:Y750"/>
    <mergeCell ref="Z749:Z750"/>
    <mergeCell ref="AD749:AD750"/>
    <mergeCell ref="AE749:AE750"/>
    <mergeCell ref="AF749:AF750"/>
    <mergeCell ref="AG749:AG750"/>
    <mergeCell ref="S749:S750"/>
    <mergeCell ref="T749:T750"/>
    <mergeCell ref="U749:U750"/>
    <mergeCell ref="V749:V750"/>
    <mergeCell ref="W749:W750"/>
    <mergeCell ref="X749:X750"/>
    <mergeCell ref="M749:M750"/>
    <mergeCell ref="N749:N750"/>
    <mergeCell ref="O749:O750"/>
    <mergeCell ref="P749:P750"/>
    <mergeCell ref="Q749:Q750"/>
    <mergeCell ref="AH766:AH767"/>
    <mergeCell ref="AI766:AI767"/>
    <mergeCell ref="AJ766:AJ767"/>
    <mergeCell ref="AJ755:AJ756"/>
    <mergeCell ref="B757:B759"/>
    <mergeCell ref="C757:C759"/>
    <mergeCell ref="D757:D759"/>
    <mergeCell ref="E757:E759"/>
    <mergeCell ref="F757:F759"/>
    <mergeCell ref="G757:G759"/>
    <mergeCell ref="H757:H759"/>
    <mergeCell ref="I757:I759"/>
    <mergeCell ref="J757:J759"/>
    <mergeCell ref="AD755:AD756"/>
    <mergeCell ref="AE755:AE756"/>
    <mergeCell ref="AF755:AF756"/>
    <mergeCell ref="AG755:AG756"/>
    <mergeCell ref="AH755:AH756"/>
    <mergeCell ref="AI755:AI756"/>
    <mergeCell ref="U755:U756"/>
    <mergeCell ref="V755:V756"/>
    <mergeCell ref="W755:W756"/>
    <mergeCell ref="X755:X756"/>
    <mergeCell ref="Y755:Y756"/>
    <mergeCell ref="Z755:Z756"/>
    <mergeCell ref="O755:O756"/>
    <mergeCell ref="P755:P756"/>
    <mergeCell ref="Q755:Q756"/>
    <mergeCell ref="R755:R756"/>
    <mergeCell ref="S755:S756"/>
    <mergeCell ref="T755:T756"/>
    <mergeCell ref="I755:I756"/>
    <mergeCell ref="I774:I775"/>
    <mergeCell ref="J774:J775"/>
    <mergeCell ref="K774:K775"/>
    <mergeCell ref="L774:L775"/>
    <mergeCell ref="AI757:AI759"/>
    <mergeCell ref="AJ757:AJ759"/>
    <mergeCell ref="B766:B767"/>
    <mergeCell ref="C766:C767"/>
    <mergeCell ref="D766:D767"/>
    <mergeCell ref="E766:E767"/>
    <mergeCell ref="F766:F767"/>
    <mergeCell ref="G766:G767"/>
    <mergeCell ref="H766:H767"/>
    <mergeCell ref="I766:I767"/>
    <mergeCell ref="W757:W759"/>
    <mergeCell ref="X757:X759"/>
    <mergeCell ref="Y757:Y759"/>
    <mergeCell ref="Z757:Z759"/>
    <mergeCell ref="AG757:AG759"/>
    <mergeCell ref="AH757:AH759"/>
    <mergeCell ref="Q757:Q759"/>
    <mergeCell ref="R757:R759"/>
    <mergeCell ref="S757:S759"/>
    <mergeCell ref="T757:T759"/>
    <mergeCell ref="U757:U759"/>
    <mergeCell ref="V757:V759"/>
    <mergeCell ref="K757:K759"/>
    <mergeCell ref="L757:L759"/>
    <mergeCell ref="M757:M759"/>
    <mergeCell ref="N757:N759"/>
    <mergeCell ref="O757:O759"/>
    <mergeCell ref="P757:P759"/>
    <mergeCell ref="C772:C773"/>
    <mergeCell ref="D772:D773"/>
    <mergeCell ref="E772:E773"/>
    <mergeCell ref="F772:F773"/>
    <mergeCell ref="G772:G773"/>
    <mergeCell ref="H772:H773"/>
    <mergeCell ref="V766:V767"/>
    <mergeCell ref="W766:W767"/>
    <mergeCell ref="X766:X767"/>
    <mergeCell ref="Y766:Y767"/>
    <mergeCell ref="Z766:Z767"/>
    <mergeCell ref="AG766:AG767"/>
    <mergeCell ref="P766:P767"/>
    <mergeCell ref="Q766:Q767"/>
    <mergeCell ref="R766:R767"/>
    <mergeCell ref="S766:S767"/>
    <mergeCell ref="T766:T767"/>
    <mergeCell ref="U766:U767"/>
    <mergeCell ref="J766:J767"/>
    <mergeCell ref="K766:K767"/>
    <mergeCell ref="L766:L767"/>
    <mergeCell ref="M766:M767"/>
    <mergeCell ref="N766:N767"/>
    <mergeCell ref="O766:O767"/>
    <mergeCell ref="M774:M775"/>
    <mergeCell ref="AG772:AG773"/>
    <mergeCell ref="AH772:AH773"/>
    <mergeCell ref="AI772:AI773"/>
    <mergeCell ref="AJ772:AJ773"/>
    <mergeCell ref="B774:B775"/>
    <mergeCell ref="C774:C775"/>
    <mergeCell ref="D774:D775"/>
    <mergeCell ref="E774:E775"/>
    <mergeCell ref="F774:F775"/>
    <mergeCell ref="G774:G775"/>
    <mergeCell ref="U772:U773"/>
    <mergeCell ref="V772:V773"/>
    <mergeCell ref="W772:W773"/>
    <mergeCell ref="X772:X773"/>
    <mergeCell ref="Y772:Y773"/>
    <mergeCell ref="Z772:Z773"/>
    <mergeCell ref="O772:O773"/>
    <mergeCell ref="P772:P773"/>
    <mergeCell ref="Q772:Q773"/>
    <mergeCell ref="R772:R773"/>
    <mergeCell ref="S772:S773"/>
    <mergeCell ref="T772:T773"/>
    <mergeCell ref="I772:I773"/>
    <mergeCell ref="J772:J773"/>
    <mergeCell ref="K772:K773"/>
    <mergeCell ref="L772:L773"/>
    <mergeCell ref="M772:M773"/>
    <mergeCell ref="N772:N773"/>
    <mergeCell ref="AI774:AI775"/>
    <mergeCell ref="AJ774:AJ775"/>
    <mergeCell ref="B772:B773"/>
    <mergeCell ref="Z782:Z783"/>
    <mergeCell ref="AG782:AG783"/>
    <mergeCell ref="AH782:AH783"/>
    <mergeCell ref="AI782:AI783"/>
    <mergeCell ref="AJ782:AJ783"/>
    <mergeCell ref="B776:B777"/>
    <mergeCell ref="C776:C777"/>
    <mergeCell ref="D776:D777"/>
    <mergeCell ref="E776:E777"/>
    <mergeCell ref="F776:F777"/>
    <mergeCell ref="G776:G777"/>
    <mergeCell ref="H776:H777"/>
    <mergeCell ref="I776:I777"/>
    <mergeCell ref="Z774:Z775"/>
    <mergeCell ref="AD774:AD775"/>
    <mergeCell ref="AE774:AE775"/>
    <mergeCell ref="AF774:AF775"/>
    <mergeCell ref="AG774:AG775"/>
    <mergeCell ref="AH774:AH775"/>
    <mergeCell ref="T774:T775"/>
    <mergeCell ref="U774:U775"/>
    <mergeCell ref="V774:V775"/>
    <mergeCell ref="W774:W775"/>
    <mergeCell ref="X774:X775"/>
    <mergeCell ref="Y774:Y775"/>
    <mergeCell ref="N774:N775"/>
    <mergeCell ref="O774:O775"/>
    <mergeCell ref="P774:P775"/>
    <mergeCell ref="Q774:Q775"/>
    <mergeCell ref="R774:R775"/>
    <mergeCell ref="S774:S775"/>
    <mergeCell ref="H774:H775"/>
    <mergeCell ref="L782:L783"/>
    <mergeCell ref="M782:M783"/>
    <mergeCell ref="B782:B783"/>
    <mergeCell ref="C782:C783"/>
    <mergeCell ref="D782:D783"/>
    <mergeCell ref="E782:E783"/>
    <mergeCell ref="F782:F783"/>
    <mergeCell ref="G782:G783"/>
    <mergeCell ref="AE776:AE777"/>
    <mergeCell ref="AF776:AF777"/>
    <mergeCell ref="AG776:AG777"/>
    <mergeCell ref="AH776:AH777"/>
    <mergeCell ref="AI776:AI777"/>
    <mergeCell ref="AJ776:AJ777"/>
    <mergeCell ref="V776:V777"/>
    <mergeCell ref="W776:W777"/>
    <mergeCell ref="X776:X777"/>
    <mergeCell ref="Y776:Y777"/>
    <mergeCell ref="Z776:Z777"/>
    <mergeCell ref="AD776:AD777"/>
    <mergeCell ref="P776:P777"/>
    <mergeCell ref="Q776:Q777"/>
    <mergeCell ref="R776:R777"/>
    <mergeCell ref="S776:S777"/>
    <mergeCell ref="T776:T777"/>
    <mergeCell ref="U776:U777"/>
    <mergeCell ref="J776:J777"/>
    <mergeCell ref="K776:K777"/>
    <mergeCell ref="L776:L777"/>
    <mergeCell ref="M776:M777"/>
    <mergeCell ref="N776:N777"/>
    <mergeCell ref="O776:O777"/>
    <mergeCell ref="G786:G787"/>
    <mergeCell ref="H786:H787"/>
    <mergeCell ref="I786:I787"/>
    <mergeCell ref="J786:J787"/>
    <mergeCell ref="K786:K787"/>
    <mergeCell ref="L786:L787"/>
    <mergeCell ref="Z789:Z790"/>
    <mergeCell ref="AG789:AG790"/>
    <mergeCell ref="AH789:AH790"/>
    <mergeCell ref="AI789:AI790"/>
    <mergeCell ref="AJ789:AJ790"/>
    <mergeCell ref="B786:B787"/>
    <mergeCell ref="C786:C787"/>
    <mergeCell ref="D786:D787"/>
    <mergeCell ref="E786:E787"/>
    <mergeCell ref="F786:F787"/>
    <mergeCell ref="T782:T783"/>
    <mergeCell ref="U782:U783"/>
    <mergeCell ref="V782:V783"/>
    <mergeCell ref="W782:W783"/>
    <mergeCell ref="X782:X783"/>
    <mergeCell ref="Y782:Y783"/>
    <mergeCell ref="N782:N783"/>
    <mergeCell ref="O782:O783"/>
    <mergeCell ref="P782:P783"/>
    <mergeCell ref="Q782:Q783"/>
    <mergeCell ref="R782:R783"/>
    <mergeCell ref="S782:S783"/>
    <mergeCell ref="H782:H783"/>
    <mergeCell ref="I782:I783"/>
    <mergeCell ref="J782:J783"/>
    <mergeCell ref="K782:K783"/>
    <mergeCell ref="Y786:Y787"/>
    <mergeCell ref="Z786:Z787"/>
    <mergeCell ref="AG786:AG787"/>
    <mergeCell ref="AH786:AH787"/>
    <mergeCell ref="AI786:AI787"/>
    <mergeCell ref="AJ786:AJ787"/>
    <mergeCell ref="S786:S787"/>
    <mergeCell ref="T786:T787"/>
    <mergeCell ref="U786:U787"/>
    <mergeCell ref="V786:V787"/>
    <mergeCell ref="W786:W787"/>
    <mergeCell ref="X786:X787"/>
    <mergeCell ref="M786:M787"/>
    <mergeCell ref="N786:N787"/>
    <mergeCell ref="O786:O787"/>
    <mergeCell ref="P786:P787"/>
    <mergeCell ref="Q786:Q787"/>
    <mergeCell ref="R786:R787"/>
    <mergeCell ref="B794:B795"/>
    <mergeCell ref="C794:C795"/>
    <mergeCell ref="D794:D795"/>
    <mergeCell ref="E794:E795"/>
    <mergeCell ref="F794:F795"/>
    <mergeCell ref="T789:T790"/>
    <mergeCell ref="U789:U790"/>
    <mergeCell ref="V789:V790"/>
    <mergeCell ref="W789:W790"/>
    <mergeCell ref="X789:X790"/>
    <mergeCell ref="Y789:Y790"/>
    <mergeCell ref="N789:N790"/>
    <mergeCell ref="O789:O790"/>
    <mergeCell ref="P789:P790"/>
    <mergeCell ref="Q789:Q790"/>
    <mergeCell ref="R789:R790"/>
    <mergeCell ref="S789:S790"/>
    <mergeCell ref="H789:H790"/>
    <mergeCell ref="I789:I790"/>
    <mergeCell ref="J789:J790"/>
    <mergeCell ref="K789:K790"/>
    <mergeCell ref="L789:L790"/>
    <mergeCell ref="M789:M790"/>
    <mergeCell ref="B789:B790"/>
    <mergeCell ref="C789:C790"/>
    <mergeCell ref="D789:D790"/>
    <mergeCell ref="E789:E790"/>
    <mergeCell ref="F789:F790"/>
    <mergeCell ref="G789:G790"/>
    <mergeCell ref="F796:F797"/>
    <mergeCell ref="G796:G797"/>
    <mergeCell ref="Y794:Y795"/>
    <mergeCell ref="Z794:Z795"/>
    <mergeCell ref="AG794:AG795"/>
    <mergeCell ref="AH794:AH795"/>
    <mergeCell ref="AI794:AI795"/>
    <mergeCell ref="AJ794:AJ795"/>
    <mergeCell ref="S794:S795"/>
    <mergeCell ref="T794:T795"/>
    <mergeCell ref="U794:U795"/>
    <mergeCell ref="V794:V795"/>
    <mergeCell ref="W794:W795"/>
    <mergeCell ref="X794:X795"/>
    <mergeCell ref="M794:M795"/>
    <mergeCell ref="N794:N795"/>
    <mergeCell ref="O794:O795"/>
    <mergeCell ref="P794:P795"/>
    <mergeCell ref="Q794:Q795"/>
    <mergeCell ref="R794:R795"/>
    <mergeCell ref="G794:G795"/>
    <mergeCell ref="H794:H795"/>
    <mergeCell ref="I794:I795"/>
    <mergeCell ref="J794:J795"/>
    <mergeCell ref="K794:K795"/>
    <mergeCell ref="L794:L795"/>
    <mergeCell ref="Z796:Z797"/>
    <mergeCell ref="AG796:AG797"/>
    <mergeCell ref="AH796:AH797"/>
    <mergeCell ref="AI796:AI797"/>
    <mergeCell ref="AJ796:AJ797"/>
    <mergeCell ref="Z800:Z801"/>
    <mergeCell ref="AG800:AG801"/>
    <mergeCell ref="AH800:AH801"/>
    <mergeCell ref="AI800:AI801"/>
    <mergeCell ref="AJ800:AJ801"/>
    <mergeCell ref="B798:B799"/>
    <mergeCell ref="C798:C799"/>
    <mergeCell ref="D798:D799"/>
    <mergeCell ref="E798:E799"/>
    <mergeCell ref="F798:F799"/>
    <mergeCell ref="T796:T797"/>
    <mergeCell ref="U796:U797"/>
    <mergeCell ref="V796:V797"/>
    <mergeCell ref="W796:W797"/>
    <mergeCell ref="X796:X797"/>
    <mergeCell ref="Y796:Y797"/>
    <mergeCell ref="N796:N797"/>
    <mergeCell ref="O796:O797"/>
    <mergeCell ref="P796:P797"/>
    <mergeCell ref="Q796:Q797"/>
    <mergeCell ref="R796:R797"/>
    <mergeCell ref="S796:S797"/>
    <mergeCell ref="H796:H797"/>
    <mergeCell ref="I796:I797"/>
    <mergeCell ref="J796:J797"/>
    <mergeCell ref="K796:K797"/>
    <mergeCell ref="L796:L797"/>
    <mergeCell ref="M796:M797"/>
    <mergeCell ref="B796:B797"/>
    <mergeCell ref="C796:C797"/>
    <mergeCell ref="D796:D797"/>
    <mergeCell ref="E796:E797"/>
    <mergeCell ref="L800:L801"/>
    <mergeCell ref="M800:M801"/>
    <mergeCell ref="B800:B801"/>
    <mergeCell ref="C800:C801"/>
    <mergeCell ref="D800:D801"/>
    <mergeCell ref="E800:E801"/>
    <mergeCell ref="F800:F801"/>
    <mergeCell ref="G800:G801"/>
    <mergeCell ref="Y798:Y799"/>
    <mergeCell ref="Z798:Z799"/>
    <mergeCell ref="AG798:AG799"/>
    <mergeCell ref="AH798:AH799"/>
    <mergeCell ref="AI798:AI799"/>
    <mergeCell ref="AJ798:AJ799"/>
    <mergeCell ref="S798:S799"/>
    <mergeCell ref="T798:T799"/>
    <mergeCell ref="U798:U799"/>
    <mergeCell ref="V798:V799"/>
    <mergeCell ref="W798:W799"/>
    <mergeCell ref="X798:X799"/>
    <mergeCell ref="M798:M799"/>
    <mergeCell ref="N798:N799"/>
    <mergeCell ref="O798:O799"/>
    <mergeCell ref="P798:P799"/>
    <mergeCell ref="Q798:Q799"/>
    <mergeCell ref="R798:R799"/>
    <mergeCell ref="G798:G799"/>
    <mergeCell ref="H798:H799"/>
    <mergeCell ref="I798:I799"/>
    <mergeCell ref="J798:J799"/>
    <mergeCell ref="K798:K799"/>
    <mergeCell ref="L798:L799"/>
    <mergeCell ref="G803:G804"/>
    <mergeCell ref="H803:H804"/>
    <mergeCell ref="I803:I804"/>
    <mergeCell ref="J803:J804"/>
    <mergeCell ref="K803:K804"/>
    <mergeCell ref="L803:L804"/>
    <mergeCell ref="Z805:Z806"/>
    <mergeCell ref="AG805:AG806"/>
    <mergeCell ref="AH805:AH806"/>
    <mergeCell ref="AI805:AI806"/>
    <mergeCell ref="AJ805:AJ806"/>
    <mergeCell ref="B803:B804"/>
    <mergeCell ref="C803:C804"/>
    <mergeCell ref="D803:D804"/>
    <mergeCell ref="E803:E804"/>
    <mergeCell ref="F803:F804"/>
    <mergeCell ref="T800:T801"/>
    <mergeCell ref="U800:U801"/>
    <mergeCell ref="V800:V801"/>
    <mergeCell ref="W800:W801"/>
    <mergeCell ref="X800:X801"/>
    <mergeCell ref="Y800:Y801"/>
    <mergeCell ref="N800:N801"/>
    <mergeCell ref="O800:O801"/>
    <mergeCell ref="P800:P801"/>
    <mergeCell ref="Q800:Q801"/>
    <mergeCell ref="R800:R801"/>
    <mergeCell ref="S800:S801"/>
    <mergeCell ref="H800:H801"/>
    <mergeCell ref="I800:I801"/>
    <mergeCell ref="J800:J801"/>
    <mergeCell ref="K800:K801"/>
    <mergeCell ref="Y803:Y804"/>
    <mergeCell ref="Z803:Z804"/>
    <mergeCell ref="AG803:AG804"/>
    <mergeCell ref="AH803:AH804"/>
    <mergeCell ref="AI803:AI804"/>
    <mergeCell ref="AJ803:AJ804"/>
    <mergeCell ref="S803:S804"/>
    <mergeCell ref="T803:T804"/>
    <mergeCell ref="U803:U804"/>
    <mergeCell ref="V803:V804"/>
    <mergeCell ref="W803:W804"/>
    <mergeCell ref="X803:X804"/>
    <mergeCell ref="M803:M804"/>
    <mergeCell ref="N803:N804"/>
    <mergeCell ref="O803:O804"/>
    <mergeCell ref="P803:P804"/>
    <mergeCell ref="Q803:Q804"/>
    <mergeCell ref="R803:R804"/>
    <mergeCell ref="B807:B808"/>
    <mergeCell ref="C807:C808"/>
    <mergeCell ref="D807:D808"/>
    <mergeCell ref="E807:E808"/>
    <mergeCell ref="F807:F808"/>
    <mergeCell ref="T805:T806"/>
    <mergeCell ref="U805:U806"/>
    <mergeCell ref="V805:V806"/>
    <mergeCell ref="W805:W806"/>
    <mergeCell ref="X805:X806"/>
    <mergeCell ref="Y805:Y806"/>
    <mergeCell ref="N805:N806"/>
    <mergeCell ref="O805:O806"/>
    <mergeCell ref="P805:P806"/>
    <mergeCell ref="Q805:Q806"/>
    <mergeCell ref="R805:R806"/>
    <mergeCell ref="S805:S806"/>
    <mergeCell ref="H805:H806"/>
    <mergeCell ref="I805:I806"/>
    <mergeCell ref="J805:J806"/>
    <mergeCell ref="K805:K806"/>
    <mergeCell ref="L805:L806"/>
    <mergeCell ref="M805:M806"/>
    <mergeCell ref="B805:B806"/>
    <mergeCell ref="C805:C806"/>
    <mergeCell ref="D805:D806"/>
    <mergeCell ref="E805:E806"/>
    <mergeCell ref="F805:F806"/>
    <mergeCell ref="G805:G806"/>
    <mergeCell ref="D809:D810"/>
    <mergeCell ref="E809:E810"/>
    <mergeCell ref="F809:F810"/>
    <mergeCell ref="G809:G810"/>
    <mergeCell ref="Y807:Y808"/>
    <mergeCell ref="Z807:Z808"/>
    <mergeCell ref="AG807:AG808"/>
    <mergeCell ref="AH807:AH808"/>
    <mergeCell ref="AI807:AI808"/>
    <mergeCell ref="AJ807:AJ808"/>
    <mergeCell ref="S807:S808"/>
    <mergeCell ref="T807:T808"/>
    <mergeCell ref="U807:U808"/>
    <mergeCell ref="V807:V808"/>
    <mergeCell ref="W807:W808"/>
    <mergeCell ref="X807:X808"/>
    <mergeCell ref="M807:M808"/>
    <mergeCell ref="N807:N808"/>
    <mergeCell ref="O807:O808"/>
    <mergeCell ref="P807:P808"/>
    <mergeCell ref="Q807:Q808"/>
    <mergeCell ref="R807:R808"/>
    <mergeCell ref="G807:G808"/>
    <mergeCell ref="H807:H808"/>
    <mergeCell ref="I807:I808"/>
    <mergeCell ref="J807:J808"/>
    <mergeCell ref="K807:K808"/>
    <mergeCell ref="L807:L808"/>
    <mergeCell ref="K811:K812"/>
    <mergeCell ref="L811:L812"/>
    <mergeCell ref="Z809:Z810"/>
    <mergeCell ref="AG809:AG810"/>
    <mergeCell ref="AH809:AH810"/>
    <mergeCell ref="AI809:AI810"/>
    <mergeCell ref="AJ809:AJ810"/>
    <mergeCell ref="B811:B812"/>
    <mergeCell ref="C811:C812"/>
    <mergeCell ref="D811:D812"/>
    <mergeCell ref="E811:E812"/>
    <mergeCell ref="F811:F812"/>
    <mergeCell ref="T809:T810"/>
    <mergeCell ref="U809:U810"/>
    <mergeCell ref="V809:V810"/>
    <mergeCell ref="W809:W810"/>
    <mergeCell ref="X809:X810"/>
    <mergeCell ref="Y809:Y810"/>
    <mergeCell ref="N809:N810"/>
    <mergeCell ref="O809:O810"/>
    <mergeCell ref="P809:P810"/>
    <mergeCell ref="Q809:Q810"/>
    <mergeCell ref="R809:R810"/>
    <mergeCell ref="S809:S810"/>
    <mergeCell ref="H809:H810"/>
    <mergeCell ref="I809:I810"/>
    <mergeCell ref="J809:J810"/>
    <mergeCell ref="K809:K810"/>
    <mergeCell ref="L809:L810"/>
    <mergeCell ref="M809:M810"/>
    <mergeCell ref="B809:B810"/>
    <mergeCell ref="C809:C810"/>
    <mergeCell ref="AH811:AH812"/>
    <mergeCell ref="AI811:AI812"/>
    <mergeCell ref="AJ811:AJ812"/>
    <mergeCell ref="B813:B814"/>
    <mergeCell ref="C813:C814"/>
    <mergeCell ref="D813:D814"/>
    <mergeCell ref="E813:E814"/>
    <mergeCell ref="F813:F814"/>
    <mergeCell ref="G813:G814"/>
    <mergeCell ref="H813:H814"/>
    <mergeCell ref="Y811:Y812"/>
    <mergeCell ref="Z811:Z812"/>
    <mergeCell ref="AA811:AA812"/>
    <mergeCell ref="AB811:AB812"/>
    <mergeCell ref="AC811:AC812"/>
    <mergeCell ref="AG811:AG812"/>
    <mergeCell ref="S811:S812"/>
    <mergeCell ref="T811:T812"/>
    <mergeCell ref="U811:U812"/>
    <mergeCell ref="V811:V812"/>
    <mergeCell ref="W811:W812"/>
    <mergeCell ref="X811:X812"/>
    <mergeCell ref="M811:M812"/>
    <mergeCell ref="N811:N812"/>
    <mergeCell ref="O811:O812"/>
    <mergeCell ref="P811:P812"/>
    <mergeCell ref="Q811:Q812"/>
    <mergeCell ref="R811:R812"/>
    <mergeCell ref="G811:G812"/>
    <mergeCell ref="H811:H812"/>
    <mergeCell ref="I811:I812"/>
    <mergeCell ref="J811:J812"/>
    <mergeCell ref="AG813:AG814"/>
    <mergeCell ref="AH813:AH814"/>
    <mergeCell ref="AI813:AI814"/>
    <mergeCell ref="AJ813:AJ814"/>
    <mergeCell ref="B815:B816"/>
    <mergeCell ref="C815:C816"/>
    <mergeCell ref="D815:D816"/>
    <mergeCell ref="E815:E816"/>
    <mergeCell ref="F815:F816"/>
    <mergeCell ref="G815:G816"/>
    <mergeCell ref="U813:U814"/>
    <mergeCell ref="V813:V814"/>
    <mergeCell ref="W813:W814"/>
    <mergeCell ref="X813:X814"/>
    <mergeCell ref="Y813:Y814"/>
    <mergeCell ref="Z813:Z814"/>
    <mergeCell ref="O813:O814"/>
    <mergeCell ref="P813:P814"/>
    <mergeCell ref="Q813:Q814"/>
    <mergeCell ref="R813:R814"/>
    <mergeCell ref="S813:S814"/>
    <mergeCell ref="T813:T814"/>
    <mergeCell ref="I813:I814"/>
    <mergeCell ref="J813:J814"/>
    <mergeCell ref="K813:K814"/>
    <mergeCell ref="L813:L814"/>
    <mergeCell ref="M813:M814"/>
    <mergeCell ref="N813:N814"/>
    <mergeCell ref="Z815:Z816"/>
    <mergeCell ref="AG815:AG816"/>
    <mergeCell ref="AH815:AH816"/>
    <mergeCell ref="AI815:AI816"/>
    <mergeCell ref="AJ815:AJ816"/>
    <mergeCell ref="B817:B818"/>
    <mergeCell ref="C817:C818"/>
    <mergeCell ref="D817:D818"/>
    <mergeCell ref="E817:E818"/>
    <mergeCell ref="F817:F818"/>
    <mergeCell ref="T815:T816"/>
    <mergeCell ref="U815:U816"/>
    <mergeCell ref="V815:V816"/>
    <mergeCell ref="W815:W816"/>
    <mergeCell ref="X815:X816"/>
    <mergeCell ref="Y815:Y816"/>
    <mergeCell ref="N815:N816"/>
    <mergeCell ref="O815:O816"/>
    <mergeCell ref="P815:P816"/>
    <mergeCell ref="Q815:Q816"/>
    <mergeCell ref="R815:R816"/>
    <mergeCell ref="S815:S816"/>
    <mergeCell ref="H815:H816"/>
    <mergeCell ref="I815:I816"/>
    <mergeCell ref="J815:J816"/>
    <mergeCell ref="K815:K816"/>
    <mergeCell ref="L815:L816"/>
    <mergeCell ref="M815:M816"/>
    <mergeCell ref="F819:F820"/>
    <mergeCell ref="G819:G820"/>
    <mergeCell ref="Y817:Y818"/>
    <mergeCell ref="Z817:Z818"/>
    <mergeCell ref="AG817:AG818"/>
    <mergeCell ref="AH817:AH818"/>
    <mergeCell ref="AI817:AI818"/>
    <mergeCell ref="AJ817:AJ818"/>
    <mergeCell ref="S817:S818"/>
    <mergeCell ref="T817:T818"/>
    <mergeCell ref="U817:U818"/>
    <mergeCell ref="V817:V818"/>
    <mergeCell ref="W817:W818"/>
    <mergeCell ref="X817:X818"/>
    <mergeCell ref="M817:M818"/>
    <mergeCell ref="N817:N818"/>
    <mergeCell ref="O817:O818"/>
    <mergeCell ref="P817:P818"/>
    <mergeCell ref="Q817:Q818"/>
    <mergeCell ref="R817:R818"/>
    <mergeCell ref="G817:G818"/>
    <mergeCell ref="H817:H818"/>
    <mergeCell ref="I817:I818"/>
    <mergeCell ref="J817:J818"/>
    <mergeCell ref="K817:K818"/>
    <mergeCell ref="L817:L818"/>
    <mergeCell ref="Z819:Z820"/>
    <mergeCell ref="AG819:AG820"/>
    <mergeCell ref="AH819:AH820"/>
    <mergeCell ref="AI819:AI820"/>
    <mergeCell ref="AJ819:AJ820"/>
    <mergeCell ref="Z823:Z824"/>
    <mergeCell ref="AG823:AG824"/>
    <mergeCell ref="AH823:AH824"/>
    <mergeCell ref="AI823:AI824"/>
    <mergeCell ref="AJ823:AJ824"/>
    <mergeCell ref="B821:B822"/>
    <mergeCell ref="C821:C822"/>
    <mergeCell ref="D821:D822"/>
    <mergeCell ref="E821:E822"/>
    <mergeCell ref="F821:F822"/>
    <mergeCell ref="T819:T820"/>
    <mergeCell ref="U819:U820"/>
    <mergeCell ref="V819:V820"/>
    <mergeCell ref="W819:W820"/>
    <mergeCell ref="X819:X820"/>
    <mergeCell ref="Y819:Y820"/>
    <mergeCell ref="N819:N820"/>
    <mergeCell ref="O819:O820"/>
    <mergeCell ref="P819:P820"/>
    <mergeCell ref="Q819:Q820"/>
    <mergeCell ref="R819:R820"/>
    <mergeCell ref="S819:S820"/>
    <mergeCell ref="H819:H820"/>
    <mergeCell ref="I819:I820"/>
    <mergeCell ref="J819:J820"/>
    <mergeCell ref="K819:K820"/>
    <mergeCell ref="L819:L820"/>
    <mergeCell ref="M819:M820"/>
    <mergeCell ref="B819:B820"/>
    <mergeCell ref="C819:C820"/>
    <mergeCell ref="D819:D820"/>
    <mergeCell ref="E819:E820"/>
    <mergeCell ref="L823:L824"/>
    <mergeCell ref="M823:M824"/>
    <mergeCell ref="B823:B824"/>
    <mergeCell ref="C823:C824"/>
    <mergeCell ref="D823:D824"/>
    <mergeCell ref="E823:E824"/>
    <mergeCell ref="F823:F824"/>
    <mergeCell ref="G823:G824"/>
    <mergeCell ref="Y821:Y822"/>
    <mergeCell ref="Z821:Z822"/>
    <mergeCell ref="AG821:AG822"/>
    <mergeCell ref="AH821:AH822"/>
    <mergeCell ref="AI821:AI822"/>
    <mergeCell ref="AJ821:AJ822"/>
    <mergeCell ref="S821:S822"/>
    <mergeCell ref="T821:T822"/>
    <mergeCell ref="U821:U822"/>
    <mergeCell ref="V821:V822"/>
    <mergeCell ref="W821:W822"/>
    <mergeCell ref="X821:X822"/>
    <mergeCell ref="M821:M822"/>
    <mergeCell ref="N821:N822"/>
    <mergeCell ref="O821:O822"/>
    <mergeCell ref="P821:P822"/>
    <mergeCell ref="Q821:Q822"/>
    <mergeCell ref="R821:R822"/>
    <mergeCell ref="G821:G822"/>
    <mergeCell ref="H821:H822"/>
    <mergeCell ref="I821:I822"/>
    <mergeCell ref="J821:J822"/>
    <mergeCell ref="K821:K822"/>
    <mergeCell ref="L821:L822"/>
    <mergeCell ref="G825:G826"/>
    <mergeCell ref="H825:H826"/>
    <mergeCell ref="I825:I826"/>
    <mergeCell ref="J825:J826"/>
    <mergeCell ref="K825:K826"/>
    <mergeCell ref="L825:L826"/>
    <mergeCell ref="Z827:Z828"/>
    <mergeCell ref="AG827:AG828"/>
    <mergeCell ref="AH827:AH828"/>
    <mergeCell ref="AI827:AI828"/>
    <mergeCell ref="AJ827:AJ828"/>
    <mergeCell ref="B825:B826"/>
    <mergeCell ref="C825:C826"/>
    <mergeCell ref="D825:D826"/>
    <mergeCell ref="E825:E826"/>
    <mergeCell ref="F825:F826"/>
    <mergeCell ref="T823:T824"/>
    <mergeCell ref="U823:U824"/>
    <mergeCell ref="V823:V824"/>
    <mergeCell ref="W823:W824"/>
    <mergeCell ref="X823:X824"/>
    <mergeCell ref="Y823:Y824"/>
    <mergeCell ref="N823:N824"/>
    <mergeCell ref="O823:O824"/>
    <mergeCell ref="P823:P824"/>
    <mergeCell ref="Q823:Q824"/>
    <mergeCell ref="R823:R824"/>
    <mergeCell ref="S823:S824"/>
    <mergeCell ref="H823:H824"/>
    <mergeCell ref="I823:I824"/>
    <mergeCell ref="J823:J824"/>
    <mergeCell ref="K823:K824"/>
    <mergeCell ref="Y825:Y826"/>
    <mergeCell ref="Z825:Z826"/>
    <mergeCell ref="AG825:AG826"/>
    <mergeCell ref="AH825:AH826"/>
    <mergeCell ref="AI825:AI826"/>
    <mergeCell ref="AJ825:AJ826"/>
    <mergeCell ref="S825:S826"/>
    <mergeCell ref="T825:T826"/>
    <mergeCell ref="U825:U826"/>
    <mergeCell ref="V825:V826"/>
    <mergeCell ref="W825:W826"/>
    <mergeCell ref="X825:X826"/>
    <mergeCell ref="M825:M826"/>
    <mergeCell ref="N825:N826"/>
    <mergeCell ref="O825:O826"/>
    <mergeCell ref="P825:P826"/>
    <mergeCell ref="Q825:Q826"/>
    <mergeCell ref="R825:R826"/>
    <mergeCell ref="L829:L830"/>
    <mergeCell ref="B829:B830"/>
    <mergeCell ref="C829:C830"/>
    <mergeCell ref="D829:D830"/>
    <mergeCell ref="E829:E830"/>
    <mergeCell ref="F829:F830"/>
    <mergeCell ref="T827:T828"/>
    <mergeCell ref="U827:U828"/>
    <mergeCell ref="V827:V828"/>
    <mergeCell ref="W827:W828"/>
    <mergeCell ref="X827:X828"/>
    <mergeCell ref="Y827:Y828"/>
    <mergeCell ref="N827:N828"/>
    <mergeCell ref="O827:O828"/>
    <mergeCell ref="P827:P828"/>
    <mergeCell ref="Q827:Q828"/>
    <mergeCell ref="R827:R828"/>
    <mergeCell ref="S827:S828"/>
    <mergeCell ref="H827:H828"/>
    <mergeCell ref="I827:I828"/>
    <mergeCell ref="J827:J828"/>
    <mergeCell ref="K827:K828"/>
    <mergeCell ref="L827:L828"/>
    <mergeCell ref="M827:M828"/>
    <mergeCell ref="B827:B828"/>
    <mergeCell ref="C827:C828"/>
    <mergeCell ref="D827:D828"/>
    <mergeCell ref="E827:E828"/>
    <mergeCell ref="F827:F828"/>
    <mergeCell ref="G827:G828"/>
    <mergeCell ref="K832:K833"/>
    <mergeCell ref="L832:L833"/>
    <mergeCell ref="M832:M833"/>
    <mergeCell ref="B832:B833"/>
    <mergeCell ref="C832:C833"/>
    <mergeCell ref="D832:D833"/>
    <mergeCell ref="E832:E833"/>
    <mergeCell ref="F832:F833"/>
    <mergeCell ref="G832:G833"/>
    <mergeCell ref="Y829:Y830"/>
    <mergeCell ref="Z829:Z830"/>
    <mergeCell ref="AG829:AG830"/>
    <mergeCell ref="AH829:AH830"/>
    <mergeCell ref="AI829:AI830"/>
    <mergeCell ref="AJ829:AJ830"/>
    <mergeCell ref="S829:S830"/>
    <mergeCell ref="T829:T830"/>
    <mergeCell ref="U829:U830"/>
    <mergeCell ref="V829:V830"/>
    <mergeCell ref="W829:W830"/>
    <mergeCell ref="X829:X830"/>
    <mergeCell ref="M829:M830"/>
    <mergeCell ref="N829:N830"/>
    <mergeCell ref="O829:O830"/>
    <mergeCell ref="P829:P830"/>
    <mergeCell ref="Q829:Q830"/>
    <mergeCell ref="R829:R830"/>
    <mergeCell ref="G829:G830"/>
    <mergeCell ref="H829:H830"/>
    <mergeCell ref="I829:I830"/>
    <mergeCell ref="J829:J830"/>
    <mergeCell ref="K829:K830"/>
    <mergeCell ref="O834:O835"/>
    <mergeCell ref="AI832:AI833"/>
    <mergeCell ref="AJ832:AJ833"/>
    <mergeCell ref="B834:B835"/>
    <mergeCell ref="C834:C835"/>
    <mergeCell ref="D834:D835"/>
    <mergeCell ref="E834:E835"/>
    <mergeCell ref="F834:F835"/>
    <mergeCell ref="G834:G835"/>
    <mergeCell ref="H834:H835"/>
    <mergeCell ref="I834:I835"/>
    <mergeCell ref="Z832:Z833"/>
    <mergeCell ref="AA832:AA833"/>
    <mergeCell ref="AB832:AB833"/>
    <mergeCell ref="AC832:AC833"/>
    <mergeCell ref="AG832:AG833"/>
    <mergeCell ref="AH832:AH833"/>
    <mergeCell ref="T832:T833"/>
    <mergeCell ref="U832:U833"/>
    <mergeCell ref="V832:V833"/>
    <mergeCell ref="W832:W833"/>
    <mergeCell ref="X832:X833"/>
    <mergeCell ref="Y832:Y833"/>
    <mergeCell ref="N832:N833"/>
    <mergeCell ref="O832:O833"/>
    <mergeCell ref="P832:P833"/>
    <mergeCell ref="Q832:Q833"/>
    <mergeCell ref="R832:R833"/>
    <mergeCell ref="S832:S833"/>
    <mergeCell ref="H832:H833"/>
    <mergeCell ref="I832:I833"/>
    <mergeCell ref="J832:J833"/>
    <mergeCell ref="K840:K842"/>
    <mergeCell ref="L840:L842"/>
    <mergeCell ref="M840:M842"/>
    <mergeCell ref="B840:B842"/>
    <mergeCell ref="C840:C842"/>
    <mergeCell ref="D840:D842"/>
    <mergeCell ref="E840:E842"/>
    <mergeCell ref="F840:F842"/>
    <mergeCell ref="G840:G842"/>
    <mergeCell ref="AB834:AB835"/>
    <mergeCell ref="AC834:AC835"/>
    <mergeCell ref="AG834:AG835"/>
    <mergeCell ref="AH834:AH835"/>
    <mergeCell ref="AI834:AI835"/>
    <mergeCell ref="AJ834:AJ835"/>
    <mergeCell ref="V834:V835"/>
    <mergeCell ref="W834:W835"/>
    <mergeCell ref="X834:X835"/>
    <mergeCell ref="Y834:Y835"/>
    <mergeCell ref="Z834:Z835"/>
    <mergeCell ref="AA834:AA835"/>
    <mergeCell ref="P834:P835"/>
    <mergeCell ref="Q834:Q835"/>
    <mergeCell ref="R834:R835"/>
    <mergeCell ref="S834:S835"/>
    <mergeCell ref="T834:T835"/>
    <mergeCell ref="U834:U835"/>
    <mergeCell ref="J834:J835"/>
    <mergeCell ref="K834:K835"/>
    <mergeCell ref="L834:L835"/>
    <mergeCell ref="M834:M835"/>
    <mergeCell ref="N834:N835"/>
    <mergeCell ref="O843:O844"/>
    <mergeCell ref="AI840:AI842"/>
    <mergeCell ref="AJ840:AJ842"/>
    <mergeCell ref="B843:B844"/>
    <mergeCell ref="C843:C844"/>
    <mergeCell ref="D843:D844"/>
    <mergeCell ref="E843:E844"/>
    <mergeCell ref="F843:F844"/>
    <mergeCell ref="G843:G844"/>
    <mergeCell ref="H843:H844"/>
    <mergeCell ref="I843:I844"/>
    <mergeCell ref="Z840:Z842"/>
    <mergeCell ref="AD840:AD842"/>
    <mergeCell ref="AE840:AE842"/>
    <mergeCell ref="AF840:AF842"/>
    <mergeCell ref="AG840:AG842"/>
    <mergeCell ref="AH840:AH842"/>
    <mergeCell ref="T840:T842"/>
    <mergeCell ref="U840:U842"/>
    <mergeCell ref="V840:V842"/>
    <mergeCell ref="W840:W842"/>
    <mergeCell ref="X840:X842"/>
    <mergeCell ref="Y840:Y842"/>
    <mergeCell ref="N840:N842"/>
    <mergeCell ref="O840:O842"/>
    <mergeCell ref="P840:P842"/>
    <mergeCell ref="Q840:Q842"/>
    <mergeCell ref="R840:R842"/>
    <mergeCell ref="S840:S842"/>
    <mergeCell ref="H840:H842"/>
    <mergeCell ref="I840:I842"/>
    <mergeCell ref="J840:J842"/>
    <mergeCell ref="K845:K846"/>
    <mergeCell ref="L845:L846"/>
    <mergeCell ref="M845:M846"/>
    <mergeCell ref="B845:B846"/>
    <mergeCell ref="C845:C846"/>
    <mergeCell ref="D845:D846"/>
    <mergeCell ref="E845:E846"/>
    <mergeCell ref="F845:F846"/>
    <mergeCell ref="G845:G846"/>
    <mergeCell ref="AE843:AE844"/>
    <mergeCell ref="AF843:AF844"/>
    <mergeCell ref="AG843:AG844"/>
    <mergeCell ref="AH843:AH844"/>
    <mergeCell ref="AI843:AI844"/>
    <mergeCell ref="AJ843:AJ844"/>
    <mergeCell ref="V843:V844"/>
    <mergeCell ref="W843:W844"/>
    <mergeCell ref="X843:X844"/>
    <mergeCell ref="Y843:Y844"/>
    <mergeCell ref="Z843:Z844"/>
    <mergeCell ref="AD843:AD844"/>
    <mergeCell ref="P843:P844"/>
    <mergeCell ref="Q843:Q844"/>
    <mergeCell ref="R843:R844"/>
    <mergeCell ref="S843:S844"/>
    <mergeCell ref="T843:T844"/>
    <mergeCell ref="U843:U844"/>
    <mergeCell ref="J843:J844"/>
    <mergeCell ref="K843:K844"/>
    <mergeCell ref="L843:L844"/>
    <mergeCell ref="M843:M844"/>
    <mergeCell ref="N843:N844"/>
    <mergeCell ref="AJ849:AJ850"/>
    <mergeCell ref="AI845:AI846"/>
    <mergeCell ref="AJ845:AJ846"/>
    <mergeCell ref="B847:B848"/>
    <mergeCell ref="C847:C848"/>
    <mergeCell ref="D847:D848"/>
    <mergeCell ref="E847:E848"/>
    <mergeCell ref="F847:F848"/>
    <mergeCell ref="G847:G848"/>
    <mergeCell ref="H847:H848"/>
    <mergeCell ref="I847:I848"/>
    <mergeCell ref="Z845:Z846"/>
    <mergeCell ref="AD845:AD846"/>
    <mergeCell ref="AE845:AE846"/>
    <mergeCell ref="AF845:AF846"/>
    <mergeCell ref="AG845:AG846"/>
    <mergeCell ref="AH845:AH846"/>
    <mergeCell ref="T845:T846"/>
    <mergeCell ref="U845:U846"/>
    <mergeCell ref="V845:V846"/>
    <mergeCell ref="W845:W846"/>
    <mergeCell ref="X845:X846"/>
    <mergeCell ref="Y845:Y846"/>
    <mergeCell ref="N845:N846"/>
    <mergeCell ref="O845:O846"/>
    <mergeCell ref="P845:P846"/>
    <mergeCell ref="Q845:Q846"/>
    <mergeCell ref="R845:R846"/>
    <mergeCell ref="S845:S846"/>
    <mergeCell ref="H845:H846"/>
    <mergeCell ref="I845:I846"/>
    <mergeCell ref="J845:J846"/>
    <mergeCell ref="L849:L850"/>
    <mergeCell ref="AI851:AI852"/>
    <mergeCell ref="M849:M850"/>
    <mergeCell ref="N849:N850"/>
    <mergeCell ref="AH847:AH848"/>
    <mergeCell ref="AI847:AI848"/>
    <mergeCell ref="AJ847:AJ848"/>
    <mergeCell ref="B849:B850"/>
    <mergeCell ref="C849:C850"/>
    <mergeCell ref="D849:D850"/>
    <mergeCell ref="E849:E850"/>
    <mergeCell ref="F849:F850"/>
    <mergeCell ref="G849:G850"/>
    <mergeCell ref="H849:H850"/>
    <mergeCell ref="V847:V848"/>
    <mergeCell ref="W847:W848"/>
    <mergeCell ref="X847:X848"/>
    <mergeCell ref="Y847:Y848"/>
    <mergeCell ref="Z847:Z848"/>
    <mergeCell ref="AG847:AG848"/>
    <mergeCell ref="P847:P848"/>
    <mergeCell ref="Q847:Q848"/>
    <mergeCell ref="R847:R848"/>
    <mergeCell ref="S847:S848"/>
    <mergeCell ref="T847:T848"/>
    <mergeCell ref="U847:U848"/>
    <mergeCell ref="J847:J848"/>
    <mergeCell ref="K847:K848"/>
    <mergeCell ref="L847:L848"/>
    <mergeCell ref="M847:M848"/>
    <mergeCell ref="N847:N848"/>
    <mergeCell ref="O847:O848"/>
    <mergeCell ref="AI853:AI854"/>
    <mergeCell ref="AJ853:AJ854"/>
    <mergeCell ref="B851:B852"/>
    <mergeCell ref="C851:C852"/>
    <mergeCell ref="D851:D852"/>
    <mergeCell ref="E851:E852"/>
    <mergeCell ref="F851:F852"/>
    <mergeCell ref="G851:G852"/>
    <mergeCell ref="H851:H852"/>
    <mergeCell ref="I851:I852"/>
    <mergeCell ref="J851:J852"/>
    <mergeCell ref="AD849:AD850"/>
    <mergeCell ref="AE849:AE850"/>
    <mergeCell ref="AF849:AF850"/>
    <mergeCell ref="AG849:AG850"/>
    <mergeCell ref="AH849:AH850"/>
    <mergeCell ref="AI849:AI850"/>
    <mergeCell ref="U849:U850"/>
    <mergeCell ref="V849:V850"/>
    <mergeCell ref="W849:W850"/>
    <mergeCell ref="X849:X850"/>
    <mergeCell ref="Y849:Y850"/>
    <mergeCell ref="Z849:Z850"/>
    <mergeCell ref="O849:O850"/>
    <mergeCell ref="P849:P850"/>
    <mergeCell ref="Q849:Q850"/>
    <mergeCell ref="R849:R850"/>
    <mergeCell ref="S849:S850"/>
    <mergeCell ref="T849:T850"/>
    <mergeCell ref="I849:I850"/>
    <mergeCell ref="J849:J850"/>
    <mergeCell ref="K849:K850"/>
    <mergeCell ref="L941:L942"/>
    <mergeCell ref="M941:M942"/>
    <mergeCell ref="AH937:AH939"/>
    <mergeCell ref="AI937:AI939"/>
    <mergeCell ref="AJ851:AJ852"/>
    <mergeCell ref="B853:B854"/>
    <mergeCell ref="C853:C854"/>
    <mergeCell ref="D853:D854"/>
    <mergeCell ref="E853:E854"/>
    <mergeCell ref="F853:F854"/>
    <mergeCell ref="G853:G854"/>
    <mergeCell ref="H853:H854"/>
    <mergeCell ref="I853:I854"/>
    <mergeCell ref="W851:W852"/>
    <mergeCell ref="X851:X852"/>
    <mergeCell ref="Y851:Y852"/>
    <mergeCell ref="Z851:Z852"/>
    <mergeCell ref="AG851:AG852"/>
    <mergeCell ref="AH851:AH852"/>
    <mergeCell ref="Q851:Q852"/>
    <mergeCell ref="R851:R852"/>
    <mergeCell ref="S851:S852"/>
    <mergeCell ref="T851:T852"/>
    <mergeCell ref="U851:U852"/>
    <mergeCell ref="V851:V852"/>
    <mergeCell ref="K851:K852"/>
    <mergeCell ref="L851:L852"/>
    <mergeCell ref="M851:M852"/>
    <mergeCell ref="N851:N852"/>
    <mergeCell ref="O851:O852"/>
    <mergeCell ref="P851:P852"/>
    <mergeCell ref="AH853:AH854"/>
    <mergeCell ref="D937:D939"/>
    <mergeCell ref="E937:E939"/>
    <mergeCell ref="F937:F939"/>
    <mergeCell ref="G937:G939"/>
    <mergeCell ref="H937:H939"/>
    <mergeCell ref="V853:V854"/>
    <mergeCell ref="W853:W854"/>
    <mergeCell ref="X853:X854"/>
    <mergeCell ref="Y853:Y854"/>
    <mergeCell ref="Z853:Z854"/>
    <mergeCell ref="AG853:AG854"/>
    <mergeCell ref="P853:P854"/>
    <mergeCell ref="Q853:Q854"/>
    <mergeCell ref="R853:R854"/>
    <mergeCell ref="S853:S854"/>
    <mergeCell ref="T853:T854"/>
    <mergeCell ref="U853:U854"/>
    <mergeCell ref="J853:J854"/>
    <mergeCell ref="K853:K854"/>
    <mergeCell ref="L853:L854"/>
    <mergeCell ref="M853:M854"/>
    <mergeCell ref="N853:N854"/>
    <mergeCell ref="O853:O854"/>
    <mergeCell ref="AG937:AG939"/>
    <mergeCell ref="AJ937:AJ939"/>
    <mergeCell ref="B941:B942"/>
    <mergeCell ref="C941:C942"/>
    <mergeCell ref="D941:D942"/>
    <mergeCell ref="E941:E942"/>
    <mergeCell ref="F941:F942"/>
    <mergeCell ref="G941:G942"/>
    <mergeCell ref="U937:U939"/>
    <mergeCell ref="V937:V939"/>
    <mergeCell ref="W937:W939"/>
    <mergeCell ref="X937:X939"/>
    <mergeCell ref="Y937:Y939"/>
    <mergeCell ref="Z937:Z939"/>
    <mergeCell ref="O937:O939"/>
    <mergeCell ref="P937:P939"/>
    <mergeCell ref="Q937:Q939"/>
    <mergeCell ref="R937:R939"/>
    <mergeCell ref="S937:S939"/>
    <mergeCell ref="T937:T939"/>
    <mergeCell ref="I937:I939"/>
    <mergeCell ref="J937:J939"/>
    <mergeCell ref="K937:K939"/>
    <mergeCell ref="L937:L939"/>
    <mergeCell ref="M937:M939"/>
    <mergeCell ref="N937:N939"/>
    <mergeCell ref="Z941:Z942"/>
    <mergeCell ref="AG941:AG942"/>
    <mergeCell ref="AH941:AH942"/>
    <mergeCell ref="AI941:AI942"/>
    <mergeCell ref="AJ941:AJ942"/>
    <mergeCell ref="B937:B939"/>
    <mergeCell ref="C937:C939"/>
    <mergeCell ref="G943:G944"/>
    <mergeCell ref="H943:H944"/>
    <mergeCell ref="I943:I944"/>
    <mergeCell ref="J943:J944"/>
    <mergeCell ref="K943:K944"/>
    <mergeCell ref="L943:L944"/>
    <mergeCell ref="Z945:Z946"/>
    <mergeCell ref="AG945:AG946"/>
    <mergeCell ref="AH945:AH946"/>
    <mergeCell ref="AI945:AI946"/>
    <mergeCell ref="AJ945:AJ946"/>
    <mergeCell ref="B943:B944"/>
    <mergeCell ref="C943:C944"/>
    <mergeCell ref="D943:D944"/>
    <mergeCell ref="E943:E944"/>
    <mergeCell ref="F943:F944"/>
    <mergeCell ref="T941:T942"/>
    <mergeCell ref="U941:U942"/>
    <mergeCell ref="V941:V942"/>
    <mergeCell ref="W941:W942"/>
    <mergeCell ref="X941:X942"/>
    <mergeCell ref="Y941:Y942"/>
    <mergeCell ref="N941:N942"/>
    <mergeCell ref="O941:O942"/>
    <mergeCell ref="P941:P942"/>
    <mergeCell ref="Q941:Q942"/>
    <mergeCell ref="R941:R942"/>
    <mergeCell ref="S941:S942"/>
    <mergeCell ref="H941:H942"/>
    <mergeCell ref="I941:I942"/>
    <mergeCell ref="J941:J942"/>
    <mergeCell ref="K941:K942"/>
    <mergeCell ref="Y943:Y944"/>
    <mergeCell ref="Z943:Z944"/>
    <mergeCell ref="AG943:AG944"/>
    <mergeCell ref="AH943:AH944"/>
    <mergeCell ref="AI943:AI944"/>
    <mergeCell ref="AJ943:AJ944"/>
    <mergeCell ref="S943:S944"/>
    <mergeCell ref="T943:T944"/>
    <mergeCell ref="U943:U944"/>
    <mergeCell ref="V943:V944"/>
    <mergeCell ref="W943:W944"/>
    <mergeCell ref="X943:X944"/>
    <mergeCell ref="M943:M944"/>
    <mergeCell ref="N943:N944"/>
    <mergeCell ref="O943:O944"/>
    <mergeCell ref="P943:P944"/>
    <mergeCell ref="Q943:Q944"/>
    <mergeCell ref="R943:R944"/>
    <mergeCell ref="AH949:AH950"/>
    <mergeCell ref="AI949:AI950"/>
    <mergeCell ref="AJ949:AJ950"/>
    <mergeCell ref="B947:B948"/>
    <mergeCell ref="C947:C948"/>
    <mergeCell ref="D947:D948"/>
    <mergeCell ref="E947:E948"/>
    <mergeCell ref="F947:F948"/>
    <mergeCell ref="T945:T946"/>
    <mergeCell ref="U945:U946"/>
    <mergeCell ref="V945:V946"/>
    <mergeCell ref="W945:W946"/>
    <mergeCell ref="X945:X946"/>
    <mergeCell ref="Y945:Y946"/>
    <mergeCell ref="N945:N946"/>
    <mergeCell ref="O945:O946"/>
    <mergeCell ref="P945:P946"/>
    <mergeCell ref="Q945:Q946"/>
    <mergeCell ref="R945:R946"/>
    <mergeCell ref="S945:S946"/>
    <mergeCell ref="H945:H946"/>
    <mergeCell ref="I945:I946"/>
    <mergeCell ref="J945:J946"/>
    <mergeCell ref="K945:K946"/>
    <mergeCell ref="L945:L946"/>
    <mergeCell ref="M945:M946"/>
    <mergeCell ref="B945:B946"/>
    <mergeCell ref="C945:C946"/>
    <mergeCell ref="D945:D946"/>
    <mergeCell ref="E945:E946"/>
    <mergeCell ref="F945:F946"/>
    <mergeCell ref="G945:G946"/>
    <mergeCell ref="B949:B950"/>
    <mergeCell ref="C949:C950"/>
    <mergeCell ref="D949:D950"/>
    <mergeCell ref="E949:E950"/>
    <mergeCell ref="F949:F950"/>
    <mergeCell ref="G949:G950"/>
    <mergeCell ref="Y947:Y948"/>
    <mergeCell ref="Z947:Z948"/>
    <mergeCell ref="AG947:AG948"/>
    <mergeCell ref="AH947:AH948"/>
    <mergeCell ref="AI947:AI948"/>
    <mergeCell ref="AJ947:AJ948"/>
    <mergeCell ref="S947:S948"/>
    <mergeCell ref="T947:T948"/>
    <mergeCell ref="U947:U948"/>
    <mergeCell ref="V947:V948"/>
    <mergeCell ref="W947:W948"/>
    <mergeCell ref="X947:X948"/>
    <mergeCell ref="M947:M948"/>
    <mergeCell ref="N947:N948"/>
    <mergeCell ref="O947:O948"/>
    <mergeCell ref="P947:P948"/>
    <mergeCell ref="Q947:Q948"/>
    <mergeCell ref="R947:R948"/>
    <mergeCell ref="G947:G948"/>
    <mergeCell ref="H947:H948"/>
    <mergeCell ref="I947:I948"/>
    <mergeCell ref="J947:J948"/>
    <mergeCell ref="K947:K948"/>
    <mergeCell ref="L947:L948"/>
    <mergeCell ref="Z949:Z950"/>
    <mergeCell ref="AG949:AG950"/>
    <mergeCell ref="C951:C952"/>
    <mergeCell ref="D951:D952"/>
    <mergeCell ref="E951:E952"/>
    <mergeCell ref="F951:F952"/>
    <mergeCell ref="T949:T950"/>
    <mergeCell ref="U949:U950"/>
    <mergeCell ref="V949:V950"/>
    <mergeCell ref="W949:W950"/>
    <mergeCell ref="X949:X950"/>
    <mergeCell ref="Y949:Y950"/>
    <mergeCell ref="N949:N950"/>
    <mergeCell ref="O949:O950"/>
    <mergeCell ref="P949:P950"/>
    <mergeCell ref="Q949:Q950"/>
    <mergeCell ref="R949:R950"/>
    <mergeCell ref="S949:S950"/>
    <mergeCell ref="H949:H950"/>
    <mergeCell ref="I949:I950"/>
    <mergeCell ref="J949:J950"/>
    <mergeCell ref="K949:K950"/>
    <mergeCell ref="L949:L950"/>
    <mergeCell ref="M949:M950"/>
    <mergeCell ref="M953:M954"/>
    <mergeCell ref="B953:B954"/>
    <mergeCell ref="C953:C954"/>
    <mergeCell ref="D953:D954"/>
    <mergeCell ref="E953:E954"/>
    <mergeCell ref="F953:F954"/>
    <mergeCell ref="G953:G954"/>
    <mergeCell ref="Y951:Y952"/>
    <mergeCell ref="Z951:Z952"/>
    <mergeCell ref="AG951:AG952"/>
    <mergeCell ref="AH951:AH952"/>
    <mergeCell ref="AI951:AI952"/>
    <mergeCell ref="AJ951:AJ952"/>
    <mergeCell ref="S951:S952"/>
    <mergeCell ref="T951:T952"/>
    <mergeCell ref="U951:U952"/>
    <mergeCell ref="V951:V952"/>
    <mergeCell ref="W951:W952"/>
    <mergeCell ref="X951:X952"/>
    <mergeCell ref="M951:M952"/>
    <mergeCell ref="N951:N952"/>
    <mergeCell ref="O951:O952"/>
    <mergeCell ref="P951:P952"/>
    <mergeCell ref="Q951:Q952"/>
    <mergeCell ref="R951:R952"/>
    <mergeCell ref="G951:G952"/>
    <mergeCell ref="H951:H952"/>
    <mergeCell ref="I951:I952"/>
    <mergeCell ref="J951:J952"/>
    <mergeCell ref="K951:K952"/>
    <mergeCell ref="L951:L952"/>
    <mergeCell ref="B951:B952"/>
    <mergeCell ref="H980:H981"/>
    <mergeCell ref="I980:I981"/>
    <mergeCell ref="J980:J981"/>
    <mergeCell ref="K980:K981"/>
    <mergeCell ref="L980:L981"/>
    <mergeCell ref="Z953:Z954"/>
    <mergeCell ref="AG953:AG954"/>
    <mergeCell ref="AH953:AH954"/>
    <mergeCell ref="AI953:AI954"/>
    <mergeCell ref="AJ953:AJ954"/>
    <mergeCell ref="B980:B981"/>
    <mergeCell ref="C980:C981"/>
    <mergeCell ref="D980:D981"/>
    <mergeCell ref="E980:E981"/>
    <mergeCell ref="F980:F981"/>
    <mergeCell ref="T953:T954"/>
    <mergeCell ref="U953:U954"/>
    <mergeCell ref="V953:V954"/>
    <mergeCell ref="W953:W954"/>
    <mergeCell ref="X953:X954"/>
    <mergeCell ref="Y953:Y954"/>
    <mergeCell ref="N953:N954"/>
    <mergeCell ref="O953:O954"/>
    <mergeCell ref="P953:P954"/>
    <mergeCell ref="Q953:Q954"/>
    <mergeCell ref="R953:R954"/>
    <mergeCell ref="S953:S954"/>
    <mergeCell ref="H953:H954"/>
    <mergeCell ref="I953:I954"/>
    <mergeCell ref="J953:J954"/>
    <mergeCell ref="K953:K954"/>
    <mergeCell ref="L953:L954"/>
    <mergeCell ref="L982:L983"/>
    <mergeCell ref="M982:M983"/>
    <mergeCell ref="N982:N983"/>
    <mergeCell ref="AH980:AH981"/>
    <mergeCell ref="AI980:AI981"/>
    <mergeCell ref="AJ980:AJ981"/>
    <mergeCell ref="B982:B983"/>
    <mergeCell ref="C982:C983"/>
    <mergeCell ref="D982:D983"/>
    <mergeCell ref="E982:E983"/>
    <mergeCell ref="F982:F983"/>
    <mergeCell ref="G982:G983"/>
    <mergeCell ref="H982:H983"/>
    <mergeCell ref="Y980:Y981"/>
    <mergeCell ref="Z980:Z981"/>
    <mergeCell ref="AA980:AA981"/>
    <mergeCell ref="AB980:AB981"/>
    <mergeCell ref="AC980:AC981"/>
    <mergeCell ref="AG980:AG981"/>
    <mergeCell ref="S980:S981"/>
    <mergeCell ref="T980:T981"/>
    <mergeCell ref="U980:U981"/>
    <mergeCell ref="V980:V981"/>
    <mergeCell ref="W980:W981"/>
    <mergeCell ref="X980:X981"/>
    <mergeCell ref="M980:M981"/>
    <mergeCell ref="N980:N981"/>
    <mergeCell ref="O980:O981"/>
    <mergeCell ref="P980:P981"/>
    <mergeCell ref="Q980:Q981"/>
    <mergeCell ref="R980:R981"/>
    <mergeCell ref="G980:G981"/>
    <mergeCell ref="P984:P985"/>
    <mergeCell ref="AJ982:AJ983"/>
    <mergeCell ref="B984:B985"/>
    <mergeCell ref="C984:C985"/>
    <mergeCell ref="D984:D985"/>
    <mergeCell ref="E984:E985"/>
    <mergeCell ref="F984:F985"/>
    <mergeCell ref="G984:G985"/>
    <mergeCell ref="H984:H985"/>
    <mergeCell ref="I984:I985"/>
    <mergeCell ref="J984:J985"/>
    <mergeCell ref="AA982:AA983"/>
    <mergeCell ref="AB982:AB983"/>
    <mergeCell ref="AC982:AC983"/>
    <mergeCell ref="AG982:AG983"/>
    <mergeCell ref="AH982:AH983"/>
    <mergeCell ref="AI982:AI983"/>
    <mergeCell ref="U982:U983"/>
    <mergeCell ref="V982:V983"/>
    <mergeCell ref="W982:W983"/>
    <mergeCell ref="X982:X983"/>
    <mergeCell ref="Y982:Y983"/>
    <mergeCell ref="Z982:Z983"/>
    <mergeCell ref="O982:O983"/>
    <mergeCell ref="P982:P983"/>
    <mergeCell ref="Q982:Q983"/>
    <mergeCell ref="R982:R983"/>
    <mergeCell ref="S982:S983"/>
    <mergeCell ref="T982:T983"/>
    <mergeCell ref="I982:I983"/>
    <mergeCell ref="J982:J983"/>
    <mergeCell ref="K982:K983"/>
    <mergeCell ref="H986:H987"/>
    <mergeCell ref="I986:I987"/>
    <mergeCell ref="J986:J987"/>
    <mergeCell ref="K986:K987"/>
    <mergeCell ref="L986:L987"/>
    <mergeCell ref="AC984:AC985"/>
    <mergeCell ref="AG984:AG985"/>
    <mergeCell ref="AH984:AH985"/>
    <mergeCell ref="AI984:AI985"/>
    <mergeCell ref="AJ984:AJ985"/>
    <mergeCell ref="B986:B987"/>
    <mergeCell ref="C986:C987"/>
    <mergeCell ref="D986:D987"/>
    <mergeCell ref="E986:E987"/>
    <mergeCell ref="F986:F987"/>
    <mergeCell ref="W984:W985"/>
    <mergeCell ref="X984:X985"/>
    <mergeCell ref="Y984:Y985"/>
    <mergeCell ref="Z984:Z985"/>
    <mergeCell ref="AA984:AA985"/>
    <mergeCell ref="AB984:AB985"/>
    <mergeCell ref="Q984:Q985"/>
    <mergeCell ref="R984:R985"/>
    <mergeCell ref="S984:S985"/>
    <mergeCell ref="T984:T985"/>
    <mergeCell ref="U984:U985"/>
    <mergeCell ref="V984:V985"/>
    <mergeCell ref="K984:K985"/>
    <mergeCell ref="L984:L985"/>
    <mergeCell ref="M984:M985"/>
    <mergeCell ref="N984:N985"/>
    <mergeCell ref="O984:O985"/>
    <mergeCell ref="L1049:L1050"/>
    <mergeCell ref="M1049:M1050"/>
    <mergeCell ref="N1049:N1050"/>
    <mergeCell ref="AH986:AH987"/>
    <mergeCell ref="AI986:AI987"/>
    <mergeCell ref="AJ986:AJ987"/>
    <mergeCell ref="B1049:B1050"/>
    <mergeCell ref="C1049:C1050"/>
    <mergeCell ref="D1049:D1050"/>
    <mergeCell ref="E1049:E1050"/>
    <mergeCell ref="F1049:F1050"/>
    <mergeCell ref="G1049:G1050"/>
    <mergeCell ref="H1049:H1050"/>
    <mergeCell ref="Y986:Y987"/>
    <mergeCell ref="Z986:Z987"/>
    <mergeCell ref="AA986:AA987"/>
    <mergeCell ref="AB986:AB987"/>
    <mergeCell ref="AC986:AC987"/>
    <mergeCell ref="AG986:AG987"/>
    <mergeCell ref="S986:S987"/>
    <mergeCell ref="T986:T987"/>
    <mergeCell ref="U986:U987"/>
    <mergeCell ref="V986:V987"/>
    <mergeCell ref="W986:W987"/>
    <mergeCell ref="X986:X987"/>
    <mergeCell ref="M986:M987"/>
    <mergeCell ref="N986:N987"/>
    <mergeCell ref="O986:O987"/>
    <mergeCell ref="P986:P987"/>
    <mergeCell ref="Q986:Q987"/>
    <mergeCell ref="R986:R987"/>
    <mergeCell ref="G986:G987"/>
    <mergeCell ref="P1053:P1055"/>
    <mergeCell ref="AJ1049:AJ1050"/>
    <mergeCell ref="B1053:B1055"/>
    <mergeCell ref="C1053:C1055"/>
    <mergeCell ref="D1053:D1055"/>
    <mergeCell ref="E1053:E1055"/>
    <mergeCell ref="F1053:F1055"/>
    <mergeCell ref="G1053:G1055"/>
    <mergeCell ref="H1053:H1055"/>
    <mergeCell ref="I1053:I1055"/>
    <mergeCell ref="J1053:J1055"/>
    <mergeCell ref="AD1049:AD1050"/>
    <mergeCell ref="AE1049:AE1050"/>
    <mergeCell ref="AF1049:AF1050"/>
    <mergeCell ref="AG1049:AG1050"/>
    <mergeCell ref="AH1049:AH1050"/>
    <mergeCell ref="AI1049:AI1050"/>
    <mergeCell ref="U1049:U1050"/>
    <mergeCell ref="V1049:V1050"/>
    <mergeCell ref="W1049:W1050"/>
    <mergeCell ref="X1049:X1050"/>
    <mergeCell ref="Y1049:Y1050"/>
    <mergeCell ref="Z1049:Z1050"/>
    <mergeCell ref="O1049:O1050"/>
    <mergeCell ref="P1049:P1050"/>
    <mergeCell ref="Q1049:Q1050"/>
    <mergeCell ref="R1049:R1050"/>
    <mergeCell ref="S1049:S1050"/>
    <mergeCell ref="T1049:T1050"/>
    <mergeCell ref="I1049:I1050"/>
    <mergeCell ref="J1049:J1050"/>
    <mergeCell ref="K1049:K1050"/>
    <mergeCell ref="Z1059:Z1060"/>
    <mergeCell ref="AG1059:AG1060"/>
    <mergeCell ref="AH1059:AH1060"/>
    <mergeCell ref="AI1059:AI1060"/>
    <mergeCell ref="AJ1059:AJ1060"/>
    <mergeCell ref="AI1053:AI1055"/>
    <mergeCell ref="AJ1053:AJ1055"/>
    <mergeCell ref="B1056:B1058"/>
    <mergeCell ref="C1056:C1058"/>
    <mergeCell ref="D1056:D1058"/>
    <mergeCell ref="E1056:E1058"/>
    <mergeCell ref="F1056:F1058"/>
    <mergeCell ref="G1056:G1058"/>
    <mergeCell ref="H1056:H1058"/>
    <mergeCell ref="I1056:I1058"/>
    <mergeCell ref="W1053:W1055"/>
    <mergeCell ref="X1053:X1055"/>
    <mergeCell ref="Y1053:Y1055"/>
    <mergeCell ref="Z1053:Z1055"/>
    <mergeCell ref="AG1053:AG1055"/>
    <mergeCell ref="AH1053:AH1055"/>
    <mergeCell ref="Q1053:Q1055"/>
    <mergeCell ref="R1053:R1055"/>
    <mergeCell ref="S1053:S1055"/>
    <mergeCell ref="T1053:T1055"/>
    <mergeCell ref="U1053:U1055"/>
    <mergeCell ref="V1053:V1055"/>
    <mergeCell ref="K1053:K1055"/>
    <mergeCell ref="L1053:L1055"/>
    <mergeCell ref="M1053:M1055"/>
    <mergeCell ref="N1053:N1055"/>
    <mergeCell ref="O1053:O1055"/>
    <mergeCell ref="L1059:L1060"/>
    <mergeCell ref="M1059:M1060"/>
    <mergeCell ref="B1059:B1060"/>
    <mergeCell ref="C1059:C1060"/>
    <mergeCell ref="D1059:D1060"/>
    <mergeCell ref="E1059:E1060"/>
    <mergeCell ref="F1059:F1060"/>
    <mergeCell ref="G1059:G1060"/>
    <mergeCell ref="AB1056:AB1058"/>
    <mergeCell ref="AC1056:AC1058"/>
    <mergeCell ref="AG1056:AG1058"/>
    <mergeCell ref="AH1056:AH1058"/>
    <mergeCell ref="AI1056:AI1058"/>
    <mergeCell ref="AJ1056:AJ1058"/>
    <mergeCell ref="V1056:V1058"/>
    <mergeCell ref="W1056:W1058"/>
    <mergeCell ref="X1056:X1058"/>
    <mergeCell ref="Y1056:Y1058"/>
    <mergeCell ref="Z1056:Z1058"/>
    <mergeCell ref="AA1056:AA1058"/>
    <mergeCell ref="P1056:P1058"/>
    <mergeCell ref="Q1056:Q1058"/>
    <mergeCell ref="R1056:R1058"/>
    <mergeCell ref="S1056:S1058"/>
    <mergeCell ref="T1056:T1058"/>
    <mergeCell ref="U1056:U1058"/>
    <mergeCell ref="J1056:J1058"/>
    <mergeCell ref="K1056:K1058"/>
    <mergeCell ref="L1056:L1058"/>
    <mergeCell ref="M1056:M1058"/>
    <mergeCell ref="N1056:N1058"/>
    <mergeCell ref="O1056:O1058"/>
    <mergeCell ref="G1061:G1062"/>
    <mergeCell ref="H1061:H1062"/>
    <mergeCell ref="I1061:I1062"/>
    <mergeCell ref="J1061:J1062"/>
    <mergeCell ref="K1061:K1062"/>
    <mergeCell ref="L1061:L1062"/>
    <mergeCell ref="Z1063:Z1064"/>
    <mergeCell ref="AG1063:AG1064"/>
    <mergeCell ref="AH1063:AH1064"/>
    <mergeCell ref="AI1063:AI1064"/>
    <mergeCell ref="AJ1063:AJ1064"/>
    <mergeCell ref="B1061:B1062"/>
    <mergeCell ref="C1061:C1062"/>
    <mergeCell ref="D1061:D1062"/>
    <mergeCell ref="E1061:E1062"/>
    <mergeCell ref="F1061:F1062"/>
    <mergeCell ref="T1059:T1060"/>
    <mergeCell ref="U1059:U1060"/>
    <mergeCell ref="V1059:V1060"/>
    <mergeCell ref="W1059:W1060"/>
    <mergeCell ref="X1059:X1060"/>
    <mergeCell ref="Y1059:Y1060"/>
    <mergeCell ref="N1059:N1060"/>
    <mergeCell ref="O1059:O1060"/>
    <mergeCell ref="P1059:P1060"/>
    <mergeCell ref="Q1059:Q1060"/>
    <mergeCell ref="R1059:R1060"/>
    <mergeCell ref="S1059:S1060"/>
    <mergeCell ref="H1059:H1060"/>
    <mergeCell ref="I1059:I1060"/>
    <mergeCell ref="J1059:J1060"/>
    <mergeCell ref="K1059:K1060"/>
    <mergeCell ref="Y1061:Y1062"/>
    <mergeCell ref="Z1061:Z1062"/>
    <mergeCell ref="AG1061:AG1062"/>
    <mergeCell ref="AH1061:AH1062"/>
    <mergeCell ref="AI1061:AI1062"/>
    <mergeCell ref="AJ1061:AJ1062"/>
    <mergeCell ref="S1061:S1062"/>
    <mergeCell ref="T1061:T1062"/>
    <mergeCell ref="U1061:U1062"/>
    <mergeCell ref="V1061:V1062"/>
    <mergeCell ref="W1061:W1062"/>
    <mergeCell ref="X1061:X1062"/>
    <mergeCell ref="M1061:M1062"/>
    <mergeCell ref="N1061:N1062"/>
    <mergeCell ref="O1061:O1062"/>
    <mergeCell ref="P1061:P1062"/>
    <mergeCell ref="Q1061:Q1062"/>
    <mergeCell ref="R1061:R1062"/>
    <mergeCell ref="B1065:B1067"/>
    <mergeCell ref="C1065:C1067"/>
    <mergeCell ref="D1065:D1067"/>
    <mergeCell ref="E1065:E1067"/>
    <mergeCell ref="F1065:F1067"/>
    <mergeCell ref="T1063:T1064"/>
    <mergeCell ref="U1063:U1064"/>
    <mergeCell ref="V1063:V1064"/>
    <mergeCell ref="W1063:W1064"/>
    <mergeCell ref="X1063:X1064"/>
    <mergeCell ref="Y1063:Y1064"/>
    <mergeCell ref="N1063:N1064"/>
    <mergeCell ref="O1063:O1064"/>
    <mergeCell ref="P1063:P1064"/>
    <mergeCell ref="Q1063:Q1064"/>
    <mergeCell ref="R1063:R1064"/>
    <mergeCell ref="S1063:S1064"/>
    <mergeCell ref="H1063:H1064"/>
    <mergeCell ref="I1063:I1064"/>
    <mergeCell ref="J1063:J1064"/>
    <mergeCell ref="K1063:K1064"/>
    <mergeCell ref="L1063:L1064"/>
    <mergeCell ref="M1063:M1064"/>
    <mergeCell ref="B1063:B1064"/>
    <mergeCell ref="C1063:C1064"/>
    <mergeCell ref="D1063:D1064"/>
    <mergeCell ref="E1063:E1064"/>
    <mergeCell ref="F1063:F1064"/>
    <mergeCell ref="G1063:G1064"/>
    <mergeCell ref="L1070:L1071"/>
    <mergeCell ref="M1070:M1071"/>
    <mergeCell ref="B1070:B1071"/>
    <mergeCell ref="C1070:C1071"/>
    <mergeCell ref="D1070:D1071"/>
    <mergeCell ref="E1070:E1071"/>
    <mergeCell ref="F1070:F1071"/>
    <mergeCell ref="G1070:G1071"/>
    <mergeCell ref="Y1065:Y1067"/>
    <mergeCell ref="Z1065:Z1067"/>
    <mergeCell ref="AG1065:AG1067"/>
    <mergeCell ref="AH1065:AH1067"/>
    <mergeCell ref="AI1065:AI1067"/>
    <mergeCell ref="AJ1065:AJ1067"/>
    <mergeCell ref="S1065:S1067"/>
    <mergeCell ref="T1065:T1067"/>
    <mergeCell ref="U1065:U1067"/>
    <mergeCell ref="V1065:V1067"/>
    <mergeCell ref="W1065:W1067"/>
    <mergeCell ref="X1065:X1067"/>
    <mergeCell ref="M1065:M1067"/>
    <mergeCell ref="N1065:N1067"/>
    <mergeCell ref="O1065:O1067"/>
    <mergeCell ref="P1065:P1067"/>
    <mergeCell ref="Q1065:Q1067"/>
    <mergeCell ref="R1065:R1067"/>
    <mergeCell ref="G1065:G1067"/>
    <mergeCell ref="H1065:H1067"/>
    <mergeCell ref="I1065:I1067"/>
    <mergeCell ref="J1065:J1067"/>
    <mergeCell ref="K1065:K1067"/>
    <mergeCell ref="L1065:L1067"/>
    <mergeCell ref="AI1070:AI1071"/>
    <mergeCell ref="AJ1070:AJ1071"/>
    <mergeCell ref="B1099:B1100"/>
    <mergeCell ref="C1099:C1100"/>
    <mergeCell ref="D1099:D1100"/>
    <mergeCell ref="E1099:E1100"/>
    <mergeCell ref="F1099:F1100"/>
    <mergeCell ref="G1099:G1100"/>
    <mergeCell ref="H1099:H1100"/>
    <mergeCell ref="I1099:I1100"/>
    <mergeCell ref="Z1070:Z1071"/>
    <mergeCell ref="AA1070:AA1071"/>
    <mergeCell ref="AB1070:AB1071"/>
    <mergeCell ref="AC1070:AC1071"/>
    <mergeCell ref="AG1070:AG1071"/>
    <mergeCell ref="AH1070:AH1071"/>
    <mergeCell ref="T1070:T1071"/>
    <mergeCell ref="U1070:U1071"/>
    <mergeCell ref="V1070:V1071"/>
    <mergeCell ref="W1070:W1071"/>
    <mergeCell ref="X1070:X1071"/>
    <mergeCell ref="Y1070:Y1071"/>
    <mergeCell ref="N1070:N1071"/>
    <mergeCell ref="O1070:O1071"/>
    <mergeCell ref="P1070:P1071"/>
    <mergeCell ref="Q1070:Q1071"/>
    <mergeCell ref="R1070:R1071"/>
    <mergeCell ref="S1070:S1071"/>
    <mergeCell ref="H1070:H1071"/>
    <mergeCell ref="I1070:I1071"/>
    <mergeCell ref="J1070:J1071"/>
    <mergeCell ref="K1070:K1071"/>
    <mergeCell ref="L1101:L1102"/>
    <mergeCell ref="M1101:M1102"/>
    <mergeCell ref="B1101:B1102"/>
    <mergeCell ref="C1101:C1102"/>
    <mergeCell ref="D1101:D1102"/>
    <mergeCell ref="E1101:E1102"/>
    <mergeCell ref="F1101:F1102"/>
    <mergeCell ref="G1101:G1102"/>
    <mergeCell ref="AB1099:AB1100"/>
    <mergeCell ref="AC1099:AC1100"/>
    <mergeCell ref="AG1099:AG1100"/>
    <mergeCell ref="AH1099:AH1100"/>
    <mergeCell ref="AI1099:AI1100"/>
    <mergeCell ref="AJ1099:AJ1100"/>
    <mergeCell ref="V1099:V1100"/>
    <mergeCell ref="W1099:W1100"/>
    <mergeCell ref="X1099:X1100"/>
    <mergeCell ref="Y1099:Y1100"/>
    <mergeCell ref="Z1099:Z1100"/>
    <mergeCell ref="AA1099:AA1100"/>
    <mergeCell ref="P1099:P1100"/>
    <mergeCell ref="Q1099:Q1100"/>
    <mergeCell ref="R1099:R1100"/>
    <mergeCell ref="S1099:S1100"/>
    <mergeCell ref="T1099:T1100"/>
    <mergeCell ref="U1099:U1100"/>
    <mergeCell ref="J1099:J1100"/>
    <mergeCell ref="K1099:K1100"/>
    <mergeCell ref="L1099:L1100"/>
    <mergeCell ref="M1099:M1100"/>
    <mergeCell ref="N1099:N1100"/>
    <mergeCell ref="O1099:O1100"/>
    <mergeCell ref="AI1101:AI1102"/>
    <mergeCell ref="AJ1101:AJ1102"/>
    <mergeCell ref="B1107:B1109"/>
    <mergeCell ref="C1107:C1109"/>
    <mergeCell ref="D1107:D1109"/>
    <mergeCell ref="E1107:E1109"/>
    <mergeCell ref="F1107:F1109"/>
    <mergeCell ref="G1107:G1109"/>
    <mergeCell ref="H1107:H1109"/>
    <mergeCell ref="I1107:I1109"/>
    <mergeCell ref="Z1101:Z1102"/>
    <mergeCell ref="AA1101:AA1102"/>
    <mergeCell ref="AB1101:AB1102"/>
    <mergeCell ref="AC1101:AC1102"/>
    <mergeCell ref="AG1101:AG1102"/>
    <mergeCell ref="AH1101:AH1102"/>
    <mergeCell ref="T1101:T1102"/>
    <mergeCell ref="U1101:U1102"/>
    <mergeCell ref="V1101:V1102"/>
    <mergeCell ref="W1101:W1102"/>
    <mergeCell ref="X1101:X1102"/>
    <mergeCell ref="Y1101:Y1102"/>
    <mergeCell ref="N1101:N1102"/>
    <mergeCell ref="O1101:O1102"/>
    <mergeCell ref="P1101:P1102"/>
    <mergeCell ref="Q1101:Q1102"/>
    <mergeCell ref="R1101:R1102"/>
    <mergeCell ref="S1101:S1102"/>
    <mergeCell ref="H1101:H1102"/>
    <mergeCell ref="I1101:I1102"/>
    <mergeCell ref="J1101:J1102"/>
    <mergeCell ref="K1101:K1102"/>
    <mergeCell ref="L1115:L1116"/>
    <mergeCell ref="M1115:M1116"/>
    <mergeCell ref="B1115:B1116"/>
    <mergeCell ref="C1115:C1116"/>
    <mergeCell ref="D1115:D1116"/>
    <mergeCell ref="E1115:E1116"/>
    <mergeCell ref="F1115:F1116"/>
    <mergeCell ref="G1115:G1116"/>
    <mergeCell ref="AB1107:AB1109"/>
    <mergeCell ref="AC1107:AC1109"/>
    <mergeCell ref="AG1107:AG1109"/>
    <mergeCell ref="AH1107:AH1109"/>
    <mergeCell ref="AI1107:AI1109"/>
    <mergeCell ref="AJ1107:AJ1109"/>
    <mergeCell ref="V1107:V1109"/>
    <mergeCell ref="W1107:W1109"/>
    <mergeCell ref="X1107:X1109"/>
    <mergeCell ref="Y1107:Y1109"/>
    <mergeCell ref="Z1107:Z1109"/>
    <mergeCell ref="AA1107:AA1109"/>
    <mergeCell ref="P1107:P1109"/>
    <mergeCell ref="Q1107:Q1109"/>
    <mergeCell ref="R1107:R1109"/>
    <mergeCell ref="S1107:S1109"/>
    <mergeCell ref="T1107:T1109"/>
    <mergeCell ref="U1107:U1109"/>
    <mergeCell ref="J1107:J1109"/>
    <mergeCell ref="K1107:K1109"/>
    <mergeCell ref="L1107:L1109"/>
    <mergeCell ref="M1107:M1109"/>
    <mergeCell ref="N1107:N1109"/>
    <mergeCell ref="O1107:O1109"/>
    <mergeCell ref="AI1115:AI1116"/>
    <mergeCell ref="AJ1115:AJ1116"/>
    <mergeCell ref="B1117:B1118"/>
    <mergeCell ref="C1117:C1118"/>
    <mergeCell ref="D1117:D1118"/>
    <mergeCell ref="E1117:E1118"/>
    <mergeCell ref="F1117:F1118"/>
    <mergeCell ref="G1117:G1118"/>
    <mergeCell ref="H1117:H1118"/>
    <mergeCell ref="I1117:I1118"/>
    <mergeCell ref="Z1115:Z1116"/>
    <mergeCell ref="AA1115:AA1116"/>
    <mergeCell ref="AB1115:AB1116"/>
    <mergeCell ref="AC1115:AC1116"/>
    <mergeCell ref="AG1115:AG1116"/>
    <mergeCell ref="AH1115:AH1116"/>
    <mergeCell ref="T1115:T1116"/>
    <mergeCell ref="U1115:U1116"/>
    <mergeCell ref="V1115:V1116"/>
    <mergeCell ref="W1115:W1116"/>
    <mergeCell ref="X1115:X1116"/>
    <mergeCell ref="Y1115:Y1116"/>
    <mergeCell ref="N1115:N1116"/>
    <mergeCell ref="O1115:O1116"/>
    <mergeCell ref="P1115:P1116"/>
    <mergeCell ref="Q1115:Q1116"/>
    <mergeCell ref="R1115:R1116"/>
    <mergeCell ref="S1115:S1116"/>
    <mergeCell ref="H1115:H1116"/>
    <mergeCell ref="I1115:I1116"/>
    <mergeCell ref="J1115:J1116"/>
    <mergeCell ref="K1115:K1116"/>
    <mergeCell ref="L1119:L1120"/>
    <mergeCell ref="M1119:M1120"/>
    <mergeCell ref="B1119:B1120"/>
    <mergeCell ref="C1119:C1120"/>
    <mergeCell ref="D1119:D1120"/>
    <mergeCell ref="E1119:E1120"/>
    <mergeCell ref="F1119:F1120"/>
    <mergeCell ref="G1119:G1120"/>
    <mergeCell ref="AB1117:AB1118"/>
    <mergeCell ref="AC1117:AC1118"/>
    <mergeCell ref="AG1117:AG1118"/>
    <mergeCell ref="AH1117:AH1118"/>
    <mergeCell ref="AI1117:AI1118"/>
    <mergeCell ref="AJ1117:AJ1118"/>
    <mergeCell ref="V1117:V1118"/>
    <mergeCell ref="W1117:W1118"/>
    <mergeCell ref="X1117:X1118"/>
    <mergeCell ref="Y1117:Y1118"/>
    <mergeCell ref="Z1117:Z1118"/>
    <mergeCell ref="AA1117:AA1118"/>
    <mergeCell ref="P1117:P1118"/>
    <mergeCell ref="Q1117:Q1118"/>
    <mergeCell ref="R1117:R1118"/>
    <mergeCell ref="S1117:S1118"/>
    <mergeCell ref="T1117:T1118"/>
    <mergeCell ref="U1117:U1118"/>
    <mergeCell ref="J1117:J1118"/>
    <mergeCell ref="K1117:K1118"/>
    <mergeCell ref="L1117:L1118"/>
    <mergeCell ref="M1117:M1118"/>
    <mergeCell ref="N1117:N1118"/>
    <mergeCell ref="O1117:O1118"/>
    <mergeCell ref="AI1119:AI1120"/>
    <mergeCell ref="AJ1119:AJ1120"/>
    <mergeCell ref="B1121:B1122"/>
    <mergeCell ref="C1121:C1122"/>
    <mergeCell ref="D1121:D1122"/>
    <mergeCell ref="E1121:E1122"/>
    <mergeCell ref="F1121:F1122"/>
    <mergeCell ref="G1121:G1122"/>
    <mergeCell ref="H1121:H1122"/>
    <mergeCell ref="I1121:I1122"/>
    <mergeCell ref="Z1119:Z1120"/>
    <mergeCell ref="AA1119:AA1120"/>
    <mergeCell ref="AB1119:AB1120"/>
    <mergeCell ref="AC1119:AC1120"/>
    <mergeCell ref="AG1119:AG1120"/>
    <mergeCell ref="AH1119:AH1120"/>
    <mergeCell ref="T1119:T1120"/>
    <mergeCell ref="U1119:U1120"/>
    <mergeCell ref="V1119:V1120"/>
    <mergeCell ref="W1119:W1120"/>
    <mergeCell ref="X1119:X1120"/>
    <mergeCell ref="Y1119:Y1120"/>
    <mergeCell ref="N1119:N1120"/>
    <mergeCell ref="O1119:O1120"/>
    <mergeCell ref="P1119:P1120"/>
    <mergeCell ref="Q1119:Q1120"/>
    <mergeCell ref="R1119:R1120"/>
    <mergeCell ref="S1119:S1120"/>
    <mergeCell ref="H1119:H1120"/>
    <mergeCell ref="I1119:I1120"/>
    <mergeCell ref="J1119:J1120"/>
    <mergeCell ref="K1119:K1120"/>
    <mergeCell ref="B1124:B1125"/>
    <mergeCell ref="C1124:C1125"/>
    <mergeCell ref="D1124:D1125"/>
    <mergeCell ref="E1124:E1125"/>
    <mergeCell ref="F1124:F1125"/>
    <mergeCell ref="G1124:G1125"/>
    <mergeCell ref="AB1121:AB1122"/>
    <mergeCell ref="AC1121:AC1122"/>
    <mergeCell ref="AG1121:AG1122"/>
    <mergeCell ref="AH1121:AH1122"/>
    <mergeCell ref="AI1121:AI1122"/>
    <mergeCell ref="AJ1121:AJ1122"/>
    <mergeCell ref="V1121:V1122"/>
    <mergeCell ref="W1121:W1122"/>
    <mergeCell ref="X1121:X1122"/>
    <mergeCell ref="Y1121:Y1122"/>
    <mergeCell ref="Z1121:Z1122"/>
    <mergeCell ref="AA1121:AA1122"/>
    <mergeCell ref="P1121:P1122"/>
    <mergeCell ref="Q1121:Q1122"/>
    <mergeCell ref="R1121:R1122"/>
    <mergeCell ref="S1121:S1122"/>
    <mergeCell ref="T1121:T1122"/>
    <mergeCell ref="U1121:U1122"/>
    <mergeCell ref="J1121:J1122"/>
    <mergeCell ref="K1121:K1122"/>
    <mergeCell ref="L1121:L1122"/>
    <mergeCell ref="M1121:M1122"/>
    <mergeCell ref="N1121:N1122"/>
    <mergeCell ref="O1121:O1122"/>
    <mergeCell ref="I1126:I1127"/>
    <mergeCell ref="J1126:J1127"/>
    <mergeCell ref="K1126:K1127"/>
    <mergeCell ref="L1126:L1127"/>
    <mergeCell ref="Z1124:Z1125"/>
    <mergeCell ref="AG1124:AG1125"/>
    <mergeCell ref="AH1124:AH1125"/>
    <mergeCell ref="AI1124:AI1125"/>
    <mergeCell ref="AJ1124:AJ1125"/>
    <mergeCell ref="B1126:B1127"/>
    <mergeCell ref="C1126:C1127"/>
    <mergeCell ref="D1126:D1127"/>
    <mergeCell ref="E1126:E1127"/>
    <mergeCell ref="F1126:F1127"/>
    <mergeCell ref="T1124:T1125"/>
    <mergeCell ref="U1124:U1125"/>
    <mergeCell ref="V1124:V1125"/>
    <mergeCell ref="W1124:W1125"/>
    <mergeCell ref="X1124:X1125"/>
    <mergeCell ref="Y1124:Y1125"/>
    <mergeCell ref="N1124:N1125"/>
    <mergeCell ref="O1124:O1125"/>
    <mergeCell ref="P1124:P1125"/>
    <mergeCell ref="Q1124:Q1125"/>
    <mergeCell ref="R1124:R1125"/>
    <mergeCell ref="S1124:S1125"/>
    <mergeCell ref="H1124:H1125"/>
    <mergeCell ref="I1124:I1125"/>
    <mergeCell ref="J1124:J1125"/>
    <mergeCell ref="K1124:K1125"/>
    <mergeCell ref="L1124:L1125"/>
    <mergeCell ref="M1124:M1125"/>
    <mergeCell ref="M1128:M1129"/>
    <mergeCell ref="N1128:N1129"/>
    <mergeCell ref="AH1126:AH1127"/>
    <mergeCell ref="AI1126:AI1127"/>
    <mergeCell ref="AJ1126:AJ1127"/>
    <mergeCell ref="B1128:B1129"/>
    <mergeCell ref="C1128:C1129"/>
    <mergeCell ref="D1128:D1129"/>
    <mergeCell ref="E1128:E1129"/>
    <mergeCell ref="F1128:F1129"/>
    <mergeCell ref="G1128:G1129"/>
    <mergeCell ref="H1128:H1129"/>
    <mergeCell ref="Y1126:Y1127"/>
    <mergeCell ref="Z1126:Z1127"/>
    <mergeCell ref="AA1126:AA1127"/>
    <mergeCell ref="AB1126:AB1127"/>
    <mergeCell ref="AC1126:AC1127"/>
    <mergeCell ref="AG1126:AG1127"/>
    <mergeCell ref="S1126:S1127"/>
    <mergeCell ref="T1126:T1127"/>
    <mergeCell ref="U1126:U1127"/>
    <mergeCell ref="V1126:V1127"/>
    <mergeCell ref="W1126:W1127"/>
    <mergeCell ref="X1126:X1127"/>
    <mergeCell ref="M1126:M1127"/>
    <mergeCell ref="N1126:N1127"/>
    <mergeCell ref="O1126:O1127"/>
    <mergeCell ref="P1126:P1127"/>
    <mergeCell ref="Q1126:Q1127"/>
    <mergeCell ref="R1126:R1127"/>
    <mergeCell ref="G1126:G1127"/>
    <mergeCell ref="H1126:H1127"/>
    <mergeCell ref="AJ1128:AJ1129"/>
    <mergeCell ref="B1130:B1131"/>
    <mergeCell ref="C1130:C1131"/>
    <mergeCell ref="D1130:D1131"/>
    <mergeCell ref="E1130:E1131"/>
    <mergeCell ref="F1130:F1131"/>
    <mergeCell ref="G1130:G1131"/>
    <mergeCell ref="H1130:H1131"/>
    <mergeCell ref="I1130:I1131"/>
    <mergeCell ref="J1130:J1131"/>
    <mergeCell ref="AD1128:AD1129"/>
    <mergeCell ref="AE1128:AE1129"/>
    <mergeCell ref="AF1128:AF1129"/>
    <mergeCell ref="AG1128:AG1129"/>
    <mergeCell ref="AH1128:AH1129"/>
    <mergeCell ref="AI1128:AI1129"/>
    <mergeCell ref="U1128:U1129"/>
    <mergeCell ref="V1128:V1129"/>
    <mergeCell ref="W1128:W1129"/>
    <mergeCell ref="X1128:X1129"/>
    <mergeCell ref="Y1128:Y1129"/>
    <mergeCell ref="Z1128:Z1129"/>
    <mergeCell ref="O1128:O1129"/>
    <mergeCell ref="P1128:P1129"/>
    <mergeCell ref="Q1128:Q1129"/>
    <mergeCell ref="R1128:R1129"/>
    <mergeCell ref="S1128:S1129"/>
    <mergeCell ref="T1128:T1129"/>
    <mergeCell ref="I1128:I1129"/>
    <mergeCell ref="J1128:J1129"/>
    <mergeCell ref="K1128:K1129"/>
    <mergeCell ref="L1128:L1129"/>
    <mergeCell ref="AI1130:AI1131"/>
    <mergeCell ref="AJ1130:AJ1131"/>
    <mergeCell ref="B1132:B1135"/>
    <mergeCell ref="C1132:C1135"/>
    <mergeCell ref="D1132:D1135"/>
    <mergeCell ref="E1132:E1135"/>
    <mergeCell ref="F1132:F1135"/>
    <mergeCell ref="G1132:G1135"/>
    <mergeCell ref="H1132:H1135"/>
    <mergeCell ref="I1132:I1135"/>
    <mergeCell ref="W1130:W1131"/>
    <mergeCell ref="X1130:X1131"/>
    <mergeCell ref="Y1130:Y1131"/>
    <mergeCell ref="Z1130:Z1131"/>
    <mergeCell ref="AG1130:AG1131"/>
    <mergeCell ref="AH1130:AH1131"/>
    <mergeCell ref="Q1130:Q1131"/>
    <mergeCell ref="R1130:R1131"/>
    <mergeCell ref="S1130:S1131"/>
    <mergeCell ref="T1130:T1131"/>
    <mergeCell ref="U1130:U1131"/>
    <mergeCell ref="V1130:V1131"/>
    <mergeCell ref="K1130:K1131"/>
    <mergeCell ref="L1130:L1131"/>
    <mergeCell ref="M1130:M1131"/>
    <mergeCell ref="N1130:N1131"/>
    <mergeCell ref="O1130:O1131"/>
    <mergeCell ref="P1130:P1131"/>
    <mergeCell ref="N1136:N1137"/>
    <mergeCell ref="AH1132:AH1135"/>
    <mergeCell ref="AI1132:AI1135"/>
    <mergeCell ref="AJ1132:AJ1135"/>
    <mergeCell ref="B1136:B1137"/>
    <mergeCell ref="C1136:C1137"/>
    <mergeCell ref="D1136:D1137"/>
    <mergeCell ref="E1136:E1137"/>
    <mergeCell ref="F1136:F1137"/>
    <mergeCell ref="G1136:G1137"/>
    <mergeCell ref="H1136:H1137"/>
    <mergeCell ref="V1132:V1135"/>
    <mergeCell ref="W1132:W1135"/>
    <mergeCell ref="X1132:X1135"/>
    <mergeCell ref="Y1132:Y1135"/>
    <mergeCell ref="Z1132:Z1135"/>
    <mergeCell ref="AG1132:AG1135"/>
    <mergeCell ref="P1132:P1135"/>
    <mergeCell ref="Q1132:Q1135"/>
    <mergeCell ref="R1132:R1135"/>
    <mergeCell ref="S1132:S1135"/>
    <mergeCell ref="T1132:T1135"/>
    <mergeCell ref="U1132:U1135"/>
    <mergeCell ref="J1132:J1135"/>
    <mergeCell ref="K1132:K1135"/>
    <mergeCell ref="L1132:L1135"/>
    <mergeCell ref="M1132:M1135"/>
    <mergeCell ref="N1132:N1135"/>
    <mergeCell ref="O1132:O1135"/>
    <mergeCell ref="AJ1136:AJ1137"/>
    <mergeCell ref="B1139:B1140"/>
    <mergeCell ref="C1139:C1140"/>
    <mergeCell ref="D1139:D1140"/>
    <mergeCell ref="E1139:E1140"/>
    <mergeCell ref="F1139:F1140"/>
    <mergeCell ref="G1139:G1140"/>
    <mergeCell ref="H1139:H1140"/>
    <mergeCell ref="I1139:I1140"/>
    <mergeCell ref="J1139:J1140"/>
    <mergeCell ref="AA1136:AA1137"/>
    <mergeCell ref="AB1136:AB1137"/>
    <mergeCell ref="AC1136:AC1137"/>
    <mergeCell ref="AG1136:AG1137"/>
    <mergeCell ref="AH1136:AH1137"/>
    <mergeCell ref="AI1136:AI1137"/>
    <mergeCell ref="U1136:U1137"/>
    <mergeCell ref="V1136:V1137"/>
    <mergeCell ref="W1136:W1137"/>
    <mergeCell ref="X1136:X1137"/>
    <mergeCell ref="Y1136:Y1137"/>
    <mergeCell ref="Z1136:Z1137"/>
    <mergeCell ref="O1136:O1137"/>
    <mergeCell ref="P1136:P1137"/>
    <mergeCell ref="Q1136:Q1137"/>
    <mergeCell ref="R1136:R1137"/>
    <mergeCell ref="S1136:S1137"/>
    <mergeCell ref="T1136:T1137"/>
    <mergeCell ref="I1136:I1137"/>
    <mergeCell ref="J1136:J1137"/>
    <mergeCell ref="K1136:K1137"/>
    <mergeCell ref="L1136:L1137"/>
    <mergeCell ref="M1136:M1137"/>
    <mergeCell ref="K1143:K1144"/>
    <mergeCell ref="L1143:L1144"/>
    <mergeCell ref="AC1139:AC1140"/>
    <mergeCell ref="AG1139:AG1140"/>
    <mergeCell ref="AH1139:AH1140"/>
    <mergeCell ref="AI1139:AI1140"/>
    <mergeCell ref="AJ1139:AJ1140"/>
    <mergeCell ref="B1143:B1144"/>
    <mergeCell ref="C1143:C1144"/>
    <mergeCell ref="D1143:D1144"/>
    <mergeCell ref="E1143:E1144"/>
    <mergeCell ref="F1143:F1144"/>
    <mergeCell ref="W1139:W1140"/>
    <mergeCell ref="X1139:X1140"/>
    <mergeCell ref="Y1139:Y1140"/>
    <mergeCell ref="Z1139:Z1140"/>
    <mergeCell ref="AA1139:AA1140"/>
    <mergeCell ref="AB1139:AB1140"/>
    <mergeCell ref="Q1139:Q1140"/>
    <mergeCell ref="R1139:R1140"/>
    <mergeCell ref="S1139:S1140"/>
    <mergeCell ref="T1139:T1140"/>
    <mergeCell ref="U1139:U1140"/>
    <mergeCell ref="V1139:V1140"/>
    <mergeCell ref="K1139:K1140"/>
    <mergeCell ref="L1139:L1140"/>
    <mergeCell ref="M1139:M1140"/>
    <mergeCell ref="N1139:N1140"/>
    <mergeCell ref="O1139:O1140"/>
    <mergeCell ref="P1139:P1140"/>
    <mergeCell ref="AH1143:AH1144"/>
    <mergeCell ref="AI1143:AI1144"/>
    <mergeCell ref="AJ1143:AJ1144"/>
    <mergeCell ref="B1147:B1149"/>
    <mergeCell ref="C1147:C1149"/>
    <mergeCell ref="D1147:D1149"/>
    <mergeCell ref="E1147:E1149"/>
    <mergeCell ref="F1147:F1149"/>
    <mergeCell ref="G1147:G1149"/>
    <mergeCell ref="H1147:H1149"/>
    <mergeCell ref="Y1143:Y1144"/>
    <mergeCell ref="Z1143:Z1144"/>
    <mergeCell ref="AD1143:AD1144"/>
    <mergeCell ref="AE1143:AE1144"/>
    <mergeCell ref="AF1143:AF1144"/>
    <mergeCell ref="AG1143:AG1144"/>
    <mergeCell ref="S1143:S1144"/>
    <mergeCell ref="T1143:T1144"/>
    <mergeCell ref="U1143:U1144"/>
    <mergeCell ref="V1143:V1144"/>
    <mergeCell ref="W1143:W1144"/>
    <mergeCell ref="X1143:X1144"/>
    <mergeCell ref="M1143:M1144"/>
    <mergeCell ref="N1143:N1144"/>
    <mergeCell ref="O1143:O1144"/>
    <mergeCell ref="P1143:P1144"/>
    <mergeCell ref="Q1143:Q1144"/>
    <mergeCell ref="R1143:R1144"/>
    <mergeCell ref="G1143:G1144"/>
    <mergeCell ref="H1143:H1144"/>
    <mergeCell ref="I1143:I1144"/>
    <mergeCell ref="J1143:J1144"/>
    <mergeCell ref="AG1147:AG1149"/>
    <mergeCell ref="AH1147:AH1149"/>
    <mergeCell ref="AI1147:AI1149"/>
    <mergeCell ref="AJ1147:AJ1149"/>
    <mergeCell ref="B1150:B1152"/>
    <mergeCell ref="C1150:C1152"/>
    <mergeCell ref="D1150:D1152"/>
    <mergeCell ref="E1150:E1152"/>
    <mergeCell ref="F1150:F1152"/>
    <mergeCell ref="G1150:G1152"/>
    <mergeCell ref="U1147:U1149"/>
    <mergeCell ref="V1147:V1149"/>
    <mergeCell ref="W1147:W1149"/>
    <mergeCell ref="X1147:X1149"/>
    <mergeCell ref="Y1147:Y1149"/>
    <mergeCell ref="Z1147:Z1149"/>
    <mergeCell ref="O1147:O1149"/>
    <mergeCell ref="P1147:P1149"/>
    <mergeCell ref="Q1147:Q1149"/>
    <mergeCell ref="R1147:R1149"/>
    <mergeCell ref="S1147:S1149"/>
    <mergeCell ref="T1147:T1149"/>
    <mergeCell ref="I1147:I1149"/>
    <mergeCell ref="J1147:J1149"/>
    <mergeCell ref="K1147:K1149"/>
    <mergeCell ref="L1147:L1149"/>
    <mergeCell ref="M1147:M1149"/>
    <mergeCell ref="N1147:N1149"/>
    <mergeCell ref="Z1150:Z1152"/>
    <mergeCell ref="AG1150:AG1152"/>
    <mergeCell ref="AH1150:AH1152"/>
    <mergeCell ref="AI1150:AI1152"/>
    <mergeCell ref="AJ1150:AJ1152"/>
    <mergeCell ref="B1153:B1156"/>
    <mergeCell ref="C1153:C1156"/>
    <mergeCell ref="D1153:D1156"/>
    <mergeCell ref="E1153:E1156"/>
    <mergeCell ref="F1153:F1156"/>
    <mergeCell ref="T1150:T1152"/>
    <mergeCell ref="U1150:U1152"/>
    <mergeCell ref="V1150:V1152"/>
    <mergeCell ref="W1150:W1152"/>
    <mergeCell ref="X1150:X1152"/>
    <mergeCell ref="Y1150:Y1152"/>
    <mergeCell ref="N1150:N1152"/>
    <mergeCell ref="O1150:O1152"/>
    <mergeCell ref="P1150:P1152"/>
    <mergeCell ref="Q1150:Q1152"/>
    <mergeCell ref="R1150:R1152"/>
    <mergeCell ref="S1150:S1152"/>
    <mergeCell ref="H1150:H1152"/>
    <mergeCell ref="I1150:I1152"/>
    <mergeCell ref="J1150:J1152"/>
    <mergeCell ref="K1150:K1152"/>
    <mergeCell ref="L1150:L1152"/>
    <mergeCell ref="M1150:M1152"/>
    <mergeCell ref="K1153:K1156"/>
    <mergeCell ref="L1153:L1156"/>
    <mergeCell ref="AH1153:AH1156"/>
    <mergeCell ref="AI1153:AI1156"/>
    <mergeCell ref="AJ1153:AJ1156"/>
    <mergeCell ref="B1157:B1159"/>
    <mergeCell ref="C1157:C1159"/>
    <mergeCell ref="D1157:D1159"/>
    <mergeCell ref="E1157:E1159"/>
    <mergeCell ref="F1157:F1159"/>
    <mergeCell ref="G1157:G1159"/>
    <mergeCell ref="H1157:H1159"/>
    <mergeCell ref="Y1153:Y1156"/>
    <mergeCell ref="Z1153:Z1156"/>
    <mergeCell ref="AA1153:AA1156"/>
    <mergeCell ref="AB1153:AB1156"/>
    <mergeCell ref="AC1153:AC1156"/>
    <mergeCell ref="AG1153:AG1156"/>
    <mergeCell ref="S1153:S1156"/>
    <mergeCell ref="T1153:T1156"/>
    <mergeCell ref="U1153:U1156"/>
    <mergeCell ref="V1153:V1156"/>
    <mergeCell ref="W1153:W1156"/>
    <mergeCell ref="X1153:X1156"/>
    <mergeCell ref="M1153:M1156"/>
    <mergeCell ref="N1153:N1156"/>
    <mergeCell ref="O1153:O1156"/>
    <mergeCell ref="P1153:P1156"/>
    <mergeCell ref="Q1153:Q1156"/>
    <mergeCell ref="R1153:R1156"/>
    <mergeCell ref="G1153:G1156"/>
    <mergeCell ref="H1153:H1156"/>
    <mergeCell ref="I1153:I1156"/>
    <mergeCell ref="J1153:J1156"/>
    <mergeCell ref="AG1157:AG1159"/>
    <mergeCell ref="AH1157:AH1159"/>
    <mergeCell ref="AI1157:AI1159"/>
    <mergeCell ref="AJ1157:AJ1159"/>
    <mergeCell ref="B1160:B1161"/>
    <mergeCell ref="C1160:C1161"/>
    <mergeCell ref="D1160:D1161"/>
    <mergeCell ref="E1160:E1161"/>
    <mergeCell ref="F1160:F1161"/>
    <mergeCell ref="G1160:G1161"/>
    <mergeCell ref="U1157:U1159"/>
    <mergeCell ref="V1157:V1159"/>
    <mergeCell ref="W1157:W1159"/>
    <mergeCell ref="X1157:X1159"/>
    <mergeCell ref="Y1157:Y1159"/>
    <mergeCell ref="Z1157:Z1159"/>
    <mergeCell ref="O1157:O1159"/>
    <mergeCell ref="P1157:P1159"/>
    <mergeCell ref="Q1157:Q1159"/>
    <mergeCell ref="R1157:R1159"/>
    <mergeCell ref="S1157:S1159"/>
    <mergeCell ref="T1157:T1159"/>
    <mergeCell ref="I1157:I1159"/>
    <mergeCell ref="J1157:J1159"/>
    <mergeCell ref="K1157:K1159"/>
    <mergeCell ref="L1157:L1159"/>
    <mergeCell ref="M1157:M1159"/>
    <mergeCell ref="N1157:N1159"/>
    <mergeCell ref="AI1160:AI1161"/>
    <mergeCell ref="AJ1160:AJ1161"/>
    <mergeCell ref="C1162:C1164"/>
    <mergeCell ref="D1162:D1164"/>
    <mergeCell ref="E1162:E1164"/>
    <mergeCell ref="F1162:F1164"/>
    <mergeCell ref="G1162:G1164"/>
    <mergeCell ref="H1162:H1164"/>
    <mergeCell ref="I1162:I1164"/>
    <mergeCell ref="Z1160:Z1161"/>
    <mergeCell ref="AA1160:AA1161"/>
    <mergeCell ref="AB1160:AB1161"/>
    <mergeCell ref="AC1160:AC1161"/>
    <mergeCell ref="AG1160:AG1161"/>
    <mergeCell ref="AH1160:AH1161"/>
    <mergeCell ref="T1160:T1161"/>
    <mergeCell ref="U1160:U1161"/>
    <mergeCell ref="V1160:V1161"/>
    <mergeCell ref="W1160:W1161"/>
    <mergeCell ref="X1160:X1161"/>
    <mergeCell ref="Y1160:Y1161"/>
    <mergeCell ref="N1160:N1161"/>
    <mergeCell ref="O1160:O1161"/>
    <mergeCell ref="P1160:P1161"/>
    <mergeCell ref="Q1160:Q1161"/>
    <mergeCell ref="R1160:R1161"/>
    <mergeCell ref="S1160:S1161"/>
    <mergeCell ref="H1160:H1161"/>
    <mergeCell ref="I1160:I1161"/>
    <mergeCell ref="J1160:J1161"/>
    <mergeCell ref="K1160:K1161"/>
    <mergeCell ref="AH1162:AH1164"/>
    <mergeCell ref="L1160:L1161"/>
    <mergeCell ref="M1160:M1161"/>
    <mergeCell ref="AI1162:AI1164"/>
    <mergeCell ref="AJ1162:AJ1164"/>
    <mergeCell ref="B1165:B1169"/>
    <mergeCell ref="C1165:C1169"/>
    <mergeCell ref="D1165:D1169"/>
    <mergeCell ref="E1165:E1169"/>
    <mergeCell ref="F1165:F1169"/>
    <mergeCell ref="G1165:G1169"/>
    <mergeCell ref="H1165:H1169"/>
    <mergeCell ref="V1162:V1164"/>
    <mergeCell ref="W1162:W1164"/>
    <mergeCell ref="X1162:X1164"/>
    <mergeCell ref="Y1162:Y1164"/>
    <mergeCell ref="Z1162:Z1164"/>
    <mergeCell ref="AG1162:AG1164"/>
    <mergeCell ref="P1162:P1164"/>
    <mergeCell ref="Q1162:Q1164"/>
    <mergeCell ref="R1162:R1164"/>
    <mergeCell ref="S1162:S1164"/>
    <mergeCell ref="T1162:T1164"/>
    <mergeCell ref="U1162:U1164"/>
    <mergeCell ref="J1162:J1164"/>
    <mergeCell ref="K1162:K1164"/>
    <mergeCell ref="L1162:L1164"/>
    <mergeCell ref="M1162:M1164"/>
    <mergeCell ref="N1162:N1164"/>
    <mergeCell ref="O1162:O1164"/>
    <mergeCell ref="AG1165:AG1169"/>
    <mergeCell ref="AH1165:AH1169"/>
    <mergeCell ref="AI1165:AI1169"/>
    <mergeCell ref="AJ1165:AJ1169"/>
    <mergeCell ref="B1162:B1164"/>
    <mergeCell ref="B1173:B1174"/>
    <mergeCell ref="C1173:C1174"/>
    <mergeCell ref="D1173:D1174"/>
    <mergeCell ref="E1173:E1174"/>
    <mergeCell ref="F1173:F1174"/>
    <mergeCell ref="G1173:G1174"/>
    <mergeCell ref="U1165:U1169"/>
    <mergeCell ref="V1165:V1169"/>
    <mergeCell ref="W1165:W1169"/>
    <mergeCell ref="X1165:X1169"/>
    <mergeCell ref="Y1165:Y1169"/>
    <mergeCell ref="Z1165:Z1169"/>
    <mergeCell ref="O1165:O1169"/>
    <mergeCell ref="P1165:P1169"/>
    <mergeCell ref="Q1165:Q1169"/>
    <mergeCell ref="R1165:R1169"/>
    <mergeCell ref="S1165:S1169"/>
    <mergeCell ref="T1165:T1169"/>
    <mergeCell ref="I1165:I1169"/>
    <mergeCell ref="J1165:J1169"/>
    <mergeCell ref="K1165:K1169"/>
    <mergeCell ref="L1165:L1169"/>
    <mergeCell ref="M1165:M1169"/>
    <mergeCell ref="N1165:N1169"/>
    <mergeCell ref="I1209:I1210"/>
    <mergeCell ref="J1209:J1210"/>
    <mergeCell ref="K1209:K1210"/>
    <mergeCell ref="L1209:L1210"/>
    <mergeCell ref="Z1173:Z1174"/>
    <mergeCell ref="AG1173:AG1174"/>
    <mergeCell ref="AH1173:AH1174"/>
    <mergeCell ref="AI1173:AI1174"/>
    <mergeCell ref="AJ1173:AJ1174"/>
    <mergeCell ref="B1209:B1210"/>
    <mergeCell ref="C1209:C1210"/>
    <mergeCell ref="D1209:D1210"/>
    <mergeCell ref="E1209:E1210"/>
    <mergeCell ref="F1209:F1210"/>
    <mergeCell ref="T1173:T1174"/>
    <mergeCell ref="U1173:U1174"/>
    <mergeCell ref="V1173:V1174"/>
    <mergeCell ref="W1173:W1174"/>
    <mergeCell ref="X1173:X1174"/>
    <mergeCell ref="Y1173:Y1174"/>
    <mergeCell ref="N1173:N1174"/>
    <mergeCell ref="O1173:O1174"/>
    <mergeCell ref="P1173:P1174"/>
    <mergeCell ref="Q1173:Q1174"/>
    <mergeCell ref="R1173:R1174"/>
    <mergeCell ref="S1173:S1174"/>
    <mergeCell ref="H1173:H1174"/>
    <mergeCell ref="I1173:I1174"/>
    <mergeCell ref="J1173:J1174"/>
    <mergeCell ref="K1173:K1174"/>
    <mergeCell ref="L1173:L1174"/>
    <mergeCell ref="M1173:M1174"/>
    <mergeCell ref="M1211:M1212"/>
    <mergeCell ref="N1211:N1212"/>
    <mergeCell ref="AH1209:AH1210"/>
    <mergeCell ref="AI1209:AI1210"/>
    <mergeCell ref="AJ1209:AJ1210"/>
    <mergeCell ref="B1211:B1212"/>
    <mergeCell ref="C1211:C1212"/>
    <mergeCell ref="D1211:D1212"/>
    <mergeCell ref="E1211:E1212"/>
    <mergeCell ref="F1211:F1212"/>
    <mergeCell ref="G1211:G1212"/>
    <mergeCell ref="H1211:H1212"/>
    <mergeCell ref="Y1209:Y1210"/>
    <mergeCell ref="Z1209:Z1210"/>
    <mergeCell ref="AD1209:AD1210"/>
    <mergeCell ref="AE1209:AE1210"/>
    <mergeCell ref="AF1209:AF1210"/>
    <mergeCell ref="AG1209:AG1210"/>
    <mergeCell ref="S1209:S1210"/>
    <mergeCell ref="T1209:T1210"/>
    <mergeCell ref="U1209:U1210"/>
    <mergeCell ref="V1209:V1210"/>
    <mergeCell ref="W1209:W1210"/>
    <mergeCell ref="X1209:X1210"/>
    <mergeCell ref="M1209:M1210"/>
    <mergeCell ref="N1209:N1210"/>
    <mergeCell ref="O1209:O1210"/>
    <mergeCell ref="P1209:P1210"/>
    <mergeCell ref="Q1209:Q1210"/>
    <mergeCell ref="R1209:R1210"/>
    <mergeCell ref="G1209:G1210"/>
    <mergeCell ref="H1209:H1210"/>
    <mergeCell ref="AJ1211:AJ1212"/>
    <mergeCell ref="B1214:B1215"/>
    <mergeCell ref="C1214:C1215"/>
    <mergeCell ref="D1214:D1215"/>
    <mergeCell ref="E1214:E1215"/>
    <mergeCell ref="F1214:F1215"/>
    <mergeCell ref="G1214:G1215"/>
    <mergeCell ref="H1214:H1215"/>
    <mergeCell ref="I1214:I1215"/>
    <mergeCell ref="J1214:J1215"/>
    <mergeCell ref="AD1211:AD1212"/>
    <mergeCell ref="AE1211:AE1212"/>
    <mergeCell ref="AF1211:AF1212"/>
    <mergeCell ref="AG1211:AG1212"/>
    <mergeCell ref="AH1211:AH1212"/>
    <mergeCell ref="AI1211:AI1212"/>
    <mergeCell ref="U1211:U1212"/>
    <mergeCell ref="V1211:V1212"/>
    <mergeCell ref="W1211:W1212"/>
    <mergeCell ref="X1211:X1212"/>
    <mergeCell ref="Y1211:Y1212"/>
    <mergeCell ref="Z1211:Z1212"/>
    <mergeCell ref="O1211:O1212"/>
    <mergeCell ref="P1211:P1212"/>
    <mergeCell ref="Q1211:Q1212"/>
    <mergeCell ref="R1211:R1212"/>
    <mergeCell ref="S1211:S1212"/>
    <mergeCell ref="T1211:T1212"/>
    <mergeCell ref="I1211:I1212"/>
    <mergeCell ref="J1211:J1212"/>
    <mergeCell ref="K1211:K1212"/>
    <mergeCell ref="L1211:L1212"/>
    <mergeCell ref="I1217:I1218"/>
    <mergeCell ref="J1217:J1218"/>
    <mergeCell ref="K1217:K1218"/>
    <mergeCell ref="L1217:L1218"/>
    <mergeCell ref="AF1214:AF1215"/>
    <mergeCell ref="AG1214:AG1215"/>
    <mergeCell ref="AH1214:AH1215"/>
    <mergeCell ref="AI1214:AI1215"/>
    <mergeCell ref="AJ1214:AJ1215"/>
    <mergeCell ref="B1217:B1218"/>
    <mergeCell ref="C1217:C1218"/>
    <mergeCell ref="D1217:D1218"/>
    <mergeCell ref="E1217:E1218"/>
    <mergeCell ref="F1217:F1218"/>
    <mergeCell ref="W1214:W1215"/>
    <mergeCell ref="X1214:X1215"/>
    <mergeCell ref="Y1214:Y1215"/>
    <mergeCell ref="Z1214:Z1215"/>
    <mergeCell ref="AD1214:AD1215"/>
    <mergeCell ref="AE1214:AE1215"/>
    <mergeCell ref="Q1214:Q1215"/>
    <mergeCell ref="R1214:R1215"/>
    <mergeCell ref="S1214:S1215"/>
    <mergeCell ref="T1214:T1215"/>
    <mergeCell ref="U1214:U1215"/>
    <mergeCell ref="V1214:V1215"/>
    <mergeCell ref="K1214:K1215"/>
    <mergeCell ref="L1214:L1215"/>
    <mergeCell ref="M1214:M1215"/>
    <mergeCell ref="N1214:N1215"/>
    <mergeCell ref="O1214:O1215"/>
    <mergeCell ref="P1214:P1215"/>
    <mergeCell ref="M1220:M1221"/>
    <mergeCell ref="N1220:N1221"/>
    <mergeCell ref="AH1217:AH1218"/>
    <mergeCell ref="AI1217:AI1218"/>
    <mergeCell ref="AJ1217:AJ1218"/>
    <mergeCell ref="B1220:B1221"/>
    <mergeCell ref="C1220:C1221"/>
    <mergeCell ref="D1220:D1221"/>
    <mergeCell ref="E1220:E1221"/>
    <mergeCell ref="F1220:F1221"/>
    <mergeCell ref="G1220:G1221"/>
    <mergeCell ref="H1220:H1221"/>
    <mergeCell ref="Y1217:Y1218"/>
    <mergeCell ref="Z1217:Z1218"/>
    <mergeCell ref="AD1217:AD1218"/>
    <mergeCell ref="AE1217:AE1218"/>
    <mergeCell ref="AF1217:AF1218"/>
    <mergeCell ref="AG1217:AG1218"/>
    <mergeCell ref="S1217:S1218"/>
    <mergeCell ref="T1217:T1218"/>
    <mergeCell ref="U1217:U1218"/>
    <mergeCell ref="V1217:V1218"/>
    <mergeCell ref="W1217:W1218"/>
    <mergeCell ref="X1217:X1218"/>
    <mergeCell ref="M1217:M1218"/>
    <mergeCell ref="N1217:N1218"/>
    <mergeCell ref="O1217:O1218"/>
    <mergeCell ref="P1217:P1218"/>
    <mergeCell ref="Q1217:Q1218"/>
    <mergeCell ref="R1217:R1218"/>
    <mergeCell ref="G1217:G1218"/>
    <mergeCell ref="H1217:H1218"/>
    <mergeCell ref="AJ1220:AJ1221"/>
    <mergeCell ref="B1222:B1223"/>
    <mergeCell ref="C1222:C1223"/>
    <mergeCell ref="D1222:D1223"/>
    <mergeCell ref="E1222:E1223"/>
    <mergeCell ref="F1222:F1223"/>
    <mergeCell ref="G1222:G1223"/>
    <mergeCell ref="H1222:H1223"/>
    <mergeCell ref="I1222:I1223"/>
    <mergeCell ref="J1222:J1223"/>
    <mergeCell ref="AD1220:AD1221"/>
    <mergeCell ref="AE1220:AE1221"/>
    <mergeCell ref="AF1220:AF1221"/>
    <mergeCell ref="AG1220:AG1221"/>
    <mergeCell ref="AH1220:AH1221"/>
    <mergeCell ref="AI1220:AI1221"/>
    <mergeCell ref="U1220:U1221"/>
    <mergeCell ref="V1220:V1221"/>
    <mergeCell ref="W1220:W1221"/>
    <mergeCell ref="X1220:X1221"/>
    <mergeCell ref="Y1220:Y1221"/>
    <mergeCell ref="Z1220:Z1221"/>
    <mergeCell ref="O1220:O1221"/>
    <mergeCell ref="P1220:P1221"/>
    <mergeCell ref="Q1220:Q1221"/>
    <mergeCell ref="R1220:R1221"/>
    <mergeCell ref="S1220:S1221"/>
    <mergeCell ref="T1220:T1221"/>
    <mergeCell ref="I1220:I1221"/>
    <mergeCell ref="J1220:J1221"/>
    <mergeCell ref="K1220:K1221"/>
    <mergeCell ref="L1220:L1221"/>
    <mergeCell ref="I1225:I1226"/>
    <mergeCell ref="J1225:J1226"/>
    <mergeCell ref="K1225:K1226"/>
    <mergeCell ref="L1225:L1226"/>
    <mergeCell ref="AC1222:AC1223"/>
    <mergeCell ref="AG1222:AG1223"/>
    <mergeCell ref="AH1222:AH1223"/>
    <mergeCell ref="AI1222:AI1223"/>
    <mergeCell ref="AJ1222:AJ1223"/>
    <mergeCell ref="B1225:B1226"/>
    <mergeCell ref="C1225:C1226"/>
    <mergeCell ref="D1225:D1226"/>
    <mergeCell ref="E1225:E1226"/>
    <mergeCell ref="F1225:F1226"/>
    <mergeCell ref="W1222:W1223"/>
    <mergeCell ref="X1222:X1223"/>
    <mergeCell ref="Y1222:Y1223"/>
    <mergeCell ref="Z1222:Z1223"/>
    <mergeCell ref="AA1222:AA1223"/>
    <mergeCell ref="AB1222:AB1223"/>
    <mergeCell ref="Q1222:Q1223"/>
    <mergeCell ref="R1222:R1223"/>
    <mergeCell ref="S1222:S1223"/>
    <mergeCell ref="T1222:T1223"/>
    <mergeCell ref="U1222:U1223"/>
    <mergeCell ref="V1222:V1223"/>
    <mergeCell ref="K1222:K1223"/>
    <mergeCell ref="L1222:L1223"/>
    <mergeCell ref="M1222:M1223"/>
    <mergeCell ref="N1222:N1223"/>
    <mergeCell ref="O1222:O1223"/>
    <mergeCell ref="P1222:P1223"/>
    <mergeCell ref="M1245:M1246"/>
    <mergeCell ref="N1245:N1246"/>
    <mergeCell ref="AH1225:AH1226"/>
    <mergeCell ref="AI1225:AI1226"/>
    <mergeCell ref="AJ1225:AJ1226"/>
    <mergeCell ref="B1245:B1246"/>
    <mergeCell ref="C1245:C1246"/>
    <mergeCell ref="D1245:D1246"/>
    <mergeCell ref="E1245:E1246"/>
    <mergeCell ref="F1245:F1246"/>
    <mergeCell ref="G1245:G1246"/>
    <mergeCell ref="H1245:H1246"/>
    <mergeCell ref="Y1225:Y1226"/>
    <mergeCell ref="Z1225:Z1226"/>
    <mergeCell ref="AD1225:AD1226"/>
    <mergeCell ref="AE1225:AE1226"/>
    <mergeCell ref="AF1225:AF1226"/>
    <mergeCell ref="AG1225:AG1226"/>
    <mergeCell ref="S1225:S1226"/>
    <mergeCell ref="T1225:T1226"/>
    <mergeCell ref="U1225:U1226"/>
    <mergeCell ref="V1225:V1226"/>
    <mergeCell ref="W1225:W1226"/>
    <mergeCell ref="X1225:X1226"/>
    <mergeCell ref="M1225:M1226"/>
    <mergeCell ref="N1225:N1226"/>
    <mergeCell ref="O1225:O1226"/>
    <mergeCell ref="P1225:P1226"/>
    <mergeCell ref="Q1225:Q1226"/>
    <mergeCell ref="R1225:R1226"/>
    <mergeCell ref="G1225:G1226"/>
    <mergeCell ref="H1225:H1226"/>
    <mergeCell ref="AJ1245:AJ1246"/>
    <mergeCell ref="B1248:B1249"/>
    <mergeCell ref="C1248:C1249"/>
    <mergeCell ref="D1248:D1249"/>
    <mergeCell ref="E1248:E1249"/>
    <mergeCell ref="F1248:F1249"/>
    <mergeCell ref="G1248:G1249"/>
    <mergeCell ref="H1248:H1249"/>
    <mergeCell ref="I1248:I1249"/>
    <mergeCell ref="J1248:J1249"/>
    <mergeCell ref="AA1245:AA1246"/>
    <mergeCell ref="AB1245:AB1246"/>
    <mergeCell ref="AC1245:AC1246"/>
    <mergeCell ref="AG1245:AG1246"/>
    <mergeCell ref="AH1245:AH1246"/>
    <mergeCell ref="AI1245:AI1246"/>
    <mergeCell ref="U1245:U1246"/>
    <mergeCell ref="V1245:V1246"/>
    <mergeCell ref="W1245:W1246"/>
    <mergeCell ref="X1245:X1246"/>
    <mergeCell ref="Y1245:Y1246"/>
    <mergeCell ref="Z1245:Z1246"/>
    <mergeCell ref="O1245:O1246"/>
    <mergeCell ref="P1245:P1246"/>
    <mergeCell ref="Q1245:Q1246"/>
    <mergeCell ref="R1245:R1246"/>
    <mergeCell ref="S1245:S1246"/>
    <mergeCell ref="T1245:T1246"/>
    <mergeCell ref="I1245:I1246"/>
    <mergeCell ref="J1245:J1246"/>
    <mergeCell ref="K1245:K1246"/>
    <mergeCell ref="L1245:L1246"/>
    <mergeCell ref="AF1248:AF1249"/>
    <mergeCell ref="AG1248:AG1249"/>
    <mergeCell ref="AH1248:AH1249"/>
    <mergeCell ref="AI1248:AI1249"/>
    <mergeCell ref="AJ1248:AJ1249"/>
    <mergeCell ref="B1250:B1251"/>
    <mergeCell ref="C1250:C1251"/>
    <mergeCell ref="D1250:D1251"/>
    <mergeCell ref="E1250:E1251"/>
    <mergeCell ref="F1250:F1251"/>
    <mergeCell ref="W1248:W1249"/>
    <mergeCell ref="X1248:X1249"/>
    <mergeCell ref="Y1248:Y1249"/>
    <mergeCell ref="Z1248:Z1249"/>
    <mergeCell ref="AD1248:AD1249"/>
    <mergeCell ref="AE1248:AE1249"/>
    <mergeCell ref="Q1248:Q1249"/>
    <mergeCell ref="R1248:R1249"/>
    <mergeCell ref="S1248:S1249"/>
    <mergeCell ref="T1248:T1249"/>
    <mergeCell ref="U1248:U1249"/>
    <mergeCell ref="V1248:V1249"/>
    <mergeCell ref="K1248:K1249"/>
    <mergeCell ref="L1248:L1249"/>
    <mergeCell ref="M1248:M1249"/>
    <mergeCell ref="N1248:N1249"/>
    <mergeCell ref="O1248:O1249"/>
    <mergeCell ref="P1248:P1249"/>
    <mergeCell ref="AH1250:AH1251"/>
    <mergeCell ref="AI1250:AI1251"/>
    <mergeCell ref="AJ1250:AJ1251"/>
    <mergeCell ref="B1252:B1255"/>
    <mergeCell ref="C1252:C1255"/>
    <mergeCell ref="D1252:D1255"/>
    <mergeCell ref="E1252:E1255"/>
    <mergeCell ref="F1252:F1255"/>
    <mergeCell ref="G1252:G1255"/>
    <mergeCell ref="H1252:H1255"/>
    <mergeCell ref="Y1250:Y1251"/>
    <mergeCell ref="Z1250:Z1251"/>
    <mergeCell ref="AD1250:AD1251"/>
    <mergeCell ref="AE1250:AE1251"/>
    <mergeCell ref="AF1250:AF1251"/>
    <mergeCell ref="AG1250:AG1251"/>
    <mergeCell ref="S1250:S1251"/>
    <mergeCell ref="T1250:T1251"/>
    <mergeCell ref="U1250:U1251"/>
    <mergeCell ref="V1250:V1251"/>
    <mergeCell ref="W1250:W1251"/>
    <mergeCell ref="X1250:X1251"/>
    <mergeCell ref="M1250:M1251"/>
    <mergeCell ref="N1250:N1251"/>
    <mergeCell ref="O1250:O1251"/>
    <mergeCell ref="P1250:P1251"/>
    <mergeCell ref="Q1250:Q1251"/>
    <mergeCell ref="R1250:R1251"/>
    <mergeCell ref="G1250:G1251"/>
    <mergeCell ref="H1250:H1251"/>
    <mergeCell ref="I1250:I1251"/>
    <mergeCell ref="J1250:J1251"/>
    <mergeCell ref="K1250:K1251"/>
    <mergeCell ref="L1250:L1251"/>
    <mergeCell ref="L1256:L1257"/>
    <mergeCell ref="M1256:M1257"/>
    <mergeCell ref="AG1252:AG1255"/>
    <mergeCell ref="AH1252:AH1255"/>
    <mergeCell ref="AI1252:AI1255"/>
    <mergeCell ref="AJ1252:AJ1255"/>
    <mergeCell ref="B1256:B1257"/>
    <mergeCell ref="C1256:C1257"/>
    <mergeCell ref="D1256:D1257"/>
    <mergeCell ref="E1256:E1257"/>
    <mergeCell ref="F1256:F1257"/>
    <mergeCell ref="G1256:G1257"/>
    <mergeCell ref="U1252:U1255"/>
    <mergeCell ref="V1252:V1255"/>
    <mergeCell ref="W1252:W1255"/>
    <mergeCell ref="X1252:X1255"/>
    <mergeCell ref="Y1252:Y1255"/>
    <mergeCell ref="Z1252:Z1255"/>
    <mergeCell ref="O1252:O1255"/>
    <mergeCell ref="P1252:P1255"/>
    <mergeCell ref="Q1252:Q1255"/>
    <mergeCell ref="R1252:R1255"/>
    <mergeCell ref="S1252:S1255"/>
    <mergeCell ref="T1252:T1255"/>
    <mergeCell ref="I1252:I1255"/>
    <mergeCell ref="J1252:J1255"/>
    <mergeCell ref="K1252:K1255"/>
    <mergeCell ref="L1252:L1255"/>
    <mergeCell ref="M1252:M1255"/>
    <mergeCell ref="N1252:N1255"/>
    <mergeCell ref="AI1256:AI1257"/>
    <mergeCell ref="AJ1256:AJ1257"/>
    <mergeCell ref="O1258:O1259"/>
    <mergeCell ref="B1258:B1259"/>
    <mergeCell ref="C1258:C1259"/>
    <mergeCell ref="D1258:D1259"/>
    <mergeCell ref="E1258:E1259"/>
    <mergeCell ref="F1258:F1259"/>
    <mergeCell ref="G1258:G1259"/>
    <mergeCell ref="H1258:H1259"/>
    <mergeCell ref="I1258:I1259"/>
    <mergeCell ref="Z1256:Z1257"/>
    <mergeCell ref="AD1256:AD1257"/>
    <mergeCell ref="AE1256:AE1257"/>
    <mergeCell ref="AF1256:AF1257"/>
    <mergeCell ref="AG1256:AG1257"/>
    <mergeCell ref="AH1256:AH1257"/>
    <mergeCell ref="T1256:T1257"/>
    <mergeCell ref="U1256:U1257"/>
    <mergeCell ref="V1256:V1257"/>
    <mergeCell ref="W1256:W1257"/>
    <mergeCell ref="X1256:X1257"/>
    <mergeCell ref="Y1256:Y1257"/>
    <mergeCell ref="N1256:N1257"/>
    <mergeCell ref="O1256:O1257"/>
    <mergeCell ref="P1256:P1257"/>
    <mergeCell ref="Q1256:Q1257"/>
    <mergeCell ref="R1256:R1257"/>
    <mergeCell ref="S1256:S1257"/>
    <mergeCell ref="H1256:H1257"/>
    <mergeCell ref="I1256:I1257"/>
    <mergeCell ref="J1256:J1257"/>
    <mergeCell ref="K1256:K1257"/>
    <mergeCell ref="AH1258:AH1259"/>
    <mergeCell ref="J1261:J1262"/>
    <mergeCell ref="K1261:K1262"/>
    <mergeCell ref="L1261:L1262"/>
    <mergeCell ref="M1261:M1262"/>
    <mergeCell ref="B1261:B1262"/>
    <mergeCell ref="C1261:C1262"/>
    <mergeCell ref="D1261:D1262"/>
    <mergeCell ref="E1261:E1262"/>
    <mergeCell ref="F1261:F1262"/>
    <mergeCell ref="G1261:G1262"/>
    <mergeCell ref="AE1258:AE1259"/>
    <mergeCell ref="AF1258:AF1259"/>
    <mergeCell ref="AG1258:AG1259"/>
    <mergeCell ref="AI1258:AI1259"/>
    <mergeCell ref="AJ1258:AJ1259"/>
    <mergeCell ref="V1258:V1259"/>
    <mergeCell ref="W1258:W1259"/>
    <mergeCell ref="X1258:X1259"/>
    <mergeCell ref="Y1258:Y1259"/>
    <mergeCell ref="Z1258:Z1259"/>
    <mergeCell ref="AD1258:AD1259"/>
    <mergeCell ref="P1258:P1259"/>
    <mergeCell ref="Q1258:Q1259"/>
    <mergeCell ref="R1258:R1259"/>
    <mergeCell ref="S1258:S1259"/>
    <mergeCell ref="T1258:T1259"/>
    <mergeCell ref="U1258:U1259"/>
    <mergeCell ref="J1258:J1259"/>
    <mergeCell ref="K1258:K1259"/>
    <mergeCell ref="L1258:L1259"/>
    <mergeCell ref="M1258:M1259"/>
    <mergeCell ref="N1258:N1259"/>
    <mergeCell ref="N1263:N1264"/>
    <mergeCell ref="O1263:O1264"/>
    <mergeCell ref="AI1261:AI1262"/>
    <mergeCell ref="AJ1261:AJ1262"/>
    <mergeCell ref="B1263:B1264"/>
    <mergeCell ref="C1263:C1264"/>
    <mergeCell ref="D1263:D1264"/>
    <mergeCell ref="E1263:E1264"/>
    <mergeCell ref="F1263:F1264"/>
    <mergeCell ref="G1263:G1264"/>
    <mergeCell ref="H1263:H1264"/>
    <mergeCell ref="I1263:I1264"/>
    <mergeCell ref="Z1261:Z1262"/>
    <mergeCell ref="AD1261:AD1262"/>
    <mergeCell ref="AE1261:AE1262"/>
    <mergeCell ref="AF1261:AF1262"/>
    <mergeCell ref="AG1261:AG1262"/>
    <mergeCell ref="AH1261:AH1262"/>
    <mergeCell ref="T1261:T1262"/>
    <mergeCell ref="U1261:U1262"/>
    <mergeCell ref="V1261:V1262"/>
    <mergeCell ref="W1261:W1262"/>
    <mergeCell ref="X1261:X1262"/>
    <mergeCell ref="Y1261:Y1262"/>
    <mergeCell ref="N1261:N1262"/>
    <mergeCell ref="O1261:O1262"/>
    <mergeCell ref="P1261:P1262"/>
    <mergeCell ref="Q1261:Q1262"/>
    <mergeCell ref="R1261:R1262"/>
    <mergeCell ref="S1261:S1262"/>
    <mergeCell ref="H1261:H1262"/>
    <mergeCell ref="I1261:I1262"/>
    <mergeCell ref="J1265:J1266"/>
    <mergeCell ref="K1265:K1266"/>
    <mergeCell ref="L1265:L1266"/>
    <mergeCell ref="M1265:M1266"/>
    <mergeCell ref="B1265:B1266"/>
    <mergeCell ref="C1265:C1266"/>
    <mergeCell ref="D1265:D1266"/>
    <mergeCell ref="E1265:E1266"/>
    <mergeCell ref="F1265:F1266"/>
    <mergeCell ref="G1265:G1266"/>
    <mergeCell ref="AB1263:AB1264"/>
    <mergeCell ref="AC1263:AC1264"/>
    <mergeCell ref="AG1263:AG1264"/>
    <mergeCell ref="AH1263:AH1264"/>
    <mergeCell ref="AI1263:AI1264"/>
    <mergeCell ref="AJ1263:AJ1264"/>
    <mergeCell ref="V1263:V1264"/>
    <mergeCell ref="W1263:W1264"/>
    <mergeCell ref="X1263:X1264"/>
    <mergeCell ref="Y1263:Y1264"/>
    <mergeCell ref="Z1263:Z1264"/>
    <mergeCell ref="AA1263:AA1264"/>
    <mergeCell ref="P1263:P1264"/>
    <mergeCell ref="Q1263:Q1264"/>
    <mergeCell ref="R1263:R1264"/>
    <mergeCell ref="S1263:S1264"/>
    <mergeCell ref="T1263:T1264"/>
    <mergeCell ref="U1263:U1264"/>
    <mergeCell ref="J1263:J1264"/>
    <mergeCell ref="K1263:K1264"/>
    <mergeCell ref="L1263:L1264"/>
    <mergeCell ref="M1263:M1264"/>
    <mergeCell ref="N1267:N1268"/>
    <mergeCell ref="O1267:O1268"/>
    <mergeCell ref="AI1265:AI1266"/>
    <mergeCell ref="AJ1265:AJ1266"/>
    <mergeCell ref="B1267:B1268"/>
    <mergeCell ref="C1267:C1268"/>
    <mergeCell ref="D1267:D1268"/>
    <mergeCell ref="E1267:E1268"/>
    <mergeCell ref="F1267:F1268"/>
    <mergeCell ref="G1267:G1268"/>
    <mergeCell ref="H1267:H1268"/>
    <mergeCell ref="I1267:I1268"/>
    <mergeCell ref="Z1265:Z1266"/>
    <mergeCell ref="AD1265:AD1266"/>
    <mergeCell ref="AE1265:AE1266"/>
    <mergeCell ref="AF1265:AF1266"/>
    <mergeCell ref="AG1265:AG1266"/>
    <mergeCell ref="AH1265:AH1266"/>
    <mergeCell ref="T1265:T1266"/>
    <mergeCell ref="U1265:U1266"/>
    <mergeCell ref="V1265:V1266"/>
    <mergeCell ref="W1265:W1266"/>
    <mergeCell ref="X1265:X1266"/>
    <mergeCell ref="Y1265:Y1266"/>
    <mergeCell ref="N1265:N1266"/>
    <mergeCell ref="O1265:O1266"/>
    <mergeCell ref="P1265:P1266"/>
    <mergeCell ref="Q1265:Q1266"/>
    <mergeCell ref="R1265:R1266"/>
    <mergeCell ref="S1265:S1266"/>
    <mergeCell ref="H1265:H1266"/>
    <mergeCell ref="I1265:I1266"/>
    <mergeCell ref="AH1267:AH1268"/>
    <mergeCell ref="AI1267:AI1268"/>
    <mergeCell ref="AJ1267:AJ1268"/>
    <mergeCell ref="B1269:B1270"/>
    <mergeCell ref="C1269:C1270"/>
    <mergeCell ref="D1269:D1270"/>
    <mergeCell ref="E1269:E1270"/>
    <mergeCell ref="F1269:F1270"/>
    <mergeCell ref="G1269:G1270"/>
    <mergeCell ref="H1269:H1270"/>
    <mergeCell ref="AB1267:AB1268"/>
    <mergeCell ref="AC1267:AC1268"/>
    <mergeCell ref="AD1267:AD1268"/>
    <mergeCell ref="AE1267:AE1268"/>
    <mergeCell ref="AF1267:AF1268"/>
    <mergeCell ref="AG1267:AG1268"/>
    <mergeCell ref="V1267:V1268"/>
    <mergeCell ref="W1267:W1268"/>
    <mergeCell ref="X1267:X1268"/>
    <mergeCell ref="Y1267:Y1268"/>
    <mergeCell ref="Z1267:Z1268"/>
    <mergeCell ref="AA1267:AA1268"/>
    <mergeCell ref="P1267:P1268"/>
    <mergeCell ref="Q1267:Q1268"/>
    <mergeCell ref="R1267:R1268"/>
    <mergeCell ref="S1267:S1268"/>
    <mergeCell ref="T1267:T1268"/>
    <mergeCell ref="U1267:U1268"/>
    <mergeCell ref="J1267:J1268"/>
    <mergeCell ref="K1267:K1268"/>
    <mergeCell ref="L1267:L1268"/>
    <mergeCell ref="M1267:M1268"/>
    <mergeCell ref="AH1269:AH1270"/>
    <mergeCell ref="AI1269:AI1270"/>
    <mergeCell ref="AJ1269:AJ1270"/>
    <mergeCell ref="B1271:B1273"/>
    <mergeCell ref="C1271:C1273"/>
    <mergeCell ref="D1271:D1273"/>
    <mergeCell ref="E1271:E1273"/>
    <mergeCell ref="F1271:F1273"/>
    <mergeCell ref="G1271:G1273"/>
    <mergeCell ref="AA1269:AA1270"/>
    <mergeCell ref="AB1269:AB1270"/>
    <mergeCell ref="AC1269:AC1270"/>
    <mergeCell ref="AD1269:AD1270"/>
    <mergeCell ref="AE1269:AE1270"/>
    <mergeCell ref="AF1269:AF1270"/>
    <mergeCell ref="U1269:U1270"/>
    <mergeCell ref="V1269:V1270"/>
    <mergeCell ref="W1269:W1270"/>
    <mergeCell ref="X1269:X1270"/>
    <mergeCell ref="Y1269:Y1270"/>
    <mergeCell ref="Z1269:Z1270"/>
    <mergeCell ref="O1269:O1270"/>
    <mergeCell ref="P1269:P1270"/>
    <mergeCell ref="Q1269:Q1270"/>
    <mergeCell ref="R1269:R1270"/>
    <mergeCell ref="S1269:S1270"/>
    <mergeCell ref="T1269:T1270"/>
    <mergeCell ref="I1269:I1270"/>
    <mergeCell ref="J1269:J1270"/>
    <mergeCell ref="K1269:K1270"/>
    <mergeCell ref="L1269:L1270"/>
    <mergeCell ref="M1269:M1270"/>
    <mergeCell ref="V1271:V1273"/>
    <mergeCell ref="W1271:W1273"/>
    <mergeCell ref="X1271:X1273"/>
    <mergeCell ref="Y1271:Y1273"/>
    <mergeCell ref="N1271:N1273"/>
    <mergeCell ref="O1271:O1273"/>
    <mergeCell ref="P1271:P1273"/>
    <mergeCell ref="Q1271:Q1273"/>
    <mergeCell ref="R1271:R1273"/>
    <mergeCell ref="S1271:S1273"/>
    <mergeCell ref="H1271:H1273"/>
    <mergeCell ref="I1271:I1273"/>
    <mergeCell ref="J1271:J1273"/>
    <mergeCell ref="K1271:K1273"/>
    <mergeCell ref="L1271:L1273"/>
    <mergeCell ref="M1271:M1273"/>
    <mergeCell ref="AG1269:AG1270"/>
    <mergeCell ref="N1269:N1270"/>
    <mergeCell ref="AA1274:AA1275"/>
    <mergeCell ref="AB1274:AB1275"/>
    <mergeCell ref="Q1274:Q1275"/>
    <mergeCell ref="R1274:R1275"/>
    <mergeCell ref="S1274:S1275"/>
    <mergeCell ref="T1274:T1275"/>
    <mergeCell ref="U1274:U1275"/>
    <mergeCell ref="V1274:V1275"/>
    <mergeCell ref="K1274:K1275"/>
    <mergeCell ref="L1274:L1275"/>
    <mergeCell ref="M1274:M1275"/>
    <mergeCell ref="N1274:N1275"/>
    <mergeCell ref="O1274:O1275"/>
    <mergeCell ref="P1274:P1275"/>
    <mergeCell ref="AJ1271:AJ1273"/>
    <mergeCell ref="B1274:B1275"/>
    <mergeCell ref="C1274:C1275"/>
    <mergeCell ref="D1274:D1275"/>
    <mergeCell ref="E1274:E1275"/>
    <mergeCell ref="F1274:F1275"/>
    <mergeCell ref="G1274:G1275"/>
    <mergeCell ref="H1274:H1275"/>
    <mergeCell ref="I1274:I1275"/>
    <mergeCell ref="J1274:J1275"/>
    <mergeCell ref="Z1271:Z1273"/>
    <mergeCell ref="AC1271:AC1273"/>
    <mergeCell ref="AF1271:AF1273"/>
    <mergeCell ref="AG1271:AG1273"/>
    <mergeCell ref="AH1271:AH1273"/>
    <mergeCell ref="AI1271:AI1273"/>
    <mergeCell ref="T1271:T1273"/>
    <mergeCell ref="U1271:U1273"/>
    <mergeCell ref="P1276:P1277"/>
    <mergeCell ref="Q1276:Q1277"/>
    <mergeCell ref="R1276:R1277"/>
    <mergeCell ref="S1276:S1277"/>
    <mergeCell ref="T1276:T1277"/>
    <mergeCell ref="U1276:U1277"/>
    <mergeCell ref="J1276:J1277"/>
    <mergeCell ref="K1276:K1277"/>
    <mergeCell ref="L1276:L1277"/>
    <mergeCell ref="M1276:M1277"/>
    <mergeCell ref="N1276:N1277"/>
    <mergeCell ref="O1276:O1277"/>
    <mergeCell ref="AI1274:AI1275"/>
    <mergeCell ref="AJ1274:AJ1275"/>
    <mergeCell ref="B1276:B1277"/>
    <mergeCell ref="C1276:C1277"/>
    <mergeCell ref="D1276:D1277"/>
    <mergeCell ref="E1276:E1277"/>
    <mergeCell ref="F1276:F1277"/>
    <mergeCell ref="G1276:G1277"/>
    <mergeCell ref="H1276:H1277"/>
    <mergeCell ref="I1276:I1277"/>
    <mergeCell ref="AC1274:AC1275"/>
    <mergeCell ref="AD1274:AD1275"/>
    <mergeCell ref="AE1274:AE1275"/>
    <mergeCell ref="AF1274:AF1275"/>
    <mergeCell ref="AG1274:AG1275"/>
    <mergeCell ref="AH1274:AH1275"/>
    <mergeCell ref="W1274:W1275"/>
    <mergeCell ref="X1274:X1275"/>
    <mergeCell ref="Y1274:Y1275"/>
    <mergeCell ref="Z1274:Z1275"/>
    <mergeCell ref="Q1278:Q1279"/>
    <mergeCell ref="R1278:R1279"/>
    <mergeCell ref="S1278:S1279"/>
    <mergeCell ref="T1278:T1279"/>
    <mergeCell ref="I1278:I1279"/>
    <mergeCell ref="J1278:J1279"/>
    <mergeCell ref="K1278:K1279"/>
    <mergeCell ref="L1278:L1279"/>
    <mergeCell ref="M1278:M1279"/>
    <mergeCell ref="N1278:N1279"/>
    <mergeCell ref="AH1276:AH1277"/>
    <mergeCell ref="AI1276:AI1277"/>
    <mergeCell ref="AJ1276:AJ1277"/>
    <mergeCell ref="B1278:B1279"/>
    <mergeCell ref="C1278:C1279"/>
    <mergeCell ref="D1278:D1279"/>
    <mergeCell ref="E1278:E1279"/>
    <mergeCell ref="F1278:F1279"/>
    <mergeCell ref="G1278:G1279"/>
    <mergeCell ref="H1278:H1279"/>
    <mergeCell ref="AB1276:AB1277"/>
    <mergeCell ref="AC1276:AC1277"/>
    <mergeCell ref="AD1276:AD1277"/>
    <mergeCell ref="AE1276:AE1277"/>
    <mergeCell ref="AF1276:AF1277"/>
    <mergeCell ref="AG1276:AG1277"/>
    <mergeCell ref="V1276:V1277"/>
    <mergeCell ref="W1276:W1277"/>
    <mergeCell ref="X1276:X1277"/>
    <mergeCell ref="Y1276:Y1277"/>
    <mergeCell ref="Z1276:Z1277"/>
    <mergeCell ref="AA1276:AA1277"/>
    <mergeCell ref="R1280:R1282"/>
    <mergeCell ref="S1280:S1282"/>
    <mergeCell ref="H1280:H1282"/>
    <mergeCell ref="I1280:I1282"/>
    <mergeCell ref="J1280:J1282"/>
    <mergeCell ref="K1280:K1282"/>
    <mergeCell ref="L1280:L1282"/>
    <mergeCell ref="M1280:M1282"/>
    <mergeCell ref="AG1278:AG1279"/>
    <mergeCell ref="AH1278:AH1279"/>
    <mergeCell ref="AI1278:AI1279"/>
    <mergeCell ref="AJ1278:AJ1279"/>
    <mergeCell ref="B1280:B1282"/>
    <mergeCell ref="C1280:C1282"/>
    <mergeCell ref="D1280:D1282"/>
    <mergeCell ref="E1280:E1282"/>
    <mergeCell ref="F1280:F1282"/>
    <mergeCell ref="G1280:G1282"/>
    <mergeCell ref="AA1278:AA1279"/>
    <mergeCell ref="AB1278:AB1279"/>
    <mergeCell ref="AC1278:AC1279"/>
    <mergeCell ref="AD1278:AD1279"/>
    <mergeCell ref="AE1278:AE1279"/>
    <mergeCell ref="AF1278:AF1279"/>
    <mergeCell ref="U1278:U1279"/>
    <mergeCell ref="V1278:V1279"/>
    <mergeCell ref="W1278:W1279"/>
    <mergeCell ref="X1278:X1279"/>
    <mergeCell ref="Y1278:Y1279"/>
    <mergeCell ref="Z1278:Z1279"/>
    <mergeCell ref="O1278:O1279"/>
    <mergeCell ref="P1278:P1279"/>
    <mergeCell ref="K1283:K1285"/>
    <mergeCell ref="L1283:L1285"/>
    <mergeCell ref="M1283:M1285"/>
    <mergeCell ref="N1283:N1285"/>
    <mergeCell ref="O1283:O1285"/>
    <mergeCell ref="P1283:P1285"/>
    <mergeCell ref="AJ1280:AJ1282"/>
    <mergeCell ref="B1283:B1285"/>
    <mergeCell ref="C1283:C1285"/>
    <mergeCell ref="D1283:D1285"/>
    <mergeCell ref="E1283:E1285"/>
    <mergeCell ref="F1283:F1285"/>
    <mergeCell ref="G1283:G1285"/>
    <mergeCell ref="H1283:H1285"/>
    <mergeCell ref="I1283:I1285"/>
    <mergeCell ref="J1283:J1285"/>
    <mergeCell ref="Z1280:Z1282"/>
    <mergeCell ref="AC1280:AC1282"/>
    <mergeCell ref="AF1280:AF1282"/>
    <mergeCell ref="AG1280:AG1282"/>
    <mergeCell ref="AH1280:AH1282"/>
    <mergeCell ref="AI1280:AI1282"/>
    <mergeCell ref="T1280:T1282"/>
    <mergeCell ref="U1280:U1282"/>
    <mergeCell ref="V1280:V1282"/>
    <mergeCell ref="W1280:W1282"/>
    <mergeCell ref="X1280:X1282"/>
    <mergeCell ref="Y1280:Y1282"/>
    <mergeCell ref="N1280:N1282"/>
    <mergeCell ref="O1280:O1282"/>
    <mergeCell ref="P1280:P1282"/>
    <mergeCell ref="Q1280:Q1282"/>
    <mergeCell ref="AE1283:AE1285"/>
    <mergeCell ref="AF1283:AF1285"/>
    <mergeCell ref="AG1283:AG1285"/>
    <mergeCell ref="AH1283:AH1285"/>
    <mergeCell ref="AI1283:AI1285"/>
    <mergeCell ref="AJ1283:AJ1285"/>
    <mergeCell ref="W1283:W1285"/>
    <mergeCell ref="X1283:X1285"/>
    <mergeCell ref="Y1283:Y1285"/>
    <mergeCell ref="Z1283:Z1285"/>
    <mergeCell ref="AC1283:AC1285"/>
    <mergeCell ref="AD1283:AD1285"/>
    <mergeCell ref="Q1283:Q1285"/>
    <mergeCell ref="R1283:R1285"/>
    <mergeCell ref="S1283:S1285"/>
    <mergeCell ref="T1283:T1285"/>
    <mergeCell ref="U1283:U1285"/>
    <mergeCell ref="V1283:V1285"/>
    <mergeCell ref="X1286:X1288"/>
    <mergeCell ref="Y1286:Y1288"/>
    <mergeCell ref="N1286:N1288"/>
    <mergeCell ref="O1286:O1288"/>
    <mergeCell ref="P1286:P1288"/>
    <mergeCell ref="Q1286:Q1288"/>
    <mergeCell ref="R1286:R1288"/>
    <mergeCell ref="S1286:S1288"/>
    <mergeCell ref="H1286:H1288"/>
    <mergeCell ref="I1286:I1288"/>
    <mergeCell ref="J1286:J1288"/>
    <mergeCell ref="K1286:K1288"/>
    <mergeCell ref="L1286:L1288"/>
    <mergeCell ref="M1286:M1288"/>
    <mergeCell ref="B1286:B1288"/>
    <mergeCell ref="C1286:C1288"/>
    <mergeCell ref="D1286:D1288"/>
    <mergeCell ref="E1286:E1288"/>
    <mergeCell ref="F1286:F1288"/>
    <mergeCell ref="G1286:G1288"/>
    <mergeCell ref="Q1289:Q1290"/>
    <mergeCell ref="R1289:R1290"/>
    <mergeCell ref="S1289:S1290"/>
    <mergeCell ref="T1289:T1290"/>
    <mergeCell ref="U1289:U1290"/>
    <mergeCell ref="V1289:V1290"/>
    <mergeCell ref="K1289:K1290"/>
    <mergeCell ref="L1289:L1290"/>
    <mergeCell ref="M1289:M1290"/>
    <mergeCell ref="N1289:N1290"/>
    <mergeCell ref="O1289:O1290"/>
    <mergeCell ref="P1289:P1290"/>
    <mergeCell ref="AJ1286:AJ1288"/>
    <mergeCell ref="B1289:B1290"/>
    <mergeCell ref="C1289:C1290"/>
    <mergeCell ref="D1289:D1290"/>
    <mergeCell ref="E1289:E1290"/>
    <mergeCell ref="F1289:F1290"/>
    <mergeCell ref="G1289:G1290"/>
    <mergeCell ref="H1289:H1290"/>
    <mergeCell ref="I1289:I1290"/>
    <mergeCell ref="J1289:J1290"/>
    <mergeCell ref="Z1286:Z1288"/>
    <mergeCell ref="AC1286:AC1288"/>
    <mergeCell ref="AF1286:AF1288"/>
    <mergeCell ref="AG1286:AG1288"/>
    <mergeCell ref="AH1286:AH1288"/>
    <mergeCell ref="AI1286:AI1288"/>
    <mergeCell ref="T1286:T1288"/>
    <mergeCell ref="U1286:U1288"/>
    <mergeCell ref="V1286:V1288"/>
    <mergeCell ref="W1286:W1288"/>
    <mergeCell ref="R1291:R1292"/>
    <mergeCell ref="S1291:S1292"/>
    <mergeCell ref="T1291:T1292"/>
    <mergeCell ref="U1291:U1292"/>
    <mergeCell ref="J1291:J1292"/>
    <mergeCell ref="K1291:K1292"/>
    <mergeCell ref="L1291:L1292"/>
    <mergeCell ref="M1291:M1292"/>
    <mergeCell ref="N1291:N1292"/>
    <mergeCell ref="O1291:O1292"/>
    <mergeCell ref="AI1289:AI1290"/>
    <mergeCell ref="AJ1289:AJ1290"/>
    <mergeCell ref="B1291:B1292"/>
    <mergeCell ref="C1291:C1292"/>
    <mergeCell ref="D1291:D1292"/>
    <mergeCell ref="E1291:E1292"/>
    <mergeCell ref="F1291:F1292"/>
    <mergeCell ref="G1291:G1292"/>
    <mergeCell ref="H1291:H1292"/>
    <mergeCell ref="I1291:I1292"/>
    <mergeCell ref="AC1289:AC1290"/>
    <mergeCell ref="AD1289:AD1290"/>
    <mergeCell ref="AE1289:AE1290"/>
    <mergeCell ref="AF1289:AF1290"/>
    <mergeCell ref="AG1289:AG1290"/>
    <mergeCell ref="AH1289:AH1290"/>
    <mergeCell ref="W1289:W1290"/>
    <mergeCell ref="X1289:X1290"/>
    <mergeCell ref="Y1289:Y1290"/>
    <mergeCell ref="Z1289:Z1290"/>
    <mergeCell ref="AA1289:AA1290"/>
    <mergeCell ref="AB1289:AB1290"/>
    <mergeCell ref="S1293:S1295"/>
    <mergeCell ref="T1293:T1295"/>
    <mergeCell ref="I1293:I1295"/>
    <mergeCell ref="J1293:J1295"/>
    <mergeCell ref="K1293:K1295"/>
    <mergeCell ref="L1293:L1295"/>
    <mergeCell ref="M1293:M1295"/>
    <mergeCell ref="N1293:N1295"/>
    <mergeCell ref="AH1291:AH1292"/>
    <mergeCell ref="AI1291:AI1292"/>
    <mergeCell ref="AJ1291:AJ1292"/>
    <mergeCell ref="B1293:B1295"/>
    <mergeCell ref="C1293:C1295"/>
    <mergeCell ref="D1293:D1295"/>
    <mergeCell ref="E1293:E1295"/>
    <mergeCell ref="F1293:F1295"/>
    <mergeCell ref="G1293:G1295"/>
    <mergeCell ref="H1293:H1295"/>
    <mergeCell ref="AB1291:AB1292"/>
    <mergeCell ref="AC1291:AC1292"/>
    <mergeCell ref="AD1291:AD1292"/>
    <mergeCell ref="AE1291:AE1292"/>
    <mergeCell ref="AF1291:AF1292"/>
    <mergeCell ref="AG1291:AG1292"/>
    <mergeCell ref="V1291:V1292"/>
    <mergeCell ref="W1291:W1292"/>
    <mergeCell ref="X1291:X1292"/>
    <mergeCell ref="Y1291:Y1292"/>
    <mergeCell ref="Z1291:Z1292"/>
    <mergeCell ref="AA1291:AA1292"/>
    <mergeCell ref="P1291:P1292"/>
    <mergeCell ref="Q1291:Q1292"/>
    <mergeCell ref="N1296:N1298"/>
    <mergeCell ref="O1296:O1298"/>
    <mergeCell ref="AJ1299:AJ1300"/>
    <mergeCell ref="Y1299:Y1300"/>
    <mergeCell ref="Z1299:Z1300"/>
    <mergeCell ref="AA1299:AA1300"/>
    <mergeCell ref="AI1293:AI1295"/>
    <mergeCell ref="AJ1293:AJ1295"/>
    <mergeCell ref="B1296:B1298"/>
    <mergeCell ref="C1296:C1298"/>
    <mergeCell ref="D1296:D1298"/>
    <mergeCell ref="E1296:E1298"/>
    <mergeCell ref="F1296:F1298"/>
    <mergeCell ref="G1296:G1298"/>
    <mergeCell ref="H1296:H1298"/>
    <mergeCell ref="I1296:I1298"/>
    <mergeCell ref="AA1293:AA1295"/>
    <mergeCell ref="AB1293:AB1295"/>
    <mergeCell ref="AC1293:AC1295"/>
    <mergeCell ref="AF1293:AF1295"/>
    <mergeCell ref="AG1293:AG1295"/>
    <mergeCell ref="AH1293:AH1295"/>
    <mergeCell ref="U1293:U1295"/>
    <mergeCell ref="V1293:V1295"/>
    <mergeCell ref="W1293:W1295"/>
    <mergeCell ref="X1293:X1295"/>
    <mergeCell ref="Y1293:Y1295"/>
    <mergeCell ref="Z1293:Z1295"/>
    <mergeCell ref="O1293:O1295"/>
    <mergeCell ref="P1293:P1295"/>
    <mergeCell ref="Q1293:Q1295"/>
    <mergeCell ref="R1293:R1295"/>
    <mergeCell ref="H1301:H1303"/>
    <mergeCell ref="I1301:I1303"/>
    <mergeCell ref="J1301:J1303"/>
    <mergeCell ref="K1301:K1303"/>
    <mergeCell ref="L1301:L1303"/>
    <mergeCell ref="M1301:M1303"/>
    <mergeCell ref="AF1296:AF1298"/>
    <mergeCell ref="AG1296:AG1298"/>
    <mergeCell ref="AH1296:AH1298"/>
    <mergeCell ref="AI1296:AI1298"/>
    <mergeCell ref="AJ1296:AJ1298"/>
    <mergeCell ref="B1299:B1300"/>
    <mergeCell ref="C1299:C1300"/>
    <mergeCell ref="D1299:D1300"/>
    <mergeCell ref="E1299:E1300"/>
    <mergeCell ref="F1299:F1300"/>
    <mergeCell ref="V1296:V1298"/>
    <mergeCell ref="W1296:W1298"/>
    <mergeCell ref="X1296:X1298"/>
    <mergeCell ref="Y1296:Y1298"/>
    <mergeCell ref="Z1296:Z1298"/>
    <mergeCell ref="AC1296:AC1298"/>
    <mergeCell ref="P1296:P1298"/>
    <mergeCell ref="Q1296:Q1298"/>
    <mergeCell ref="R1296:R1298"/>
    <mergeCell ref="S1296:S1298"/>
    <mergeCell ref="T1296:T1298"/>
    <mergeCell ref="U1296:U1298"/>
    <mergeCell ref="J1296:J1298"/>
    <mergeCell ref="K1296:K1298"/>
    <mergeCell ref="L1296:L1298"/>
    <mergeCell ref="M1296:M1298"/>
    <mergeCell ref="B1301:B1303"/>
    <mergeCell ref="C1301:C1303"/>
    <mergeCell ref="D1301:D1303"/>
    <mergeCell ref="E1301:E1303"/>
    <mergeCell ref="F1301:F1303"/>
    <mergeCell ref="G1301:G1303"/>
    <mergeCell ref="AE1299:AE1300"/>
    <mergeCell ref="AF1299:AF1300"/>
    <mergeCell ref="AG1299:AG1300"/>
    <mergeCell ref="AH1299:AH1300"/>
    <mergeCell ref="AI1299:AI1300"/>
    <mergeCell ref="G1299:G1300"/>
    <mergeCell ref="H1299:H1300"/>
    <mergeCell ref="I1299:I1300"/>
    <mergeCell ref="J1299:J1300"/>
    <mergeCell ref="K1299:K1300"/>
    <mergeCell ref="L1299:L1300"/>
    <mergeCell ref="AB1299:AB1300"/>
    <mergeCell ref="AC1299:AC1300"/>
    <mergeCell ref="AD1299:AD1300"/>
    <mergeCell ref="S1299:S1300"/>
    <mergeCell ref="T1299:T1300"/>
    <mergeCell ref="U1299:U1300"/>
    <mergeCell ref="V1299:V1300"/>
    <mergeCell ref="W1299:W1300"/>
    <mergeCell ref="X1299:X1300"/>
    <mergeCell ref="M1299:M1300"/>
    <mergeCell ref="N1299:N1300"/>
    <mergeCell ref="O1299:O1300"/>
    <mergeCell ref="P1299:P1300"/>
    <mergeCell ref="Q1299:Q1300"/>
    <mergeCell ref="R1299:R1300"/>
    <mergeCell ref="K1304:K1305"/>
    <mergeCell ref="L1304:L1305"/>
    <mergeCell ref="M1304:M1305"/>
    <mergeCell ref="N1304:N1305"/>
    <mergeCell ref="AH1301:AH1303"/>
    <mergeCell ref="AI1301:AI1303"/>
    <mergeCell ref="AJ1301:AJ1303"/>
    <mergeCell ref="B1304:B1305"/>
    <mergeCell ref="C1304:C1305"/>
    <mergeCell ref="D1304:D1305"/>
    <mergeCell ref="E1304:E1305"/>
    <mergeCell ref="F1304:F1305"/>
    <mergeCell ref="G1304:G1305"/>
    <mergeCell ref="H1304:H1305"/>
    <mergeCell ref="Z1301:Z1303"/>
    <mergeCell ref="AC1301:AC1303"/>
    <mergeCell ref="AD1301:AD1303"/>
    <mergeCell ref="AE1301:AE1303"/>
    <mergeCell ref="AF1301:AF1303"/>
    <mergeCell ref="AG1301:AG1303"/>
    <mergeCell ref="T1301:T1303"/>
    <mergeCell ref="U1301:U1303"/>
    <mergeCell ref="V1301:V1303"/>
    <mergeCell ref="W1301:W1303"/>
    <mergeCell ref="X1301:X1303"/>
    <mergeCell ref="Y1301:Y1303"/>
    <mergeCell ref="N1301:N1303"/>
    <mergeCell ref="O1301:O1303"/>
    <mergeCell ref="P1301:P1303"/>
    <mergeCell ref="Q1301:Q1303"/>
    <mergeCell ref="R1301:R1303"/>
    <mergeCell ref="S1301:S1303"/>
    <mergeCell ref="L1306:L1307"/>
    <mergeCell ref="M1306:M1307"/>
    <mergeCell ref="AG1304:AG1305"/>
    <mergeCell ref="AH1304:AH1305"/>
    <mergeCell ref="AI1304:AI1305"/>
    <mergeCell ref="AJ1304:AJ1305"/>
    <mergeCell ref="B1306:B1307"/>
    <mergeCell ref="C1306:C1307"/>
    <mergeCell ref="D1306:D1307"/>
    <mergeCell ref="E1306:E1307"/>
    <mergeCell ref="F1306:F1307"/>
    <mergeCell ref="G1306:G1307"/>
    <mergeCell ref="AA1304:AA1305"/>
    <mergeCell ref="AB1304:AB1305"/>
    <mergeCell ref="AC1304:AC1305"/>
    <mergeCell ref="AD1304:AD1305"/>
    <mergeCell ref="AE1304:AE1305"/>
    <mergeCell ref="AF1304:AF1305"/>
    <mergeCell ref="U1304:U1305"/>
    <mergeCell ref="V1304:V1305"/>
    <mergeCell ref="W1304:W1305"/>
    <mergeCell ref="X1304:X1305"/>
    <mergeCell ref="Y1304:Y1305"/>
    <mergeCell ref="Z1304:Z1305"/>
    <mergeCell ref="O1304:O1305"/>
    <mergeCell ref="P1304:P1305"/>
    <mergeCell ref="Q1304:Q1305"/>
    <mergeCell ref="R1304:R1305"/>
    <mergeCell ref="S1304:S1305"/>
    <mergeCell ref="T1304:T1305"/>
    <mergeCell ref="I1304:I1305"/>
    <mergeCell ref="J1304:J1305"/>
    <mergeCell ref="AF1306:AF1307"/>
    <mergeCell ref="AG1306:AG1307"/>
    <mergeCell ref="AH1306:AH1307"/>
    <mergeCell ref="AI1306:AI1307"/>
    <mergeCell ref="AJ1306:AJ1307"/>
    <mergeCell ref="B1308:B1309"/>
    <mergeCell ref="C1308:C1309"/>
    <mergeCell ref="D1308:D1309"/>
    <mergeCell ref="E1308:E1309"/>
    <mergeCell ref="F1308:F1309"/>
    <mergeCell ref="Z1306:Z1307"/>
    <mergeCell ref="AA1306:AA1307"/>
    <mergeCell ref="AB1306:AB1307"/>
    <mergeCell ref="AC1306:AC1307"/>
    <mergeCell ref="AD1306:AD1307"/>
    <mergeCell ref="AE1306:AE1307"/>
    <mergeCell ref="T1306:T1307"/>
    <mergeCell ref="U1306:U1307"/>
    <mergeCell ref="V1306:V1307"/>
    <mergeCell ref="W1306:W1307"/>
    <mergeCell ref="X1306:X1307"/>
    <mergeCell ref="Y1306:Y1307"/>
    <mergeCell ref="N1306:N1307"/>
    <mergeCell ref="O1306:O1307"/>
    <mergeCell ref="P1306:P1307"/>
    <mergeCell ref="Q1306:Q1307"/>
    <mergeCell ref="R1306:R1307"/>
    <mergeCell ref="S1306:S1307"/>
    <mergeCell ref="H1306:H1307"/>
    <mergeCell ref="I1306:I1307"/>
    <mergeCell ref="J1306:J1307"/>
    <mergeCell ref="K1306:K1307"/>
    <mergeCell ref="AH1308:AH1309"/>
    <mergeCell ref="AI1308:AI1309"/>
    <mergeCell ref="AJ1308:AJ1309"/>
    <mergeCell ref="Y1308:Y1309"/>
    <mergeCell ref="Z1308:Z1309"/>
    <mergeCell ref="AA1308:AA1309"/>
    <mergeCell ref="AB1308:AB1309"/>
    <mergeCell ref="AC1308:AC1309"/>
    <mergeCell ref="AD1308:AD1309"/>
    <mergeCell ref="S1308:S1309"/>
    <mergeCell ref="T1308:T1309"/>
    <mergeCell ref="U1308:U1309"/>
    <mergeCell ref="V1308:V1309"/>
    <mergeCell ref="W1308:W1309"/>
    <mergeCell ref="X1308:X1309"/>
    <mergeCell ref="M1308:M1309"/>
    <mergeCell ref="N1308:N1309"/>
    <mergeCell ref="O1308:O1309"/>
    <mergeCell ref="P1308:P1309"/>
    <mergeCell ref="Q1308:Q1309"/>
    <mergeCell ref="R1308:R1309"/>
    <mergeCell ref="R1310:R1311"/>
    <mergeCell ref="S1310:S1311"/>
    <mergeCell ref="H1310:H1311"/>
    <mergeCell ref="I1310:I1311"/>
    <mergeCell ref="J1310:J1311"/>
    <mergeCell ref="K1310:K1311"/>
    <mergeCell ref="L1310:L1311"/>
    <mergeCell ref="M1310:M1311"/>
    <mergeCell ref="B1310:B1311"/>
    <mergeCell ref="C1310:C1311"/>
    <mergeCell ref="D1310:D1311"/>
    <mergeCell ref="E1310:E1311"/>
    <mergeCell ref="F1310:F1311"/>
    <mergeCell ref="G1310:G1311"/>
    <mergeCell ref="AE1308:AE1309"/>
    <mergeCell ref="AF1308:AF1309"/>
    <mergeCell ref="AG1308:AG1309"/>
    <mergeCell ref="G1308:G1309"/>
    <mergeCell ref="H1308:H1309"/>
    <mergeCell ref="I1308:I1309"/>
    <mergeCell ref="J1308:J1309"/>
    <mergeCell ref="K1308:K1309"/>
    <mergeCell ref="L1308:L1309"/>
    <mergeCell ref="G1312:G1313"/>
    <mergeCell ref="H1312:H1313"/>
    <mergeCell ref="I1312:I1313"/>
    <mergeCell ref="J1312:J1313"/>
    <mergeCell ref="K1312:K1313"/>
    <mergeCell ref="L1312:L1313"/>
    <mergeCell ref="AF1310:AF1311"/>
    <mergeCell ref="AG1310:AG1311"/>
    <mergeCell ref="AH1310:AH1311"/>
    <mergeCell ref="AI1310:AI1311"/>
    <mergeCell ref="AJ1310:AJ1311"/>
    <mergeCell ref="B1312:B1313"/>
    <mergeCell ref="C1312:C1313"/>
    <mergeCell ref="D1312:D1313"/>
    <mergeCell ref="E1312:E1313"/>
    <mergeCell ref="F1312:F1313"/>
    <mergeCell ref="Z1310:Z1311"/>
    <mergeCell ref="AA1310:AA1311"/>
    <mergeCell ref="AB1310:AB1311"/>
    <mergeCell ref="AC1310:AC1311"/>
    <mergeCell ref="AD1310:AD1311"/>
    <mergeCell ref="AE1310:AE1311"/>
    <mergeCell ref="T1310:T1311"/>
    <mergeCell ref="U1310:U1311"/>
    <mergeCell ref="V1310:V1311"/>
    <mergeCell ref="W1310:W1311"/>
    <mergeCell ref="X1310:X1311"/>
    <mergeCell ref="Y1310:Y1311"/>
    <mergeCell ref="N1310:N1311"/>
    <mergeCell ref="O1310:O1311"/>
    <mergeCell ref="P1310:P1311"/>
    <mergeCell ref="Q1310:Q1311"/>
    <mergeCell ref="L1314:L1315"/>
    <mergeCell ref="M1314:M1315"/>
    <mergeCell ref="B1314:B1315"/>
    <mergeCell ref="C1314:C1315"/>
    <mergeCell ref="D1314:D1315"/>
    <mergeCell ref="E1314:E1315"/>
    <mergeCell ref="F1314:F1315"/>
    <mergeCell ref="G1314:G1315"/>
    <mergeCell ref="AE1312:AE1313"/>
    <mergeCell ref="AF1312:AF1313"/>
    <mergeCell ref="AG1312:AG1313"/>
    <mergeCell ref="AH1312:AH1313"/>
    <mergeCell ref="AI1312:AI1313"/>
    <mergeCell ref="AJ1312:AJ1313"/>
    <mergeCell ref="Y1312:Y1313"/>
    <mergeCell ref="Z1312:Z1313"/>
    <mergeCell ref="AA1312:AA1313"/>
    <mergeCell ref="AB1312:AB1313"/>
    <mergeCell ref="AC1312:AC1313"/>
    <mergeCell ref="AD1312:AD1313"/>
    <mergeCell ref="S1312:S1313"/>
    <mergeCell ref="T1312:T1313"/>
    <mergeCell ref="U1312:U1313"/>
    <mergeCell ref="V1312:V1313"/>
    <mergeCell ref="W1312:W1313"/>
    <mergeCell ref="X1312:X1313"/>
    <mergeCell ref="M1312:M1313"/>
    <mergeCell ref="N1312:N1313"/>
    <mergeCell ref="O1312:O1313"/>
    <mergeCell ref="P1312:P1313"/>
    <mergeCell ref="Q1312:Q1313"/>
    <mergeCell ref="R1312:R1313"/>
    <mergeCell ref="AF1314:AF1315"/>
    <mergeCell ref="AG1314:AG1315"/>
    <mergeCell ref="AH1314:AH1315"/>
    <mergeCell ref="AI1314:AI1315"/>
    <mergeCell ref="AJ1314:AJ1315"/>
    <mergeCell ref="B1316:B1317"/>
    <mergeCell ref="C1316:C1317"/>
    <mergeCell ref="D1316:D1317"/>
    <mergeCell ref="E1316:E1317"/>
    <mergeCell ref="F1316:F1317"/>
    <mergeCell ref="Z1314:Z1315"/>
    <mergeCell ref="AA1314:AA1315"/>
    <mergeCell ref="AB1314:AB1315"/>
    <mergeCell ref="AC1314:AC1315"/>
    <mergeCell ref="AD1314:AD1315"/>
    <mergeCell ref="AE1314:AE1315"/>
    <mergeCell ref="T1314:T1315"/>
    <mergeCell ref="U1314:U1315"/>
    <mergeCell ref="V1314:V1315"/>
    <mergeCell ref="W1314:W1315"/>
    <mergeCell ref="X1314:X1315"/>
    <mergeCell ref="Y1314:Y1315"/>
    <mergeCell ref="N1314:N1315"/>
    <mergeCell ref="O1314:O1315"/>
    <mergeCell ref="P1314:P1315"/>
    <mergeCell ref="Q1314:Q1315"/>
    <mergeCell ref="R1314:R1315"/>
    <mergeCell ref="S1314:S1315"/>
    <mergeCell ref="H1314:H1315"/>
    <mergeCell ref="I1314:I1315"/>
    <mergeCell ref="J1314:J1315"/>
    <mergeCell ref="K1314:K1315"/>
    <mergeCell ref="AH1316:AH1317"/>
    <mergeCell ref="AI1316:AI1317"/>
    <mergeCell ref="AJ1316:AJ1317"/>
    <mergeCell ref="Y1316:Y1317"/>
    <mergeCell ref="Z1316:Z1317"/>
    <mergeCell ref="AA1316:AA1317"/>
    <mergeCell ref="AB1316:AB1317"/>
    <mergeCell ref="AC1316:AC1317"/>
    <mergeCell ref="AD1316:AD1317"/>
    <mergeCell ref="S1316:S1317"/>
    <mergeCell ref="T1316:T1317"/>
    <mergeCell ref="U1316:U1317"/>
    <mergeCell ref="V1316:V1317"/>
    <mergeCell ref="W1316:W1317"/>
    <mergeCell ref="X1316:X1317"/>
    <mergeCell ref="M1316:M1317"/>
    <mergeCell ref="N1316:N1317"/>
    <mergeCell ref="O1316:O1317"/>
    <mergeCell ref="P1316:P1317"/>
    <mergeCell ref="Q1316:Q1317"/>
    <mergeCell ref="R1316:R1317"/>
    <mergeCell ref="R1318:R1319"/>
    <mergeCell ref="S1318:S1319"/>
    <mergeCell ref="H1318:H1319"/>
    <mergeCell ref="I1318:I1319"/>
    <mergeCell ref="J1318:J1319"/>
    <mergeCell ref="K1318:K1319"/>
    <mergeCell ref="L1318:L1319"/>
    <mergeCell ref="M1318:M1319"/>
    <mergeCell ref="B1318:B1319"/>
    <mergeCell ref="C1318:C1319"/>
    <mergeCell ref="D1318:D1319"/>
    <mergeCell ref="E1318:E1319"/>
    <mergeCell ref="F1318:F1319"/>
    <mergeCell ref="G1318:G1319"/>
    <mergeCell ref="AE1316:AE1317"/>
    <mergeCell ref="AF1316:AF1317"/>
    <mergeCell ref="AG1316:AG1317"/>
    <mergeCell ref="G1316:G1317"/>
    <mergeCell ref="H1316:H1317"/>
    <mergeCell ref="I1316:I1317"/>
    <mergeCell ref="J1316:J1317"/>
    <mergeCell ref="K1316:K1317"/>
    <mergeCell ref="L1316:L1317"/>
    <mergeCell ref="G1320:G1321"/>
    <mergeCell ref="H1320:H1321"/>
    <mergeCell ref="I1320:I1321"/>
    <mergeCell ref="J1320:J1321"/>
    <mergeCell ref="K1320:K1321"/>
    <mergeCell ref="L1320:L1321"/>
    <mergeCell ref="AF1318:AF1319"/>
    <mergeCell ref="AG1318:AG1319"/>
    <mergeCell ref="AH1318:AH1319"/>
    <mergeCell ref="AI1318:AI1319"/>
    <mergeCell ref="AJ1318:AJ1319"/>
    <mergeCell ref="B1320:B1321"/>
    <mergeCell ref="C1320:C1321"/>
    <mergeCell ref="D1320:D1321"/>
    <mergeCell ref="E1320:E1321"/>
    <mergeCell ref="F1320:F1321"/>
    <mergeCell ref="Z1318:Z1319"/>
    <mergeCell ref="AA1318:AA1319"/>
    <mergeCell ref="AB1318:AB1319"/>
    <mergeCell ref="AC1318:AC1319"/>
    <mergeCell ref="AD1318:AD1319"/>
    <mergeCell ref="AE1318:AE1319"/>
    <mergeCell ref="T1318:T1319"/>
    <mergeCell ref="U1318:U1319"/>
    <mergeCell ref="V1318:V1319"/>
    <mergeCell ref="W1318:W1319"/>
    <mergeCell ref="X1318:X1319"/>
    <mergeCell ref="Y1318:Y1319"/>
    <mergeCell ref="N1318:N1319"/>
    <mergeCell ref="O1318:O1319"/>
    <mergeCell ref="P1318:P1319"/>
    <mergeCell ref="Q1318:Q1319"/>
    <mergeCell ref="L1323:L1324"/>
    <mergeCell ref="M1323:M1324"/>
    <mergeCell ref="B1323:B1324"/>
    <mergeCell ref="C1323:C1324"/>
    <mergeCell ref="D1323:D1324"/>
    <mergeCell ref="E1323:E1324"/>
    <mergeCell ref="F1323:F1324"/>
    <mergeCell ref="G1323:G1324"/>
    <mergeCell ref="AE1320:AE1321"/>
    <mergeCell ref="AF1320:AF1321"/>
    <mergeCell ref="AG1320:AG1321"/>
    <mergeCell ref="AH1320:AH1321"/>
    <mergeCell ref="AI1320:AI1321"/>
    <mergeCell ref="AJ1320:AJ1321"/>
    <mergeCell ref="Y1320:Y1321"/>
    <mergeCell ref="Z1320:Z1321"/>
    <mergeCell ref="AA1320:AA1321"/>
    <mergeCell ref="AB1320:AB1321"/>
    <mergeCell ref="AC1320:AC1321"/>
    <mergeCell ref="AD1320:AD1321"/>
    <mergeCell ref="S1320:S1321"/>
    <mergeCell ref="T1320:T1321"/>
    <mergeCell ref="U1320:U1321"/>
    <mergeCell ref="V1320:V1321"/>
    <mergeCell ref="W1320:W1321"/>
    <mergeCell ref="X1320:X1321"/>
    <mergeCell ref="M1320:M1321"/>
    <mergeCell ref="N1320:N1321"/>
    <mergeCell ref="O1320:O1321"/>
    <mergeCell ref="P1320:P1321"/>
    <mergeCell ref="Q1320:Q1321"/>
    <mergeCell ref="R1320:R1321"/>
    <mergeCell ref="AF1323:AF1324"/>
    <mergeCell ref="AG1323:AG1324"/>
    <mergeCell ref="AH1323:AH1324"/>
    <mergeCell ref="AI1323:AI1324"/>
    <mergeCell ref="AJ1323:AJ1324"/>
    <mergeCell ref="B1325:B1326"/>
    <mergeCell ref="C1325:C1326"/>
    <mergeCell ref="D1325:D1326"/>
    <mergeCell ref="E1325:E1326"/>
    <mergeCell ref="F1325:F1326"/>
    <mergeCell ref="Z1323:Z1324"/>
    <mergeCell ref="AA1323:AA1324"/>
    <mergeCell ref="AB1323:AB1324"/>
    <mergeCell ref="AC1323:AC1324"/>
    <mergeCell ref="AD1323:AD1324"/>
    <mergeCell ref="AE1323:AE1324"/>
    <mergeCell ref="T1323:T1324"/>
    <mergeCell ref="U1323:U1324"/>
    <mergeCell ref="V1323:V1324"/>
    <mergeCell ref="W1323:W1324"/>
    <mergeCell ref="X1323:X1324"/>
    <mergeCell ref="Y1323:Y1324"/>
    <mergeCell ref="N1323:N1324"/>
    <mergeCell ref="O1323:O1324"/>
    <mergeCell ref="P1323:P1324"/>
    <mergeCell ref="Q1323:Q1324"/>
    <mergeCell ref="R1323:R1324"/>
    <mergeCell ref="S1323:S1324"/>
    <mergeCell ref="H1323:H1324"/>
    <mergeCell ref="I1323:I1324"/>
    <mergeCell ref="J1323:J1324"/>
    <mergeCell ref="K1323:K1324"/>
    <mergeCell ref="AH1325:AH1326"/>
    <mergeCell ref="AI1325:AI1326"/>
    <mergeCell ref="AJ1325:AJ1326"/>
    <mergeCell ref="Y1325:Y1326"/>
    <mergeCell ref="Z1325:Z1326"/>
    <mergeCell ref="AA1325:AA1326"/>
    <mergeCell ref="AB1325:AB1326"/>
    <mergeCell ref="AC1325:AC1326"/>
    <mergeCell ref="AD1325:AD1326"/>
    <mergeCell ref="S1325:S1326"/>
    <mergeCell ref="T1325:T1326"/>
    <mergeCell ref="U1325:U1326"/>
    <mergeCell ref="V1325:V1326"/>
    <mergeCell ref="W1325:W1326"/>
    <mergeCell ref="X1325:X1326"/>
    <mergeCell ref="M1325:M1326"/>
    <mergeCell ref="N1325:N1326"/>
    <mergeCell ref="O1325:O1326"/>
    <mergeCell ref="P1325:P1326"/>
    <mergeCell ref="Q1325:Q1326"/>
    <mergeCell ref="R1325:R1326"/>
    <mergeCell ref="R1327:R1328"/>
    <mergeCell ref="S1327:S1328"/>
    <mergeCell ref="H1327:H1328"/>
    <mergeCell ref="I1327:I1328"/>
    <mergeCell ref="J1327:J1328"/>
    <mergeCell ref="K1327:K1328"/>
    <mergeCell ref="L1327:L1328"/>
    <mergeCell ref="M1327:M1328"/>
    <mergeCell ref="B1327:B1328"/>
    <mergeCell ref="C1327:C1328"/>
    <mergeCell ref="D1327:D1328"/>
    <mergeCell ref="E1327:E1328"/>
    <mergeCell ref="F1327:F1328"/>
    <mergeCell ref="G1327:G1328"/>
    <mergeCell ref="AE1325:AE1326"/>
    <mergeCell ref="AF1325:AF1326"/>
    <mergeCell ref="AG1325:AG1326"/>
    <mergeCell ref="G1325:G1326"/>
    <mergeCell ref="H1325:H1326"/>
    <mergeCell ref="I1325:I1326"/>
    <mergeCell ref="J1325:J1326"/>
    <mergeCell ref="K1325:K1326"/>
    <mergeCell ref="L1325:L1326"/>
    <mergeCell ref="G1329:G1330"/>
    <mergeCell ref="H1329:H1330"/>
    <mergeCell ref="I1329:I1330"/>
    <mergeCell ref="J1329:J1330"/>
    <mergeCell ref="K1329:K1330"/>
    <mergeCell ref="L1329:L1330"/>
    <mergeCell ref="AF1327:AF1328"/>
    <mergeCell ref="AG1327:AG1328"/>
    <mergeCell ref="AH1327:AH1328"/>
    <mergeCell ref="AI1327:AI1328"/>
    <mergeCell ref="AJ1327:AJ1328"/>
    <mergeCell ref="B1329:B1330"/>
    <mergeCell ref="C1329:C1330"/>
    <mergeCell ref="D1329:D1330"/>
    <mergeCell ref="E1329:E1330"/>
    <mergeCell ref="F1329:F1330"/>
    <mergeCell ref="Z1327:Z1328"/>
    <mergeCell ref="AA1327:AA1328"/>
    <mergeCell ref="AB1327:AB1328"/>
    <mergeCell ref="AC1327:AC1328"/>
    <mergeCell ref="AD1327:AD1328"/>
    <mergeCell ref="AE1327:AE1328"/>
    <mergeCell ref="T1327:T1328"/>
    <mergeCell ref="U1327:U1328"/>
    <mergeCell ref="V1327:V1328"/>
    <mergeCell ref="W1327:W1328"/>
    <mergeCell ref="X1327:X1328"/>
    <mergeCell ref="Y1327:Y1328"/>
    <mergeCell ref="N1327:N1328"/>
    <mergeCell ref="O1327:O1328"/>
    <mergeCell ref="P1327:P1328"/>
    <mergeCell ref="Q1327:Q1328"/>
    <mergeCell ref="L1331:L1332"/>
    <mergeCell ref="M1331:M1332"/>
    <mergeCell ref="B1331:B1332"/>
    <mergeCell ref="C1331:C1332"/>
    <mergeCell ref="D1331:D1332"/>
    <mergeCell ref="E1331:E1332"/>
    <mergeCell ref="F1331:F1332"/>
    <mergeCell ref="G1331:G1332"/>
    <mergeCell ref="AE1329:AE1330"/>
    <mergeCell ref="AF1329:AF1330"/>
    <mergeCell ref="AG1329:AG1330"/>
    <mergeCell ref="AH1329:AH1330"/>
    <mergeCell ref="AI1329:AI1330"/>
    <mergeCell ref="AJ1329:AJ1330"/>
    <mergeCell ref="Y1329:Y1330"/>
    <mergeCell ref="Z1329:Z1330"/>
    <mergeCell ref="AA1329:AA1330"/>
    <mergeCell ref="AB1329:AB1330"/>
    <mergeCell ref="AC1329:AC1330"/>
    <mergeCell ref="AD1329:AD1330"/>
    <mergeCell ref="S1329:S1330"/>
    <mergeCell ref="T1329:T1330"/>
    <mergeCell ref="U1329:U1330"/>
    <mergeCell ref="V1329:V1330"/>
    <mergeCell ref="W1329:W1330"/>
    <mergeCell ref="X1329:X1330"/>
    <mergeCell ref="M1329:M1330"/>
    <mergeCell ref="N1329:N1330"/>
    <mergeCell ref="O1329:O1330"/>
    <mergeCell ref="P1329:P1330"/>
    <mergeCell ref="Q1329:Q1330"/>
    <mergeCell ref="R1329:R1330"/>
    <mergeCell ref="AF1331:AF1332"/>
    <mergeCell ref="AG1331:AG1332"/>
    <mergeCell ref="AH1331:AH1332"/>
    <mergeCell ref="AI1331:AI1332"/>
    <mergeCell ref="AJ1331:AJ1332"/>
    <mergeCell ref="B1333:B1334"/>
    <mergeCell ref="C1333:C1334"/>
    <mergeCell ref="D1333:D1334"/>
    <mergeCell ref="E1333:E1334"/>
    <mergeCell ref="F1333:F1334"/>
    <mergeCell ref="Z1331:Z1332"/>
    <mergeCell ref="AA1331:AA1332"/>
    <mergeCell ref="AB1331:AB1332"/>
    <mergeCell ref="AC1331:AC1332"/>
    <mergeCell ref="AD1331:AD1332"/>
    <mergeCell ref="AE1331:AE1332"/>
    <mergeCell ref="T1331:T1332"/>
    <mergeCell ref="U1331:U1332"/>
    <mergeCell ref="V1331:V1332"/>
    <mergeCell ref="W1331:W1332"/>
    <mergeCell ref="X1331:X1332"/>
    <mergeCell ref="Y1331:Y1332"/>
    <mergeCell ref="N1331:N1332"/>
    <mergeCell ref="O1331:O1332"/>
    <mergeCell ref="P1331:P1332"/>
    <mergeCell ref="Q1331:Q1332"/>
    <mergeCell ref="R1331:R1332"/>
    <mergeCell ref="S1331:S1332"/>
    <mergeCell ref="H1331:H1332"/>
    <mergeCell ref="I1331:I1332"/>
    <mergeCell ref="J1331:J1332"/>
    <mergeCell ref="K1331:K1332"/>
    <mergeCell ref="AF1333:AF1334"/>
    <mergeCell ref="AG1333:AG1334"/>
    <mergeCell ref="AH1333:AH1334"/>
    <mergeCell ref="AI1333:AI1334"/>
    <mergeCell ref="AJ1333:AJ1334"/>
    <mergeCell ref="Y1333:Y1334"/>
    <mergeCell ref="Z1333:Z1334"/>
    <mergeCell ref="AA1333:AA1334"/>
    <mergeCell ref="AB1333:AB1334"/>
    <mergeCell ref="AC1333:AC1334"/>
    <mergeCell ref="AD1333:AD1334"/>
    <mergeCell ref="S1333:S1334"/>
    <mergeCell ref="T1333:T1334"/>
    <mergeCell ref="U1333:U1334"/>
    <mergeCell ref="V1333:V1334"/>
    <mergeCell ref="W1333:W1334"/>
    <mergeCell ref="X1333:X1334"/>
    <mergeCell ref="P1335:P1337"/>
    <mergeCell ref="Q1335:Q1337"/>
    <mergeCell ref="R1335:R1337"/>
    <mergeCell ref="S1335:S1337"/>
    <mergeCell ref="H1335:H1337"/>
    <mergeCell ref="I1335:I1337"/>
    <mergeCell ref="J1335:J1337"/>
    <mergeCell ref="K1335:K1337"/>
    <mergeCell ref="L1335:L1337"/>
    <mergeCell ref="M1335:M1337"/>
    <mergeCell ref="B1335:B1337"/>
    <mergeCell ref="C1335:C1337"/>
    <mergeCell ref="D1335:D1337"/>
    <mergeCell ref="E1335:E1337"/>
    <mergeCell ref="F1335:F1337"/>
    <mergeCell ref="G1335:G1337"/>
    <mergeCell ref="AE1333:AE1334"/>
    <mergeCell ref="M1333:M1334"/>
    <mergeCell ref="N1333:N1334"/>
    <mergeCell ref="O1333:O1334"/>
    <mergeCell ref="P1333:P1334"/>
    <mergeCell ref="Q1333:Q1334"/>
    <mergeCell ref="R1333:R1334"/>
    <mergeCell ref="G1333:G1334"/>
    <mergeCell ref="H1333:H1334"/>
    <mergeCell ref="I1333:I1334"/>
    <mergeCell ref="J1333:J1334"/>
    <mergeCell ref="K1333:K1334"/>
    <mergeCell ref="L1333:L1334"/>
    <mergeCell ref="U1338:U1339"/>
    <mergeCell ref="V1338:V1339"/>
    <mergeCell ref="K1338:K1339"/>
    <mergeCell ref="L1338:L1339"/>
    <mergeCell ref="M1338:M1339"/>
    <mergeCell ref="N1338:N1339"/>
    <mergeCell ref="O1338:O1339"/>
    <mergeCell ref="P1338:P1339"/>
    <mergeCell ref="AJ1335:AJ1337"/>
    <mergeCell ref="B1338:B1339"/>
    <mergeCell ref="C1338:C1339"/>
    <mergeCell ref="D1338:D1339"/>
    <mergeCell ref="E1338:E1339"/>
    <mergeCell ref="F1338:F1339"/>
    <mergeCell ref="G1338:G1339"/>
    <mergeCell ref="H1338:H1339"/>
    <mergeCell ref="I1338:I1339"/>
    <mergeCell ref="J1338:J1339"/>
    <mergeCell ref="Z1335:Z1337"/>
    <mergeCell ref="AC1335:AC1337"/>
    <mergeCell ref="AF1335:AF1337"/>
    <mergeCell ref="AG1335:AG1337"/>
    <mergeCell ref="AH1335:AH1337"/>
    <mergeCell ref="AI1335:AI1337"/>
    <mergeCell ref="T1335:T1337"/>
    <mergeCell ref="U1335:U1337"/>
    <mergeCell ref="V1335:V1337"/>
    <mergeCell ref="W1335:W1337"/>
    <mergeCell ref="X1335:X1337"/>
    <mergeCell ref="Y1335:Y1337"/>
    <mergeCell ref="N1335:N1337"/>
    <mergeCell ref="O1335:O1337"/>
    <mergeCell ref="J1342:J1343"/>
    <mergeCell ref="K1342:K1343"/>
    <mergeCell ref="L1342:L1343"/>
    <mergeCell ref="M1342:M1343"/>
    <mergeCell ref="N1342:N1343"/>
    <mergeCell ref="O1342:O1343"/>
    <mergeCell ref="AI1338:AI1339"/>
    <mergeCell ref="AJ1338:AJ1339"/>
    <mergeCell ref="B1342:B1343"/>
    <mergeCell ref="C1342:C1343"/>
    <mergeCell ref="D1342:D1343"/>
    <mergeCell ref="E1342:E1343"/>
    <mergeCell ref="F1342:F1343"/>
    <mergeCell ref="G1342:G1343"/>
    <mergeCell ref="H1342:H1343"/>
    <mergeCell ref="I1342:I1343"/>
    <mergeCell ref="AC1338:AC1339"/>
    <mergeCell ref="AD1338:AD1339"/>
    <mergeCell ref="AE1338:AE1339"/>
    <mergeCell ref="AF1338:AF1339"/>
    <mergeCell ref="AG1338:AG1339"/>
    <mergeCell ref="AH1338:AH1339"/>
    <mergeCell ref="W1338:W1339"/>
    <mergeCell ref="X1338:X1339"/>
    <mergeCell ref="Y1338:Y1339"/>
    <mergeCell ref="Z1338:Z1339"/>
    <mergeCell ref="AA1338:AA1339"/>
    <mergeCell ref="AB1338:AB1339"/>
    <mergeCell ref="Q1338:Q1339"/>
    <mergeCell ref="R1338:R1339"/>
    <mergeCell ref="S1338:S1339"/>
    <mergeCell ref="T1338:T1339"/>
    <mergeCell ref="K1344:K1345"/>
    <mergeCell ref="L1344:L1345"/>
    <mergeCell ref="M1344:M1345"/>
    <mergeCell ref="N1344:N1345"/>
    <mergeCell ref="AH1342:AH1343"/>
    <mergeCell ref="AI1342:AI1343"/>
    <mergeCell ref="AJ1342:AJ1343"/>
    <mergeCell ref="B1344:B1345"/>
    <mergeCell ref="C1344:C1345"/>
    <mergeCell ref="D1344:D1345"/>
    <mergeCell ref="E1344:E1345"/>
    <mergeCell ref="F1344:F1345"/>
    <mergeCell ref="G1344:G1345"/>
    <mergeCell ref="H1344:H1345"/>
    <mergeCell ref="AB1342:AB1343"/>
    <mergeCell ref="AC1342:AC1343"/>
    <mergeCell ref="AD1342:AD1343"/>
    <mergeCell ref="AE1342:AE1343"/>
    <mergeCell ref="AF1342:AF1343"/>
    <mergeCell ref="AG1342:AG1343"/>
    <mergeCell ref="V1342:V1343"/>
    <mergeCell ref="W1342:W1343"/>
    <mergeCell ref="X1342:X1343"/>
    <mergeCell ref="Y1342:Y1343"/>
    <mergeCell ref="Z1342:Z1343"/>
    <mergeCell ref="AA1342:AA1343"/>
    <mergeCell ref="P1342:P1343"/>
    <mergeCell ref="Q1342:Q1343"/>
    <mergeCell ref="R1342:R1343"/>
    <mergeCell ref="S1342:S1343"/>
    <mergeCell ref="T1342:T1343"/>
    <mergeCell ref="U1342:U1343"/>
    <mergeCell ref="L1346:L1347"/>
    <mergeCell ref="M1346:M1347"/>
    <mergeCell ref="AG1344:AG1345"/>
    <mergeCell ref="AH1344:AH1345"/>
    <mergeCell ref="AI1344:AI1345"/>
    <mergeCell ref="AJ1344:AJ1345"/>
    <mergeCell ref="B1346:B1347"/>
    <mergeCell ref="C1346:C1347"/>
    <mergeCell ref="D1346:D1347"/>
    <mergeCell ref="E1346:E1347"/>
    <mergeCell ref="F1346:F1347"/>
    <mergeCell ref="G1346:G1347"/>
    <mergeCell ref="AA1344:AA1345"/>
    <mergeCell ref="AB1344:AB1345"/>
    <mergeCell ref="AC1344:AC1345"/>
    <mergeCell ref="AD1344:AD1345"/>
    <mergeCell ref="AE1344:AE1345"/>
    <mergeCell ref="AF1344:AF1345"/>
    <mergeCell ref="U1344:U1345"/>
    <mergeCell ref="V1344:V1345"/>
    <mergeCell ref="W1344:W1345"/>
    <mergeCell ref="X1344:X1345"/>
    <mergeCell ref="Y1344:Y1345"/>
    <mergeCell ref="Z1344:Z1345"/>
    <mergeCell ref="O1344:O1345"/>
    <mergeCell ref="P1344:P1345"/>
    <mergeCell ref="Q1344:Q1345"/>
    <mergeCell ref="R1344:R1345"/>
    <mergeCell ref="S1344:S1345"/>
    <mergeCell ref="T1344:T1345"/>
    <mergeCell ref="I1344:I1345"/>
    <mergeCell ref="J1344:J1345"/>
    <mergeCell ref="AF1346:AF1347"/>
    <mergeCell ref="AG1346:AG1347"/>
    <mergeCell ref="AH1346:AH1347"/>
    <mergeCell ref="AI1346:AI1347"/>
    <mergeCell ref="AJ1346:AJ1347"/>
    <mergeCell ref="B1348:B1349"/>
    <mergeCell ref="C1348:C1349"/>
    <mergeCell ref="D1348:D1349"/>
    <mergeCell ref="E1348:E1349"/>
    <mergeCell ref="F1348:F1349"/>
    <mergeCell ref="Z1346:Z1347"/>
    <mergeCell ref="AA1346:AA1347"/>
    <mergeCell ref="AB1346:AB1347"/>
    <mergeCell ref="AC1346:AC1347"/>
    <mergeCell ref="AD1346:AD1347"/>
    <mergeCell ref="AE1346:AE1347"/>
    <mergeCell ref="T1346:T1347"/>
    <mergeCell ref="U1346:U1347"/>
    <mergeCell ref="V1346:V1347"/>
    <mergeCell ref="W1346:W1347"/>
    <mergeCell ref="X1346:X1347"/>
    <mergeCell ref="Y1346:Y1347"/>
    <mergeCell ref="N1346:N1347"/>
    <mergeCell ref="O1346:O1347"/>
    <mergeCell ref="P1346:P1347"/>
    <mergeCell ref="Q1346:Q1347"/>
    <mergeCell ref="R1346:R1347"/>
    <mergeCell ref="S1346:S1347"/>
    <mergeCell ref="H1346:H1347"/>
    <mergeCell ref="I1346:I1347"/>
    <mergeCell ref="J1346:J1347"/>
    <mergeCell ref="K1346:K1347"/>
    <mergeCell ref="AH1348:AH1349"/>
    <mergeCell ref="AI1348:AI1349"/>
    <mergeCell ref="AJ1348:AJ1349"/>
    <mergeCell ref="Y1348:Y1349"/>
    <mergeCell ref="Z1348:Z1349"/>
    <mergeCell ref="AA1348:AA1349"/>
    <mergeCell ref="AB1348:AB1349"/>
    <mergeCell ref="AC1348:AC1349"/>
    <mergeCell ref="AD1348:AD1349"/>
    <mergeCell ref="S1348:S1349"/>
    <mergeCell ref="T1348:T1349"/>
    <mergeCell ref="U1348:U1349"/>
    <mergeCell ref="V1348:V1349"/>
    <mergeCell ref="W1348:W1349"/>
    <mergeCell ref="X1348:X1349"/>
    <mergeCell ref="M1348:M1349"/>
    <mergeCell ref="N1348:N1349"/>
    <mergeCell ref="O1348:O1349"/>
    <mergeCell ref="P1348:P1349"/>
    <mergeCell ref="Q1348:Q1349"/>
    <mergeCell ref="R1348:R1349"/>
    <mergeCell ref="R1350:R1351"/>
    <mergeCell ref="S1350:S1351"/>
    <mergeCell ref="H1350:H1351"/>
    <mergeCell ref="I1350:I1351"/>
    <mergeCell ref="J1350:J1351"/>
    <mergeCell ref="K1350:K1351"/>
    <mergeCell ref="L1350:L1351"/>
    <mergeCell ref="M1350:M1351"/>
    <mergeCell ref="B1350:B1351"/>
    <mergeCell ref="C1350:C1351"/>
    <mergeCell ref="D1350:D1351"/>
    <mergeCell ref="E1350:E1351"/>
    <mergeCell ref="F1350:F1351"/>
    <mergeCell ref="G1350:G1351"/>
    <mergeCell ref="AE1348:AE1349"/>
    <mergeCell ref="AF1348:AF1349"/>
    <mergeCell ref="AG1348:AG1349"/>
    <mergeCell ref="G1348:G1349"/>
    <mergeCell ref="H1348:H1349"/>
    <mergeCell ref="I1348:I1349"/>
    <mergeCell ref="J1348:J1349"/>
    <mergeCell ref="K1348:K1349"/>
    <mergeCell ref="L1348:L1349"/>
    <mergeCell ref="G1352:G1353"/>
    <mergeCell ref="H1352:H1353"/>
    <mergeCell ref="I1352:I1353"/>
    <mergeCell ref="J1352:J1353"/>
    <mergeCell ref="K1352:K1353"/>
    <mergeCell ref="L1352:L1353"/>
    <mergeCell ref="AF1350:AF1351"/>
    <mergeCell ref="AG1350:AG1351"/>
    <mergeCell ref="AH1350:AH1351"/>
    <mergeCell ref="AI1350:AI1351"/>
    <mergeCell ref="AJ1350:AJ1351"/>
    <mergeCell ref="B1352:B1353"/>
    <mergeCell ref="C1352:C1353"/>
    <mergeCell ref="D1352:D1353"/>
    <mergeCell ref="E1352:E1353"/>
    <mergeCell ref="F1352:F1353"/>
    <mergeCell ref="Z1350:Z1351"/>
    <mergeCell ref="AA1350:AA1351"/>
    <mergeCell ref="AB1350:AB1351"/>
    <mergeCell ref="AC1350:AC1351"/>
    <mergeCell ref="AD1350:AD1351"/>
    <mergeCell ref="AE1350:AE1351"/>
    <mergeCell ref="T1350:T1351"/>
    <mergeCell ref="U1350:U1351"/>
    <mergeCell ref="V1350:V1351"/>
    <mergeCell ref="W1350:W1351"/>
    <mergeCell ref="X1350:X1351"/>
    <mergeCell ref="Y1350:Y1351"/>
    <mergeCell ref="N1350:N1351"/>
    <mergeCell ref="O1350:O1351"/>
    <mergeCell ref="P1350:P1351"/>
    <mergeCell ref="Q1350:Q1351"/>
    <mergeCell ref="L1354:L1355"/>
    <mergeCell ref="M1354:M1355"/>
    <mergeCell ref="B1354:B1355"/>
    <mergeCell ref="C1354:C1355"/>
    <mergeCell ref="D1354:D1355"/>
    <mergeCell ref="E1354:E1355"/>
    <mergeCell ref="F1354:F1355"/>
    <mergeCell ref="G1354:G1355"/>
    <mergeCell ref="AE1352:AE1353"/>
    <mergeCell ref="AF1352:AF1353"/>
    <mergeCell ref="AG1352:AG1353"/>
    <mergeCell ref="AH1352:AH1353"/>
    <mergeCell ref="AI1352:AI1353"/>
    <mergeCell ref="AJ1352:AJ1353"/>
    <mergeCell ref="Y1352:Y1353"/>
    <mergeCell ref="Z1352:Z1353"/>
    <mergeCell ref="AA1352:AA1353"/>
    <mergeCell ref="AB1352:AB1353"/>
    <mergeCell ref="AC1352:AC1353"/>
    <mergeCell ref="AD1352:AD1353"/>
    <mergeCell ref="S1352:S1353"/>
    <mergeCell ref="T1352:T1353"/>
    <mergeCell ref="U1352:U1353"/>
    <mergeCell ref="V1352:V1353"/>
    <mergeCell ref="W1352:W1353"/>
    <mergeCell ref="X1352:X1353"/>
    <mergeCell ref="M1352:M1353"/>
    <mergeCell ref="N1352:N1353"/>
    <mergeCell ref="O1352:O1353"/>
    <mergeCell ref="P1352:P1353"/>
    <mergeCell ref="Q1352:Q1353"/>
    <mergeCell ref="R1352:R1353"/>
    <mergeCell ref="AF1354:AF1355"/>
    <mergeCell ref="AG1354:AG1355"/>
    <mergeCell ref="AH1354:AH1355"/>
    <mergeCell ref="AI1354:AI1355"/>
    <mergeCell ref="AJ1354:AJ1355"/>
    <mergeCell ref="B1356:B1357"/>
    <mergeCell ref="C1356:C1357"/>
    <mergeCell ref="D1356:D1357"/>
    <mergeCell ref="E1356:E1357"/>
    <mergeCell ref="F1356:F1357"/>
    <mergeCell ref="Z1354:Z1355"/>
    <mergeCell ref="AA1354:AA1355"/>
    <mergeCell ref="AB1354:AB1355"/>
    <mergeCell ref="AC1354:AC1355"/>
    <mergeCell ref="AD1354:AD1355"/>
    <mergeCell ref="AE1354:AE1355"/>
    <mergeCell ref="T1354:T1355"/>
    <mergeCell ref="U1354:U1355"/>
    <mergeCell ref="V1354:V1355"/>
    <mergeCell ref="W1354:W1355"/>
    <mergeCell ref="X1354:X1355"/>
    <mergeCell ref="Y1354:Y1355"/>
    <mergeCell ref="N1354:N1355"/>
    <mergeCell ref="O1354:O1355"/>
    <mergeCell ref="P1354:P1355"/>
    <mergeCell ref="Q1354:Q1355"/>
    <mergeCell ref="R1354:R1355"/>
    <mergeCell ref="S1354:S1355"/>
    <mergeCell ref="H1354:H1355"/>
    <mergeCell ref="I1354:I1355"/>
    <mergeCell ref="J1354:J1355"/>
    <mergeCell ref="K1354:K1355"/>
    <mergeCell ref="AH1356:AH1357"/>
    <mergeCell ref="AI1356:AI1357"/>
    <mergeCell ref="AJ1356:AJ1357"/>
    <mergeCell ref="Y1356:Y1357"/>
    <mergeCell ref="Z1356:Z1357"/>
    <mergeCell ref="AA1356:AA1357"/>
    <mergeCell ref="AB1356:AB1357"/>
    <mergeCell ref="AC1356:AC1357"/>
    <mergeCell ref="AD1356:AD1357"/>
    <mergeCell ref="S1356:S1357"/>
    <mergeCell ref="T1356:T1357"/>
    <mergeCell ref="U1356:U1357"/>
    <mergeCell ref="V1356:V1357"/>
    <mergeCell ref="W1356:W1357"/>
    <mergeCell ref="X1356:X1357"/>
    <mergeCell ref="M1356:M1357"/>
    <mergeCell ref="N1356:N1357"/>
    <mergeCell ref="O1356:O1357"/>
    <mergeCell ref="P1356:P1357"/>
    <mergeCell ref="Q1356:Q1357"/>
    <mergeCell ref="R1356:R1357"/>
    <mergeCell ref="R1358:R1360"/>
    <mergeCell ref="S1358:S1360"/>
    <mergeCell ref="H1358:H1360"/>
    <mergeCell ref="I1358:I1360"/>
    <mergeCell ref="J1358:J1360"/>
    <mergeCell ref="K1358:K1360"/>
    <mergeCell ref="L1358:L1360"/>
    <mergeCell ref="M1358:M1360"/>
    <mergeCell ref="B1358:B1360"/>
    <mergeCell ref="C1358:C1360"/>
    <mergeCell ref="D1358:D1360"/>
    <mergeCell ref="E1358:E1360"/>
    <mergeCell ref="F1358:F1360"/>
    <mergeCell ref="G1358:G1360"/>
    <mergeCell ref="AE1356:AE1357"/>
    <mergeCell ref="AF1356:AF1357"/>
    <mergeCell ref="AG1356:AG1357"/>
    <mergeCell ref="G1356:G1357"/>
    <mergeCell ref="H1356:H1357"/>
    <mergeCell ref="I1356:I1357"/>
    <mergeCell ref="J1356:J1357"/>
    <mergeCell ref="K1356:K1357"/>
    <mergeCell ref="L1356:L1357"/>
    <mergeCell ref="K1361:K1362"/>
    <mergeCell ref="L1361:L1362"/>
    <mergeCell ref="M1361:M1362"/>
    <mergeCell ref="N1361:N1362"/>
    <mergeCell ref="O1361:O1362"/>
    <mergeCell ref="P1361:P1362"/>
    <mergeCell ref="AJ1358:AJ1360"/>
    <mergeCell ref="B1361:B1362"/>
    <mergeCell ref="C1361:C1362"/>
    <mergeCell ref="D1361:D1362"/>
    <mergeCell ref="E1361:E1362"/>
    <mergeCell ref="F1361:F1362"/>
    <mergeCell ref="G1361:G1362"/>
    <mergeCell ref="H1361:H1362"/>
    <mergeCell ref="I1361:I1362"/>
    <mergeCell ref="J1361:J1362"/>
    <mergeCell ref="Z1358:Z1360"/>
    <mergeCell ref="AC1358:AC1360"/>
    <mergeCell ref="AF1358:AF1360"/>
    <mergeCell ref="AG1358:AG1360"/>
    <mergeCell ref="AH1358:AH1360"/>
    <mergeCell ref="AI1358:AI1360"/>
    <mergeCell ref="T1358:T1360"/>
    <mergeCell ref="U1358:U1360"/>
    <mergeCell ref="V1358:V1360"/>
    <mergeCell ref="W1358:W1360"/>
    <mergeCell ref="X1358:X1360"/>
    <mergeCell ref="Y1358:Y1360"/>
    <mergeCell ref="N1358:N1360"/>
    <mergeCell ref="O1358:O1360"/>
    <mergeCell ref="P1358:P1360"/>
    <mergeCell ref="Q1358:Q1360"/>
    <mergeCell ref="AI1361:AI1362"/>
    <mergeCell ref="AJ1361:AJ1362"/>
    <mergeCell ref="AC1361:AC1362"/>
    <mergeCell ref="AD1361:AD1362"/>
    <mergeCell ref="AE1361:AE1362"/>
    <mergeCell ref="AF1361:AF1362"/>
    <mergeCell ref="AG1361:AG1362"/>
    <mergeCell ref="AH1361:AH1362"/>
    <mergeCell ref="W1361:W1362"/>
    <mergeCell ref="X1361:X1362"/>
    <mergeCell ref="Y1361:Y1362"/>
    <mergeCell ref="Z1361:Z1362"/>
    <mergeCell ref="AA1361:AA1362"/>
    <mergeCell ref="AB1361:AB1362"/>
    <mergeCell ref="Q1361:Q1362"/>
    <mergeCell ref="R1361:R1362"/>
    <mergeCell ref="S1361:S1362"/>
    <mergeCell ref="T1361:T1362"/>
    <mergeCell ref="U1361:U1362"/>
    <mergeCell ref="V1361:V136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 filterMode="1"/>
  <dimension ref="A2:AJ1374"/>
  <sheetViews>
    <sheetView topLeftCell="A1176" workbookViewId="0">
      <selection activeCell="H1366" sqref="H1366"/>
    </sheetView>
  </sheetViews>
  <sheetFormatPr defaultColWidth="15.140625" defaultRowHeight="24" customHeight="1"/>
  <cols>
    <col min="1" max="1" width="5.42578125" style="452" customWidth="1"/>
    <col min="2" max="4" width="15.140625" style="452"/>
    <col min="5" max="5" width="16.140625" style="452" customWidth="1"/>
    <col min="6" max="8" width="15.140625" style="452"/>
    <col min="9" max="11" width="0" style="452" hidden="1" customWidth="1"/>
    <col min="12" max="14" width="15.140625" style="452"/>
    <col min="15" max="34" width="15.140625" style="452" customWidth="1"/>
    <col min="35" max="35" width="17.42578125" style="452" customWidth="1"/>
    <col min="36" max="36" width="17.5703125" style="452" customWidth="1"/>
    <col min="37" max="16384" width="15.140625" style="452"/>
  </cols>
  <sheetData>
    <row r="2" spans="2:36" ht="24" customHeight="1">
      <c r="B2" s="744" t="s">
        <v>501</v>
      </c>
      <c r="C2" s="745"/>
      <c r="D2" s="745"/>
      <c r="E2" s="745"/>
      <c r="F2" s="745"/>
      <c r="G2" s="745"/>
      <c r="H2" s="745"/>
      <c r="I2" s="745"/>
      <c r="J2" s="745"/>
      <c r="K2" s="745"/>
      <c r="L2" s="745"/>
      <c r="M2" s="745"/>
      <c r="N2" s="745"/>
      <c r="O2" s="745"/>
      <c r="P2" s="745"/>
      <c r="Q2" s="745"/>
      <c r="R2" s="745"/>
      <c r="S2" s="745"/>
      <c r="T2" s="745"/>
      <c r="U2" s="745"/>
      <c r="V2" s="745"/>
      <c r="W2" s="745"/>
      <c r="X2" s="745"/>
      <c r="Y2" s="745"/>
      <c r="Z2" s="745"/>
      <c r="AA2" s="745"/>
      <c r="AB2" s="745"/>
      <c r="AC2" s="745"/>
      <c r="AD2" s="745"/>
      <c r="AE2" s="745"/>
      <c r="AF2" s="745"/>
      <c r="AG2" s="745"/>
      <c r="AH2" s="745"/>
      <c r="AI2" s="745"/>
      <c r="AJ2" s="745"/>
    </row>
    <row r="3" spans="2:36" ht="24" customHeight="1">
      <c r="B3" s="744" t="s">
        <v>502</v>
      </c>
      <c r="C3" s="745"/>
      <c r="D3" s="745"/>
      <c r="E3" s="745"/>
      <c r="F3" s="745"/>
      <c r="G3" s="745"/>
      <c r="H3" s="745"/>
      <c r="I3" s="745"/>
      <c r="J3" s="745"/>
      <c r="K3" s="745"/>
      <c r="L3" s="745"/>
      <c r="M3" s="745"/>
      <c r="N3" s="745"/>
      <c r="O3" s="745"/>
      <c r="P3" s="745"/>
      <c r="Q3" s="745"/>
      <c r="R3" s="745"/>
      <c r="S3" s="745"/>
      <c r="T3" s="745"/>
      <c r="U3" s="745"/>
      <c r="V3" s="745"/>
      <c r="W3" s="745"/>
      <c r="X3" s="745"/>
      <c r="Y3" s="745"/>
      <c r="Z3" s="745"/>
      <c r="AA3" s="745"/>
      <c r="AB3" s="745"/>
      <c r="AC3" s="745"/>
      <c r="AD3" s="745"/>
      <c r="AE3" s="745"/>
      <c r="AF3" s="745"/>
      <c r="AG3" s="745"/>
      <c r="AH3" s="745"/>
      <c r="AI3" s="745"/>
      <c r="AJ3" s="745"/>
    </row>
    <row r="4" spans="2:36" ht="24" customHeight="1">
      <c r="B4" s="744" t="s">
        <v>503</v>
      </c>
      <c r="C4" s="745"/>
      <c r="D4" s="745"/>
      <c r="E4" s="745"/>
      <c r="F4" s="745"/>
      <c r="G4" s="745"/>
      <c r="H4" s="745"/>
      <c r="I4" s="745"/>
      <c r="J4" s="745"/>
      <c r="K4" s="745"/>
      <c r="L4" s="745"/>
      <c r="M4" s="745"/>
      <c r="N4" s="745"/>
      <c r="O4" s="745"/>
      <c r="P4" s="745"/>
      <c r="Q4" s="745"/>
      <c r="R4" s="745"/>
      <c r="S4" s="745"/>
      <c r="T4" s="745"/>
      <c r="U4" s="745"/>
      <c r="V4" s="745"/>
      <c r="W4" s="745"/>
      <c r="X4" s="745"/>
      <c r="Y4" s="745"/>
      <c r="Z4" s="745"/>
      <c r="AA4" s="745"/>
      <c r="AB4" s="745"/>
      <c r="AC4" s="745"/>
      <c r="AD4" s="745"/>
      <c r="AE4" s="745"/>
      <c r="AF4" s="745"/>
      <c r="AG4" s="745"/>
      <c r="AH4" s="745"/>
      <c r="AI4" s="745"/>
      <c r="AJ4" s="745"/>
    </row>
    <row r="5" spans="2:36" ht="24" customHeight="1">
      <c r="B5" s="739" t="s">
        <v>202</v>
      </c>
      <c r="C5" s="739" t="s">
        <v>371</v>
      </c>
      <c r="D5" s="739" t="s">
        <v>504</v>
      </c>
      <c r="E5" s="739" t="s">
        <v>505</v>
      </c>
      <c r="F5" s="739" t="s">
        <v>506</v>
      </c>
      <c r="G5" s="747" t="s">
        <v>372</v>
      </c>
      <c r="H5" s="739" t="s">
        <v>20</v>
      </c>
      <c r="I5" s="750" t="s">
        <v>507</v>
      </c>
      <c r="J5" s="751"/>
      <c r="K5" s="752"/>
      <c r="L5" s="750" t="s">
        <v>374</v>
      </c>
      <c r="M5" s="751"/>
      <c r="N5" s="752"/>
      <c r="O5" s="750" t="s">
        <v>508</v>
      </c>
      <c r="P5" s="752"/>
      <c r="Q5" s="739" t="s">
        <v>509</v>
      </c>
      <c r="R5" s="750" t="s">
        <v>510</v>
      </c>
      <c r="S5" s="752"/>
      <c r="T5" s="750" t="s">
        <v>511</v>
      </c>
      <c r="U5" s="751"/>
      <c r="V5" s="752"/>
      <c r="W5" s="750" t="s">
        <v>373</v>
      </c>
      <c r="X5" s="751"/>
      <c r="Y5" s="752"/>
      <c r="Z5" s="739" t="s">
        <v>512</v>
      </c>
      <c r="AA5" s="750" t="s">
        <v>513</v>
      </c>
      <c r="AB5" s="751"/>
      <c r="AC5" s="751"/>
      <c r="AD5" s="751"/>
      <c r="AE5" s="751"/>
      <c r="AF5" s="752"/>
      <c r="AG5" s="453" t="s">
        <v>514</v>
      </c>
      <c r="AH5" s="453" t="s">
        <v>515</v>
      </c>
      <c r="AI5" s="453" t="s">
        <v>516</v>
      </c>
      <c r="AJ5" s="739" t="s">
        <v>67</v>
      </c>
    </row>
    <row r="6" spans="2:36" ht="24" customHeight="1">
      <c r="B6" s="746"/>
      <c r="C6" s="746"/>
      <c r="D6" s="746"/>
      <c r="E6" s="746"/>
      <c r="F6" s="746"/>
      <c r="G6" s="748"/>
      <c r="H6" s="746"/>
      <c r="I6" s="753"/>
      <c r="J6" s="754"/>
      <c r="K6" s="755"/>
      <c r="L6" s="753"/>
      <c r="M6" s="754"/>
      <c r="N6" s="755"/>
      <c r="O6" s="753"/>
      <c r="P6" s="755"/>
      <c r="Q6" s="746"/>
      <c r="R6" s="753" t="s">
        <v>517</v>
      </c>
      <c r="S6" s="755"/>
      <c r="T6" s="753"/>
      <c r="U6" s="754"/>
      <c r="V6" s="755"/>
      <c r="W6" s="753"/>
      <c r="X6" s="754"/>
      <c r="Y6" s="755"/>
      <c r="Z6" s="746"/>
      <c r="AA6" s="753"/>
      <c r="AB6" s="754"/>
      <c r="AC6" s="754"/>
      <c r="AD6" s="754"/>
      <c r="AE6" s="754"/>
      <c r="AF6" s="755"/>
      <c r="AG6" s="454" t="s">
        <v>518</v>
      </c>
      <c r="AH6" s="454" t="s">
        <v>519</v>
      </c>
      <c r="AI6" s="454" t="s">
        <v>520</v>
      </c>
      <c r="AJ6" s="746"/>
    </row>
    <row r="7" spans="2:36" ht="24" customHeight="1">
      <c r="B7" s="746"/>
      <c r="C7" s="746"/>
      <c r="D7" s="746"/>
      <c r="E7" s="746"/>
      <c r="F7" s="746"/>
      <c r="G7" s="748"/>
      <c r="H7" s="746"/>
      <c r="I7" s="739" t="s">
        <v>521</v>
      </c>
      <c r="J7" s="739" t="s">
        <v>1</v>
      </c>
      <c r="K7" s="739" t="s">
        <v>522</v>
      </c>
      <c r="L7" s="739" t="s">
        <v>521</v>
      </c>
      <c r="M7" s="739" t="s">
        <v>523</v>
      </c>
      <c r="N7" s="739" t="s">
        <v>522</v>
      </c>
      <c r="O7" s="739" t="s">
        <v>524</v>
      </c>
      <c r="P7" s="739" t="s">
        <v>525</v>
      </c>
      <c r="Q7" s="746"/>
      <c r="R7" s="739" t="s">
        <v>526</v>
      </c>
      <c r="S7" s="739" t="s">
        <v>527</v>
      </c>
      <c r="T7" s="739" t="s">
        <v>528</v>
      </c>
      <c r="U7" s="739" t="s">
        <v>529</v>
      </c>
      <c r="V7" s="739" t="s">
        <v>530</v>
      </c>
      <c r="W7" s="739" t="s">
        <v>528</v>
      </c>
      <c r="X7" s="739" t="s">
        <v>529</v>
      </c>
      <c r="Y7" s="739" t="s">
        <v>530</v>
      </c>
      <c r="Z7" s="746"/>
      <c r="AA7" s="741" t="s">
        <v>531</v>
      </c>
      <c r="AB7" s="742"/>
      <c r="AC7" s="743"/>
      <c r="AD7" s="741" t="s">
        <v>532</v>
      </c>
      <c r="AE7" s="742"/>
      <c r="AF7" s="743"/>
      <c r="AG7" s="455"/>
      <c r="AH7" s="455"/>
      <c r="AI7" s="455"/>
      <c r="AJ7" s="746"/>
    </row>
    <row r="8" spans="2:36" ht="24" customHeight="1">
      <c r="B8" s="740"/>
      <c r="C8" s="740"/>
      <c r="D8" s="740"/>
      <c r="E8" s="740"/>
      <c r="F8" s="740"/>
      <c r="G8" s="749"/>
      <c r="H8" s="740"/>
      <c r="I8" s="740"/>
      <c r="J8" s="740"/>
      <c r="K8" s="740"/>
      <c r="L8" s="740"/>
      <c r="M8" s="740"/>
      <c r="N8" s="740"/>
      <c r="O8" s="740"/>
      <c r="P8" s="740"/>
      <c r="Q8" s="740"/>
      <c r="R8" s="740"/>
      <c r="S8" s="740"/>
      <c r="T8" s="740"/>
      <c r="U8" s="740"/>
      <c r="V8" s="740"/>
      <c r="W8" s="740"/>
      <c r="X8" s="740"/>
      <c r="Y8" s="740"/>
      <c r="Z8" s="740"/>
      <c r="AA8" s="456" t="s">
        <v>533</v>
      </c>
      <c r="AB8" s="456" t="s">
        <v>526</v>
      </c>
      <c r="AC8" s="456" t="s">
        <v>527</v>
      </c>
      <c r="AD8" s="456" t="s">
        <v>533</v>
      </c>
      <c r="AE8" s="456" t="s">
        <v>526</v>
      </c>
      <c r="AF8" s="456" t="s">
        <v>527</v>
      </c>
      <c r="AG8" s="457"/>
      <c r="AH8" s="457"/>
      <c r="AI8" s="457"/>
      <c r="AJ8" s="740"/>
    </row>
    <row r="9" spans="2:36" ht="24" hidden="1" customHeight="1">
      <c r="B9" s="701">
        <v>1</v>
      </c>
      <c r="C9" s="699" t="s">
        <v>534</v>
      </c>
      <c r="D9" s="699"/>
      <c r="E9" s="699" t="s">
        <v>535</v>
      </c>
      <c r="F9" s="699"/>
      <c r="G9" s="699" t="s">
        <v>266</v>
      </c>
      <c r="H9" s="699" t="s">
        <v>536</v>
      </c>
      <c r="I9" s="709" t="s">
        <v>537</v>
      </c>
      <c r="J9" s="709" t="s">
        <v>537</v>
      </c>
      <c r="K9" s="712">
        <v>52680</v>
      </c>
      <c r="L9" s="709" t="s">
        <v>537</v>
      </c>
      <c r="M9" s="709" t="s">
        <v>537</v>
      </c>
      <c r="N9" s="709">
        <v>0</v>
      </c>
      <c r="O9" s="701" t="s">
        <v>537</v>
      </c>
      <c r="P9" s="701" t="s">
        <v>537</v>
      </c>
      <c r="Q9" s="705">
        <v>52680</v>
      </c>
      <c r="R9" s="707">
        <v>241609</v>
      </c>
      <c r="S9" s="699"/>
      <c r="T9" s="701">
        <v>0</v>
      </c>
      <c r="U9" s="701">
        <v>10</v>
      </c>
      <c r="V9" s="701">
        <v>0</v>
      </c>
      <c r="W9" s="701">
        <v>0</v>
      </c>
      <c r="X9" s="701">
        <v>0</v>
      </c>
      <c r="Y9" s="701">
        <v>0</v>
      </c>
      <c r="Z9" s="699"/>
      <c r="AA9" s="697" t="s">
        <v>538</v>
      </c>
      <c r="AB9" s="701" t="s">
        <v>539</v>
      </c>
      <c r="AC9" s="699"/>
      <c r="AD9" s="697" t="s">
        <v>540</v>
      </c>
      <c r="AE9" s="701">
        <v>85</v>
      </c>
      <c r="AF9" s="699"/>
      <c r="AG9" s="701" t="s">
        <v>541</v>
      </c>
      <c r="AH9" s="736" t="s">
        <v>542</v>
      </c>
      <c r="AI9" s="699"/>
      <c r="AJ9" s="697" t="s">
        <v>543</v>
      </c>
    </row>
    <row r="10" spans="2:36" ht="24" hidden="1" customHeight="1">
      <c r="B10" s="702"/>
      <c r="C10" s="700"/>
      <c r="D10" s="700"/>
      <c r="E10" s="700"/>
      <c r="F10" s="700"/>
      <c r="G10" s="700"/>
      <c r="H10" s="700"/>
      <c r="I10" s="710"/>
      <c r="J10" s="710"/>
      <c r="K10" s="713"/>
      <c r="L10" s="710"/>
      <c r="M10" s="710"/>
      <c r="N10" s="710"/>
      <c r="O10" s="702"/>
      <c r="P10" s="702"/>
      <c r="Q10" s="706"/>
      <c r="R10" s="708"/>
      <c r="S10" s="700"/>
      <c r="T10" s="702"/>
      <c r="U10" s="702"/>
      <c r="V10" s="702"/>
      <c r="W10" s="702"/>
      <c r="X10" s="702"/>
      <c r="Y10" s="702"/>
      <c r="Z10" s="700"/>
      <c r="AA10" s="698"/>
      <c r="AB10" s="702"/>
      <c r="AC10" s="700"/>
      <c r="AD10" s="698"/>
      <c r="AE10" s="702"/>
      <c r="AF10" s="700"/>
      <c r="AG10" s="702"/>
      <c r="AH10" s="737"/>
      <c r="AI10" s="700"/>
      <c r="AJ10" s="698"/>
    </row>
    <row r="11" spans="2:36" ht="24" hidden="1" customHeight="1">
      <c r="B11" s="701">
        <v>2</v>
      </c>
      <c r="C11" s="699" t="s">
        <v>337</v>
      </c>
      <c r="D11" s="699" t="s">
        <v>544</v>
      </c>
      <c r="E11" s="699" t="s">
        <v>545</v>
      </c>
      <c r="F11" s="699"/>
      <c r="G11" s="699" t="s">
        <v>270</v>
      </c>
      <c r="H11" s="699" t="s">
        <v>546</v>
      </c>
      <c r="I11" s="709">
        <v>0</v>
      </c>
      <c r="J11" s="709" t="s">
        <v>537</v>
      </c>
      <c r="K11" s="709" t="s">
        <v>537</v>
      </c>
      <c r="L11" s="709">
        <v>0</v>
      </c>
      <c r="M11" s="709" t="s">
        <v>537</v>
      </c>
      <c r="N11" s="709" t="s">
        <v>537</v>
      </c>
      <c r="O11" s="701" t="s">
        <v>537</v>
      </c>
      <c r="P11" s="701" t="s">
        <v>537</v>
      </c>
      <c r="Q11" s="709">
        <v>0</v>
      </c>
      <c r="R11" s="707">
        <v>241579</v>
      </c>
      <c r="S11" s="699"/>
      <c r="T11" s="701">
        <v>0</v>
      </c>
      <c r="U11" s="701">
        <v>7</v>
      </c>
      <c r="V11" s="701">
        <v>30</v>
      </c>
      <c r="W11" s="699"/>
      <c r="X11" s="699"/>
      <c r="Y11" s="699"/>
      <c r="Z11" s="699"/>
      <c r="AA11" s="697" t="s">
        <v>547</v>
      </c>
      <c r="AB11" s="701" t="s">
        <v>539</v>
      </c>
      <c r="AC11" s="699"/>
      <c r="AD11" s="458" t="s">
        <v>548</v>
      </c>
      <c r="AE11" s="459">
        <v>80</v>
      </c>
      <c r="AF11" s="699"/>
      <c r="AG11" s="701" t="s">
        <v>541</v>
      </c>
      <c r="AH11" s="736"/>
      <c r="AI11" s="697" t="s">
        <v>549</v>
      </c>
      <c r="AJ11" s="699"/>
    </row>
    <row r="12" spans="2:36" ht="24" hidden="1" customHeight="1">
      <c r="B12" s="715"/>
      <c r="C12" s="714"/>
      <c r="D12" s="714"/>
      <c r="E12" s="714"/>
      <c r="F12" s="714"/>
      <c r="G12" s="714"/>
      <c r="H12" s="714"/>
      <c r="I12" s="717"/>
      <c r="J12" s="717"/>
      <c r="K12" s="717"/>
      <c r="L12" s="717"/>
      <c r="M12" s="717"/>
      <c r="N12" s="717"/>
      <c r="O12" s="715"/>
      <c r="P12" s="715"/>
      <c r="Q12" s="717"/>
      <c r="R12" s="719"/>
      <c r="S12" s="714"/>
      <c r="T12" s="715"/>
      <c r="U12" s="715"/>
      <c r="V12" s="715"/>
      <c r="W12" s="714"/>
      <c r="X12" s="714"/>
      <c r="Y12" s="714"/>
      <c r="Z12" s="714"/>
      <c r="AA12" s="711"/>
      <c r="AB12" s="715"/>
      <c r="AC12" s="714"/>
      <c r="AD12" s="460" t="s">
        <v>550</v>
      </c>
      <c r="AE12" s="461" t="s">
        <v>539</v>
      </c>
      <c r="AF12" s="714"/>
      <c r="AG12" s="715"/>
      <c r="AH12" s="738"/>
      <c r="AI12" s="711"/>
      <c r="AJ12" s="714"/>
    </row>
    <row r="13" spans="2:36" ht="24" hidden="1" customHeight="1">
      <c r="B13" s="702"/>
      <c r="C13" s="700"/>
      <c r="D13" s="700"/>
      <c r="E13" s="700"/>
      <c r="F13" s="700"/>
      <c r="G13" s="700"/>
      <c r="H13" s="700"/>
      <c r="I13" s="710"/>
      <c r="J13" s="710"/>
      <c r="K13" s="710"/>
      <c r="L13" s="710"/>
      <c r="M13" s="710"/>
      <c r="N13" s="710"/>
      <c r="O13" s="702"/>
      <c r="P13" s="702"/>
      <c r="Q13" s="710"/>
      <c r="R13" s="708"/>
      <c r="S13" s="700"/>
      <c r="T13" s="702"/>
      <c r="U13" s="702"/>
      <c r="V13" s="702"/>
      <c r="W13" s="700"/>
      <c r="X13" s="700"/>
      <c r="Y13" s="700"/>
      <c r="Z13" s="700"/>
      <c r="AA13" s="698"/>
      <c r="AB13" s="702"/>
      <c r="AC13" s="700"/>
      <c r="AD13" s="462"/>
      <c r="AE13" s="462"/>
      <c r="AF13" s="700"/>
      <c r="AG13" s="702"/>
      <c r="AH13" s="737"/>
      <c r="AI13" s="698"/>
      <c r="AJ13" s="700"/>
    </row>
    <row r="14" spans="2:36" ht="24" hidden="1" customHeight="1">
      <c r="B14" s="463">
        <v>3</v>
      </c>
      <c r="C14" s="464" t="s">
        <v>534</v>
      </c>
      <c r="D14" s="464"/>
      <c r="E14" s="464" t="s">
        <v>535</v>
      </c>
      <c r="F14" s="464"/>
      <c r="G14" s="464" t="s">
        <v>186</v>
      </c>
      <c r="H14" s="464" t="s">
        <v>551</v>
      </c>
      <c r="I14" s="465" t="s">
        <v>537</v>
      </c>
      <c r="J14" s="466">
        <v>3000000</v>
      </c>
      <c r="K14" s="465" t="s">
        <v>537</v>
      </c>
      <c r="L14" s="465" t="s">
        <v>537</v>
      </c>
      <c r="M14" s="465">
        <v>0</v>
      </c>
      <c r="N14" s="465" t="s">
        <v>537</v>
      </c>
      <c r="O14" s="467">
        <v>1945000</v>
      </c>
      <c r="P14" s="463" t="s">
        <v>537</v>
      </c>
      <c r="Q14" s="468">
        <v>1055000</v>
      </c>
      <c r="R14" s="463" t="s">
        <v>552</v>
      </c>
      <c r="S14" s="464"/>
      <c r="T14" s="463">
        <v>0</v>
      </c>
      <c r="U14" s="463">
        <v>0</v>
      </c>
      <c r="V14" s="463">
        <v>0</v>
      </c>
      <c r="W14" s="464"/>
      <c r="X14" s="464"/>
      <c r="Y14" s="464"/>
      <c r="Z14" s="464"/>
      <c r="AA14" s="464"/>
      <c r="AB14" s="464"/>
      <c r="AC14" s="464"/>
      <c r="AD14" s="464"/>
      <c r="AE14" s="464"/>
      <c r="AF14" s="464"/>
      <c r="AG14" s="463" t="s">
        <v>541</v>
      </c>
      <c r="AH14" s="469"/>
      <c r="AI14" s="464"/>
      <c r="AJ14" s="464"/>
    </row>
    <row r="15" spans="2:36" ht="24" hidden="1" customHeight="1">
      <c r="B15" s="463">
        <v>4</v>
      </c>
      <c r="C15" s="464" t="s">
        <v>165</v>
      </c>
      <c r="D15" s="464"/>
      <c r="E15" s="464" t="s">
        <v>535</v>
      </c>
      <c r="F15" s="464"/>
      <c r="G15" s="464" t="s">
        <v>186</v>
      </c>
      <c r="H15" s="464" t="s">
        <v>535</v>
      </c>
      <c r="I15" s="466">
        <v>484700</v>
      </c>
      <c r="J15" s="465" t="s">
        <v>537</v>
      </c>
      <c r="K15" s="465" t="s">
        <v>537</v>
      </c>
      <c r="L15" s="465">
        <v>0</v>
      </c>
      <c r="M15" s="465" t="s">
        <v>537</v>
      </c>
      <c r="N15" s="465" t="s">
        <v>537</v>
      </c>
      <c r="O15" s="463" t="s">
        <v>537</v>
      </c>
      <c r="P15" s="463" t="s">
        <v>537</v>
      </c>
      <c r="Q15" s="468">
        <v>484700</v>
      </c>
      <c r="R15" s="463" t="s">
        <v>552</v>
      </c>
      <c r="S15" s="464"/>
      <c r="T15" s="463">
        <v>0</v>
      </c>
      <c r="U15" s="463">
        <v>0</v>
      </c>
      <c r="V15" s="463">
        <v>0</v>
      </c>
      <c r="W15" s="464"/>
      <c r="X15" s="464"/>
      <c r="Y15" s="464"/>
      <c r="Z15" s="464"/>
      <c r="AA15" s="464"/>
      <c r="AB15" s="464"/>
      <c r="AC15" s="464"/>
      <c r="AD15" s="464"/>
      <c r="AE15" s="464"/>
      <c r="AF15" s="464"/>
      <c r="AG15" s="463" t="s">
        <v>541</v>
      </c>
      <c r="AH15" s="469"/>
      <c r="AI15" s="464"/>
      <c r="AJ15" s="464"/>
    </row>
    <row r="16" spans="2:36" ht="24" hidden="1" customHeight="1">
      <c r="B16" s="701">
        <v>5</v>
      </c>
      <c r="C16" s="699" t="s">
        <v>337</v>
      </c>
      <c r="D16" s="699"/>
      <c r="E16" s="699" t="s">
        <v>545</v>
      </c>
      <c r="F16" s="699"/>
      <c r="G16" s="699" t="s">
        <v>186</v>
      </c>
      <c r="H16" s="699" t="s">
        <v>553</v>
      </c>
      <c r="I16" s="712">
        <v>50000</v>
      </c>
      <c r="J16" s="709" t="s">
        <v>537</v>
      </c>
      <c r="K16" s="709" t="s">
        <v>537</v>
      </c>
      <c r="L16" s="709">
        <v>0</v>
      </c>
      <c r="M16" s="709" t="s">
        <v>537</v>
      </c>
      <c r="N16" s="709" t="s">
        <v>537</v>
      </c>
      <c r="O16" s="701" t="s">
        <v>537</v>
      </c>
      <c r="P16" s="701" t="s">
        <v>537</v>
      </c>
      <c r="Q16" s="705">
        <v>50000</v>
      </c>
      <c r="R16" s="707">
        <v>241609</v>
      </c>
      <c r="S16" s="699"/>
      <c r="T16" s="701">
        <v>0</v>
      </c>
      <c r="U16" s="701">
        <v>60</v>
      </c>
      <c r="V16" s="701">
        <v>0</v>
      </c>
      <c r="W16" s="699"/>
      <c r="X16" s="699"/>
      <c r="Y16" s="699"/>
      <c r="Z16" s="699"/>
      <c r="AA16" s="458" t="s">
        <v>554</v>
      </c>
      <c r="AB16" s="459" t="s">
        <v>539</v>
      </c>
      <c r="AC16" s="699"/>
      <c r="AD16" s="697" t="s">
        <v>555</v>
      </c>
      <c r="AE16" s="701" t="s">
        <v>539</v>
      </c>
      <c r="AF16" s="699"/>
      <c r="AG16" s="701" t="s">
        <v>541</v>
      </c>
      <c r="AH16" s="736"/>
      <c r="AI16" s="699"/>
      <c r="AJ16" s="699"/>
    </row>
    <row r="17" spans="2:36" ht="24" hidden="1" customHeight="1">
      <c r="B17" s="715"/>
      <c r="C17" s="714"/>
      <c r="D17" s="714"/>
      <c r="E17" s="714"/>
      <c r="F17" s="714"/>
      <c r="G17" s="714"/>
      <c r="H17" s="714"/>
      <c r="I17" s="720"/>
      <c r="J17" s="717"/>
      <c r="K17" s="717"/>
      <c r="L17" s="717"/>
      <c r="M17" s="717"/>
      <c r="N17" s="717"/>
      <c r="O17" s="715"/>
      <c r="P17" s="715"/>
      <c r="Q17" s="718"/>
      <c r="R17" s="719"/>
      <c r="S17" s="714"/>
      <c r="T17" s="715"/>
      <c r="U17" s="715"/>
      <c r="V17" s="715"/>
      <c r="W17" s="714"/>
      <c r="X17" s="714"/>
      <c r="Y17" s="714"/>
      <c r="Z17" s="714"/>
      <c r="AA17" s="460" t="s">
        <v>556</v>
      </c>
      <c r="AB17" s="461" t="s">
        <v>539</v>
      </c>
      <c r="AC17" s="714"/>
      <c r="AD17" s="711"/>
      <c r="AE17" s="715"/>
      <c r="AF17" s="714"/>
      <c r="AG17" s="715"/>
      <c r="AH17" s="738"/>
      <c r="AI17" s="714"/>
      <c r="AJ17" s="714"/>
    </row>
    <row r="18" spans="2:36" ht="24" hidden="1" customHeight="1">
      <c r="B18" s="702"/>
      <c r="C18" s="700"/>
      <c r="D18" s="700"/>
      <c r="E18" s="700"/>
      <c r="F18" s="700"/>
      <c r="G18" s="700"/>
      <c r="H18" s="700"/>
      <c r="I18" s="713"/>
      <c r="J18" s="710"/>
      <c r="K18" s="710"/>
      <c r="L18" s="710"/>
      <c r="M18" s="710"/>
      <c r="N18" s="710"/>
      <c r="O18" s="702"/>
      <c r="P18" s="702"/>
      <c r="Q18" s="706"/>
      <c r="R18" s="708"/>
      <c r="S18" s="700"/>
      <c r="T18" s="702"/>
      <c r="U18" s="702"/>
      <c r="V18" s="702"/>
      <c r="W18" s="700"/>
      <c r="X18" s="700"/>
      <c r="Y18" s="700"/>
      <c r="Z18" s="700"/>
      <c r="AA18" s="462"/>
      <c r="AB18" s="462"/>
      <c r="AC18" s="700"/>
      <c r="AD18" s="698"/>
      <c r="AE18" s="702"/>
      <c r="AF18" s="700"/>
      <c r="AG18" s="702"/>
      <c r="AH18" s="737"/>
      <c r="AI18" s="700"/>
      <c r="AJ18" s="700"/>
    </row>
    <row r="19" spans="2:36" ht="24" hidden="1" customHeight="1">
      <c r="B19" s="463">
        <v>6</v>
      </c>
      <c r="C19" s="464" t="s">
        <v>337</v>
      </c>
      <c r="D19" s="464"/>
      <c r="E19" s="464" t="s">
        <v>545</v>
      </c>
      <c r="F19" s="464"/>
      <c r="G19" s="464" t="s">
        <v>186</v>
      </c>
      <c r="H19" s="464" t="s">
        <v>557</v>
      </c>
      <c r="I19" s="466">
        <v>1455000</v>
      </c>
      <c r="J19" s="465" t="s">
        <v>537</v>
      </c>
      <c r="K19" s="465" t="s">
        <v>537</v>
      </c>
      <c r="L19" s="465">
        <v>0</v>
      </c>
      <c r="M19" s="465" t="s">
        <v>537</v>
      </c>
      <c r="N19" s="465" t="s">
        <v>537</v>
      </c>
      <c r="O19" s="463" t="s">
        <v>537</v>
      </c>
      <c r="P19" s="463" t="s">
        <v>537</v>
      </c>
      <c r="Q19" s="468">
        <v>1455000</v>
      </c>
      <c r="R19" s="463" t="s">
        <v>552</v>
      </c>
      <c r="S19" s="464"/>
      <c r="T19" s="463">
        <v>0</v>
      </c>
      <c r="U19" s="463">
        <v>0</v>
      </c>
      <c r="V19" s="463">
        <v>0</v>
      </c>
      <c r="W19" s="464"/>
      <c r="X19" s="464"/>
      <c r="Y19" s="464"/>
      <c r="Z19" s="464"/>
      <c r="AA19" s="464"/>
      <c r="AB19" s="464"/>
      <c r="AC19" s="464"/>
      <c r="AD19" s="464"/>
      <c r="AE19" s="464"/>
      <c r="AF19" s="464"/>
      <c r="AG19" s="463" t="s">
        <v>541</v>
      </c>
      <c r="AH19" s="469"/>
      <c r="AI19" s="464"/>
      <c r="AJ19" s="464"/>
    </row>
    <row r="20" spans="2:36" ht="24" hidden="1" customHeight="1">
      <c r="B20" s="463">
        <v>7</v>
      </c>
      <c r="C20" s="464" t="s">
        <v>10</v>
      </c>
      <c r="D20" s="464"/>
      <c r="E20" s="464" t="s">
        <v>558</v>
      </c>
      <c r="F20" s="464"/>
      <c r="G20" s="464" t="s">
        <v>272</v>
      </c>
      <c r="H20" s="464" t="s">
        <v>559</v>
      </c>
      <c r="I20" s="465" t="s">
        <v>537</v>
      </c>
      <c r="J20" s="465" t="s">
        <v>537</v>
      </c>
      <c r="K20" s="466">
        <v>58800</v>
      </c>
      <c r="L20" s="465" t="s">
        <v>537</v>
      </c>
      <c r="M20" s="465" t="s">
        <v>537</v>
      </c>
      <c r="N20" s="465">
        <v>0</v>
      </c>
      <c r="O20" s="463" t="s">
        <v>537</v>
      </c>
      <c r="P20" s="463" t="s">
        <v>537</v>
      </c>
      <c r="Q20" s="468">
        <v>58800</v>
      </c>
      <c r="R20" s="470">
        <v>241640</v>
      </c>
      <c r="S20" s="471">
        <v>22499</v>
      </c>
      <c r="T20" s="463">
        <v>0</v>
      </c>
      <c r="U20" s="463">
        <v>30</v>
      </c>
      <c r="V20" s="463">
        <v>0</v>
      </c>
      <c r="W20" s="464"/>
      <c r="X20" s="463">
        <v>30</v>
      </c>
      <c r="Y20" s="464"/>
      <c r="Z20" s="463">
        <v>92</v>
      </c>
      <c r="AA20" s="472" t="s">
        <v>560</v>
      </c>
      <c r="AB20" s="463" t="s">
        <v>539</v>
      </c>
      <c r="AC20" s="463" t="s">
        <v>539</v>
      </c>
      <c r="AD20" s="472" t="s">
        <v>561</v>
      </c>
      <c r="AE20" s="463">
        <v>85</v>
      </c>
      <c r="AF20" s="463">
        <v>92</v>
      </c>
      <c r="AG20" s="463" t="s">
        <v>541</v>
      </c>
      <c r="AH20" s="469"/>
      <c r="AI20" s="472">
        <v>848402742</v>
      </c>
      <c r="AJ20" s="472" t="s">
        <v>562</v>
      </c>
    </row>
    <row r="21" spans="2:36" ht="24" hidden="1" customHeight="1">
      <c r="B21" s="701">
        <v>8</v>
      </c>
      <c r="C21" s="699" t="s">
        <v>534</v>
      </c>
      <c r="D21" s="699"/>
      <c r="E21" s="699" t="s">
        <v>535</v>
      </c>
      <c r="F21" s="699"/>
      <c r="G21" s="699" t="s">
        <v>189</v>
      </c>
      <c r="H21" s="699" t="s">
        <v>563</v>
      </c>
      <c r="I21" s="709" t="s">
        <v>537</v>
      </c>
      <c r="J21" s="712">
        <v>100000</v>
      </c>
      <c r="K21" s="709" t="s">
        <v>537</v>
      </c>
      <c r="L21" s="709" t="s">
        <v>537</v>
      </c>
      <c r="M21" s="709">
        <v>0</v>
      </c>
      <c r="N21" s="709" t="s">
        <v>537</v>
      </c>
      <c r="O21" s="701" t="s">
        <v>537</v>
      </c>
      <c r="P21" s="701" t="s">
        <v>537</v>
      </c>
      <c r="Q21" s="705">
        <v>100000</v>
      </c>
      <c r="R21" s="707">
        <v>241671</v>
      </c>
      <c r="S21" s="699"/>
      <c r="T21" s="701">
        <v>0</v>
      </c>
      <c r="U21" s="701">
        <v>4</v>
      </c>
      <c r="V21" s="701">
        <v>0</v>
      </c>
      <c r="W21" s="699"/>
      <c r="X21" s="699"/>
      <c r="Y21" s="699"/>
      <c r="Z21" s="699"/>
      <c r="AA21" s="697" t="s">
        <v>564</v>
      </c>
      <c r="AB21" s="701">
        <v>1</v>
      </c>
      <c r="AC21" s="699"/>
      <c r="AD21" s="458" t="s">
        <v>565</v>
      </c>
      <c r="AE21" s="459">
        <v>80</v>
      </c>
      <c r="AF21" s="699"/>
      <c r="AG21" s="701" t="s">
        <v>541</v>
      </c>
      <c r="AH21" s="736"/>
      <c r="AI21" s="697" t="s">
        <v>566</v>
      </c>
      <c r="AJ21" s="699"/>
    </row>
    <row r="22" spans="2:36" ht="24" hidden="1" customHeight="1">
      <c r="B22" s="715"/>
      <c r="C22" s="714"/>
      <c r="D22" s="714"/>
      <c r="E22" s="714"/>
      <c r="F22" s="714"/>
      <c r="G22" s="714"/>
      <c r="H22" s="714"/>
      <c r="I22" s="717"/>
      <c r="J22" s="720"/>
      <c r="K22" s="717"/>
      <c r="L22" s="717"/>
      <c r="M22" s="717"/>
      <c r="N22" s="717"/>
      <c r="O22" s="715"/>
      <c r="P22" s="715"/>
      <c r="Q22" s="718"/>
      <c r="R22" s="719"/>
      <c r="S22" s="714"/>
      <c r="T22" s="715"/>
      <c r="U22" s="715"/>
      <c r="V22" s="715"/>
      <c r="W22" s="714"/>
      <c r="X22" s="714"/>
      <c r="Y22" s="714"/>
      <c r="Z22" s="714"/>
      <c r="AA22" s="711"/>
      <c r="AB22" s="715"/>
      <c r="AC22" s="714"/>
      <c r="AD22" s="460" t="s">
        <v>567</v>
      </c>
      <c r="AE22" s="461">
        <v>1</v>
      </c>
      <c r="AF22" s="714"/>
      <c r="AG22" s="715"/>
      <c r="AH22" s="738"/>
      <c r="AI22" s="711"/>
      <c r="AJ22" s="714"/>
    </row>
    <row r="23" spans="2:36" ht="24" hidden="1" customHeight="1">
      <c r="B23" s="702"/>
      <c r="C23" s="700"/>
      <c r="D23" s="700"/>
      <c r="E23" s="700"/>
      <c r="F23" s="700"/>
      <c r="G23" s="700"/>
      <c r="H23" s="700"/>
      <c r="I23" s="710"/>
      <c r="J23" s="713"/>
      <c r="K23" s="710"/>
      <c r="L23" s="710"/>
      <c r="M23" s="710"/>
      <c r="N23" s="710"/>
      <c r="O23" s="702"/>
      <c r="P23" s="702"/>
      <c r="Q23" s="706"/>
      <c r="R23" s="708"/>
      <c r="S23" s="700"/>
      <c r="T23" s="702"/>
      <c r="U23" s="702"/>
      <c r="V23" s="702"/>
      <c r="W23" s="700"/>
      <c r="X23" s="700"/>
      <c r="Y23" s="700"/>
      <c r="Z23" s="700"/>
      <c r="AA23" s="698"/>
      <c r="AB23" s="702"/>
      <c r="AC23" s="700"/>
      <c r="AD23" s="462"/>
      <c r="AE23" s="462"/>
      <c r="AF23" s="700"/>
      <c r="AG23" s="702"/>
      <c r="AH23" s="737"/>
      <c r="AI23" s="698"/>
      <c r="AJ23" s="700"/>
    </row>
    <row r="24" spans="2:36" ht="24" hidden="1" customHeight="1">
      <c r="B24" s="701">
        <v>9</v>
      </c>
      <c r="C24" s="699" t="s">
        <v>534</v>
      </c>
      <c r="D24" s="699"/>
      <c r="E24" s="699" t="s">
        <v>535</v>
      </c>
      <c r="F24" s="699"/>
      <c r="G24" s="699" t="s">
        <v>60</v>
      </c>
      <c r="H24" s="699" t="s">
        <v>568</v>
      </c>
      <c r="I24" s="709" t="s">
        <v>537</v>
      </c>
      <c r="J24" s="709" t="s">
        <v>537</v>
      </c>
      <c r="K24" s="709">
        <v>0</v>
      </c>
      <c r="L24" s="709" t="s">
        <v>537</v>
      </c>
      <c r="M24" s="709" t="s">
        <v>537</v>
      </c>
      <c r="N24" s="709">
        <v>0</v>
      </c>
      <c r="O24" s="701" t="s">
        <v>537</v>
      </c>
      <c r="P24" s="701" t="s">
        <v>537</v>
      </c>
      <c r="Q24" s="709">
        <v>0</v>
      </c>
      <c r="R24" s="707">
        <v>241579</v>
      </c>
      <c r="S24" s="699"/>
      <c r="T24" s="701">
        <v>0</v>
      </c>
      <c r="U24" s="701">
        <v>0</v>
      </c>
      <c r="V24" s="701">
        <v>0</v>
      </c>
      <c r="W24" s="699"/>
      <c r="X24" s="699"/>
      <c r="Y24" s="699"/>
      <c r="Z24" s="699"/>
      <c r="AA24" s="697" t="s">
        <v>547</v>
      </c>
      <c r="AB24" s="701" t="s">
        <v>539</v>
      </c>
      <c r="AC24" s="699"/>
      <c r="AD24" s="697" t="s">
        <v>548</v>
      </c>
      <c r="AE24" s="701">
        <v>80</v>
      </c>
      <c r="AF24" s="699"/>
      <c r="AG24" s="701" t="s">
        <v>541</v>
      </c>
      <c r="AH24" s="736"/>
      <c r="AI24" s="697" t="s">
        <v>566</v>
      </c>
      <c r="AJ24" s="697" t="s">
        <v>543</v>
      </c>
    </row>
    <row r="25" spans="2:36" ht="24" hidden="1" customHeight="1">
      <c r="B25" s="702"/>
      <c r="C25" s="700"/>
      <c r="D25" s="700"/>
      <c r="E25" s="700"/>
      <c r="F25" s="700"/>
      <c r="G25" s="700"/>
      <c r="H25" s="700"/>
      <c r="I25" s="710"/>
      <c r="J25" s="710"/>
      <c r="K25" s="710"/>
      <c r="L25" s="710"/>
      <c r="M25" s="710"/>
      <c r="N25" s="710"/>
      <c r="O25" s="702"/>
      <c r="P25" s="702"/>
      <c r="Q25" s="710"/>
      <c r="R25" s="708"/>
      <c r="S25" s="700"/>
      <c r="T25" s="702"/>
      <c r="U25" s="702"/>
      <c r="V25" s="702"/>
      <c r="W25" s="700"/>
      <c r="X25" s="700"/>
      <c r="Y25" s="700"/>
      <c r="Z25" s="700"/>
      <c r="AA25" s="698"/>
      <c r="AB25" s="702"/>
      <c r="AC25" s="700"/>
      <c r="AD25" s="698"/>
      <c r="AE25" s="702"/>
      <c r="AF25" s="700"/>
      <c r="AG25" s="702"/>
      <c r="AH25" s="737"/>
      <c r="AI25" s="698"/>
      <c r="AJ25" s="698"/>
    </row>
    <row r="26" spans="2:36" ht="24" hidden="1" customHeight="1">
      <c r="B26" s="463">
        <v>10</v>
      </c>
      <c r="C26" s="464" t="s">
        <v>534</v>
      </c>
      <c r="D26" s="464"/>
      <c r="E26" s="464" t="s">
        <v>535</v>
      </c>
      <c r="F26" s="464"/>
      <c r="G26" s="464" t="s">
        <v>55</v>
      </c>
      <c r="H26" s="464" t="s">
        <v>569</v>
      </c>
      <c r="I26" s="465" t="s">
        <v>537</v>
      </c>
      <c r="J26" s="465" t="s">
        <v>537</v>
      </c>
      <c r="K26" s="465">
        <v>0</v>
      </c>
      <c r="L26" s="465" t="s">
        <v>537</v>
      </c>
      <c r="M26" s="465" t="s">
        <v>537</v>
      </c>
      <c r="N26" s="465">
        <v>0</v>
      </c>
      <c r="O26" s="463" t="s">
        <v>537</v>
      </c>
      <c r="P26" s="463" t="s">
        <v>537</v>
      </c>
      <c r="Q26" s="465">
        <v>0</v>
      </c>
      <c r="R26" s="470">
        <v>241671</v>
      </c>
      <c r="S26" s="471">
        <v>22545</v>
      </c>
      <c r="T26" s="463">
        <v>20</v>
      </c>
      <c r="U26" s="463">
        <v>0</v>
      </c>
      <c r="V26" s="463">
        <v>50</v>
      </c>
      <c r="W26" s="463">
        <v>20</v>
      </c>
      <c r="X26" s="463">
        <v>0</v>
      </c>
      <c r="Y26" s="463">
        <v>50</v>
      </c>
      <c r="Z26" s="463">
        <v>90</v>
      </c>
      <c r="AA26" s="472" t="s">
        <v>570</v>
      </c>
      <c r="AB26" s="463">
        <v>80</v>
      </c>
      <c r="AC26" s="463">
        <v>80</v>
      </c>
      <c r="AD26" s="472" t="s">
        <v>571</v>
      </c>
      <c r="AE26" s="463">
        <v>80</v>
      </c>
      <c r="AF26" s="463">
        <v>80</v>
      </c>
      <c r="AG26" s="463" t="s">
        <v>541</v>
      </c>
      <c r="AH26" s="469"/>
      <c r="AI26" s="472">
        <v>957938784</v>
      </c>
      <c r="AJ26" s="472" t="s">
        <v>543</v>
      </c>
    </row>
    <row r="27" spans="2:36" ht="24" hidden="1" customHeight="1">
      <c r="B27" s="701">
        <v>11</v>
      </c>
      <c r="C27" s="699" t="s">
        <v>337</v>
      </c>
      <c r="D27" s="699"/>
      <c r="E27" s="699" t="s">
        <v>545</v>
      </c>
      <c r="F27" s="699"/>
      <c r="G27" s="699" t="s">
        <v>57</v>
      </c>
      <c r="H27" s="699" t="s">
        <v>572</v>
      </c>
      <c r="I27" s="709">
        <v>0</v>
      </c>
      <c r="J27" s="709" t="s">
        <v>537</v>
      </c>
      <c r="K27" s="709" t="s">
        <v>537</v>
      </c>
      <c r="L27" s="709">
        <v>0</v>
      </c>
      <c r="M27" s="709" t="s">
        <v>537</v>
      </c>
      <c r="N27" s="709" t="s">
        <v>537</v>
      </c>
      <c r="O27" s="701" t="s">
        <v>537</v>
      </c>
      <c r="P27" s="701" t="s">
        <v>537</v>
      </c>
      <c r="Q27" s="709">
        <v>0</v>
      </c>
      <c r="R27" s="707">
        <v>241609</v>
      </c>
      <c r="S27" s="721">
        <v>22535</v>
      </c>
      <c r="T27" s="701">
        <v>2</v>
      </c>
      <c r="U27" s="701">
        <v>3</v>
      </c>
      <c r="V27" s="701">
        <v>20</v>
      </c>
      <c r="W27" s="701" t="s">
        <v>537</v>
      </c>
      <c r="X27" s="701">
        <v>5</v>
      </c>
      <c r="Y27" s="701">
        <v>20</v>
      </c>
      <c r="Z27" s="701">
        <v>93.4</v>
      </c>
      <c r="AA27" s="458" t="s">
        <v>573</v>
      </c>
      <c r="AB27" s="459" t="s">
        <v>539</v>
      </c>
      <c r="AC27" s="459" t="s">
        <v>539</v>
      </c>
      <c r="AD27" s="458" t="s">
        <v>548</v>
      </c>
      <c r="AE27" s="459">
        <v>80</v>
      </c>
      <c r="AF27" s="459">
        <v>90</v>
      </c>
      <c r="AG27" s="701" t="s">
        <v>541</v>
      </c>
      <c r="AH27" s="736"/>
      <c r="AI27" s="697" t="s">
        <v>574</v>
      </c>
      <c r="AJ27" s="699"/>
    </row>
    <row r="28" spans="2:36" ht="24" hidden="1" customHeight="1">
      <c r="B28" s="702"/>
      <c r="C28" s="700"/>
      <c r="D28" s="700"/>
      <c r="E28" s="700"/>
      <c r="F28" s="700"/>
      <c r="G28" s="700"/>
      <c r="H28" s="700"/>
      <c r="I28" s="710"/>
      <c r="J28" s="710"/>
      <c r="K28" s="710"/>
      <c r="L28" s="710"/>
      <c r="M28" s="710"/>
      <c r="N28" s="710"/>
      <c r="O28" s="702"/>
      <c r="P28" s="702"/>
      <c r="Q28" s="710"/>
      <c r="R28" s="708"/>
      <c r="S28" s="722"/>
      <c r="T28" s="702"/>
      <c r="U28" s="702"/>
      <c r="V28" s="702"/>
      <c r="W28" s="702"/>
      <c r="X28" s="702"/>
      <c r="Y28" s="702"/>
      <c r="Z28" s="702"/>
      <c r="AA28" s="473" t="s">
        <v>575</v>
      </c>
      <c r="AB28" s="474" t="s">
        <v>539</v>
      </c>
      <c r="AC28" s="474" t="s">
        <v>539</v>
      </c>
      <c r="AD28" s="473" t="s">
        <v>576</v>
      </c>
      <c r="AE28" s="474" t="s">
        <v>539</v>
      </c>
      <c r="AF28" s="474" t="s">
        <v>539</v>
      </c>
      <c r="AG28" s="702"/>
      <c r="AH28" s="737"/>
      <c r="AI28" s="698"/>
      <c r="AJ28" s="700"/>
    </row>
    <row r="29" spans="2:36" ht="24" hidden="1" customHeight="1">
      <c r="B29" s="701">
        <v>12</v>
      </c>
      <c r="C29" s="699" t="s">
        <v>534</v>
      </c>
      <c r="D29" s="699"/>
      <c r="E29" s="699" t="s">
        <v>577</v>
      </c>
      <c r="F29" s="699"/>
      <c r="G29" s="699" t="s">
        <v>334</v>
      </c>
      <c r="H29" s="699" t="s">
        <v>578</v>
      </c>
      <c r="I29" s="709" t="s">
        <v>537</v>
      </c>
      <c r="J29" s="709" t="s">
        <v>537</v>
      </c>
      <c r="K29" s="712">
        <v>20000</v>
      </c>
      <c r="L29" s="709" t="s">
        <v>537</v>
      </c>
      <c r="M29" s="709" t="s">
        <v>537</v>
      </c>
      <c r="N29" s="709">
        <v>0</v>
      </c>
      <c r="O29" s="701" t="s">
        <v>537</v>
      </c>
      <c r="P29" s="701" t="s">
        <v>537</v>
      </c>
      <c r="Q29" s="705">
        <v>20000</v>
      </c>
      <c r="R29" s="707">
        <v>241428</v>
      </c>
      <c r="S29" s="699"/>
      <c r="T29" s="701">
        <v>0</v>
      </c>
      <c r="U29" s="701">
        <v>0</v>
      </c>
      <c r="V29" s="701">
        <v>0</v>
      </c>
      <c r="W29" s="699"/>
      <c r="X29" s="699"/>
      <c r="Y29" s="699"/>
      <c r="Z29" s="699"/>
      <c r="AA29" s="697" t="s">
        <v>579</v>
      </c>
      <c r="AB29" s="701" t="s">
        <v>539</v>
      </c>
      <c r="AC29" s="699"/>
      <c r="AD29" s="458" t="s">
        <v>580</v>
      </c>
      <c r="AE29" s="459" t="s">
        <v>539</v>
      </c>
      <c r="AF29" s="699"/>
      <c r="AG29" s="701" t="s">
        <v>541</v>
      </c>
      <c r="AH29" s="736"/>
      <c r="AI29" s="699"/>
      <c r="AJ29" s="697" t="s">
        <v>543</v>
      </c>
    </row>
    <row r="30" spans="2:36" ht="24" hidden="1" customHeight="1">
      <c r="B30" s="715"/>
      <c r="C30" s="714"/>
      <c r="D30" s="714"/>
      <c r="E30" s="714"/>
      <c r="F30" s="714"/>
      <c r="G30" s="714"/>
      <c r="H30" s="714"/>
      <c r="I30" s="717"/>
      <c r="J30" s="717"/>
      <c r="K30" s="720"/>
      <c r="L30" s="717"/>
      <c r="M30" s="717"/>
      <c r="N30" s="717"/>
      <c r="O30" s="715"/>
      <c r="P30" s="715"/>
      <c r="Q30" s="718"/>
      <c r="R30" s="719"/>
      <c r="S30" s="714"/>
      <c r="T30" s="715"/>
      <c r="U30" s="715"/>
      <c r="V30" s="715"/>
      <c r="W30" s="714"/>
      <c r="X30" s="714"/>
      <c r="Y30" s="714"/>
      <c r="Z30" s="714"/>
      <c r="AA30" s="711"/>
      <c r="AB30" s="715"/>
      <c r="AC30" s="714"/>
      <c r="AD30" s="460" t="s">
        <v>581</v>
      </c>
      <c r="AE30" s="461" t="s">
        <v>539</v>
      </c>
      <c r="AF30" s="714"/>
      <c r="AG30" s="715"/>
      <c r="AH30" s="738"/>
      <c r="AI30" s="714"/>
      <c r="AJ30" s="711"/>
    </row>
    <row r="31" spans="2:36" ht="24" hidden="1" customHeight="1">
      <c r="B31" s="702"/>
      <c r="C31" s="700"/>
      <c r="D31" s="700"/>
      <c r="E31" s="700"/>
      <c r="F31" s="700"/>
      <c r="G31" s="700"/>
      <c r="H31" s="700"/>
      <c r="I31" s="710"/>
      <c r="J31" s="710"/>
      <c r="K31" s="713"/>
      <c r="L31" s="710"/>
      <c r="M31" s="710"/>
      <c r="N31" s="710"/>
      <c r="O31" s="702"/>
      <c r="P31" s="702"/>
      <c r="Q31" s="706"/>
      <c r="R31" s="708"/>
      <c r="S31" s="700"/>
      <c r="T31" s="702"/>
      <c r="U31" s="702"/>
      <c r="V31" s="702"/>
      <c r="W31" s="700"/>
      <c r="X31" s="700"/>
      <c r="Y31" s="700"/>
      <c r="Z31" s="700"/>
      <c r="AA31" s="698"/>
      <c r="AB31" s="702"/>
      <c r="AC31" s="700"/>
      <c r="AD31" s="462"/>
      <c r="AE31" s="462"/>
      <c r="AF31" s="700"/>
      <c r="AG31" s="702"/>
      <c r="AH31" s="737"/>
      <c r="AI31" s="700"/>
      <c r="AJ31" s="698"/>
    </row>
    <row r="32" spans="2:36" ht="24" hidden="1" customHeight="1">
      <c r="B32" s="463">
        <v>13</v>
      </c>
      <c r="C32" s="464" t="s">
        <v>10</v>
      </c>
      <c r="D32" s="464"/>
      <c r="E32" s="464" t="s">
        <v>558</v>
      </c>
      <c r="F32" s="464"/>
      <c r="G32" s="464" t="s">
        <v>334</v>
      </c>
      <c r="H32" s="464" t="s">
        <v>582</v>
      </c>
      <c r="I32" s="465" t="s">
        <v>537</v>
      </c>
      <c r="J32" s="465" t="s">
        <v>537</v>
      </c>
      <c r="K32" s="466">
        <v>40000</v>
      </c>
      <c r="L32" s="465" t="s">
        <v>537</v>
      </c>
      <c r="M32" s="465" t="s">
        <v>537</v>
      </c>
      <c r="N32" s="465">
        <v>0</v>
      </c>
      <c r="O32" s="463" t="s">
        <v>537</v>
      </c>
      <c r="P32" s="463" t="s">
        <v>537</v>
      </c>
      <c r="Q32" s="468">
        <v>40000</v>
      </c>
      <c r="R32" s="470">
        <v>241640</v>
      </c>
      <c r="S32" s="463" t="s">
        <v>583</v>
      </c>
      <c r="T32" s="463">
        <v>40</v>
      </c>
      <c r="U32" s="463">
        <v>0</v>
      </c>
      <c r="V32" s="463">
        <v>0</v>
      </c>
      <c r="W32" s="463">
        <v>40</v>
      </c>
      <c r="X32" s="463">
        <v>2</v>
      </c>
      <c r="Y32" s="463">
        <v>0</v>
      </c>
      <c r="Z32" s="463">
        <v>93.8</v>
      </c>
      <c r="AA32" s="472" t="s">
        <v>584</v>
      </c>
      <c r="AB32" s="463" t="s">
        <v>539</v>
      </c>
      <c r="AC32" s="463" t="s">
        <v>539</v>
      </c>
      <c r="AD32" s="472" t="s">
        <v>585</v>
      </c>
      <c r="AE32" s="463" t="s">
        <v>539</v>
      </c>
      <c r="AF32" s="463" t="s">
        <v>539</v>
      </c>
      <c r="AG32" s="463" t="s">
        <v>541</v>
      </c>
      <c r="AH32" s="469"/>
      <c r="AI32" s="472" t="s">
        <v>586</v>
      </c>
      <c r="AJ32" s="472" t="s">
        <v>562</v>
      </c>
    </row>
    <row r="33" spans="1:36" ht="24" hidden="1" customHeight="1">
      <c r="B33" s="701">
        <v>14</v>
      </c>
      <c r="C33" s="699" t="s">
        <v>337</v>
      </c>
      <c r="D33" s="699"/>
      <c r="E33" s="699" t="s">
        <v>545</v>
      </c>
      <c r="F33" s="699"/>
      <c r="G33" s="699" t="s">
        <v>275</v>
      </c>
      <c r="H33" s="699" t="s">
        <v>587</v>
      </c>
      <c r="I33" s="709">
        <v>0</v>
      </c>
      <c r="J33" s="709" t="s">
        <v>537</v>
      </c>
      <c r="K33" s="709" t="s">
        <v>537</v>
      </c>
      <c r="L33" s="709">
        <v>0</v>
      </c>
      <c r="M33" s="709" t="s">
        <v>537</v>
      </c>
      <c r="N33" s="709" t="s">
        <v>537</v>
      </c>
      <c r="O33" s="701" t="s">
        <v>537</v>
      </c>
      <c r="P33" s="701" t="s">
        <v>537</v>
      </c>
      <c r="Q33" s="709">
        <v>0</v>
      </c>
      <c r="R33" s="707">
        <v>241609</v>
      </c>
      <c r="S33" s="701" t="s">
        <v>588</v>
      </c>
      <c r="T33" s="701">
        <v>0</v>
      </c>
      <c r="U33" s="701">
        <v>10</v>
      </c>
      <c r="V33" s="701">
        <v>30</v>
      </c>
      <c r="W33" s="701">
        <v>0</v>
      </c>
      <c r="X33" s="701">
        <v>10</v>
      </c>
      <c r="Y33" s="701">
        <v>30</v>
      </c>
      <c r="Z33" s="701">
        <v>90</v>
      </c>
      <c r="AA33" s="458" t="s">
        <v>589</v>
      </c>
      <c r="AB33" s="459" t="s">
        <v>539</v>
      </c>
      <c r="AC33" s="459" t="s">
        <v>539</v>
      </c>
      <c r="AD33" s="697" t="s">
        <v>590</v>
      </c>
      <c r="AE33" s="701" t="s">
        <v>539</v>
      </c>
      <c r="AF33" s="701" t="s">
        <v>539</v>
      </c>
      <c r="AG33" s="701" t="s">
        <v>541</v>
      </c>
      <c r="AH33" s="736"/>
      <c r="AI33" s="697" t="s">
        <v>591</v>
      </c>
      <c r="AJ33" s="699"/>
    </row>
    <row r="34" spans="1:36" ht="24" hidden="1" customHeight="1">
      <c r="B34" s="702"/>
      <c r="C34" s="700"/>
      <c r="D34" s="700"/>
      <c r="E34" s="700"/>
      <c r="F34" s="700"/>
      <c r="G34" s="700"/>
      <c r="H34" s="700"/>
      <c r="I34" s="710"/>
      <c r="J34" s="710"/>
      <c r="K34" s="710"/>
      <c r="L34" s="710"/>
      <c r="M34" s="710"/>
      <c r="N34" s="710"/>
      <c r="O34" s="702"/>
      <c r="P34" s="702"/>
      <c r="Q34" s="710"/>
      <c r="R34" s="708"/>
      <c r="S34" s="702"/>
      <c r="T34" s="702"/>
      <c r="U34" s="702"/>
      <c r="V34" s="702"/>
      <c r="W34" s="702"/>
      <c r="X34" s="702"/>
      <c r="Y34" s="702"/>
      <c r="Z34" s="702"/>
      <c r="AA34" s="473" t="s">
        <v>592</v>
      </c>
      <c r="AB34" s="474" t="s">
        <v>539</v>
      </c>
      <c r="AC34" s="474" t="s">
        <v>539</v>
      </c>
      <c r="AD34" s="698"/>
      <c r="AE34" s="702"/>
      <c r="AF34" s="702"/>
      <c r="AG34" s="702"/>
      <c r="AH34" s="737"/>
      <c r="AI34" s="698"/>
      <c r="AJ34" s="700"/>
    </row>
    <row r="35" spans="1:36" ht="24" hidden="1" customHeight="1">
      <c r="B35" s="701">
        <v>15</v>
      </c>
      <c r="C35" s="699" t="s">
        <v>337</v>
      </c>
      <c r="D35" s="699"/>
      <c r="E35" s="699" t="s">
        <v>545</v>
      </c>
      <c r="F35" s="699"/>
      <c r="G35" s="699" t="s">
        <v>276</v>
      </c>
      <c r="H35" s="699" t="s">
        <v>593</v>
      </c>
      <c r="I35" s="709">
        <v>0</v>
      </c>
      <c r="J35" s="709" t="s">
        <v>537</v>
      </c>
      <c r="K35" s="709" t="s">
        <v>537</v>
      </c>
      <c r="L35" s="709">
        <v>0</v>
      </c>
      <c r="M35" s="709" t="s">
        <v>537</v>
      </c>
      <c r="N35" s="709" t="s">
        <v>537</v>
      </c>
      <c r="O35" s="701" t="s">
        <v>537</v>
      </c>
      <c r="P35" s="701" t="s">
        <v>537</v>
      </c>
      <c r="Q35" s="709">
        <v>0</v>
      </c>
      <c r="R35" s="707">
        <v>241640</v>
      </c>
      <c r="S35" s="721">
        <v>22541</v>
      </c>
      <c r="T35" s="701">
        <v>2</v>
      </c>
      <c r="U35" s="701">
        <v>13</v>
      </c>
      <c r="V35" s="701">
        <v>15</v>
      </c>
      <c r="W35" s="701" t="s">
        <v>537</v>
      </c>
      <c r="X35" s="701">
        <v>5</v>
      </c>
      <c r="Y35" s="701">
        <v>15</v>
      </c>
      <c r="Z35" s="701">
        <v>92.1</v>
      </c>
      <c r="AA35" s="458" t="s">
        <v>547</v>
      </c>
      <c r="AB35" s="459" t="s">
        <v>539</v>
      </c>
      <c r="AC35" s="459" t="s">
        <v>539</v>
      </c>
      <c r="AD35" s="458" t="s">
        <v>548</v>
      </c>
      <c r="AE35" s="459">
        <v>80</v>
      </c>
      <c r="AF35" s="459">
        <v>92.1</v>
      </c>
      <c r="AG35" s="701" t="s">
        <v>541</v>
      </c>
      <c r="AH35" s="736"/>
      <c r="AI35" s="697" t="s">
        <v>594</v>
      </c>
      <c r="AJ35" s="699"/>
    </row>
    <row r="36" spans="1:36" ht="24" hidden="1" customHeight="1">
      <c r="B36" s="702"/>
      <c r="C36" s="700"/>
      <c r="D36" s="700"/>
      <c r="E36" s="700"/>
      <c r="F36" s="700"/>
      <c r="G36" s="700"/>
      <c r="H36" s="700"/>
      <c r="I36" s="710"/>
      <c r="J36" s="710"/>
      <c r="K36" s="710"/>
      <c r="L36" s="710"/>
      <c r="M36" s="710"/>
      <c r="N36" s="710"/>
      <c r="O36" s="702"/>
      <c r="P36" s="702"/>
      <c r="Q36" s="710"/>
      <c r="R36" s="708"/>
      <c r="S36" s="722"/>
      <c r="T36" s="702"/>
      <c r="U36" s="702"/>
      <c r="V36" s="702"/>
      <c r="W36" s="702"/>
      <c r="X36" s="702"/>
      <c r="Y36" s="702"/>
      <c r="Z36" s="702"/>
      <c r="AA36" s="473" t="s">
        <v>595</v>
      </c>
      <c r="AB36" s="474" t="s">
        <v>539</v>
      </c>
      <c r="AC36" s="474" t="s">
        <v>539</v>
      </c>
      <c r="AD36" s="473" t="s">
        <v>596</v>
      </c>
      <c r="AE36" s="474">
        <v>15</v>
      </c>
      <c r="AF36" s="474">
        <v>15</v>
      </c>
      <c r="AG36" s="702"/>
      <c r="AH36" s="737"/>
      <c r="AI36" s="698"/>
      <c r="AJ36" s="700"/>
    </row>
    <row r="37" spans="1:36" ht="24" hidden="1" customHeight="1">
      <c r="B37" s="463">
        <v>16</v>
      </c>
      <c r="C37" s="464" t="s">
        <v>534</v>
      </c>
      <c r="D37" s="464"/>
      <c r="E37" s="464" t="s">
        <v>535</v>
      </c>
      <c r="F37" s="464"/>
      <c r="G37" s="464" t="s">
        <v>186</v>
      </c>
      <c r="H37" s="464" t="s">
        <v>535</v>
      </c>
      <c r="I37" s="466">
        <v>1846600</v>
      </c>
      <c r="J37" s="465" t="s">
        <v>537</v>
      </c>
      <c r="K37" s="465" t="s">
        <v>537</v>
      </c>
      <c r="L37" s="466">
        <v>178520</v>
      </c>
      <c r="M37" s="465" t="s">
        <v>537</v>
      </c>
      <c r="N37" s="465" t="s">
        <v>537</v>
      </c>
      <c r="O37" s="463" t="s">
        <v>537</v>
      </c>
      <c r="P37" s="463" t="s">
        <v>537</v>
      </c>
      <c r="Q37" s="468">
        <v>1668080</v>
      </c>
      <c r="R37" s="463" t="s">
        <v>552</v>
      </c>
      <c r="S37" s="464"/>
      <c r="T37" s="463">
        <v>0</v>
      </c>
      <c r="U37" s="463">
        <v>0</v>
      </c>
      <c r="V37" s="463">
        <v>0</v>
      </c>
      <c r="W37" s="464"/>
      <c r="X37" s="464"/>
      <c r="Y37" s="464"/>
      <c r="Z37" s="464"/>
      <c r="AA37" s="464"/>
      <c r="AB37" s="464"/>
      <c r="AC37" s="464"/>
      <c r="AD37" s="464"/>
      <c r="AE37" s="464"/>
      <c r="AF37" s="464"/>
      <c r="AG37" s="463" t="s">
        <v>541</v>
      </c>
      <c r="AH37" s="475" t="s">
        <v>597</v>
      </c>
      <c r="AI37" s="464"/>
      <c r="AJ37" s="464"/>
    </row>
    <row r="38" spans="1:36" ht="24" hidden="1" customHeight="1">
      <c r="B38" s="463">
        <v>17</v>
      </c>
      <c r="C38" s="464" t="s">
        <v>534</v>
      </c>
      <c r="D38" s="464"/>
      <c r="E38" s="464" t="s">
        <v>535</v>
      </c>
      <c r="F38" s="464"/>
      <c r="G38" s="464" t="s">
        <v>186</v>
      </c>
      <c r="H38" s="464" t="s">
        <v>598</v>
      </c>
      <c r="I38" s="465" t="s">
        <v>537</v>
      </c>
      <c r="J38" s="465" t="s">
        <v>537</v>
      </c>
      <c r="K38" s="466">
        <v>525000</v>
      </c>
      <c r="L38" s="465" t="s">
        <v>537</v>
      </c>
      <c r="M38" s="465" t="s">
        <v>537</v>
      </c>
      <c r="N38" s="466">
        <v>450798</v>
      </c>
      <c r="O38" s="463" t="s">
        <v>537</v>
      </c>
      <c r="P38" s="463" t="s">
        <v>537</v>
      </c>
      <c r="Q38" s="468">
        <v>74202</v>
      </c>
      <c r="R38" s="463" t="s">
        <v>599</v>
      </c>
      <c r="S38" s="463" t="s">
        <v>600</v>
      </c>
      <c r="T38" s="463">
        <v>0</v>
      </c>
      <c r="U38" s="463">
        <v>0</v>
      </c>
      <c r="V38" s="463">
        <v>0</v>
      </c>
      <c r="W38" s="463">
        <v>0</v>
      </c>
      <c r="X38" s="463">
        <v>3</v>
      </c>
      <c r="Y38" s="463">
        <v>0</v>
      </c>
      <c r="Z38" s="464"/>
      <c r="AA38" s="464"/>
      <c r="AB38" s="464"/>
      <c r="AC38" s="464"/>
      <c r="AD38" s="464"/>
      <c r="AE38" s="464"/>
      <c r="AF38" s="464"/>
      <c r="AG38" s="463" t="s">
        <v>541</v>
      </c>
      <c r="AH38" s="475" t="s">
        <v>601</v>
      </c>
      <c r="AI38" s="464"/>
      <c r="AJ38" s="472" t="s">
        <v>543</v>
      </c>
    </row>
    <row r="39" spans="1:36" ht="24" customHeight="1">
      <c r="A39" s="452">
        <v>1</v>
      </c>
      <c r="B39" s="701">
        <v>18</v>
      </c>
      <c r="C39" s="699" t="s">
        <v>377</v>
      </c>
      <c r="D39" s="699"/>
      <c r="E39" s="699" t="s">
        <v>602</v>
      </c>
      <c r="F39" s="699"/>
      <c r="G39" s="699" t="s">
        <v>186</v>
      </c>
      <c r="H39" s="699" t="s">
        <v>603</v>
      </c>
      <c r="I39" s="709" t="s">
        <v>537</v>
      </c>
      <c r="J39" s="709" t="s">
        <v>537</v>
      </c>
      <c r="K39" s="712">
        <v>467240</v>
      </c>
      <c r="L39" s="709" t="s">
        <v>537</v>
      </c>
      <c r="M39" s="709" t="s">
        <v>537</v>
      </c>
      <c r="N39" s="709">
        <v>0</v>
      </c>
      <c r="O39" s="701" t="s">
        <v>537</v>
      </c>
      <c r="P39" s="701" t="s">
        <v>537</v>
      </c>
      <c r="Q39" s="705">
        <v>467240</v>
      </c>
      <c r="R39" s="707">
        <v>241671</v>
      </c>
      <c r="S39" s="701" t="s">
        <v>604</v>
      </c>
      <c r="T39" s="701">
        <v>0</v>
      </c>
      <c r="U39" s="701">
        <v>0</v>
      </c>
      <c r="V39" s="701">
        <v>0</v>
      </c>
      <c r="W39" s="701" t="s">
        <v>537</v>
      </c>
      <c r="X39" s="701" t="s">
        <v>537</v>
      </c>
      <c r="Y39" s="701" t="s">
        <v>537</v>
      </c>
      <c r="Z39" s="699"/>
      <c r="AA39" s="697" t="s">
        <v>605</v>
      </c>
      <c r="AB39" s="701" t="s">
        <v>539</v>
      </c>
      <c r="AC39" s="699"/>
      <c r="AD39" s="697" t="s">
        <v>606</v>
      </c>
      <c r="AE39" s="701">
        <v>80</v>
      </c>
      <c r="AF39" s="699"/>
      <c r="AG39" s="701" t="s">
        <v>541</v>
      </c>
      <c r="AH39" s="734" t="s">
        <v>607</v>
      </c>
      <c r="AI39" s="697">
        <v>954415600</v>
      </c>
      <c r="AJ39" s="697" t="s">
        <v>543</v>
      </c>
    </row>
    <row r="40" spans="1:36" ht="24" hidden="1" customHeight="1">
      <c r="B40" s="702"/>
      <c r="C40" s="700"/>
      <c r="D40" s="700"/>
      <c r="E40" s="700"/>
      <c r="F40" s="700"/>
      <c r="G40" s="700"/>
      <c r="H40" s="700"/>
      <c r="I40" s="710"/>
      <c r="J40" s="710"/>
      <c r="K40" s="713"/>
      <c r="L40" s="710"/>
      <c r="M40" s="710"/>
      <c r="N40" s="710"/>
      <c r="O40" s="702"/>
      <c r="P40" s="702"/>
      <c r="Q40" s="706"/>
      <c r="R40" s="708"/>
      <c r="S40" s="702"/>
      <c r="T40" s="702"/>
      <c r="U40" s="702"/>
      <c r="V40" s="702"/>
      <c r="W40" s="702"/>
      <c r="X40" s="702"/>
      <c r="Y40" s="702"/>
      <c r="Z40" s="700"/>
      <c r="AA40" s="698"/>
      <c r="AB40" s="702"/>
      <c r="AC40" s="700"/>
      <c r="AD40" s="698"/>
      <c r="AE40" s="702"/>
      <c r="AF40" s="700"/>
      <c r="AG40" s="702"/>
      <c r="AH40" s="735"/>
      <c r="AI40" s="698"/>
      <c r="AJ40" s="698"/>
    </row>
    <row r="41" spans="1:36" ht="24" customHeight="1">
      <c r="A41" s="452">
        <v>2</v>
      </c>
      <c r="B41" s="701">
        <v>19</v>
      </c>
      <c r="C41" s="699" t="s">
        <v>377</v>
      </c>
      <c r="D41" s="699"/>
      <c r="E41" s="699" t="s">
        <v>602</v>
      </c>
      <c r="F41" s="699"/>
      <c r="G41" s="699" t="s">
        <v>186</v>
      </c>
      <c r="H41" s="699" t="s">
        <v>608</v>
      </c>
      <c r="I41" s="709" t="s">
        <v>537</v>
      </c>
      <c r="J41" s="709" t="s">
        <v>537</v>
      </c>
      <c r="K41" s="712">
        <v>752720</v>
      </c>
      <c r="L41" s="709" t="s">
        <v>537</v>
      </c>
      <c r="M41" s="709" t="s">
        <v>537</v>
      </c>
      <c r="N41" s="709">
        <v>0</v>
      </c>
      <c r="O41" s="701" t="s">
        <v>537</v>
      </c>
      <c r="P41" s="701" t="s">
        <v>537</v>
      </c>
      <c r="Q41" s="705">
        <v>752720</v>
      </c>
      <c r="R41" s="707">
        <v>241671</v>
      </c>
      <c r="S41" s="701" t="s">
        <v>604</v>
      </c>
      <c r="T41" s="701">
        <v>0</v>
      </c>
      <c r="U41" s="701">
        <v>0</v>
      </c>
      <c r="V41" s="701">
        <v>0</v>
      </c>
      <c r="W41" s="701" t="s">
        <v>537</v>
      </c>
      <c r="X41" s="701" t="s">
        <v>537</v>
      </c>
      <c r="Y41" s="701" t="s">
        <v>537</v>
      </c>
      <c r="Z41" s="699"/>
      <c r="AA41" s="697" t="s">
        <v>605</v>
      </c>
      <c r="AB41" s="701" t="s">
        <v>539</v>
      </c>
      <c r="AC41" s="699"/>
      <c r="AD41" s="697" t="s">
        <v>606</v>
      </c>
      <c r="AE41" s="701">
        <v>80</v>
      </c>
      <c r="AF41" s="699"/>
      <c r="AG41" s="701" t="s">
        <v>541</v>
      </c>
      <c r="AH41" s="734"/>
      <c r="AI41" s="697">
        <v>954415600</v>
      </c>
      <c r="AJ41" s="697" t="s">
        <v>543</v>
      </c>
    </row>
    <row r="42" spans="1:36" ht="24" hidden="1" customHeight="1">
      <c r="B42" s="702"/>
      <c r="C42" s="700"/>
      <c r="D42" s="700"/>
      <c r="E42" s="700"/>
      <c r="F42" s="700"/>
      <c r="G42" s="700"/>
      <c r="H42" s="700"/>
      <c r="I42" s="710"/>
      <c r="J42" s="710"/>
      <c r="K42" s="713"/>
      <c r="L42" s="710"/>
      <c r="M42" s="710"/>
      <c r="N42" s="710"/>
      <c r="O42" s="702"/>
      <c r="P42" s="702"/>
      <c r="Q42" s="706"/>
      <c r="R42" s="708"/>
      <c r="S42" s="702"/>
      <c r="T42" s="702"/>
      <c r="U42" s="702"/>
      <c r="V42" s="702"/>
      <c r="W42" s="702"/>
      <c r="X42" s="702"/>
      <c r="Y42" s="702"/>
      <c r="Z42" s="700"/>
      <c r="AA42" s="698"/>
      <c r="AB42" s="702"/>
      <c r="AC42" s="700"/>
      <c r="AD42" s="698"/>
      <c r="AE42" s="702"/>
      <c r="AF42" s="700"/>
      <c r="AG42" s="702"/>
      <c r="AH42" s="735"/>
      <c r="AI42" s="698"/>
      <c r="AJ42" s="698"/>
    </row>
    <row r="43" spans="1:36" ht="24" hidden="1" customHeight="1">
      <c r="B43" s="463">
        <v>20</v>
      </c>
      <c r="C43" s="464" t="s">
        <v>534</v>
      </c>
      <c r="D43" s="464" t="s">
        <v>544</v>
      </c>
      <c r="E43" s="464" t="s">
        <v>535</v>
      </c>
      <c r="F43" s="464"/>
      <c r="G43" s="464" t="s">
        <v>467</v>
      </c>
      <c r="H43" s="464" t="s">
        <v>609</v>
      </c>
      <c r="I43" s="465" t="s">
        <v>537</v>
      </c>
      <c r="J43" s="466">
        <v>5000000</v>
      </c>
      <c r="K43" s="465" t="s">
        <v>537</v>
      </c>
      <c r="L43" s="465" t="s">
        <v>537</v>
      </c>
      <c r="M43" s="465">
        <v>0</v>
      </c>
      <c r="N43" s="465" t="s">
        <v>537</v>
      </c>
      <c r="O43" s="463" t="s">
        <v>537</v>
      </c>
      <c r="P43" s="463" t="s">
        <v>537</v>
      </c>
      <c r="Q43" s="468">
        <v>5000000</v>
      </c>
      <c r="R43" s="463" t="s">
        <v>552</v>
      </c>
      <c r="S43" s="464"/>
      <c r="T43" s="463">
        <v>0</v>
      </c>
      <c r="U43" s="463">
        <v>0</v>
      </c>
      <c r="V43" s="463">
        <v>0</v>
      </c>
      <c r="W43" s="464"/>
      <c r="X43" s="464"/>
      <c r="Y43" s="464"/>
      <c r="Z43" s="464"/>
      <c r="AA43" s="464"/>
      <c r="AB43" s="464"/>
      <c r="AC43" s="464"/>
      <c r="AD43" s="464"/>
      <c r="AE43" s="464"/>
      <c r="AF43" s="464"/>
      <c r="AG43" s="463" t="s">
        <v>541</v>
      </c>
      <c r="AH43" s="475" t="s">
        <v>610</v>
      </c>
      <c r="AI43" s="464"/>
      <c r="AJ43" s="464"/>
    </row>
    <row r="44" spans="1:36" ht="24" customHeight="1">
      <c r="A44" s="452">
        <v>3</v>
      </c>
      <c r="B44" s="463">
        <v>21</v>
      </c>
      <c r="C44" s="464" t="s">
        <v>377</v>
      </c>
      <c r="D44" s="464"/>
      <c r="E44" s="464" t="s">
        <v>602</v>
      </c>
      <c r="F44" s="464"/>
      <c r="G44" s="464" t="s">
        <v>266</v>
      </c>
      <c r="H44" s="464" t="s">
        <v>611</v>
      </c>
      <c r="I44" s="466">
        <v>30000</v>
      </c>
      <c r="J44" s="465" t="s">
        <v>537</v>
      </c>
      <c r="K44" s="465" t="s">
        <v>537</v>
      </c>
      <c r="L44" s="466">
        <v>23200</v>
      </c>
      <c r="M44" s="465" t="s">
        <v>537</v>
      </c>
      <c r="N44" s="465" t="s">
        <v>537</v>
      </c>
      <c r="O44" s="463" t="s">
        <v>537</v>
      </c>
      <c r="P44" s="463" t="s">
        <v>537</v>
      </c>
      <c r="Q44" s="468">
        <v>6800</v>
      </c>
      <c r="R44" s="470">
        <v>241428</v>
      </c>
      <c r="S44" s="471">
        <v>22299</v>
      </c>
      <c r="T44" s="463">
        <v>400</v>
      </c>
      <c r="U44" s="463">
        <v>100</v>
      </c>
      <c r="V44" s="463">
        <v>0</v>
      </c>
      <c r="W44" s="463">
        <v>580</v>
      </c>
      <c r="X44" s="463">
        <v>65</v>
      </c>
      <c r="Y44" s="463">
        <v>3</v>
      </c>
      <c r="Z44" s="463">
        <v>85</v>
      </c>
      <c r="AA44" s="472" t="s">
        <v>612</v>
      </c>
      <c r="AB44" s="463" t="s">
        <v>539</v>
      </c>
      <c r="AC44" s="463" t="s">
        <v>539</v>
      </c>
      <c r="AD44" s="472" t="s">
        <v>613</v>
      </c>
      <c r="AE44" s="463">
        <v>85</v>
      </c>
      <c r="AF44" s="463">
        <v>85</v>
      </c>
      <c r="AG44" s="463" t="s">
        <v>375</v>
      </c>
      <c r="AH44" s="476"/>
      <c r="AI44" s="472">
        <v>2103</v>
      </c>
      <c r="AJ44" s="464"/>
    </row>
    <row r="45" spans="1:36" ht="24" hidden="1" customHeight="1">
      <c r="B45" s="463">
        <v>22</v>
      </c>
      <c r="C45" s="464" t="s">
        <v>534</v>
      </c>
      <c r="D45" s="464"/>
      <c r="E45" s="464" t="s">
        <v>535</v>
      </c>
      <c r="F45" s="464"/>
      <c r="G45" s="464" t="s">
        <v>266</v>
      </c>
      <c r="H45" s="464" t="s">
        <v>614</v>
      </c>
      <c r="I45" s="466">
        <v>60000</v>
      </c>
      <c r="J45" s="465" t="s">
        <v>537</v>
      </c>
      <c r="K45" s="465" t="s">
        <v>537</v>
      </c>
      <c r="L45" s="466">
        <v>59200</v>
      </c>
      <c r="M45" s="465" t="s">
        <v>537</v>
      </c>
      <c r="N45" s="465" t="s">
        <v>537</v>
      </c>
      <c r="O45" s="463" t="s">
        <v>537</v>
      </c>
      <c r="P45" s="463" t="s">
        <v>537</v>
      </c>
      <c r="Q45" s="465">
        <v>800</v>
      </c>
      <c r="R45" s="470">
        <v>241487</v>
      </c>
      <c r="S45" s="471">
        <v>22355</v>
      </c>
      <c r="T45" s="463">
        <v>0</v>
      </c>
      <c r="U45" s="463">
        <v>100</v>
      </c>
      <c r="V45" s="463">
        <v>0</v>
      </c>
      <c r="W45" s="463">
        <v>0</v>
      </c>
      <c r="X45" s="463">
        <v>96</v>
      </c>
      <c r="Y45" s="463">
        <v>0</v>
      </c>
      <c r="Z45" s="464"/>
      <c r="AA45" s="472" t="s">
        <v>615</v>
      </c>
      <c r="AB45" s="463" t="s">
        <v>539</v>
      </c>
      <c r="AC45" s="463" t="s">
        <v>539</v>
      </c>
      <c r="AD45" s="472" t="s">
        <v>616</v>
      </c>
      <c r="AE45" s="463">
        <v>85</v>
      </c>
      <c r="AF45" s="463">
        <v>79.17</v>
      </c>
      <c r="AG45" s="463" t="s">
        <v>376</v>
      </c>
      <c r="AH45" s="476"/>
      <c r="AI45" s="472">
        <v>2103</v>
      </c>
      <c r="AJ45" s="464"/>
    </row>
    <row r="46" spans="1:36" ht="24" customHeight="1">
      <c r="A46" s="452">
        <v>4</v>
      </c>
      <c r="B46" s="463">
        <v>23</v>
      </c>
      <c r="C46" s="464" t="s">
        <v>377</v>
      </c>
      <c r="D46" s="464" t="s">
        <v>544</v>
      </c>
      <c r="E46" s="464" t="s">
        <v>602</v>
      </c>
      <c r="F46" s="464"/>
      <c r="G46" s="464" t="s">
        <v>247</v>
      </c>
      <c r="H46" s="464" t="s">
        <v>617</v>
      </c>
      <c r="I46" s="465" t="s">
        <v>537</v>
      </c>
      <c r="J46" s="466">
        <v>100000</v>
      </c>
      <c r="K46" s="465" t="s">
        <v>537</v>
      </c>
      <c r="L46" s="465" t="s">
        <v>537</v>
      </c>
      <c r="M46" s="466">
        <v>100000</v>
      </c>
      <c r="N46" s="465" t="s">
        <v>537</v>
      </c>
      <c r="O46" s="463" t="s">
        <v>537</v>
      </c>
      <c r="P46" s="463" t="s">
        <v>537</v>
      </c>
      <c r="Q46" s="465">
        <v>0</v>
      </c>
      <c r="R46" s="470">
        <v>241579</v>
      </c>
      <c r="S46" s="463" t="s">
        <v>618</v>
      </c>
      <c r="T46" s="463">
        <v>220</v>
      </c>
      <c r="U46" s="463">
        <v>10</v>
      </c>
      <c r="V46" s="463">
        <v>0</v>
      </c>
      <c r="W46" s="463">
        <v>232</v>
      </c>
      <c r="X46" s="463">
        <v>14</v>
      </c>
      <c r="Y46" s="463">
        <v>0</v>
      </c>
      <c r="Z46" s="463">
        <v>92.5</v>
      </c>
      <c r="AA46" s="472" t="s">
        <v>619</v>
      </c>
      <c r="AB46" s="463" t="s">
        <v>539</v>
      </c>
      <c r="AC46" s="463" t="s">
        <v>539</v>
      </c>
      <c r="AD46" s="472" t="s">
        <v>565</v>
      </c>
      <c r="AE46" s="463" t="s">
        <v>620</v>
      </c>
      <c r="AF46" s="463">
        <v>92.5</v>
      </c>
      <c r="AG46" s="463" t="s">
        <v>376</v>
      </c>
      <c r="AH46" s="476"/>
      <c r="AI46" s="472">
        <v>856194599</v>
      </c>
      <c r="AJ46" s="464"/>
    </row>
    <row r="47" spans="1:36" ht="24" hidden="1" customHeight="1">
      <c r="B47" s="463">
        <v>24</v>
      </c>
      <c r="C47" s="464" t="s">
        <v>534</v>
      </c>
      <c r="D47" s="464"/>
      <c r="E47" s="464" t="s">
        <v>535</v>
      </c>
      <c r="F47" s="464"/>
      <c r="G47" s="464" t="s">
        <v>247</v>
      </c>
      <c r="H47" s="464" t="s">
        <v>621</v>
      </c>
      <c r="I47" s="465" t="s">
        <v>537</v>
      </c>
      <c r="J47" s="465" t="s">
        <v>537</v>
      </c>
      <c r="K47" s="466">
        <v>200000</v>
      </c>
      <c r="L47" s="465" t="s">
        <v>537</v>
      </c>
      <c r="M47" s="465" t="s">
        <v>537</v>
      </c>
      <c r="N47" s="466">
        <v>167237</v>
      </c>
      <c r="O47" s="463" t="s">
        <v>537</v>
      </c>
      <c r="P47" s="463" t="s">
        <v>537</v>
      </c>
      <c r="Q47" s="468">
        <v>32763</v>
      </c>
      <c r="R47" s="463" t="s">
        <v>622</v>
      </c>
      <c r="S47" s="463" t="s">
        <v>623</v>
      </c>
      <c r="T47" s="463">
        <v>30</v>
      </c>
      <c r="U47" s="463">
        <v>6</v>
      </c>
      <c r="V47" s="463">
        <v>0</v>
      </c>
      <c r="W47" s="463">
        <v>42</v>
      </c>
      <c r="X47" s="463">
        <v>10</v>
      </c>
      <c r="Y47" s="463">
        <v>0</v>
      </c>
      <c r="Z47" s="463">
        <v>87.5</v>
      </c>
      <c r="AA47" s="472" t="s">
        <v>624</v>
      </c>
      <c r="AB47" s="463" t="s">
        <v>539</v>
      </c>
      <c r="AC47" s="463" t="s">
        <v>539</v>
      </c>
      <c r="AD47" s="472" t="s">
        <v>571</v>
      </c>
      <c r="AE47" s="463">
        <v>80</v>
      </c>
      <c r="AF47" s="463">
        <v>87.5</v>
      </c>
      <c r="AG47" s="463" t="s">
        <v>375</v>
      </c>
      <c r="AH47" s="476"/>
      <c r="AI47" s="472">
        <v>819643283</v>
      </c>
      <c r="AJ47" s="472" t="s">
        <v>543</v>
      </c>
    </row>
    <row r="48" spans="1:36" ht="24" hidden="1" customHeight="1">
      <c r="B48" s="463">
        <v>25</v>
      </c>
      <c r="C48" s="464" t="s">
        <v>534</v>
      </c>
      <c r="D48" s="464"/>
      <c r="E48" s="464" t="s">
        <v>535</v>
      </c>
      <c r="F48" s="464"/>
      <c r="G48" s="464" t="s">
        <v>247</v>
      </c>
      <c r="H48" s="464" t="s">
        <v>625</v>
      </c>
      <c r="I48" s="465" t="s">
        <v>537</v>
      </c>
      <c r="J48" s="465" t="s">
        <v>537</v>
      </c>
      <c r="K48" s="466">
        <v>140000</v>
      </c>
      <c r="L48" s="465" t="s">
        <v>537</v>
      </c>
      <c r="M48" s="465" t="s">
        <v>537</v>
      </c>
      <c r="N48" s="466">
        <v>85620</v>
      </c>
      <c r="O48" s="463" t="s">
        <v>537</v>
      </c>
      <c r="P48" s="463" t="s">
        <v>537</v>
      </c>
      <c r="Q48" s="468">
        <v>54380</v>
      </c>
      <c r="R48" s="470">
        <v>241671</v>
      </c>
      <c r="S48" s="463" t="s">
        <v>626</v>
      </c>
      <c r="T48" s="463">
        <v>0</v>
      </c>
      <c r="U48" s="463">
        <v>10</v>
      </c>
      <c r="V48" s="463">
        <v>50</v>
      </c>
      <c r="W48" s="463">
        <v>0</v>
      </c>
      <c r="X48" s="463">
        <v>20</v>
      </c>
      <c r="Y48" s="463">
        <v>35</v>
      </c>
      <c r="Z48" s="463">
        <v>90</v>
      </c>
      <c r="AA48" s="472" t="s">
        <v>547</v>
      </c>
      <c r="AB48" s="463" t="s">
        <v>539</v>
      </c>
      <c r="AC48" s="463" t="s">
        <v>539</v>
      </c>
      <c r="AD48" s="472" t="s">
        <v>627</v>
      </c>
      <c r="AE48" s="463">
        <v>80</v>
      </c>
      <c r="AF48" s="463">
        <v>88.36</v>
      </c>
      <c r="AG48" s="463" t="s">
        <v>375</v>
      </c>
      <c r="AH48" s="476"/>
      <c r="AI48" s="472">
        <v>819643283</v>
      </c>
      <c r="AJ48" s="472" t="s">
        <v>543</v>
      </c>
    </row>
    <row r="49" spans="2:36" ht="24" hidden="1" customHeight="1">
      <c r="B49" s="463">
        <v>26</v>
      </c>
      <c r="C49" s="464" t="s">
        <v>165</v>
      </c>
      <c r="D49" s="464"/>
      <c r="E49" s="464" t="s">
        <v>535</v>
      </c>
      <c r="F49" s="464"/>
      <c r="G49" s="464" t="s">
        <v>247</v>
      </c>
      <c r="H49" s="464" t="s">
        <v>628</v>
      </c>
      <c r="I49" s="465" t="s">
        <v>537</v>
      </c>
      <c r="J49" s="465" t="s">
        <v>537</v>
      </c>
      <c r="K49" s="466">
        <v>16100</v>
      </c>
      <c r="L49" s="465" t="s">
        <v>537</v>
      </c>
      <c r="M49" s="465" t="s">
        <v>537</v>
      </c>
      <c r="N49" s="466">
        <v>14300</v>
      </c>
      <c r="O49" s="463" t="s">
        <v>537</v>
      </c>
      <c r="P49" s="463" t="s">
        <v>537</v>
      </c>
      <c r="Q49" s="468">
        <v>1800</v>
      </c>
      <c r="R49" s="470">
        <v>241397</v>
      </c>
      <c r="S49" s="471">
        <v>22266</v>
      </c>
      <c r="T49" s="463">
        <v>89</v>
      </c>
      <c r="U49" s="463">
        <v>0</v>
      </c>
      <c r="V49" s="463">
        <v>0</v>
      </c>
      <c r="W49" s="463">
        <v>87</v>
      </c>
      <c r="X49" s="463">
        <v>0</v>
      </c>
      <c r="Y49" s="463">
        <v>0</v>
      </c>
      <c r="Z49" s="463">
        <v>81</v>
      </c>
      <c r="AA49" s="472" t="s">
        <v>547</v>
      </c>
      <c r="AB49" s="463" t="s">
        <v>539</v>
      </c>
      <c r="AC49" s="463" t="s">
        <v>539</v>
      </c>
      <c r="AD49" s="472" t="s">
        <v>548</v>
      </c>
      <c r="AE49" s="463">
        <v>80</v>
      </c>
      <c r="AF49" s="463">
        <v>82</v>
      </c>
      <c r="AG49" s="463" t="s">
        <v>375</v>
      </c>
      <c r="AH49" s="476"/>
      <c r="AI49" s="472">
        <v>819643283</v>
      </c>
      <c r="AJ49" s="472" t="s">
        <v>543</v>
      </c>
    </row>
    <row r="50" spans="2:36" ht="24" hidden="1" customHeight="1">
      <c r="B50" s="463">
        <v>27</v>
      </c>
      <c r="C50" s="464" t="s">
        <v>165</v>
      </c>
      <c r="D50" s="464"/>
      <c r="E50" s="464" t="s">
        <v>535</v>
      </c>
      <c r="F50" s="464"/>
      <c r="G50" s="464" t="s">
        <v>247</v>
      </c>
      <c r="H50" s="464" t="s">
        <v>629</v>
      </c>
      <c r="I50" s="465" t="s">
        <v>537</v>
      </c>
      <c r="J50" s="465" t="s">
        <v>537</v>
      </c>
      <c r="K50" s="466">
        <v>24160</v>
      </c>
      <c r="L50" s="465" t="s">
        <v>537</v>
      </c>
      <c r="M50" s="465" t="s">
        <v>537</v>
      </c>
      <c r="N50" s="466">
        <v>12192</v>
      </c>
      <c r="O50" s="463" t="s">
        <v>537</v>
      </c>
      <c r="P50" s="463" t="s">
        <v>537</v>
      </c>
      <c r="Q50" s="468">
        <v>11968</v>
      </c>
      <c r="R50" s="470">
        <v>241609</v>
      </c>
      <c r="S50" s="471">
        <v>22468</v>
      </c>
      <c r="T50" s="463">
        <v>0</v>
      </c>
      <c r="U50" s="463">
        <v>11</v>
      </c>
      <c r="V50" s="463">
        <v>3</v>
      </c>
      <c r="W50" s="463">
        <v>0</v>
      </c>
      <c r="X50" s="463">
        <v>15</v>
      </c>
      <c r="Y50" s="463">
        <v>3</v>
      </c>
      <c r="Z50" s="463">
        <v>87.74</v>
      </c>
      <c r="AA50" s="472" t="s">
        <v>630</v>
      </c>
      <c r="AB50" s="463" t="s">
        <v>539</v>
      </c>
      <c r="AC50" s="463" t="s">
        <v>539</v>
      </c>
      <c r="AD50" s="472" t="s">
        <v>548</v>
      </c>
      <c r="AE50" s="463">
        <v>80</v>
      </c>
      <c r="AF50" s="463">
        <v>83.7</v>
      </c>
      <c r="AG50" s="463" t="s">
        <v>375</v>
      </c>
      <c r="AH50" s="476"/>
      <c r="AI50" s="472">
        <v>819643283</v>
      </c>
      <c r="AJ50" s="472" t="s">
        <v>543</v>
      </c>
    </row>
    <row r="51" spans="2:36" ht="24" hidden="1" customHeight="1">
      <c r="B51" s="463">
        <v>28</v>
      </c>
      <c r="C51" s="464" t="s">
        <v>165</v>
      </c>
      <c r="D51" s="464" t="s">
        <v>544</v>
      </c>
      <c r="E51" s="464" t="s">
        <v>535</v>
      </c>
      <c r="F51" s="464"/>
      <c r="G51" s="464" t="s">
        <v>247</v>
      </c>
      <c r="H51" s="464" t="s">
        <v>631</v>
      </c>
      <c r="I51" s="466">
        <v>105000</v>
      </c>
      <c r="J51" s="465" t="s">
        <v>537</v>
      </c>
      <c r="K51" s="465" t="s">
        <v>537</v>
      </c>
      <c r="L51" s="466">
        <v>80840</v>
      </c>
      <c r="M51" s="465" t="s">
        <v>537</v>
      </c>
      <c r="N51" s="465" t="s">
        <v>537</v>
      </c>
      <c r="O51" s="467">
        <v>24160</v>
      </c>
      <c r="P51" s="463" t="s">
        <v>537</v>
      </c>
      <c r="Q51" s="465">
        <v>0</v>
      </c>
      <c r="R51" s="470">
        <v>241459</v>
      </c>
      <c r="S51" s="463" t="s">
        <v>632</v>
      </c>
      <c r="T51" s="463">
        <v>134</v>
      </c>
      <c r="U51" s="463">
        <v>5</v>
      </c>
      <c r="V51" s="463">
        <v>0</v>
      </c>
      <c r="W51" s="463">
        <v>134</v>
      </c>
      <c r="X51" s="463">
        <v>5</v>
      </c>
      <c r="Y51" s="463">
        <v>0</v>
      </c>
      <c r="Z51" s="463">
        <v>84.25</v>
      </c>
      <c r="AA51" s="472" t="s">
        <v>633</v>
      </c>
      <c r="AB51" s="463" t="s">
        <v>634</v>
      </c>
      <c r="AC51" s="463" t="s">
        <v>539</v>
      </c>
      <c r="AD51" s="472" t="s">
        <v>635</v>
      </c>
      <c r="AE51" s="463" t="s">
        <v>539</v>
      </c>
      <c r="AF51" s="463" t="s">
        <v>539</v>
      </c>
      <c r="AG51" s="463" t="s">
        <v>375</v>
      </c>
      <c r="AH51" s="476"/>
      <c r="AI51" s="472">
        <v>910341514</v>
      </c>
      <c r="AJ51" s="464"/>
    </row>
    <row r="52" spans="2:36" ht="24" hidden="1" customHeight="1">
      <c r="B52" s="463">
        <v>29</v>
      </c>
      <c r="C52" s="464" t="s">
        <v>165</v>
      </c>
      <c r="D52" s="464" t="s">
        <v>544</v>
      </c>
      <c r="E52" s="464" t="s">
        <v>535</v>
      </c>
      <c r="F52" s="464"/>
      <c r="G52" s="464" t="s">
        <v>247</v>
      </c>
      <c r="H52" s="464" t="s">
        <v>636</v>
      </c>
      <c r="I52" s="466">
        <v>200000</v>
      </c>
      <c r="J52" s="465" t="s">
        <v>537</v>
      </c>
      <c r="K52" s="465" t="s">
        <v>537</v>
      </c>
      <c r="L52" s="466">
        <v>175560</v>
      </c>
      <c r="M52" s="465" t="s">
        <v>537</v>
      </c>
      <c r="N52" s="465" t="s">
        <v>537</v>
      </c>
      <c r="O52" s="463" t="s">
        <v>537</v>
      </c>
      <c r="P52" s="463" t="s">
        <v>537</v>
      </c>
      <c r="Q52" s="468">
        <v>24440</v>
      </c>
      <c r="R52" s="470">
        <v>241640</v>
      </c>
      <c r="S52" s="463" t="s">
        <v>637</v>
      </c>
      <c r="T52" s="463">
        <v>90</v>
      </c>
      <c r="U52" s="463">
        <v>17</v>
      </c>
      <c r="V52" s="463">
        <v>0</v>
      </c>
      <c r="W52" s="463">
        <v>80</v>
      </c>
      <c r="X52" s="463">
        <v>11</v>
      </c>
      <c r="Y52" s="463">
        <v>0</v>
      </c>
      <c r="Z52" s="463">
        <v>90.21</v>
      </c>
      <c r="AA52" s="472" t="s">
        <v>638</v>
      </c>
      <c r="AB52" s="463" t="s">
        <v>639</v>
      </c>
      <c r="AC52" s="463">
        <v>12</v>
      </c>
      <c r="AD52" s="472" t="s">
        <v>640</v>
      </c>
      <c r="AE52" s="463" t="s">
        <v>641</v>
      </c>
      <c r="AF52" s="463">
        <v>3</v>
      </c>
      <c r="AG52" s="463" t="s">
        <v>375</v>
      </c>
      <c r="AH52" s="476"/>
      <c r="AI52" s="472">
        <v>800393036</v>
      </c>
      <c r="AJ52" s="464"/>
    </row>
    <row r="53" spans="2:36" ht="24" hidden="1" customHeight="1">
      <c r="B53" s="463">
        <v>30</v>
      </c>
      <c r="C53" s="464" t="s">
        <v>165</v>
      </c>
      <c r="D53" s="464" t="s">
        <v>544</v>
      </c>
      <c r="E53" s="464" t="s">
        <v>535</v>
      </c>
      <c r="F53" s="464"/>
      <c r="G53" s="464" t="s">
        <v>247</v>
      </c>
      <c r="H53" s="464" t="s">
        <v>642</v>
      </c>
      <c r="I53" s="466">
        <v>60000</v>
      </c>
      <c r="J53" s="465" t="s">
        <v>537</v>
      </c>
      <c r="K53" s="465" t="s">
        <v>537</v>
      </c>
      <c r="L53" s="466">
        <v>60000</v>
      </c>
      <c r="M53" s="465" t="s">
        <v>537</v>
      </c>
      <c r="N53" s="465" t="s">
        <v>537</v>
      </c>
      <c r="O53" s="463" t="s">
        <v>537</v>
      </c>
      <c r="P53" s="463" t="s">
        <v>537</v>
      </c>
      <c r="Q53" s="465">
        <v>0</v>
      </c>
      <c r="R53" s="463" t="s">
        <v>643</v>
      </c>
      <c r="S53" s="463" t="s">
        <v>644</v>
      </c>
      <c r="T53" s="463">
        <v>0</v>
      </c>
      <c r="U53" s="463">
        <v>3</v>
      </c>
      <c r="V53" s="463">
        <v>0</v>
      </c>
      <c r="W53" s="463">
        <v>0</v>
      </c>
      <c r="X53" s="463">
        <v>3</v>
      </c>
      <c r="Y53" s="463">
        <v>0</v>
      </c>
      <c r="Z53" s="463">
        <v>100</v>
      </c>
      <c r="AA53" s="472" t="s">
        <v>633</v>
      </c>
      <c r="AB53" s="463" t="s">
        <v>539</v>
      </c>
      <c r="AC53" s="463" t="s">
        <v>539</v>
      </c>
      <c r="AD53" s="472" t="s">
        <v>635</v>
      </c>
      <c r="AE53" s="463" t="s">
        <v>539</v>
      </c>
      <c r="AF53" s="463" t="s">
        <v>539</v>
      </c>
      <c r="AG53" s="463" t="s">
        <v>375</v>
      </c>
      <c r="AH53" s="476"/>
      <c r="AI53" s="472">
        <v>819643283</v>
      </c>
      <c r="AJ53" s="464"/>
    </row>
    <row r="54" spans="2:36" ht="24" hidden="1" customHeight="1">
      <c r="B54" s="463">
        <v>31</v>
      </c>
      <c r="C54" s="464" t="s">
        <v>165</v>
      </c>
      <c r="D54" s="464" t="s">
        <v>544</v>
      </c>
      <c r="E54" s="464" t="s">
        <v>535</v>
      </c>
      <c r="F54" s="464"/>
      <c r="G54" s="464" t="s">
        <v>247</v>
      </c>
      <c r="H54" s="464" t="s">
        <v>645</v>
      </c>
      <c r="I54" s="466">
        <v>25000</v>
      </c>
      <c r="J54" s="465" t="s">
        <v>537</v>
      </c>
      <c r="K54" s="465" t="s">
        <v>537</v>
      </c>
      <c r="L54" s="466">
        <v>24999</v>
      </c>
      <c r="M54" s="465" t="s">
        <v>537</v>
      </c>
      <c r="N54" s="465" t="s">
        <v>537</v>
      </c>
      <c r="O54" s="463" t="s">
        <v>537</v>
      </c>
      <c r="P54" s="463" t="s">
        <v>537</v>
      </c>
      <c r="Q54" s="465">
        <v>1</v>
      </c>
      <c r="R54" s="463" t="s">
        <v>646</v>
      </c>
      <c r="S54" s="463" t="s">
        <v>647</v>
      </c>
      <c r="T54" s="463">
        <v>44</v>
      </c>
      <c r="U54" s="463">
        <v>2</v>
      </c>
      <c r="V54" s="463">
        <v>2</v>
      </c>
      <c r="W54" s="463">
        <v>59</v>
      </c>
      <c r="X54" s="463">
        <v>7</v>
      </c>
      <c r="Y54" s="463">
        <v>7</v>
      </c>
      <c r="Z54" s="463">
        <v>90.35</v>
      </c>
      <c r="AA54" s="472" t="s">
        <v>547</v>
      </c>
      <c r="AB54" s="463" t="s">
        <v>539</v>
      </c>
      <c r="AC54" s="463" t="s">
        <v>539</v>
      </c>
      <c r="AD54" s="472" t="s">
        <v>548</v>
      </c>
      <c r="AE54" s="463" t="s">
        <v>620</v>
      </c>
      <c r="AF54" s="463">
        <v>91.6</v>
      </c>
      <c r="AG54" s="463" t="s">
        <v>376</v>
      </c>
      <c r="AH54" s="476"/>
      <c r="AI54" s="472">
        <v>855104304</v>
      </c>
      <c r="AJ54" s="464"/>
    </row>
    <row r="55" spans="2:36" ht="24" hidden="1" customHeight="1">
      <c r="B55" s="463">
        <v>32</v>
      </c>
      <c r="C55" s="464" t="s">
        <v>165</v>
      </c>
      <c r="D55" s="464" t="s">
        <v>544</v>
      </c>
      <c r="E55" s="464" t="s">
        <v>535</v>
      </c>
      <c r="F55" s="464"/>
      <c r="G55" s="464" t="s">
        <v>247</v>
      </c>
      <c r="H55" s="464" t="s">
        <v>648</v>
      </c>
      <c r="I55" s="466">
        <v>100000</v>
      </c>
      <c r="J55" s="465" t="s">
        <v>537</v>
      </c>
      <c r="K55" s="465" t="s">
        <v>537</v>
      </c>
      <c r="L55" s="466">
        <v>95865</v>
      </c>
      <c r="M55" s="465" t="s">
        <v>537</v>
      </c>
      <c r="N55" s="465" t="s">
        <v>537</v>
      </c>
      <c r="O55" s="463" t="s">
        <v>537</v>
      </c>
      <c r="P55" s="463" t="s">
        <v>537</v>
      </c>
      <c r="Q55" s="468">
        <v>4135</v>
      </c>
      <c r="R55" s="470">
        <v>241459</v>
      </c>
      <c r="S55" s="463" t="s">
        <v>649</v>
      </c>
      <c r="T55" s="463">
        <v>20</v>
      </c>
      <c r="U55" s="463">
        <v>5</v>
      </c>
      <c r="V55" s="463">
        <v>0</v>
      </c>
      <c r="W55" s="463">
        <v>21</v>
      </c>
      <c r="X55" s="463">
        <v>4</v>
      </c>
      <c r="Y55" s="463">
        <v>0</v>
      </c>
      <c r="Z55" s="463">
        <v>86.7</v>
      </c>
      <c r="AA55" s="472" t="s">
        <v>650</v>
      </c>
      <c r="AB55" s="463" t="s">
        <v>641</v>
      </c>
      <c r="AC55" s="463">
        <v>6</v>
      </c>
      <c r="AD55" s="472" t="s">
        <v>651</v>
      </c>
      <c r="AE55" s="463" t="s">
        <v>641</v>
      </c>
      <c r="AF55" s="463">
        <v>6</v>
      </c>
      <c r="AG55" s="463" t="s">
        <v>375</v>
      </c>
      <c r="AH55" s="476"/>
      <c r="AI55" s="472">
        <v>819643283</v>
      </c>
      <c r="AJ55" s="464"/>
    </row>
    <row r="56" spans="2:36" ht="24" hidden="1" customHeight="1">
      <c r="B56" s="463">
        <v>33</v>
      </c>
      <c r="C56" s="464" t="s">
        <v>165</v>
      </c>
      <c r="D56" s="464" t="s">
        <v>544</v>
      </c>
      <c r="E56" s="464" t="s">
        <v>535</v>
      </c>
      <c r="F56" s="464"/>
      <c r="G56" s="464" t="s">
        <v>247</v>
      </c>
      <c r="H56" s="464" t="s">
        <v>652</v>
      </c>
      <c r="I56" s="466">
        <v>70000</v>
      </c>
      <c r="J56" s="465" t="s">
        <v>537</v>
      </c>
      <c r="K56" s="465" t="s">
        <v>537</v>
      </c>
      <c r="L56" s="466">
        <v>68500</v>
      </c>
      <c r="M56" s="465" t="s">
        <v>537</v>
      </c>
      <c r="N56" s="465" t="s">
        <v>537</v>
      </c>
      <c r="O56" s="463" t="s">
        <v>537</v>
      </c>
      <c r="P56" s="463" t="s">
        <v>537</v>
      </c>
      <c r="Q56" s="468">
        <v>1500</v>
      </c>
      <c r="R56" s="470">
        <v>241487</v>
      </c>
      <c r="S56" s="463" t="s">
        <v>653</v>
      </c>
      <c r="T56" s="463">
        <v>80</v>
      </c>
      <c r="U56" s="463">
        <v>4</v>
      </c>
      <c r="V56" s="463">
        <v>0</v>
      </c>
      <c r="W56" s="463">
        <v>80</v>
      </c>
      <c r="X56" s="463">
        <v>4</v>
      </c>
      <c r="Y56" s="463">
        <v>0</v>
      </c>
      <c r="Z56" s="463">
        <v>80</v>
      </c>
      <c r="AA56" s="472" t="s">
        <v>633</v>
      </c>
      <c r="AB56" s="463" t="s">
        <v>539</v>
      </c>
      <c r="AC56" s="463" t="s">
        <v>539</v>
      </c>
      <c r="AD56" s="472" t="s">
        <v>635</v>
      </c>
      <c r="AE56" s="463" t="s">
        <v>539</v>
      </c>
      <c r="AF56" s="463" t="s">
        <v>539</v>
      </c>
      <c r="AG56" s="463" t="s">
        <v>375</v>
      </c>
      <c r="AH56" s="476"/>
      <c r="AI56" s="472">
        <v>952655209</v>
      </c>
      <c r="AJ56" s="464"/>
    </row>
    <row r="57" spans="2:36" ht="24" hidden="1" customHeight="1">
      <c r="B57" s="463">
        <v>34</v>
      </c>
      <c r="C57" s="464" t="s">
        <v>165</v>
      </c>
      <c r="D57" s="464" t="s">
        <v>544</v>
      </c>
      <c r="E57" s="464" t="s">
        <v>535</v>
      </c>
      <c r="F57" s="464"/>
      <c r="G57" s="464" t="s">
        <v>247</v>
      </c>
      <c r="H57" s="464" t="s">
        <v>654</v>
      </c>
      <c r="I57" s="466">
        <v>25000</v>
      </c>
      <c r="J57" s="465" t="s">
        <v>537</v>
      </c>
      <c r="K57" s="465" t="s">
        <v>537</v>
      </c>
      <c r="L57" s="466">
        <v>16460</v>
      </c>
      <c r="M57" s="465" t="s">
        <v>537</v>
      </c>
      <c r="N57" s="465" t="s">
        <v>537</v>
      </c>
      <c r="O57" s="463" t="s">
        <v>537</v>
      </c>
      <c r="P57" s="463" t="s">
        <v>537</v>
      </c>
      <c r="Q57" s="468">
        <v>8540</v>
      </c>
      <c r="R57" s="463" t="s">
        <v>643</v>
      </c>
      <c r="S57" s="463" t="s">
        <v>655</v>
      </c>
      <c r="T57" s="463">
        <v>4</v>
      </c>
      <c r="U57" s="463">
        <v>1</v>
      </c>
      <c r="V57" s="463">
        <v>0</v>
      </c>
      <c r="W57" s="463">
        <v>4</v>
      </c>
      <c r="X57" s="463">
        <v>1</v>
      </c>
      <c r="Y57" s="463">
        <v>0</v>
      </c>
      <c r="Z57" s="463">
        <v>90.36</v>
      </c>
      <c r="AA57" s="472" t="s">
        <v>633</v>
      </c>
      <c r="AB57" s="463" t="s">
        <v>539</v>
      </c>
      <c r="AC57" s="463" t="s">
        <v>539</v>
      </c>
      <c r="AD57" s="472" t="s">
        <v>635</v>
      </c>
      <c r="AE57" s="463" t="s">
        <v>539</v>
      </c>
      <c r="AF57" s="463" t="s">
        <v>539</v>
      </c>
      <c r="AG57" s="463" t="s">
        <v>375</v>
      </c>
      <c r="AH57" s="476"/>
      <c r="AI57" s="472">
        <v>812053566</v>
      </c>
      <c r="AJ57" s="464"/>
    </row>
    <row r="58" spans="2:36" ht="24" hidden="1" customHeight="1">
      <c r="B58" s="463">
        <v>35</v>
      </c>
      <c r="C58" s="464" t="s">
        <v>165</v>
      </c>
      <c r="D58" s="464" t="s">
        <v>544</v>
      </c>
      <c r="E58" s="464" t="s">
        <v>535</v>
      </c>
      <c r="F58" s="464"/>
      <c r="G58" s="464" t="s">
        <v>247</v>
      </c>
      <c r="H58" s="464" t="s">
        <v>656</v>
      </c>
      <c r="I58" s="466">
        <v>17000</v>
      </c>
      <c r="J58" s="465" t="s">
        <v>537</v>
      </c>
      <c r="K58" s="465" t="s">
        <v>537</v>
      </c>
      <c r="L58" s="466">
        <v>16545</v>
      </c>
      <c r="M58" s="465" t="s">
        <v>537</v>
      </c>
      <c r="N58" s="465" t="s">
        <v>537</v>
      </c>
      <c r="O58" s="463" t="s">
        <v>537</v>
      </c>
      <c r="P58" s="463" t="s">
        <v>537</v>
      </c>
      <c r="Q58" s="465">
        <v>455</v>
      </c>
      <c r="R58" s="470">
        <v>241397</v>
      </c>
      <c r="S58" s="471">
        <v>22270</v>
      </c>
      <c r="T58" s="463">
        <v>50</v>
      </c>
      <c r="U58" s="463">
        <v>7</v>
      </c>
      <c r="V58" s="463">
        <v>0</v>
      </c>
      <c r="W58" s="463">
        <v>80</v>
      </c>
      <c r="X58" s="463">
        <v>3</v>
      </c>
      <c r="Y58" s="463">
        <v>0</v>
      </c>
      <c r="Z58" s="463">
        <v>88.12</v>
      </c>
      <c r="AA58" s="472" t="s">
        <v>547</v>
      </c>
      <c r="AB58" s="463" t="s">
        <v>539</v>
      </c>
      <c r="AC58" s="463" t="s">
        <v>539</v>
      </c>
      <c r="AD58" s="472" t="s">
        <v>548</v>
      </c>
      <c r="AE58" s="463" t="s">
        <v>620</v>
      </c>
      <c r="AF58" s="463">
        <v>90</v>
      </c>
      <c r="AG58" s="463" t="s">
        <v>376</v>
      </c>
      <c r="AH58" s="476"/>
      <c r="AI58" s="472">
        <v>896826198</v>
      </c>
      <c r="AJ58" s="464"/>
    </row>
    <row r="59" spans="2:36" ht="24" hidden="1" customHeight="1">
      <c r="B59" s="463">
        <v>36</v>
      </c>
      <c r="C59" s="464" t="s">
        <v>165</v>
      </c>
      <c r="D59" s="464" t="s">
        <v>544</v>
      </c>
      <c r="E59" s="464" t="s">
        <v>535</v>
      </c>
      <c r="F59" s="464"/>
      <c r="G59" s="464" t="s">
        <v>247</v>
      </c>
      <c r="H59" s="464" t="s">
        <v>657</v>
      </c>
      <c r="I59" s="466">
        <v>12000</v>
      </c>
      <c r="J59" s="465" t="s">
        <v>537</v>
      </c>
      <c r="K59" s="465" t="s">
        <v>537</v>
      </c>
      <c r="L59" s="466">
        <v>11906</v>
      </c>
      <c r="M59" s="465" t="s">
        <v>537</v>
      </c>
      <c r="N59" s="465" t="s">
        <v>537</v>
      </c>
      <c r="O59" s="463" t="s">
        <v>537</v>
      </c>
      <c r="P59" s="463" t="s">
        <v>537</v>
      </c>
      <c r="Q59" s="465">
        <v>94</v>
      </c>
      <c r="R59" s="470">
        <v>241397</v>
      </c>
      <c r="S59" s="471">
        <v>22263</v>
      </c>
      <c r="T59" s="463">
        <v>60</v>
      </c>
      <c r="U59" s="463">
        <v>7</v>
      </c>
      <c r="V59" s="463">
        <v>0</v>
      </c>
      <c r="W59" s="463">
        <v>65</v>
      </c>
      <c r="X59" s="463">
        <v>2</v>
      </c>
      <c r="Y59" s="463">
        <v>0</v>
      </c>
      <c r="Z59" s="463">
        <v>87.6</v>
      </c>
      <c r="AA59" s="472" t="s">
        <v>547</v>
      </c>
      <c r="AB59" s="463" t="s">
        <v>539</v>
      </c>
      <c r="AC59" s="463" t="s">
        <v>539</v>
      </c>
      <c r="AD59" s="472" t="s">
        <v>548</v>
      </c>
      <c r="AE59" s="463" t="s">
        <v>620</v>
      </c>
      <c r="AF59" s="463">
        <v>90.67</v>
      </c>
      <c r="AG59" s="463" t="s">
        <v>376</v>
      </c>
      <c r="AH59" s="476"/>
      <c r="AI59" s="472">
        <v>849984546</v>
      </c>
      <c r="AJ59" s="464"/>
    </row>
    <row r="60" spans="2:36" ht="24" hidden="1" customHeight="1">
      <c r="B60" s="463">
        <v>37</v>
      </c>
      <c r="C60" s="464" t="s">
        <v>165</v>
      </c>
      <c r="D60" s="464" t="s">
        <v>544</v>
      </c>
      <c r="E60" s="464" t="s">
        <v>535</v>
      </c>
      <c r="F60" s="464"/>
      <c r="G60" s="464" t="s">
        <v>247</v>
      </c>
      <c r="H60" s="464" t="s">
        <v>658</v>
      </c>
      <c r="I60" s="466">
        <v>17000</v>
      </c>
      <c r="J60" s="465" t="s">
        <v>537</v>
      </c>
      <c r="K60" s="465" t="s">
        <v>537</v>
      </c>
      <c r="L60" s="466">
        <v>16670</v>
      </c>
      <c r="M60" s="465" t="s">
        <v>537</v>
      </c>
      <c r="N60" s="465" t="s">
        <v>537</v>
      </c>
      <c r="O60" s="463" t="s">
        <v>537</v>
      </c>
      <c r="P60" s="463" t="s">
        <v>537</v>
      </c>
      <c r="Q60" s="465">
        <v>330</v>
      </c>
      <c r="R60" s="470">
        <v>241397</v>
      </c>
      <c r="S60" s="471">
        <v>22262</v>
      </c>
      <c r="T60" s="463">
        <v>83</v>
      </c>
      <c r="U60" s="463">
        <v>7</v>
      </c>
      <c r="V60" s="463">
        <v>0</v>
      </c>
      <c r="W60" s="463">
        <v>80</v>
      </c>
      <c r="X60" s="463">
        <v>0</v>
      </c>
      <c r="Y60" s="463">
        <v>0</v>
      </c>
      <c r="Z60" s="463">
        <v>80.53</v>
      </c>
      <c r="AA60" s="472" t="s">
        <v>547</v>
      </c>
      <c r="AB60" s="463" t="s">
        <v>539</v>
      </c>
      <c r="AC60" s="463" t="s">
        <v>539</v>
      </c>
      <c r="AD60" s="472" t="s">
        <v>548</v>
      </c>
      <c r="AE60" s="463" t="s">
        <v>620</v>
      </c>
      <c r="AF60" s="463">
        <v>80.53</v>
      </c>
      <c r="AG60" s="463" t="s">
        <v>376</v>
      </c>
      <c r="AH60" s="476"/>
      <c r="AI60" s="472">
        <v>954141988</v>
      </c>
      <c r="AJ60" s="464"/>
    </row>
    <row r="61" spans="2:36" ht="24" hidden="1" customHeight="1">
      <c r="B61" s="463">
        <v>38</v>
      </c>
      <c r="C61" s="464" t="s">
        <v>165</v>
      </c>
      <c r="D61" s="464" t="s">
        <v>544</v>
      </c>
      <c r="E61" s="464" t="s">
        <v>535</v>
      </c>
      <c r="F61" s="464"/>
      <c r="G61" s="464" t="s">
        <v>247</v>
      </c>
      <c r="H61" s="464" t="s">
        <v>659</v>
      </c>
      <c r="I61" s="466">
        <v>16000</v>
      </c>
      <c r="J61" s="465" t="s">
        <v>537</v>
      </c>
      <c r="K61" s="465" t="s">
        <v>537</v>
      </c>
      <c r="L61" s="466">
        <v>16000</v>
      </c>
      <c r="M61" s="465" t="s">
        <v>537</v>
      </c>
      <c r="N61" s="465" t="s">
        <v>537</v>
      </c>
      <c r="O61" s="463" t="s">
        <v>537</v>
      </c>
      <c r="P61" s="463" t="s">
        <v>537</v>
      </c>
      <c r="Q61" s="465">
        <v>0</v>
      </c>
      <c r="R61" s="470">
        <v>241428</v>
      </c>
      <c r="S61" s="471">
        <v>22299</v>
      </c>
      <c r="T61" s="463">
        <v>50</v>
      </c>
      <c r="U61" s="463">
        <v>7</v>
      </c>
      <c r="V61" s="463">
        <v>0</v>
      </c>
      <c r="W61" s="463">
        <v>59</v>
      </c>
      <c r="X61" s="463">
        <v>7</v>
      </c>
      <c r="Y61" s="463">
        <v>1</v>
      </c>
      <c r="Z61" s="463">
        <v>99.09</v>
      </c>
      <c r="AA61" s="472" t="s">
        <v>547</v>
      </c>
      <c r="AB61" s="463" t="s">
        <v>539</v>
      </c>
      <c r="AC61" s="463" t="s">
        <v>539</v>
      </c>
      <c r="AD61" s="472" t="s">
        <v>548</v>
      </c>
      <c r="AE61" s="463" t="s">
        <v>620</v>
      </c>
      <c r="AF61" s="463">
        <v>91.75</v>
      </c>
      <c r="AG61" s="463" t="s">
        <v>376</v>
      </c>
      <c r="AH61" s="476"/>
      <c r="AI61" s="472">
        <v>899824767</v>
      </c>
      <c r="AJ61" s="464"/>
    </row>
    <row r="62" spans="2:36" ht="24" hidden="1" customHeight="1">
      <c r="B62" s="463">
        <v>39</v>
      </c>
      <c r="C62" s="464" t="s">
        <v>165</v>
      </c>
      <c r="D62" s="464" t="s">
        <v>544</v>
      </c>
      <c r="E62" s="464" t="s">
        <v>535</v>
      </c>
      <c r="F62" s="464"/>
      <c r="G62" s="464" t="s">
        <v>247</v>
      </c>
      <c r="H62" s="464" t="s">
        <v>660</v>
      </c>
      <c r="I62" s="466">
        <v>14000</v>
      </c>
      <c r="J62" s="465" t="s">
        <v>537</v>
      </c>
      <c r="K62" s="465" t="s">
        <v>537</v>
      </c>
      <c r="L62" s="466">
        <v>13906</v>
      </c>
      <c r="M62" s="465" t="s">
        <v>537</v>
      </c>
      <c r="N62" s="465" t="s">
        <v>537</v>
      </c>
      <c r="O62" s="463" t="s">
        <v>537</v>
      </c>
      <c r="P62" s="463" t="s">
        <v>537</v>
      </c>
      <c r="Q62" s="465">
        <v>94</v>
      </c>
      <c r="R62" s="470">
        <v>241428</v>
      </c>
      <c r="S62" s="471">
        <v>22298</v>
      </c>
      <c r="T62" s="463">
        <v>60</v>
      </c>
      <c r="U62" s="463">
        <v>7</v>
      </c>
      <c r="V62" s="463">
        <v>0</v>
      </c>
      <c r="W62" s="463">
        <v>70</v>
      </c>
      <c r="X62" s="463">
        <v>3</v>
      </c>
      <c r="Y62" s="463">
        <v>3</v>
      </c>
      <c r="Z62" s="463">
        <v>93</v>
      </c>
      <c r="AA62" s="472" t="s">
        <v>547</v>
      </c>
      <c r="AB62" s="463" t="s">
        <v>539</v>
      </c>
      <c r="AC62" s="463" t="s">
        <v>539</v>
      </c>
      <c r="AD62" s="472" t="s">
        <v>548</v>
      </c>
      <c r="AE62" s="463" t="s">
        <v>620</v>
      </c>
      <c r="AF62" s="463">
        <v>90.8</v>
      </c>
      <c r="AG62" s="463" t="s">
        <v>376</v>
      </c>
      <c r="AH62" s="476"/>
      <c r="AI62" s="472">
        <v>897979535</v>
      </c>
      <c r="AJ62" s="464"/>
    </row>
    <row r="63" spans="2:36" ht="24" hidden="1" customHeight="1">
      <c r="B63" s="463">
        <v>40</v>
      </c>
      <c r="C63" s="464" t="s">
        <v>165</v>
      </c>
      <c r="D63" s="464" t="s">
        <v>544</v>
      </c>
      <c r="E63" s="464" t="s">
        <v>535</v>
      </c>
      <c r="F63" s="464"/>
      <c r="G63" s="464" t="s">
        <v>247</v>
      </c>
      <c r="H63" s="464" t="s">
        <v>661</v>
      </c>
      <c r="I63" s="466">
        <v>14000</v>
      </c>
      <c r="J63" s="465" t="s">
        <v>537</v>
      </c>
      <c r="K63" s="465" t="s">
        <v>537</v>
      </c>
      <c r="L63" s="466">
        <v>13765</v>
      </c>
      <c r="M63" s="465" t="s">
        <v>537</v>
      </c>
      <c r="N63" s="465" t="s">
        <v>537</v>
      </c>
      <c r="O63" s="463" t="s">
        <v>537</v>
      </c>
      <c r="P63" s="463" t="s">
        <v>537</v>
      </c>
      <c r="Q63" s="465">
        <v>235</v>
      </c>
      <c r="R63" s="470">
        <v>241459</v>
      </c>
      <c r="S63" s="471">
        <v>22322</v>
      </c>
      <c r="T63" s="463">
        <v>50</v>
      </c>
      <c r="U63" s="463">
        <v>7</v>
      </c>
      <c r="V63" s="463">
        <v>0</v>
      </c>
      <c r="W63" s="463">
        <v>50</v>
      </c>
      <c r="X63" s="463">
        <v>4</v>
      </c>
      <c r="Y63" s="463">
        <v>0</v>
      </c>
      <c r="Z63" s="463">
        <v>90</v>
      </c>
      <c r="AA63" s="472" t="s">
        <v>547</v>
      </c>
      <c r="AB63" s="463" t="s">
        <v>539</v>
      </c>
      <c r="AC63" s="463" t="s">
        <v>539</v>
      </c>
      <c r="AD63" s="472" t="s">
        <v>548</v>
      </c>
      <c r="AE63" s="463" t="s">
        <v>620</v>
      </c>
      <c r="AF63" s="463">
        <v>90</v>
      </c>
      <c r="AG63" s="463" t="s">
        <v>376</v>
      </c>
      <c r="AH63" s="476"/>
      <c r="AI63" s="472">
        <v>967546381</v>
      </c>
      <c r="AJ63" s="464"/>
    </row>
    <row r="64" spans="2:36" ht="24" hidden="1" customHeight="1">
      <c r="B64" s="463">
        <v>41</v>
      </c>
      <c r="C64" s="464" t="s">
        <v>165</v>
      </c>
      <c r="D64" s="464" t="s">
        <v>544</v>
      </c>
      <c r="E64" s="464" t="s">
        <v>535</v>
      </c>
      <c r="F64" s="464"/>
      <c r="G64" s="464" t="s">
        <v>247</v>
      </c>
      <c r="H64" s="464" t="s">
        <v>662</v>
      </c>
      <c r="I64" s="466">
        <v>25000</v>
      </c>
      <c r="J64" s="465" t="s">
        <v>537</v>
      </c>
      <c r="K64" s="465" t="s">
        <v>537</v>
      </c>
      <c r="L64" s="466">
        <v>25000</v>
      </c>
      <c r="M64" s="465" t="s">
        <v>537</v>
      </c>
      <c r="N64" s="465" t="s">
        <v>537</v>
      </c>
      <c r="O64" s="463" t="s">
        <v>537</v>
      </c>
      <c r="P64" s="463" t="s">
        <v>537</v>
      </c>
      <c r="Q64" s="465">
        <v>0</v>
      </c>
      <c r="R64" s="470">
        <v>241459</v>
      </c>
      <c r="S64" s="471">
        <v>22309</v>
      </c>
      <c r="T64" s="463">
        <v>55</v>
      </c>
      <c r="U64" s="463">
        <v>3</v>
      </c>
      <c r="V64" s="463">
        <v>2</v>
      </c>
      <c r="W64" s="463">
        <v>57</v>
      </c>
      <c r="X64" s="463">
        <v>3</v>
      </c>
      <c r="Y64" s="463">
        <v>2</v>
      </c>
      <c r="Z64" s="463">
        <v>86.72</v>
      </c>
      <c r="AA64" s="472" t="s">
        <v>547</v>
      </c>
      <c r="AB64" s="463" t="s">
        <v>539</v>
      </c>
      <c r="AC64" s="463" t="s">
        <v>539</v>
      </c>
      <c r="AD64" s="472" t="s">
        <v>548</v>
      </c>
      <c r="AE64" s="463" t="s">
        <v>620</v>
      </c>
      <c r="AF64" s="463">
        <v>86.83</v>
      </c>
      <c r="AG64" s="463" t="s">
        <v>376</v>
      </c>
      <c r="AH64" s="476"/>
      <c r="AI64" s="472">
        <v>954297754</v>
      </c>
      <c r="AJ64" s="464"/>
    </row>
    <row r="65" spans="2:36" ht="24" hidden="1" customHeight="1">
      <c r="B65" s="463">
        <v>42</v>
      </c>
      <c r="C65" s="464" t="s">
        <v>165</v>
      </c>
      <c r="D65" s="464" t="s">
        <v>544</v>
      </c>
      <c r="E65" s="464" t="s">
        <v>535</v>
      </c>
      <c r="F65" s="464"/>
      <c r="G65" s="464" t="s">
        <v>247</v>
      </c>
      <c r="H65" s="464" t="s">
        <v>663</v>
      </c>
      <c r="I65" s="466">
        <v>40000</v>
      </c>
      <c r="J65" s="465" t="s">
        <v>537</v>
      </c>
      <c r="K65" s="465" t="s">
        <v>537</v>
      </c>
      <c r="L65" s="466">
        <v>40000</v>
      </c>
      <c r="M65" s="465" t="s">
        <v>537</v>
      </c>
      <c r="N65" s="465" t="s">
        <v>537</v>
      </c>
      <c r="O65" s="463" t="s">
        <v>537</v>
      </c>
      <c r="P65" s="463" t="s">
        <v>537</v>
      </c>
      <c r="Q65" s="465">
        <v>0</v>
      </c>
      <c r="R65" s="470">
        <v>241459</v>
      </c>
      <c r="S65" s="463" t="s">
        <v>664</v>
      </c>
      <c r="T65" s="463">
        <v>110</v>
      </c>
      <c r="U65" s="463">
        <v>6</v>
      </c>
      <c r="V65" s="463">
        <v>4</v>
      </c>
      <c r="W65" s="463">
        <v>117</v>
      </c>
      <c r="X65" s="463">
        <v>6</v>
      </c>
      <c r="Y65" s="463">
        <v>4</v>
      </c>
      <c r="Z65" s="463">
        <v>89.35</v>
      </c>
      <c r="AA65" s="472" t="s">
        <v>547</v>
      </c>
      <c r="AB65" s="463" t="s">
        <v>539</v>
      </c>
      <c r="AC65" s="463" t="s">
        <v>539</v>
      </c>
      <c r="AD65" s="472" t="s">
        <v>548</v>
      </c>
      <c r="AE65" s="463" t="s">
        <v>620</v>
      </c>
      <c r="AF65" s="463">
        <v>87.8</v>
      </c>
      <c r="AG65" s="463" t="s">
        <v>376</v>
      </c>
      <c r="AH65" s="476"/>
      <c r="AI65" s="472">
        <v>894711535</v>
      </c>
      <c r="AJ65" s="464"/>
    </row>
    <row r="66" spans="2:36" ht="24" hidden="1" customHeight="1">
      <c r="B66" s="463">
        <v>43</v>
      </c>
      <c r="C66" s="464" t="s">
        <v>165</v>
      </c>
      <c r="D66" s="464" t="s">
        <v>544</v>
      </c>
      <c r="E66" s="464" t="s">
        <v>535</v>
      </c>
      <c r="F66" s="464"/>
      <c r="G66" s="464" t="s">
        <v>247</v>
      </c>
      <c r="H66" s="464" t="s">
        <v>665</v>
      </c>
      <c r="I66" s="466">
        <v>100000</v>
      </c>
      <c r="J66" s="465" t="s">
        <v>537</v>
      </c>
      <c r="K66" s="465" t="s">
        <v>537</v>
      </c>
      <c r="L66" s="466">
        <v>74590</v>
      </c>
      <c r="M66" s="465" t="s">
        <v>537</v>
      </c>
      <c r="N66" s="465" t="s">
        <v>537</v>
      </c>
      <c r="O66" s="463" t="s">
        <v>537</v>
      </c>
      <c r="P66" s="463" t="s">
        <v>537</v>
      </c>
      <c r="Q66" s="468">
        <v>25410</v>
      </c>
      <c r="R66" s="470">
        <v>241459</v>
      </c>
      <c r="S66" s="463" t="s">
        <v>666</v>
      </c>
      <c r="T66" s="463">
        <v>20</v>
      </c>
      <c r="U66" s="463">
        <v>5</v>
      </c>
      <c r="V66" s="463">
        <v>0</v>
      </c>
      <c r="W66" s="463">
        <v>20</v>
      </c>
      <c r="X66" s="463">
        <v>4</v>
      </c>
      <c r="Y66" s="463">
        <v>0</v>
      </c>
      <c r="Z66" s="463">
        <v>85.9</v>
      </c>
      <c r="AA66" s="472" t="s">
        <v>650</v>
      </c>
      <c r="AB66" s="463" t="s">
        <v>641</v>
      </c>
      <c r="AC66" s="463">
        <v>6</v>
      </c>
      <c r="AD66" s="472" t="s">
        <v>651</v>
      </c>
      <c r="AE66" s="463" t="s">
        <v>641</v>
      </c>
      <c r="AF66" s="463">
        <v>6</v>
      </c>
      <c r="AG66" s="463" t="s">
        <v>375</v>
      </c>
      <c r="AH66" s="476"/>
      <c r="AI66" s="472">
        <v>819643283</v>
      </c>
      <c r="AJ66" s="464"/>
    </row>
    <row r="67" spans="2:36" ht="24" hidden="1" customHeight="1">
      <c r="B67" s="463">
        <v>44</v>
      </c>
      <c r="C67" s="464" t="s">
        <v>165</v>
      </c>
      <c r="D67" s="464" t="s">
        <v>544</v>
      </c>
      <c r="E67" s="464" t="s">
        <v>535</v>
      </c>
      <c r="F67" s="464"/>
      <c r="G67" s="464" t="s">
        <v>247</v>
      </c>
      <c r="H67" s="464" t="s">
        <v>667</v>
      </c>
      <c r="I67" s="465" t="s">
        <v>537</v>
      </c>
      <c r="J67" s="466">
        <v>50000</v>
      </c>
      <c r="K67" s="465" t="s">
        <v>537</v>
      </c>
      <c r="L67" s="465" t="s">
        <v>537</v>
      </c>
      <c r="M67" s="466">
        <v>49574</v>
      </c>
      <c r="N67" s="465" t="s">
        <v>537</v>
      </c>
      <c r="O67" s="463" t="s">
        <v>537</v>
      </c>
      <c r="P67" s="463" t="s">
        <v>537</v>
      </c>
      <c r="Q67" s="465">
        <v>426</v>
      </c>
      <c r="R67" s="470">
        <v>241579</v>
      </c>
      <c r="S67" s="471">
        <v>22451</v>
      </c>
      <c r="T67" s="463">
        <v>220</v>
      </c>
      <c r="U67" s="463">
        <v>22</v>
      </c>
      <c r="V67" s="463">
        <v>0</v>
      </c>
      <c r="W67" s="463">
        <v>234</v>
      </c>
      <c r="X67" s="463">
        <v>26</v>
      </c>
      <c r="Y67" s="463">
        <v>0</v>
      </c>
      <c r="Z67" s="463">
        <v>88.21</v>
      </c>
      <c r="AA67" s="472" t="s">
        <v>547</v>
      </c>
      <c r="AB67" s="463" t="s">
        <v>539</v>
      </c>
      <c r="AC67" s="463" t="s">
        <v>539</v>
      </c>
      <c r="AD67" s="472" t="s">
        <v>548</v>
      </c>
      <c r="AE67" s="463" t="s">
        <v>620</v>
      </c>
      <c r="AF67" s="463">
        <v>89.4</v>
      </c>
      <c r="AG67" s="463" t="s">
        <v>376</v>
      </c>
      <c r="AH67" s="476"/>
      <c r="AI67" s="472">
        <v>800393036</v>
      </c>
      <c r="AJ67" s="464"/>
    </row>
    <row r="68" spans="2:36" ht="24" hidden="1" customHeight="1">
      <c r="B68" s="463">
        <v>45</v>
      </c>
      <c r="C68" s="464" t="s">
        <v>165</v>
      </c>
      <c r="D68" s="464" t="s">
        <v>544</v>
      </c>
      <c r="E68" s="464" t="s">
        <v>535</v>
      </c>
      <c r="F68" s="464"/>
      <c r="G68" s="464" t="s">
        <v>247</v>
      </c>
      <c r="H68" s="464" t="s">
        <v>668</v>
      </c>
      <c r="I68" s="465" t="s">
        <v>537</v>
      </c>
      <c r="J68" s="466">
        <v>50000</v>
      </c>
      <c r="K68" s="465" t="s">
        <v>537</v>
      </c>
      <c r="L68" s="465" t="s">
        <v>537</v>
      </c>
      <c r="M68" s="466">
        <v>48000</v>
      </c>
      <c r="N68" s="465" t="s">
        <v>537</v>
      </c>
      <c r="O68" s="463" t="s">
        <v>537</v>
      </c>
      <c r="P68" s="463" t="s">
        <v>537</v>
      </c>
      <c r="Q68" s="468">
        <v>2000</v>
      </c>
      <c r="R68" s="463" t="s">
        <v>643</v>
      </c>
      <c r="S68" s="471">
        <v>22361</v>
      </c>
      <c r="T68" s="463">
        <v>240</v>
      </c>
      <c r="U68" s="463">
        <v>20</v>
      </c>
      <c r="V68" s="463">
        <v>0</v>
      </c>
      <c r="W68" s="463">
        <v>240</v>
      </c>
      <c r="X68" s="463">
        <v>20</v>
      </c>
      <c r="Y68" s="463">
        <v>0</v>
      </c>
      <c r="Z68" s="463">
        <v>86.69</v>
      </c>
      <c r="AA68" s="472" t="s">
        <v>547</v>
      </c>
      <c r="AB68" s="463" t="s">
        <v>539</v>
      </c>
      <c r="AC68" s="463" t="s">
        <v>539</v>
      </c>
      <c r="AD68" s="472" t="s">
        <v>548</v>
      </c>
      <c r="AE68" s="463" t="s">
        <v>620</v>
      </c>
      <c r="AF68" s="463">
        <v>84.22</v>
      </c>
      <c r="AG68" s="463" t="s">
        <v>376</v>
      </c>
      <c r="AH68" s="476"/>
      <c r="AI68" s="472">
        <v>800393036</v>
      </c>
      <c r="AJ68" s="464"/>
    </row>
    <row r="69" spans="2:36" ht="24" hidden="1" customHeight="1">
      <c r="B69" s="463">
        <v>46</v>
      </c>
      <c r="C69" s="464" t="s">
        <v>165</v>
      </c>
      <c r="D69" s="464" t="s">
        <v>544</v>
      </c>
      <c r="E69" s="464" t="s">
        <v>535</v>
      </c>
      <c r="F69" s="464"/>
      <c r="G69" s="464" t="s">
        <v>247</v>
      </c>
      <c r="H69" s="464" t="s">
        <v>669</v>
      </c>
      <c r="I69" s="465" t="s">
        <v>537</v>
      </c>
      <c r="J69" s="466">
        <v>200000</v>
      </c>
      <c r="K69" s="465" t="s">
        <v>537</v>
      </c>
      <c r="L69" s="465" t="s">
        <v>537</v>
      </c>
      <c r="M69" s="466">
        <v>200000</v>
      </c>
      <c r="N69" s="465" t="s">
        <v>537</v>
      </c>
      <c r="O69" s="463" t="s">
        <v>537</v>
      </c>
      <c r="P69" s="463" t="s">
        <v>537</v>
      </c>
      <c r="Q69" s="465">
        <v>0</v>
      </c>
      <c r="R69" s="470">
        <v>241640</v>
      </c>
      <c r="S69" s="463" t="s">
        <v>637</v>
      </c>
      <c r="T69" s="463">
        <v>140</v>
      </c>
      <c r="U69" s="463">
        <v>5</v>
      </c>
      <c r="V69" s="463">
        <v>0</v>
      </c>
      <c r="W69" s="463">
        <v>165</v>
      </c>
      <c r="X69" s="463">
        <v>4</v>
      </c>
      <c r="Y69" s="463">
        <v>1</v>
      </c>
      <c r="Z69" s="463">
        <v>89.94</v>
      </c>
      <c r="AA69" s="472" t="s">
        <v>638</v>
      </c>
      <c r="AB69" s="463" t="s">
        <v>639</v>
      </c>
      <c r="AC69" s="463">
        <v>1</v>
      </c>
      <c r="AD69" s="472" t="s">
        <v>670</v>
      </c>
      <c r="AE69" s="463" t="s">
        <v>641</v>
      </c>
      <c r="AF69" s="463">
        <v>4</v>
      </c>
      <c r="AG69" s="463" t="s">
        <v>375</v>
      </c>
      <c r="AH69" s="476"/>
      <c r="AI69" s="472">
        <v>884499551</v>
      </c>
      <c r="AJ69" s="464"/>
    </row>
    <row r="70" spans="2:36" ht="24" hidden="1" customHeight="1">
      <c r="B70" s="463">
        <v>47</v>
      </c>
      <c r="C70" s="464" t="s">
        <v>165</v>
      </c>
      <c r="D70" s="464" t="s">
        <v>544</v>
      </c>
      <c r="E70" s="464" t="s">
        <v>535</v>
      </c>
      <c r="F70" s="464"/>
      <c r="G70" s="464" t="s">
        <v>247</v>
      </c>
      <c r="H70" s="464" t="s">
        <v>671</v>
      </c>
      <c r="I70" s="465" t="s">
        <v>537</v>
      </c>
      <c r="J70" s="466">
        <v>40000</v>
      </c>
      <c r="K70" s="465" t="s">
        <v>537</v>
      </c>
      <c r="L70" s="465" t="s">
        <v>537</v>
      </c>
      <c r="M70" s="466">
        <v>40000</v>
      </c>
      <c r="N70" s="465" t="s">
        <v>537</v>
      </c>
      <c r="O70" s="463" t="s">
        <v>537</v>
      </c>
      <c r="P70" s="463" t="s">
        <v>537</v>
      </c>
      <c r="Q70" s="465">
        <v>0</v>
      </c>
      <c r="R70" s="470">
        <v>241459</v>
      </c>
      <c r="S70" s="463" t="s">
        <v>672</v>
      </c>
      <c r="T70" s="463">
        <v>70</v>
      </c>
      <c r="U70" s="463">
        <v>2</v>
      </c>
      <c r="V70" s="463">
        <v>0</v>
      </c>
      <c r="W70" s="463">
        <v>72</v>
      </c>
      <c r="X70" s="463">
        <v>2</v>
      </c>
      <c r="Y70" s="463">
        <v>0</v>
      </c>
      <c r="Z70" s="463">
        <v>98.42</v>
      </c>
      <c r="AA70" s="472" t="s">
        <v>547</v>
      </c>
      <c r="AB70" s="463" t="s">
        <v>539</v>
      </c>
      <c r="AC70" s="463" t="s">
        <v>539</v>
      </c>
      <c r="AD70" s="472" t="s">
        <v>548</v>
      </c>
      <c r="AE70" s="463" t="s">
        <v>620</v>
      </c>
      <c r="AF70" s="463">
        <v>98.42</v>
      </c>
      <c r="AG70" s="463" t="s">
        <v>376</v>
      </c>
      <c r="AH70" s="476"/>
      <c r="AI70" s="472">
        <v>871154864</v>
      </c>
      <c r="AJ70" s="464"/>
    </row>
    <row r="71" spans="2:36" ht="24" hidden="1" customHeight="1">
      <c r="B71" s="463">
        <v>48</v>
      </c>
      <c r="C71" s="464" t="s">
        <v>165</v>
      </c>
      <c r="D71" s="464" t="s">
        <v>544</v>
      </c>
      <c r="E71" s="464" t="s">
        <v>535</v>
      </c>
      <c r="F71" s="464"/>
      <c r="G71" s="464" t="s">
        <v>247</v>
      </c>
      <c r="H71" s="464" t="s">
        <v>673</v>
      </c>
      <c r="I71" s="465" t="s">
        <v>537</v>
      </c>
      <c r="J71" s="466">
        <v>40000</v>
      </c>
      <c r="K71" s="465" t="s">
        <v>537</v>
      </c>
      <c r="L71" s="465" t="s">
        <v>537</v>
      </c>
      <c r="M71" s="466">
        <v>39960</v>
      </c>
      <c r="N71" s="465" t="s">
        <v>537</v>
      </c>
      <c r="O71" s="463" t="s">
        <v>537</v>
      </c>
      <c r="P71" s="463" t="s">
        <v>537</v>
      </c>
      <c r="Q71" s="465">
        <v>40</v>
      </c>
      <c r="R71" s="463" t="s">
        <v>643</v>
      </c>
      <c r="S71" s="471">
        <v>22335</v>
      </c>
      <c r="T71" s="463">
        <v>140</v>
      </c>
      <c r="U71" s="463">
        <v>10</v>
      </c>
      <c r="V71" s="463">
        <v>0</v>
      </c>
      <c r="W71" s="463">
        <v>142</v>
      </c>
      <c r="X71" s="463">
        <v>9</v>
      </c>
      <c r="Y71" s="463">
        <v>2</v>
      </c>
      <c r="Z71" s="463">
        <v>85.25</v>
      </c>
      <c r="AA71" s="472" t="s">
        <v>547</v>
      </c>
      <c r="AB71" s="463" t="s">
        <v>539</v>
      </c>
      <c r="AC71" s="463" t="s">
        <v>539</v>
      </c>
      <c r="AD71" s="472" t="s">
        <v>548</v>
      </c>
      <c r="AE71" s="463" t="s">
        <v>620</v>
      </c>
      <c r="AF71" s="463">
        <v>85.59</v>
      </c>
      <c r="AG71" s="463" t="s">
        <v>376</v>
      </c>
      <c r="AH71" s="476"/>
      <c r="AI71" s="472">
        <v>843240815</v>
      </c>
      <c r="AJ71" s="464"/>
    </row>
    <row r="72" spans="2:36" ht="24" hidden="1" customHeight="1">
      <c r="B72" s="463">
        <v>49</v>
      </c>
      <c r="C72" s="464" t="s">
        <v>165</v>
      </c>
      <c r="D72" s="464" t="s">
        <v>544</v>
      </c>
      <c r="E72" s="464" t="s">
        <v>535</v>
      </c>
      <c r="F72" s="464"/>
      <c r="G72" s="464" t="s">
        <v>247</v>
      </c>
      <c r="H72" s="464" t="s">
        <v>674</v>
      </c>
      <c r="I72" s="465" t="s">
        <v>537</v>
      </c>
      <c r="J72" s="466">
        <v>90000</v>
      </c>
      <c r="K72" s="465" t="s">
        <v>537</v>
      </c>
      <c r="L72" s="465" t="s">
        <v>537</v>
      </c>
      <c r="M72" s="466">
        <v>87815</v>
      </c>
      <c r="N72" s="465" t="s">
        <v>537</v>
      </c>
      <c r="O72" s="463" t="s">
        <v>537</v>
      </c>
      <c r="P72" s="463" t="s">
        <v>537</v>
      </c>
      <c r="Q72" s="468">
        <v>2185</v>
      </c>
      <c r="R72" s="470">
        <v>241459</v>
      </c>
      <c r="S72" s="471">
        <v>22340</v>
      </c>
      <c r="T72" s="463">
        <v>140</v>
      </c>
      <c r="U72" s="463">
        <v>10</v>
      </c>
      <c r="V72" s="463">
        <v>0</v>
      </c>
      <c r="W72" s="463">
        <v>150</v>
      </c>
      <c r="X72" s="463">
        <v>10</v>
      </c>
      <c r="Y72" s="463">
        <v>0</v>
      </c>
      <c r="Z72" s="463">
        <v>91.5</v>
      </c>
      <c r="AA72" s="472" t="s">
        <v>547</v>
      </c>
      <c r="AB72" s="463" t="s">
        <v>539</v>
      </c>
      <c r="AC72" s="463" t="s">
        <v>539</v>
      </c>
      <c r="AD72" s="472" t="s">
        <v>675</v>
      </c>
      <c r="AE72" s="463" t="s">
        <v>620</v>
      </c>
      <c r="AF72" s="463">
        <v>92</v>
      </c>
      <c r="AG72" s="463" t="s">
        <v>376</v>
      </c>
      <c r="AH72" s="476"/>
      <c r="AI72" s="472">
        <v>819643283</v>
      </c>
      <c r="AJ72" s="464"/>
    </row>
    <row r="73" spans="2:36" ht="24" hidden="1" customHeight="1">
      <c r="B73" s="463">
        <v>50</v>
      </c>
      <c r="C73" s="464" t="s">
        <v>165</v>
      </c>
      <c r="D73" s="464" t="s">
        <v>544</v>
      </c>
      <c r="E73" s="464" t="s">
        <v>535</v>
      </c>
      <c r="F73" s="464"/>
      <c r="G73" s="464" t="s">
        <v>247</v>
      </c>
      <c r="H73" s="464" t="s">
        <v>676</v>
      </c>
      <c r="I73" s="465" t="s">
        <v>537</v>
      </c>
      <c r="J73" s="466">
        <v>19000</v>
      </c>
      <c r="K73" s="465" t="s">
        <v>537</v>
      </c>
      <c r="L73" s="465" t="s">
        <v>537</v>
      </c>
      <c r="M73" s="466">
        <v>14609</v>
      </c>
      <c r="N73" s="465" t="s">
        <v>537</v>
      </c>
      <c r="O73" s="463" t="s">
        <v>537</v>
      </c>
      <c r="P73" s="463" t="s">
        <v>537</v>
      </c>
      <c r="Q73" s="468">
        <v>4391</v>
      </c>
      <c r="R73" s="470">
        <v>241609</v>
      </c>
      <c r="S73" s="471">
        <v>22362</v>
      </c>
      <c r="T73" s="463">
        <v>0</v>
      </c>
      <c r="U73" s="463">
        <v>53</v>
      </c>
      <c r="V73" s="463">
        <v>1</v>
      </c>
      <c r="W73" s="463">
        <v>10</v>
      </c>
      <c r="X73" s="463">
        <v>27</v>
      </c>
      <c r="Y73" s="463">
        <v>3</v>
      </c>
      <c r="Z73" s="463">
        <v>85</v>
      </c>
      <c r="AA73" s="472" t="s">
        <v>677</v>
      </c>
      <c r="AB73" s="463" t="s">
        <v>539</v>
      </c>
      <c r="AC73" s="463" t="s">
        <v>539</v>
      </c>
      <c r="AD73" s="472" t="s">
        <v>548</v>
      </c>
      <c r="AE73" s="463" t="s">
        <v>620</v>
      </c>
      <c r="AF73" s="463">
        <v>87</v>
      </c>
      <c r="AG73" s="463" t="s">
        <v>376</v>
      </c>
      <c r="AH73" s="476"/>
      <c r="AI73" s="472">
        <v>843240815</v>
      </c>
      <c r="AJ73" s="464"/>
    </row>
    <row r="74" spans="2:36" ht="24" hidden="1" customHeight="1">
      <c r="B74" s="463">
        <v>51</v>
      </c>
      <c r="C74" s="464" t="s">
        <v>165</v>
      </c>
      <c r="D74" s="464" t="s">
        <v>544</v>
      </c>
      <c r="E74" s="464" t="s">
        <v>535</v>
      </c>
      <c r="F74" s="464"/>
      <c r="G74" s="464" t="s">
        <v>247</v>
      </c>
      <c r="H74" s="464" t="s">
        <v>678</v>
      </c>
      <c r="I74" s="465" t="s">
        <v>537</v>
      </c>
      <c r="J74" s="466">
        <v>40000</v>
      </c>
      <c r="K74" s="465" t="s">
        <v>537</v>
      </c>
      <c r="L74" s="465" t="s">
        <v>537</v>
      </c>
      <c r="M74" s="466">
        <v>39880</v>
      </c>
      <c r="N74" s="465" t="s">
        <v>537</v>
      </c>
      <c r="O74" s="463" t="s">
        <v>537</v>
      </c>
      <c r="P74" s="463" t="s">
        <v>537</v>
      </c>
      <c r="Q74" s="465">
        <v>120</v>
      </c>
      <c r="R74" s="470">
        <v>241487</v>
      </c>
      <c r="S74" s="463" t="s">
        <v>679</v>
      </c>
      <c r="T74" s="463">
        <v>80</v>
      </c>
      <c r="U74" s="463">
        <v>4</v>
      </c>
      <c r="V74" s="463">
        <v>0</v>
      </c>
      <c r="W74" s="463">
        <v>80</v>
      </c>
      <c r="X74" s="463">
        <v>4</v>
      </c>
      <c r="Y74" s="463">
        <v>0</v>
      </c>
      <c r="Z74" s="463">
        <v>80</v>
      </c>
      <c r="AA74" s="472" t="s">
        <v>633</v>
      </c>
      <c r="AB74" s="463" t="s">
        <v>539</v>
      </c>
      <c r="AC74" s="463" t="s">
        <v>539</v>
      </c>
      <c r="AD74" s="472" t="s">
        <v>635</v>
      </c>
      <c r="AE74" s="463" t="s">
        <v>539</v>
      </c>
      <c r="AF74" s="463" t="s">
        <v>539</v>
      </c>
      <c r="AG74" s="463" t="s">
        <v>375</v>
      </c>
      <c r="AH74" s="476"/>
      <c r="AI74" s="472">
        <v>875451591</v>
      </c>
      <c r="AJ74" s="464"/>
    </row>
    <row r="75" spans="2:36" ht="24" hidden="1" customHeight="1">
      <c r="B75" s="463">
        <v>52</v>
      </c>
      <c r="C75" s="464" t="s">
        <v>165</v>
      </c>
      <c r="D75" s="464" t="s">
        <v>544</v>
      </c>
      <c r="E75" s="464" t="s">
        <v>535</v>
      </c>
      <c r="F75" s="464"/>
      <c r="G75" s="464" t="s">
        <v>247</v>
      </c>
      <c r="H75" s="464" t="s">
        <v>680</v>
      </c>
      <c r="I75" s="465" t="s">
        <v>537</v>
      </c>
      <c r="J75" s="466">
        <v>21000</v>
      </c>
      <c r="K75" s="465" t="s">
        <v>537</v>
      </c>
      <c r="L75" s="465" t="s">
        <v>537</v>
      </c>
      <c r="M75" s="466">
        <v>19931</v>
      </c>
      <c r="N75" s="465" t="s">
        <v>537</v>
      </c>
      <c r="O75" s="463" t="s">
        <v>537</v>
      </c>
      <c r="P75" s="463" t="s">
        <v>537</v>
      </c>
      <c r="Q75" s="468">
        <v>1069</v>
      </c>
      <c r="R75" s="470">
        <v>241640</v>
      </c>
      <c r="S75" s="471">
        <v>22363</v>
      </c>
      <c r="T75" s="463">
        <v>0</v>
      </c>
      <c r="U75" s="463">
        <v>54</v>
      </c>
      <c r="V75" s="463">
        <v>1</v>
      </c>
      <c r="W75" s="463">
        <v>11</v>
      </c>
      <c r="X75" s="463">
        <v>28</v>
      </c>
      <c r="Y75" s="463">
        <v>7</v>
      </c>
      <c r="Z75" s="463">
        <v>89</v>
      </c>
      <c r="AA75" s="472" t="s">
        <v>677</v>
      </c>
      <c r="AB75" s="463" t="s">
        <v>539</v>
      </c>
      <c r="AC75" s="463" t="s">
        <v>539</v>
      </c>
      <c r="AD75" s="472" t="s">
        <v>548</v>
      </c>
      <c r="AE75" s="463" t="s">
        <v>620</v>
      </c>
      <c r="AF75" s="463">
        <v>90</v>
      </c>
      <c r="AG75" s="463" t="s">
        <v>376</v>
      </c>
      <c r="AH75" s="476"/>
      <c r="AI75" s="472">
        <v>843240815</v>
      </c>
      <c r="AJ75" s="464"/>
    </row>
    <row r="76" spans="2:36" ht="24" hidden="1" customHeight="1">
      <c r="B76" s="463">
        <v>53</v>
      </c>
      <c r="C76" s="464" t="s">
        <v>534</v>
      </c>
      <c r="D76" s="464"/>
      <c r="E76" s="464" t="s">
        <v>577</v>
      </c>
      <c r="F76" s="464"/>
      <c r="G76" s="464" t="s">
        <v>247</v>
      </c>
      <c r="H76" s="464" t="s">
        <v>681</v>
      </c>
      <c r="I76" s="465" t="s">
        <v>537</v>
      </c>
      <c r="J76" s="465" t="s">
        <v>537</v>
      </c>
      <c r="K76" s="466">
        <v>40000</v>
      </c>
      <c r="L76" s="465" t="s">
        <v>537</v>
      </c>
      <c r="M76" s="465" t="s">
        <v>537</v>
      </c>
      <c r="N76" s="466">
        <v>40000</v>
      </c>
      <c r="O76" s="463" t="s">
        <v>537</v>
      </c>
      <c r="P76" s="463" t="s">
        <v>537</v>
      </c>
      <c r="Q76" s="465">
        <v>0</v>
      </c>
      <c r="R76" s="470">
        <v>241459</v>
      </c>
      <c r="S76" s="463" t="s">
        <v>682</v>
      </c>
      <c r="T76" s="463">
        <v>35</v>
      </c>
      <c r="U76" s="463">
        <v>15</v>
      </c>
      <c r="V76" s="463">
        <v>0</v>
      </c>
      <c r="W76" s="463">
        <v>5</v>
      </c>
      <c r="X76" s="463">
        <v>5</v>
      </c>
      <c r="Y76" s="463">
        <v>45</v>
      </c>
      <c r="Z76" s="463">
        <v>84.21</v>
      </c>
      <c r="AA76" s="472" t="s">
        <v>683</v>
      </c>
      <c r="AB76" s="463" t="s">
        <v>539</v>
      </c>
      <c r="AC76" s="463" t="s">
        <v>539</v>
      </c>
      <c r="AD76" s="472" t="s">
        <v>684</v>
      </c>
      <c r="AE76" s="463">
        <v>80</v>
      </c>
      <c r="AF76" s="463">
        <v>84.21</v>
      </c>
      <c r="AG76" s="463" t="s">
        <v>375</v>
      </c>
      <c r="AH76" s="476"/>
      <c r="AI76" s="472">
        <v>982692621</v>
      </c>
      <c r="AJ76" s="472" t="s">
        <v>543</v>
      </c>
    </row>
    <row r="77" spans="2:36" ht="24" hidden="1" customHeight="1">
      <c r="B77" s="463">
        <v>54</v>
      </c>
      <c r="C77" s="464" t="s">
        <v>10</v>
      </c>
      <c r="D77" s="464"/>
      <c r="E77" s="464" t="s">
        <v>558</v>
      </c>
      <c r="F77" s="464" t="s">
        <v>685</v>
      </c>
      <c r="G77" s="464" t="s">
        <v>247</v>
      </c>
      <c r="H77" s="464" t="s">
        <v>686</v>
      </c>
      <c r="I77" s="465" t="s">
        <v>537</v>
      </c>
      <c r="J77" s="465" t="s">
        <v>537</v>
      </c>
      <c r="K77" s="466">
        <v>20000</v>
      </c>
      <c r="L77" s="465" t="s">
        <v>537</v>
      </c>
      <c r="M77" s="465" t="s">
        <v>537</v>
      </c>
      <c r="N77" s="466">
        <v>13149</v>
      </c>
      <c r="O77" s="463" t="s">
        <v>537</v>
      </c>
      <c r="P77" s="463" t="s">
        <v>537</v>
      </c>
      <c r="Q77" s="468">
        <v>6851</v>
      </c>
      <c r="R77" s="470">
        <v>241579</v>
      </c>
      <c r="S77" s="471">
        <v>22452</v>
      </c>
      <c r="T77" s="463">
        <v>0</v>
      </c>
      <c r="U77" s="463">
        <v>33</v>
      </c>
      <c r="V77" s="463">
        <v>9</v>
      </c>
      <c r="W77" s="463">
        <v>3</v>
      </c>
      <c r="X77" s="463">
        <v>17</v>
      </c>
      <c r="Y77" s="463">
        <v>3</v>
      </c>
      <c r="Z77" s="463">
        <v>87.64</v>
      </c>
      <c r="AA77" s="472" t="s">
        <v>547</v>
      </c>
      <c r="AB77" s="463" t="s">
        <v>539</v>
      </c>
      <c r="AC77" s="463" t="s">
        <v>539</v>
      </c>
      <c r="AD77" s="472" t="s">
        <v>548</v>
      </c>
      <c r="AE77" s="463">
        <v>80</v>
      </c>
      <c r="AF77" s="463">
        <v>87.3</v>
      </c>
      <c r="AG77" s="463" t="s">
        <v>375</v>
      </c>
      <c r="AH77" s="476"/>
      <c r="AI77" s="472">
        <v>819643283</v>
      </c>
      <c r="AJ77" s="472" t="s">
        <v>562</v>
      </c>
    </row>
    <row r="78" spans="2:36" ht="24" hidden="1" customHeight="1">
      <c r="B78" s="463">
        <v>55</v>
      </c>
      <c r="C78" s="464" t="s">
        <v>10</v>
      </c>
      <c r="D78" s="464"/>
      <c r="E78" s="464" t="s">
        <v>558</v>
      </c>
      <c r="F78" s="464" t="s">
        <v>685</v>
      </c>
      <c r="G78" s="464" t="s">
        <v>247</v>
      </c>
      <c r="H78" s="464" t="s">
        <v>687</v>
      </c>
      <c r="I78" s="465" t="s">
        <v>537</v>
      </c>
      <c r="J78" s="465" t="s">
        <v>537</v>
      </c>
      <c r="K78" s="466">
        <v>30000</v>
      </c>
      <c r="L78" s="465" t="s">
        <v>537</v>
      </c>
      <c r="M78" s="465" t="s">
        <v>537</v>
      </c>
      <c r="N78" s="466">
        <v>21480</v>
      </c>
      <c r="O78" s="463" t="s">
        <v>537</v>
      </c>
      <c r="P78" s="463" t="s">
        <v>537</v>
      </c>
      <c r="Q78" s="468">
        <v>8520</v>
      </c>
      <c r="R78" s="470">
        <v>241609</v>
      </c>
      <c r="S78" s="471">
        <v>22478</v>
      </c>
      <c r="T78" s="463">
        <v>0</v>
      </c>
      <c r="U78" s="463">
        <v>42</v>
      </c>
      <c r="V78" s="463">
        <v>10</v>
      </c>
      <c r="W78" s="463">
        <v>9</v>
      </c>
      <c r="X78" s="463">
        <v>42</v>
      </c>
      <c r="Y78" s="463">
        <v>4</v>
      </c>
      <c r="Z78" s="463">
        <v>85.59</v>
      </c>
      <c r="AA78" s="472" t="s">
        <v>630</v>
      </c>
      <c r="AB78" s="463" t="s">
        <v>539</v>
      </c>
      <c r="AC78" s="463" t="s">
        <v>539</v>
      </c>
      <c r="AD78" s="472" t="s">
        <v>548</v>
      </c>
      <c r="AE78" s="463">
        <v>80</v>
      </c>
      <c r="AF78" s="463">
        <v>85.25</v>
      </c>
      <c r="AG78" s="463" t="s">
        <v>375</v>
      </c>
      <c r="AH78" s="476"/>
      <c r="AI78" s="472">
        <v>819643283</v>
      </c>
      <c r="AJ78" s="472" t="s">
        <v>562</v>
      </c>
    </row>
    <row r="79" spans="2:36" ht="24" hidden="1" customHeight="1">
      <c r="B79" s="463">
        <v>56</v>
      </c>
      <c r="C79" s="464" t="s">
        <v>10</v>
      </c>
      <c r="D79" s="464"/>
      <c r="E79" s="464" t="s">
        <v>558</v>
      </c>
      <c r="F79" s="464"/>
      <c r="G79" s="464" t="s">
        <v>247</v>
      </c>
      <c r="H79" s="464" t="s">
        <v>688</v>
      </c>
      <c r="I79" s="465" t="s">
        <v>537</v>
      </c>
      <c r="J79" s="465" t="s">
        <v>537</v>
      </c>
      <c r="K79" s="466">
        <v>54000</v>
      </c>
      <c r="L79" s="465" t="s">
        <v>537</v>
      </c>
      <c r="M79" s="465" t="s">
        <v>537</v>
      </c>
      <c r="N79" s="466">
        <v>46868.5</v>
      </c>
      <c r="O79" s="463" t="s">
        <v>537</v>
      </c>
      <c r="P79" s="463" t="s">
        <v>537</v>
      </c>
      <c r="Q79" s="468">
        <v>7132</v>
      </c>
      <c r="R79" s="470">
        <v>241609</v>
      </c>
      <c r="S79" s="463" t="s">
        <v>689</v>
      </c>
      <c r="T79" s="463">
        <v>0</v>
      </c>
      <c r="U79" s="463">
        <v>16</v>
      </c>
      <c r="V79" s="463">
        <v>3</v>
      </c>
      <c r="W79" s="463">
        <v>0</v>
      </c>
      <c r="X79" s="463">
        <v>16</v>
      </c>
      <c r="Y79" s="463">
        <v>3</v>
      </c>
      <c r="Z79" s="463">
        <v>92.5</v>
      </c>
      <c r="AA79" s="472" t="s">
        <v>547</v>
      </c>
      <c r="AB79" s="463" t="s">
        <v>539</v>
      </c>
      <c r="AC79" s="463" t="s">
        <v>539</v>
      </c>
      <c r="AD79" s="472" t="s">
        <v>690</v>
      </c>
      <c r="AE79" s="463">
        <v>80</v>
      </c>
      <c r="AF79" s="463">
        <v>92</v>
      </c>
      <c r="AG79" s="463" t="s">
        <v>375</v>
      </c>
      <c r="AH79" s="476"/>
      <c r="AI79" s="472">
        <v>819643283</v>
      </c>
      <c r="AJ79" s="472" t="s">
        <v>562</v>
      </c>
    </row>
    <row r="80" spans="2:36" ht="24" hidden="1" customHeight="1">
      <c r="B80" s="463">
        <v>57</v>
      </c>
      <c r="C80" s="464" t="s">
        <v>10</v>
      </c>
      <c r="D80" s="464"/>
      <c r="E80" s="464" t="s">
        <v>558</v>
      </c>
      <c r="F80" s="464"/>
      <c r="G80" s="464" t="s">
        <v>247</v>
      </c>
      <c r="H80" s="464" t="s">
        <v>691</v>
      </c>
      <c r="I80" s="465" t="s">
        <v>537</v>
      </c>
      <c r="J80" s="465" t="s">
        <v>537</v>
      </c>
      <c r="K80" s="466">
        <v>40000</v>
      </c>
      <c r="L80" s="465" t="s">
        <v>537</v>
      </c>
      <c r="M80" s="465" t="s">
        <v>537</v>
      </c>
      <c r="N80" s="466">
        <v>18519</v>
      </c>
      <c r="O80" s="463" t="s">
        <v>537</v>
      </c>
      <c r="P80" s="463" t="s">
        <v>537</v>
      </c>
      <c r="Q80" s="468">
        <v>21481</v>
      </c>
      <c r="R80" s="470">
        <v>241579</v>
      </c>
      <c r="S80" s="463" t="s">
        <v>692</v>
      </c>
      <c r="T80" s="463">
        <v>0</v>
      </c>
      <c r="U80" s="463">
        <v>23</v>
      </c>
      <c r="V80" s="463">
        <v>4</v>
      </c>
      <c r="W80" s="463">
        <v>0</v>
      </c>
      <c r="X80" s="463">
        <v>24</v>
      </c>
      <c r="Y80" s="463">
        <v>4</v>
      </c>
      <c r="Z80" s="463">
        <v>90.23</v>
      </c>
      <c r="AA80" s="472" t="s">
        <v>693</v>
      </c>
      <c r="AB80" s="463">
        <v>100</v>
      </c>
      <c r="AC80" s="463">
        <v>100</v>
      </c>
      <c r="AD80" s="472" t="s">
        <v>694</v>
      </c>
      <c r="AE80" s="463">
        <v>100</v>
      </c>
      <c r="AF80" s="463">
        <v>100</v>
      </c>
      <c r="AG80" s="463" t="s">
        <v>375</v>
      </c>
      <c r="AH80" s="476"/>
      <c r="AI80" s="472">
        <v>819643283</v>
      </c>
      <c r="AJ80" s="472" t="s">
        <v>562</v>
      </c>
    </row>
    <row r="81" spans="2:36" ht="24" hidden="1" customHeight="1">
      <c r="B81" s="463">
        <v>58</v>
      </c>
      <c r="C81" s="464" t="s">
        <v>10</v>
      </c>
      <c r="D81" s="464"/>
      <c r="E81" s="464" t="s">
        <v>558</v>
      </c>
      <c r="F81" s="464"/>
      <c r="G81" s="464" t="s">
        <v>247</v>
      </c>
      <c r="H81" s="464" t="s">
        <v>695</v>
      </c>
      <c r="I81" s="465" t="s">
        <v>537</v>
      </c>
      <c r="J81" s="465" t="s">
        <v>537</v>
      </c>
      <c r="K81" s="466">
        <v>50000</v>
      </c>
      <c r="L81" s="465" t="s">
        <v>537</v>
      </c>
      <c r="M81" s="465" t="s">
        <v>537</v>
      </c>
      <c r="N81" s="466">
        <v>50000</v>
      </c>
      <c r="O81" s="463" t="s">
        <v>537</v>
      </c>
      <c r="P81" s="463" t="s">
        <v>537</v>
      </c>
      <c r="Q81" s="465">
        <v>0</v>
      </c>
      <c r="R81" s="470">
        <v>241609</v>
      </c>
      <c r="S81" s="463" t="s">
        <v>696</v>
      </c>
      <c r="T81" s="463">
        <v>0</v>
      </c>
      <c r="U81" s="463">
        <v>4</v>
      </c>
      <c r="V81" s="463">
        <v>0</v>
      </c>
      <c r="W81" s="463">
        <v>0</v>
      </c>
      <c r="X81" s="463">
        <v>4</v>
      </c>
      <c r="Y81" s="463">
        <v>0</v>
      </c>
      <c r="Z81" s="463">
        <v>98.5</v>
      </c>
      <c r="AA81" s="472" t="s">
        <v>547</v>
      </c>
      <c r="AB81" s="463" t="s">
        <v>539</v>
      </c>
      <c r="AC81" s="463" t="s">
        <v>539</v>
      </c>
      <c r="AD81" s="472" t="s">
        <v>548</v>
      </c>
      <c r="AE81" s="463" t="s">
        <v>539</v>
      </c>
      <c r="AF81" s="463" t="s">
        <v>539</v>
      </c>
      <c r="AG81" s="463" t="s">
        <v>375</v>
      </c>
      <c r="AH81" s="476"/>
      <c r="AI81" s="472">
        <v>894711535</v>
      </c>
      <c r="AJ81" s="472" t="s">
        <v>562</v>
      </c>
    </row>
    <row r="82" spans="2:36" ht="24" hidden="1" customHeight="1">
      <c r="B82" s="463">
        <v>59</v>
      </c>
      <c r="C82" s="464" t="s">
        <v>10</v>
      </c>
      <c r="D82" s="464"/>
      <c r="E82" s="464" t="s">
        <v>558</v>
      </c>
      <c r="F82" s="464"/>
      <c r="G82" s="464" t="s">
        <v>247</v>
      </c>
      <c r="H82" s="464" t="s">
        <v>697</v>
      </c>
      <c r="I82" s="465" t="s">
        <v>537</v>
      </c>
      <c r="J82" s="465" t="s">
        <v>537</v>
      </c>
      <c r="K82" s="466">
        <v>98040</v>
      </c>
      <c r="L82" s="465" t="s">
        <v>537</v>
      </c>
      <c r="M82" s="465" t="s">
        <v>537</v>
      </c>
      <c r="N82" s="466">
        <v>62760</v>
      </c>
      <c r="O82" s="463" t="s">
        <v>537</v>
      </c>
      <c r="P82" s="463" t="s">
        <v>537</v>
      </c>
      <c r="Q82" s="468">
        <v>35280</v>
      </c>
      <c r="R82" s="470">
        <v>241640</v>
      </c>
      <c r="S82" s="463" t="s">
        <v>698</v>
      </c>
      <c r="T82" s="463">
        <v>0</v>
      </c>
      <c r="U82" s="463">
        <v>20</v>
      </c>
      <c r="V82" s="463">
        <v>0</v>
      </c>
      <c r="W82" s="463">
        <v>0</v>
      </c>
      <c r="X82" s="463">
        <v>16</v>
      </c>
      <c r="Y82" s="463">
        <v>0</v>
      </c>
      <c r="Z82" s="463">
        <v>85</v>
      </c>
      <c r="AA82" s="472" t="s">
        <v>547</v>
      </c>
      <c r="AB82" s="463" t="s">
        <v>539</v>
      </c>
      <c r="AC82" s="463" t="s">
        <v>539</v>
      </c>
      <c r="AD82" s="472" t="s">
        <v>699</v>
      </c>
      <c r="AE82" s="463">
        <v>1</v>
      </c>
      <c r="AF82" s="463">
        <v>1</v>
      </c>
      <c r="AG82" s="463" t="s">
        <v>375</v>
      </c>
      <c r="AH82" s="476"/>
      <c r="AI82" s="472">
        <v>819643283</v>
      </c>
      <c r="AJ82" s="472" t="s">
        <v>562</v>
      </c>
    </row>
    <row r="83" spans="2:36" ht="24" hidden="1" customHeight="1">
      <c r="B83" s="463">
        <v>60</v>
      </c>
      <c r="C83" s="464" t="s">
        <v>337</v>
      </c>
      <c r="D83" s="464" t="s">
        <v>544</v>
      </c>
      <c r="E83" s="464" t="s">
        <v>545</v>
      </c>
      <c r="F83" s="464"/>
      <c r="G83" s="464" t="s">
        <v>247</v>
      </c>
      <c r="H83" s="464" t="s">
        <v>700</v>
      </c>
      <c r="I83" s="466">
        <v>15000</v>
      </c>
      <c r="J83" s="465" t="s">
        <v>537</v>
      </c>
      <c r="K83" s="465" t="s">
        <v>537</v>
      </c>
      <c r="L83" s="466">
        <v>15000</v>
      </c>
      <c r="M83" s="465" t="s">
        <v>537</v>
      </c>
      <c r="N83" s="465" t="s">
        <v>537</v>
      </c>
      <c r="O83" s="463" t="s">
        <v>537</v>
      </c>
      <c r="P83" s="463" t="s">
        <v>537</v>
      </c>
      <c r="Q83" s="465">
        <v>0</v>
      </c>
      <c r="R83" s="470">
        <v>241518</v>
      </c>
      <c r="S83" s="471">
        <v>22381</v>
      </c>
      <c r="T83" s="463">
        <v>10</v>
      </c>
      <c r="U83" s="463">
        <v>2</v>
      </c>
      <c r="V83" s="463">
        <v>20</v>
      </c>
      <c r="W83" s="463">
        <v>10</v>
      </c>
      <c r="X83" s="463">
        <v>2</v>
      </c>
      <c r="Y83" s="463">
        <v>20</v>
      </c>
      <c r="Z83" s="463">
        <v>98.8</v>
      </c>
      <c r="AA83" s="472" t="s">
        <v>547</v>
      </c>
      <c r="AB83" s="463" t="s">
        <v>539</v>
      </c>
      <c r="AC83" s="463" t="s">
        <v>539</v>
      </c>
      <c r="AD83" s="472" t="s">
        <v>548</v>
      </c>
      <c r="AE83" s="463" t="s">
        <v>620</v>
      </c>
      <c r="AF83" s="463">
        <v>96.6</v>
      </c>
      <c r="AG83" s="463" t="s">
        <v>376</v>
      </c>
      <c r="AH83" s="476"/>
      <c r="AI83" s="472">
        <v>967546381</v>
      </c>
      <c r="AJ83" s="464"/>
    </row>
    <row r="84" spans="2:36" ht="24" hidden="1" customHeight="1">
      <c r="B84" s="463">
        <v>61</v>
      </c>
      <c r="C84" s="464" t="s">
        <v>337</v>
      </c>
      <c r="D84" s="464" t="s">
        <v>544</v>
      </c>
      <c r="E84" s="464" t="s">
        <v>545</v>
      </c>
      <c r="F84" s="464"/>
      <c r="G84" s="464" t="s">
        <v>247</v>
      </c>
      <c r="H84" s="464" t="s">
        <v>701</v>
      </c>
      <c r="I84" s="466">
        <v>20000</v>
      </c>
      <c r="J84" s="465" t="s">
        <v>537</v>
      </c>
      <c r="K84" s="465" t="s">
        <v>537</v>
      </c>
      <c r="L84" s="466">
        <v>20000</v>
      </c>
      <c r="M84" s="465" t="s">
        <v>537</v>
      </c>
      <c r="N84" s="465" t="s">
        <v>537</v>
      </c>
      <c r="O84" s="463" t="s">
        <v>537</v>
      </c>
      <c r="P84" s="463" t="s">
        <v>537</v>
      </c>
      <c r="Q84" s="465">
        <v>0</v>
      </c>
      <c r="R84" s="470">
        <v>241459</v>
      </c>
      <c r="S84" s="463" t="s">
        <v>682</v>
      </c>
      <c r="T84" s="463">
        <v>3</v>
      </c>
      <c r="U84" s="463">
        <v>0</v>
      </c>
      <c r="V84" s="463">
        <v>30</v>
      </c>
      <c r="W84" s="463">
        <v>0</v>
      </c>
      <c r="X84" s="463">
        <v>3</v>
      </c>
      <c r="Y84" s="463">
        <v>35</v>
      </c>
      <c r="Z84" s="463">
        <v>87</v>
      </c>
      <c r="AA84" s="472" t="s">
        <v>547</v>
      </c>
      <c r="AB84" s="463" t="s">
        <v>539</v>
      </c>
      <c r="AC84" s="463" t="s">
        <v>539</v>
      </c>
      <c r="AD84" s="472" t="s">
        <v>548</v>
      </c>
      <c r="AE84" s="463" t="s">
        <v>620</v>
      </c>
      <c r="AF84" s="463">
        <v>89</v>
      </c>
      <c r="AG84" s="463" t="s">
        <v>376</v>
      </c>
      <c r="AH84" s="476"/>
      <c r="AI84" s="472">
        <v>894645023</v>
      </c>
      <c r="AJ84" s="464"/>
    </row>
    <row r="85" spans="2:36" ht="24" hidden="1" customHeight="1">
      <c r="B85" s="463">
        <v>62</v>
      </c>
      <c r="C85" s="464" t="s">
        <v>337</v>
      </c>
      <c r="D85" s="464" t="s">
        <v>544</v>
      </c>
      <c r="E85" s="464" t="s">
        <v>545</v>
      </c>
      <c r="F85" s="464"/>
      <c r="G85" s="464" t="s">
        <v>247</v>
      </c>
      <c r="H85" s="464" t="s">
        <v>702</v>
      </c>
      <c r="I85" s="466">
        <v>30000</v>
      </c>
      <c r="J85" s="465" t="s">
        <v>537</v>
      </c>
      <c r="K85" s="465" t="s">
        <v>537</v>
      </c>
      <c r="L85" s="466">
        <v>29900</v>
      </c>
      <c r="M85" s="465" t="s">
        <v>537</v>
      </c>
      <c r="N85" s="465" t="s">
        <v>537</v>
      </c>
      <c r="O85" s="463" t="s">
        <v>537</v>
      </c>
      <c r="P85" s="463" t="s">
        <v>537</v>
      </c>
      <c r="Q85" s="465">
        <v>100</v>
      </c>
      <c r="R85" s="470">
        <v>241487</v>
      </c>
      <c r="S85" s="463" t="s">
        <v>703</v>
      </c>
      <c r="T85" s="463">
        <v>5</v>
      </c>
      <c r="U85" s="463">
        <v>5</v>
      </c>
      <c r="V85" s="463">
        <v>30</v>
      </c>
      <c r="W85" s="463">
        <v>5</v>
      </c>
      <c r="X85" s="463">
        <v>5</v>
      </c>
      <c r="Y85" s="463">
        <v>32</v>
      </c>
      <c r="Z85" s="463">
        <v>87.16</v>
      </c>
      <c r="AA85" s="472" t="s">
        <v>547</v>
      </c>
      <c r="AB85" s="463" t="s">
        <v>539</v>
      </c>
      <c r="AC85" s="463" t="s">
        <v>539</v>
      </c>
      <c r="AD85" s="472" t="s">
        <v>548</v>
      </c>
      <c r="AE85" s="463" t="s">
        <v>620</v>
      </c>
      <c r="AF85" s="463">
        <v>88.5</v>
      </c>
      <c r="AG85" s="463" t="s">
        <v>376</v>
      </c>
      <c r="AH85" s="476"/>
      <c r="AI85" s="472">
        <v>954305199</v>
      </c>
      <c r="AJ85" s="464"/>
    </row>
    <row r="86" spans="2:36" ht="24" hidden="1" customHeight="1">
      <c r="B86" s="463">
        <v>63</v>
      </c>
      <c r="C86" s="464" t="s">
        <v>337</v>
      </c>
      <c r="D86" s="464" t="s">
        <v>544</v>
      </c>
      <c r="E86" s="464" t="s">
        <v>545</v>
      </c>
      <c r="F86" s="464"/>
      <c r="G86" s="464" t="s">
        <v>247</v>
      </c>
      <c r="H86" s="464" t="s">
        <v>704</v>
      </c>
      <c r="I86" s="466">
        <v>30000</v>
      </c>
      <c r="J86" s="465" t="s">
        <v>537</v>
      </c>
      <c r="K86" s="465" t="s">
        <v>537</v>
      </c>
      <c r="L86" s="466">
        <v>29900</v>
      </c>
      <c r="M86" s="465" t="s">
        <v>537</v>
      </c>
      <c r="N86" s="465" t="s">
        <v>537</v>
      </c>
      <c r="O86" s="463" t="s">
        <v>537</v>
      </c>
      <c r="P86" s="463" t="s">
        <v>537</v>
      </c>
      <c r="Q86" s="465">
        <v>100</v>
      </c>
      <c r="R86" s="470">
        <v>241487</v>
      </c>
      <c r="S86" s="463" t="s">
        <v>705</v>
      </c>
      <c r="T86" s="463">
        <v>5</v>
      </c>
      <c r="U86" s="463">
        <v>5</v>
      </c>
      <c r="V86" s="463">
        <v>20</v>
      </c>
      <c r="W86" s="463">
        <v>5</v>
      </c>
      <c r="X86" s="463">
        <v>5</v>
      </c>
      <c r="Y86" s="463">
        <v>25</v>
      </c>
      <c r="Z86" s="463">
        <v>88.76</v>
      </c>
      <c r="AA86" s="472" t="s">
        <v>547</v>
      </c>
      <c r="AB86" s="463" t="s">
        <v>539</v>
      </c>
      <c r="AC86" s="463" t="s">
        <v>539</v>
      </c>
      <c r="AD86" s="472" t="s">
        <v>548</v>
      </c>
      <c r="AE86" s="463" t="s">
        <v>620</v>
      </c>
      <c r="AF86" s="463">
        <v>100</v>
      </c>
      <c r="AG86" s="463" t="s">
        <v>376</v>
      </c>
      <c r="AH86" s="476"/>
      <c r="AI86" s="472">
        <v>843774489</v>
      </c>
      <c r="AJ86" s="464"/>
    </row>
    <row r="87" spans="2:36" ht="24" hidden="1" customHeight="1">
      <c r="B87" s="463">
        <v>64</v>
      </c>
      <c r="C87" s="464" t="s">
        <v>337</v>
      </c>
      <c r="D87" s="464" t="s">
        <v>544</v>
      </c>
      <c r="E87" s="464" t="s">
        <v>545</v>
      </c>
      <c r="F87" s="464"/>
      <c r="G87" s="464" t="s">
        <v>247</v>
      </c>
      <c r="H87" s="464" t="s">
        <v>706</v>
      </c>
      <c r="I87" s="466">
        <v>30000</v>
      </c>
      <c r="J87" s="465" t="s">
        <v>537</v>
      </c>
      <c r="K87" s="465" t="s">
        <v>537</v>
      </c>
      <c r="L87" s="466">
        <v>29865</v>
      </c>
      <c r="M87" s="465" t="s">
        <v>537</v>
      </c>
      <c r="N87" s="465" t="s">
        <v>537</v>
      </c>
      <c r="O87" s="463" t="s">
        <v>537</v>
      </c>
      <c r="P87" s="463" t="s">
        <v>537</v>
      </c>
      <c r="Q87" s="465">
        <v>135</v>
      </c>
      <c r="R87" s="470">
        <v>241459</v>
      </c>
      <c r="S87" s="463" t="s">
        <v>707</v>
      </c>
      <c r="T87" s="463">
        <v>2</v>
      </c>
      <c r="U87" s="463">
        <v>3</v>
      </c>
      <c r="V87" s="463">
        <v>30</v>
      </c>
      <c r="W87" s="463">
        <v>2</v>
      </c>
      <c r="X87" s="463">
        <v>3</v>
      </c>
      <c r="Y87" s="463">
        <v>30</v>
      </c>
      <c r="Z87" s="463">
        <v>90.08</v>
      </c>
      <c r="AA87" s="472" t="s">
        <v>547</v>
      </c>
      <c r="AB87" s="463" t="s">
        <v>539</v>
      </c>
      <c r="AC87" s="463" t="s">
        <v>539</v>
      </c>
      <c r="AD87" s="472" t="s">
        <v>548</v>
      </c>
      <c r="AE87" s="463" t="s">
        <v>620</v>
      </c>
      <c r="AF87" s="463">
        <v>89.87</v>
      </c>
      <c r="AG87" s="463" t="s">
        <v>376</v>
      </c>
      <c r="AH87" s="476"/>
      <c r="AI87" s="472">
        <v>896826198</v>
      </c>
      <c r="AJ87" s="464"/>
    </row>
    <row r="88" spans="2:36" ht="24" hidden="1" customHeight="1">
      <c r="B88" s="463">
        <v>65</v>
      </c>
      <c r="C88" s="464" t="s">
        <v>337</v>
      </c>
      <c r="D88" s="464" t="s">
        <v>544</v>
      </c>
      <c r="E88" s="464" t="s">
        <v>545</v>
      </c>
      <c r="F88" s="464"/>
      <c r="G88" s="464" t="s">
        <v>247</v>
      </c>
      <c r="H88" s="464" t="s">
        <v>708</v>
      </c>
      <c r="I88" s="466">
        <v>30000</v>
      </c>
      <c r="J88" s="465" t="s">
        <v>537</v>
      </c>
      <c r="K88" s="465" t="s">
        <v>537</v>
      </c>
      <c r="L88" s="466">
        <v>30000</v>
      </c>
      <c r="M88" s="465" t="s">
        <v>537</v>
      </c>
      <c r="N88" s="465" t="s">
        <v>537</v>
      </c>
      <c r="O88" s="463" t="s">
        <v>537</v>
      </c>
      <c r="P88" s="463" t="s">
        <v>537</v>
      </c>
      <c r="Q88" s="465">
        <v>0</v>
      </c>
      <c r="R88" s="470">
        <v>241518</v>
      </c>
      <c r="S88" s="463" t="s">
        <v>709</v>
      </c>
      <c r="T88" s="463">
        <v>2</v>
      </c>
      <c r="U88" s="463">
        <v>3</v>
      </c>
      <c r="V88" s="463">
        <v>40</v>
      </c>
      <c r="W88" s="463">
        <v>2</v>
      </c>
      <c r="X88" s="463">
        <v>3</v>
      </c>
      <c r="Y88" s="463">
        <v>40</v>
      </c>
      <c r="Z88" s="463">
        <v>85</v>
      </c>
      <c r="AA88" s="472" t="s">
        <v>547</v>
      </c>
      <c r="AB88" s="463" t="s">
        <v>539</v>
      </c>
      <c r="AC88" s="463" t="s">
        <v>539</v>
      </c>
      <c r="AD88" s="472" t="s">
        <v>548</v>
      </c>
      <c r="AE88" s="463" t="s">
        <v>620</v>
      </c>
      <c r="AF88" s="463">
        <v>85</v>
      </c>
      <c r="AG88" s="463" t="s">
        <v>376</v>
      </c>
      <c r="AH88" s="476"/>
      <c r="AI88" s="472">
        <v>954305199</v>
      </c>
      <c r="AJ88" s="464"/>
    </row>
    <row r="89" spans="2:36" ht="24" hidden="1" customHeight="1">
      <c r="B89" s="463">
        <v>66</v>
      </c>
      <c r="C89" s="464" t="s">
        <v>337</v>
      </c>
      <c r="D89" s="464" t="s">
        <v>544</v>
      </c>
      <c r="E89" s="464" t="s">
        <v>545</v>
      </c>
      <c r="F89" s="464"/>
      <c r="G89" s="464" t="s">
        <v>247</v>
      </c>
      <c r="H89" s="464" t="s">
        <v>710</v>
      </c>
      <c r="I89" s="466">
        <v>30000</v>
      </c>
      <c r="J89" s="465" t="s">
        <v>537</v>
      </c>
      <c r="K89" s="465" t="s">
        <v>537</v>
      </c>
      <c r="L89" s="466">
        <v>27500</v>
      </c>
      <c r="M89" s="465" t="s">
        <v>537</v>
      </c>
      <c r="N89" s="465" t="s">
        <v>537</v>
      </c>
      <c r="O89" s="463" t="s">
        <v>537</v>
      </c>
      <c r="P89" s="463" t="s">
        <v>537</v>
      </c>
      <c r="Q89" s="468">
        <v>2500</v>
      </c>
      <c r="R89" s="470">
        <v>241487</v>
      </c>
      <c r="S89" s="463" t="s">
        <v>679</v>
      </c>
      <c r="T89" s="463">
        <v>2</v>
      </c>
      <c r="U89" s="463">
        <v>3</v>
      </c>
      <c r="V89" s="463">
        <v>25</v>
      </c>
      <c r="W89" s="463">
        <v>3</v>
      </c>
      <c r="X89" s="463">
        <v>3</v>
      </c>
      <c r="Y89" s="463">
        <v>25</v>
      </c>
      <c r="Z89" s="463">
        <v>94</v>
      </c>
      <c r="AA89" s="472" t="s">
        <v>547</v>
      </c>
      <c r="AB89" s="463" t="s">
        <v>539</v>
      </c>
      <c r="AC89" s="463" t="s">
        <v>539</v>
      </c>
      <c r="AD89" s="472" t="s">
        <v>548</v>
      </c>
      <c r="AE89" s="463" t="s">
        <v>620</v>
      </c>
      <c r="AF89" s="463">
        <v>97</v>
      </c>
      <c r="AG89" s="463" t="s">
        <v>376</v>
      </c>
      <c r="AH89" s="476"/>
      <c r="AI89" s="472">
        <v>879297145</v>
      </c>
      <c r="AJ89" s="464"/>
    </row>
    <row r="90" spans="2:36" ht="24" hidden="1" customHeight="1">
      <c r="B90" s="463">
        <v>67</v>
      </c>
      <c r="C90" s="464" t="s">
        <v>337</v>
      </c>
      <c r="D90" s="464" t="s">
        <v>544</v>
      </c>
      <c r="E90" s="464" t="s">
        <v>545</v>
      </c>
      <c r="F90" s="464"/>
      <c r="G90" s="464" t="s">
        <v>247</v>
      </c>
      <c r="H90" s="464" t="s">
        <v>711</v>
      </c>
      <c r="I90" s="465">
        <v>0</v>
      </c>
      <c r="J90" s="465" t="s">
        <v>537</v>
      </c>
      <c r="K90" s="465" t="s">
        <v>537</v>
      </c>
      <c r="L90" s="465">
        <v>0</v>
      </c>
      <c r="M90" s="465" t="s">
        <v>537</v>
      </c>
      <c r="N90" s="465" t="s">
        <v>537</v>
      </c>
      <c r="O90" s="463" t="s">
        <v>537</v>
      </c>
      <c r="P90" s="463" t="s">
        <v>537</v>
      </c>
      <c r="Q90" s="465">
        <v>0</v>
      </c>
      <c r="R90" s="470">
        <v>241609</v>
      </c>
      <c r="S90" s="471">
        <v>22472</v>
      </c>
      <c r="T90" s="463">
        <v>2</v>
      </c>
      <c r="U90" s="463">
        <v>3</v>
      </c>
      <c r="V90" s="463">
        <v>25</v>
      </c>
      <c r="W90" s="463">
        <v>2</v>
      </c>
      <c r="X90" s="463">
        <v>3</v>
      </c>
      <c r="Y90" s="463">
        <v>25</v>
      </c>
      <c r="Z90" s="463">
        <v>85</v>
      </c>
      <c r="AA90" s="472" t="s">
        <v>547</v>
      </c>
      <c r="AB90" s="463" t="s">
        <v>539</v>
      </c>
      <c r="AC90" s="463" t="s">
        <v>539</v>
      </c>
      <c r="AD90" s="472" t="s">
        <v>548</v>
      </c>
      <c r="AE90" s="463" t="s">
        <v>620</v>
      </c>
      <c r="AF90" s="463">
        <v>89</v>
      </c>
      <c r="AG90" s="463" t="s">
        <v>376</v>
      </c>
      <c r="AH90" s="476"/>
      <c r="AI90" s="472">
        <v>954305199</v>
      </c>
      <c r="AJ90" s="464"/>
    </row>
    <row r="91" spans="2:36" ht="24" hidden="1" customHeight="1">
      <c r="B91" s="701">
        <v>68</v>
      </c>
      <c r="C91" s="699" t="s">
        <v>337</v>
      </c>
      <c r="D91" s="699"/>
      <c r="E91" s="699" t="s">
        <v>545</v>
      </c>
      <c r="F91" s="699"/>
      <c r="G91" s="699" t="s">
        <v>247</v>
      </c>
      <c r="H91" s="699" t="s">
        <v>712</v>
      </c>
      <c r="I91" s="709" t="s">
        <v>537</v>
      </c>
      <c r="J91" s="709" t="s">
        <v>537</v>
      </c>
      <c r="K91" s="712">
        <v>15000</v>
      </c>
      <c r="L91" s="709" t="s">
        <v>537</v>
      </c>
      <c r="M91" s="709" t="s">
        <v>537</v>
      </c>
      <c r="N91" s="712">
        <v>15000</v>
      </c>
      <c r="O91" s="701" t="s">
        <v>537</v>
      </c>
      <c r="P91" s="701" t="s">
        <v>537</v>
      </c>
      <c r="Q91" s="709">
        <v>0</v>
      </c>
      <c r="R91" s="701" t="s">
        <v>643</v>
      </c>
      <c r="S91" s="701" t="s">
        <v>713</v>
      </c>
      <c r="T91" s="701">
        <v>3</v>
      </c>
      <c r="U91" s="701">
        <v>2</v>
      </c>
      <c r="V91" s="701">
        <v>15</v>
      </c>
      <c r="W91" s="701">
        <v>0</v>
      </c>
      <c r="X91" s="701">
        <v>4</v>
      </c>
      <c r="Y91" s="701">
        <v>18</v>
      </c>
      <c r="Z91" s="701">
        <v>86</v>
      </c>
      <c r="AA91" s="697" t="s">
        <v>714</v>
      </c>
      <c r="AB91" s="701" t="s">
        <v>539</v>
      </c>
      <c r="AC91" s="701" t="s">
        <v>539</v>
      </c>
      <c r="AD91" s="458" t="s">
        <v>715</v>
      </c>
      <c r="AE91" s="459" t="s">
        <v>539</v>
      </c>
      <c r="AF91" s="459" t="s">
        <v>539</v>
      </c>
      <c r="AG91" s="701" t="s">
        <v>375</v>
      </c>
      <c r="AH91" s="728"/>
      <c r="AI91" s="697">
        <v>952655209</v>
      </c>
      <c r="AJ91" s="697" t="s">
        <v>543</v>
      </c>
    </row>
    <row r="92" spans="2:36" ht="24" hidden="1" customHeight="1">
      <c r="B92" s="702"/>
      <c r="C92" s="700"/>
      <c r="D92" s="700"/>
      <c r="E92" s="700"/>
      <c r="F92" s="700"/>
      <c r="G92" s="700"/>
      <c r="H92" s="700"/>
      <c r="I92" s="710"/>
      <c r="J92" s="710"/>
      <c r="K92" s="713"/>
      <c r="L92" s="710"/>
      <c r="M92" s="710"/>
      <c r="N92" s="713"/>
      <c r="O92" s="702"/>
      <c r="P92" s="702"/>
      <c r="Q92" s="710"/>
      <c r="R92" s="702"/>
      <c r="S92" s="702"/>
      <c r="T92" s="702"/>
      <c r="U92" s="702"/>
      <c r="V92" s="702"/>
      <c r="W92" s="702"/>
      <c r="X92" s="702"/>
      <c r="Y92" s="702"/>
      <c r="Z92" s="702"/>
      <c r="AA92" s="698"/>
      <c r="AB92" s="702"/>
      <c r="AC92" s="702"/>
      <c r="AD92" s="473" t="s">
        <v>716</v>
      </c>
      <c r="AE92" s="474" t="s">
        <v>539</v>
      </c>
      <c r="AF92" s="474" t="s">
        <v>539</v>
      </c>
      <c r="AG92" s="702"/>
      <c r="AH92" s="729"/>
      <c r="AI92" s="698"/>
      <c r="AJ92" s="698"/>
    </row>
    <row r="93" spans="2:36" ht="24" hidden="1" customHeight="1">
      <c r="B93" s="463">
        <v>69</v>
      </c>
      <c r="C93" s="464" t="s">
        <v>337</v>
      </c>
      <c r="D93" s="464"/>
      <c r="E93" s="464" t="s">
        <v>545</v>
      </c>
      <c r="F93" s="464"/>
      <c r="G93" s="464" t="s">
        <v>247</v>
      </c>
      <c r="H93" s="464" t="s">
        <v>717</v>
      </c>
      <c r="I93" s="465" t="s">
        <v>537</v>
      </c>
      <c r="J93" s="465" t="s">
        <v>537</v>
      </c>
      <c r="K93" s="466">
        <v>15000</v>
      </c>
      <c r="L93" s="465" t="s">
        <v>537</v>
      </c>
      <c r="M93" s="465" t="s">
        <v>537</v>
      </c>
      <c r="N93" s="466">
        <v>15000</v>
      </c>
      <c r="O93" s="463" t="s">
        <v>537</v>
      </c>
      <c r="P93" s="463" t="s">
        <v>537</v>
      </c>
      <c r="Q93" s="465">
        <v>0</v>
      </c>
      <c r="R93" s="470">
        <v>241609</v>
      </c>
      <c r="S93" s="471">
        <v>22493</v>
      </c>
      <c r="T93" s="463">
        <v>17</v>
      </c>
      <c r="U93" s="463">
        <v>3</v>
      </c>
      <c r="V93" s="463">
        <v>40</v>
      </c>
      <c r="W93" s="463">
        <v>17</v>
      </c>
      <c r="X93" s="463">
        <v>3</v>
      </c>
      <c r="Y93" s="463">
        <v>40</v>
      </c>
      <c r="Z93" s="463">
        <v>85</v>
      </c>
      <c r="AA93" s="472" t="s">
        <v>718</v>
      </c>
      <c r="AB93" s="463" t="s">
        <v>539</v>
      </c>
      <c r="AC93" s="463" t="s">
        <v>539</v>
      </c>
      <c r="AD93" s="472" t="s">
        <v>719</v>
      </c>
      <c r="AE93" s="463">
        <v>80</v>
      </c>
      <c r="AF93" s="463">
        <v>85</v>
      </c>
      <c r="AG93" s="463" t="s">
        <v>375</v>
      </c>
      <c r="AH93" s="476"/>
      <c r="AI93" s="472">
        <v>849984546</v>
      </c>
      <c r="AJ93" s="472" t="s">
        <v>543</v>
      </c>
    </row>
    <row r="94" spans="2:36" ht="24" hidden="1" customHeight="1">
      <c r="B94" s="701">
        <v>70</v>
      </c>
      <c r="C94" s="699" t="s">
        <v>337</v>
      </c>
      <c r="D94" s="699"/>
      <c r="E94" s="699" t="s">
        <v>545</v>
      </c>
      <c r="F94" s="699"/>
      <c r="G94" s="699" t="s">
        <v>247</v>
      </c>
      <c r="H94" s="699" t="s">
        <v>720</v>
      </c>
      <c r="I94" s="709" t="s">
        <v>537</v>
      </c>
      <c r="J94" s="709" t="s">
        <v>537</v>
      </c>
      <c r="K94" s="712">
        <v>12000</v>
      </c>
      <c r="L94" s="709" t="s">
        <v>537</v>
      </c>
      <c r="M94" s="709" t="s">
        <v>537</v>
      </c>
      <c r="N94" s="709">
        <v>0</v>
      </c>
      <c r="O94" s="701" t="s">
        <v>537</v>
      </c>
      <c r="P94" s="701" t="s">
        <v>537</v>
      </c>
      <c r="Q94" s="705">
        <v>12000</v>
      </c>
      <c r="R94" s="707">
        <v>241609</v>
      </c>
      <c r="S94" s="721">
        <v>22482</v>
      </c>
      <c r="T94" s="701">
        <v>1</v>
      </c>
      <c r="U94" s="701">
        <v>2</v>
      </c>
      <c r="V94" s="701">
        <v>25</v>
      </c>
      <c r="W94" s="701">
        <v>1</v>
      </c>
      <c r="X94" s="701">
        <v>2</v>
      </c>
      <c r="Y94" s="701">
        <v>25</v>
      </c>
      <c r="Z94" s="701">
        <v>85</v>
      </c>
      <c r="AA94" s="697" t="s">
        <v>721</v>
      </c>
      <c r="AB94" s="701" t="s">
        <v>539</v>
      </c>
      <c r="AC94" s="701" t="s">
        <v>539</v>
      </c>
      <c r="AD94" s="458" t="s">
        <v>722</v>
      </c>
      <c r="AE94" s="459" t="s">
        <v>539</v>
      </c>
      <c r="AF94" s="459" t="s">
        <v>539</v>
      </c>
      <c r="AG94" s="701" t="s">
        <v>375</v>
      </c>
      <c r="AH94" s="728"/>
      <c r="AI94" s="697">
        <v>954305199</v>
      </c>
      <c r="AJ94" s="697" t="s">
        <v>543</v>
      </c>
    </row>
    <row r="95" spans="2:36" ht="24" hidden="1" customHeight="1">
      <c r="B95" s="702"/>
      <c r="C95" s="700"/>
      <c r="D95" s="700"/>
      <c r="E95" s="700"/>
      <c r="F95" s="700"/>
      <c r="G95" s="700"/>
      <c r="H95" s="700"/>
      <c r="I95" s="710"/>
      <c r="J95" s="710"/>
      <c r="K95" s="713"/>
      <c r="L95" s="710"/>
      <c r="M95" s="710"/>
      <c r="N95" s="710"/>
      <c r="O95" s="702"/>
      <c r="P95" s="702"/>
      <c r="Q95" s="706"/>
      <c r="R95" s="708"/>
      <c r="S95" s="722"/>
      <c r="T95" s="702"/>
      <c r="U95" s="702"/>
      <c r="V95" s="702"/>
      <c r="W95" s="702"/>
      <c r="X95" s="702"/>
      <c r="Y95" s="702"/>
      <c r="Z95" s="702"/>
      <c r="AA95" s="698"/>
      <c r="AB95" s="702"/>
      <c r="AC95" s="702"/>
      <c r="AD95" s="473" t="s">
        <v>723</v>
      </c>
      <c r="AE95" s="474" t="s">
        <v>539</v>
      </c>
      <c r="AF95" s="474" t="s">
        <v>539</v>
      </c>
      <c r="AG95" s="702"/>
      <c r="AH95" s="729"/>
      <c r="AI95" s="698"/>
      <c r="AJ95" s="698"/>
    </row>
    <row r="96" spans="2:36" ht="24" hidden="1" customHeight="1">
      <c r="B96" s="463">
        <v>71</v>
      </c>
      <c r="C96" s="464" t="s">
        <v>534</v>
      </c>
      <c r="D96" s="464" t="s">
        <v>544</v>
      </c>
      <c r="E96" s="464" t="s">
        <v>535</v>
      </c>
      <c r="F96" s="464"/>
      <c r="G96" s="464" t="s">
        <v>270</v>
      </c>
      <c r="H96" s="464" t="s">
        <v>724</v>
      </c>
      <c r="I96" s="466">
        <v>25000</v>
      </c>
      <c r="J96" s="465" t="s">
        <v>537</v>
      </c>
      <c r="K96" s="465" t="s">
        <v>537</v>
      </c>
      <c r="L96" s="466">
        <v>25000</v>
      </c>
      <c r="M96" s="465" t="s">
        <v>537</v>
      </c>
      <c r="N96" s="465" t="s">
        <v>537</v>
      </c>
      <c r="O96" s="463" t="s">
        <v>537</v>
      </c>
      <c r="P96" s="463" t="s">
        <v>537</v>
      </c>
      <c r="Q96" s="465">
        <v>0</v>
      </c>
      <c r="R96" s="463" t="s">
        <v>725</v>
      </c>
      <c r="S96" s="471">
        <v>22360</v>
      </c>
      <c r="T96" s="463">
        <v>60</v>
      </c>
      <c r="U96" s="463">
        <v>12</v>
      </c>
      <c r="V96" s="463">
        <v>0</v>
      </c>
      <c r="W96" s="463">
        <v>63</v>
      </c>
      <c r="X96" s="463">
        <v>13</v>
      </c>
      <c r="Y96" s="464"/>
      <c r="Z96" s="463">
        <v>86</v>
      </c>
      <c r="AA96" s="472" t="s">
        <v>547</v>
      </c>
      <c r="AB96" s="463" t="s">
        <v>539</v>
      </c>
      <c r="AC96" s="463" t="s">
        <v>539</v>
      </c>
      <c r="AD96" s="472" t="s">
        <v>548</v>
      </c>
      <c r="AE96" s="463">
        <v>80</v>
      </c>
      <c r="AF96" s="463">
        <v>86</v>
      </c>
      <c r="AG96" s="463" t="s">
        <v>375</v>
      </c>
      <c r="AH96" s="476"/>
      <c r="AI96" s="472" t="s">
        <v>726</v>
      </c>
      <c r="AJ96" s="464"/>
    </row>
    <row r="97" spans="2:36" ht="24" hidden="1" customHeight="1">
      <c r="B97" s="463">
        <v>72</v>
      </c>
      <c r="C97" s="464" t="s">
        <v>534</v>
      </c>
      <c r="D97" s="464" t="s">
        <v>544</v>
      </c>
      <c r="E97" s="464" t="s">
        <v>535</v>
      </c>
      <c r="F97" s="464"/>
      <c r="G97" s="464" t="s">
        <v>270</v>
      </c>
      <c r="H97" s="464" t="s">
        <v>636</v>
      </c>
      <c r="I97" s="466">
        <v>200000</v>
      </c>
      <c r="J97" s="465" t="s">
        <v>537</v>
      </c>
      <c r="K97" s="465" t="s">
        <v>537</v>
      </c>
      <c r="L97" s="466">
        <v>200000</v>
      </c>
      <c r="M97" s="465" t="s">
        <v>537</v>
      </c>
      <c r="N97" s="465" t="s">
        <v>537</v>
      </c>
      <c r="O97" s="463" t="s">
        <v>537</v>
      </c>
      <c r="P97" s="463" t="s">
        <v>537</v>
      </c>
      <c r="Q97" s="465">
        <v>0</v>
      </c>
      <c r="R97" s="463" t="s">
        <v>727</v>
      </c>
      <c r="S97" s="463" t="s">
        <v>637</v>
      </c>
      <c r="T97" s="463">
        <v>90</v>
      </c>
      <c r="U97" s="463">
        <v>16</v>
      </c>
      <c r="V97" s="463">
        <v>0</v>
      </c>
      <c r="W97" s="463">
        <v>90</v>
      </c>
      <c r="X97" s="463">
        <v>16</v>
      </c>
      <c r="Y97" s="463">
        <v>0</v>
      </c>
      <c r="Z97" s="463">
        <v>95.2</v>
      </c>
      <c r="AA97" s="472" t="s">
        <v>728</v>
      </c>
      <c r="AB97" s="463">
        <v>1</v>
      </c>
      <c r="AC97" s="463">
        <v>44</v>
      </c>
      <c r="AD97" s="472" t="s">
        <v>729</v>
      </c>
      <c r="AE97" s="463">
        <v>1</v>
      </c>
      <c r="AF97" s="463">
        <v>2</v>
      </c>
      <c r="AG97" s="463" t="s">
        <v>375</v>
      </c>
      <c r="AH97" s="476"/>
      <c r="AI97" s="472" t="s">
        <v>730</v>
      </c>
      <c r="AJ97" s="464"/>
    </row>
    <row r="98" spans="2:36" ht="24" hidden="1" customHeight="1">
      <c r="B98" s="463">
        <v>73</v>
      </c>
      <c r="C98" s="464" t="s">
        <v>534</v>
      </c>
      <c r="D98" s="464" t="s">
        <v>544</v>
      </c>
      <c r="E98" s="464" t="s">
        <v>535</v>
      </c>
      <c r="F98" s="464"/>
      <c r="G98" s="464" t="s">
        <v>270</v>
      </c>
      <c r="H98" s="464" t="s">
        <v>731</v>
      </c>
      <c r="I98" s="466">
        <v>81000</v>
      </c>
      <c r="J98" s="465" t="s">
        <v>537</v>
      </c>
      <c r="K98" s="465" t="s">
        <v>537</v>
      </c>
      <c r="L98" s="466">
        <v>80752</v>
      </c>
      <c r="M98" s="465" t="s">
        <v>537</v>
      </c>
      <c r="N98" s="465" t="s">
        <v>537</v>
      </c>
      <c r="O98" s="463" t="s">
        <v>537</v>
      </c>
      <c r="P98" s="463" t="s">
        <v>537</v>
      </c>
      <c r="Q98" s="465">
        <v>248</v>
      </c>
      <c r="R98" s="470">
        <v>241487</v>
      </c>
      <c r="S98" s="463" t="s">
        <v>732</v>
      </c>
      <c r="T98" s="463">
        <v>60</v>
      </c>
      <c r="U98" s="463">
        <v>10</v>
      </c>
      <c r="V98" s="463">
        <v>60</v>
      </c>
      <c r="W98" s="463">
        <v>65</v>
      </c>
      <c r="X98" s="463">
        <v>14</v>
      </c>
      <c r="Y98" s="463">
        <v>95</v>
      </c>
      <c r="Z98" s="463">
        <v>95</v>
      </c>
      <c r="AA98" s="472" t="s">
        <v>547</v>
      </c>
      <c r="AB98" s="463" t="s">
        <v>539</v>
      </c>
      <c r="AC98" s="463" t="s">
        <v>539</v>
      </c>
      <c r="AD98" s="472" t="s">
        <v>733</v>
      </c>
      <c r="AE98" s="463">
        <v>1</v>
      </c>
      <c r="AF98" s="463">
        <v>1</v>
      </c>
      <c r="AG98" s="463" t="s">
        <v>375</v>
      </c>
      <c r="AH98" s="476"/>
      <c r="AI98" s="472" t="s">
        <v>734</v>
      </c>
      <c r="AJ98" s="464"/>
    </row>
    <row r="99" spans="2:36" ht="24" hidden="1" customHeight="1">
      <c r="B99" s="463">
        <v>74</v>
      </c>
      <c r="C99" s="464" t="s">
        <v>534</v>
      </c>
      <c r="D99" s="464" t="s">
        <v>544</v>
      </c>
      <c r="E99" s="464" t="s">
        <v>535</v>
      </c>
      <c r="F99" s="464"/>
      <c r="G99" s="464" t="s">
        <v>270</v>
      </c>
      <c r="H99" s="464" t="s">
        <v>735</v>
      </c>
      <c r="I99" s="466">
        <v>100000</v>
      </c>
      <c r="J99" s="465" t="s">
        <v>537</v>
      </c>
      <c r="K99" s="465" t="s">
        <v>537</v>
      </c>
      <c r="L99" s="466">
        <v>100000</v>
      </c>
      <c r="M99" s="465" t="s">
        <v>537</v>
      </c>
      <c r="N99" s="465" t="s">
        <v>537</v>
      </c>
      <c r="O99" s="463" t="s">
        <v>537</v>
      </c>
      <c r="P99" s="463" t="s">
        <v>537</v>
      </c>
      <c r="Q99" s="465">
        <v>0</v>
      </c>
      <c r="R99" s="470">
        <v>241459</v>
      </c>
      <c r="S99" s="463" t="s">
        <v>736</v>
      </c>
      <c r="T99" s="463">
        <v>35</v>
      </c>
      <c r="U99" s="463">
        <v>5</v>
      </c>
      <c r="V99" s="463">
        <v>0</v>
      </c>
      <c r="W99" s="463">
        <v>41</v>
      </c>
      <c r="X99" s="463">
        <v>5</v>
      </c>
      <c r="Y99" s="463">
        <v>0</v>
      </c>
      <c r="Z99" s="463">
        <v>94.4</v>
      </c>
      <c r="AA99" s="472" t="s">
        <v>737</v>
      </c>
      <c r="AB99" s="463" t="s">
        <v>539</v>
      </c>
      <c r="AC99" s="463" t="s">
        <v>539</v>
      </c>
      <c r="AD99" s="472" t="s">
        <v>635</v>
      </c>
      <c r="AE99" s="463" t="s">
        <v>539</v>
      </c>
      <c r="AF99" s="463" t="s">
        <v>539</v>
      </c>
      <c r="AG99" s="463" t="s">
        <v>375</v>
      </c>
      <c r="AH99" s="476"/>
      <c r="AI99" s="472" t="s">
        <v>738</v>
      </c>
      <c r="AJ99" s="464"/>
    </row>
    <row r="100" spans="2:36" ht="24" hidden="1" customHeight="1">
      <c r="B100" s="463">
        <v>75</v>
      </c>
      <c r="C100" s="464" t="s">
        <v>534</v>
      </c>
      <c r="D100" s="464" t="s">
        <v>544</v>
      </c>
      <c r="E100" s="464" t="s">
        <v>535</v>
      </c>
      <c r="F100" s="464"/>
      <c r="G100" s="464" t="s">
        <v>270</v>
      </c>
      <c r="H100" s="464" t="s">
        <v>739</v>
      </c>
      <c r="I100" s="466">
        <v>1000000</v>
      </c>
      <c r="J100" s="465" t="s">
        <v>537</v>
      </c>
      <c r="K100" s="465" t="s">
        <v>537</v>
      </c>
      <c r="L100" s="466">
        <v>963991.62</v>
      </c>
      <c r="M100" s="465" t="s">
        <v>537</v>
      </c>
      <c r="N100" s="465" t="s">
        <v>537</v>
      </c>
      <c r="O100" s="463" t="s">
        <v>537</v>
      </c>
      <c r="P100" s="463" t="s">
        <v>537</v>
      </c>
      <c r="Q100" s="468">
        <v>36008</v>
      </c>
      <c r="R100" s="463" t="s">
        <v>552</v>
      </c>
      <c r="S100" s="463" t="s">
        <v>740</v>
      </c>
      <c r="T100" s="463">
        <v>30</v>
      </c>
      <c r="U100" s="463">
        <v>13</v>
      </c>
      <c r="V100" s="463">
        <v>17</v>
      </c>
      <c r="W100" s="463">
        <v>30</v>
      </c>
      <c r="X100" s="463">
        <v>13</v>
      </c>
      <c r="Y100" s="463">
        <v>17</v>
      </c>
      <c r="Z100" s="463">
        <v>86</v>
      </c>
      <c r="AA100" s="472" t="s">
        <v>547</v>
      </c>
      <c r="AB100" s="463" t="s">
        <v>539</v>
      </c>
      <c r="AC100" s="463" t="s">
        <v>539</v>
      </c>
      <c r="AD100" s="472" t="s">
        <v>548</v>
      </c>
      <c r="AE100" s="463">
        <v>80</v>
      </c>
      <c r="AF100" s="463">
        <v>86</v>
      </c>
      <c r="AG100" s="463" t="s">
        <v>375</v>
      </c>
      <c r="AH100" s="476"/>
      <c r="AI100" s="472" t="s">
        <v>741</v>
      </c>
      <c r="AJ100" s="464"/>
    </row>
    <row r="101" spans="2:36" ht="24" hidden="1" customHeight="1">
      <c r="B101" s="463">
        <v>76</v>
      </c>
      <c r="C101" s="464" t="s">
        <v>534</v>
      </c>
      <c r="D101" s="464"/>
      <c r="E101" s="464" t="s">
        <v>535</v>
      </c>
      <c r="F101" s="464"/>
      <c r="G101" s="464" t="s">
        <v>270</v>
      </c>
      <c r="H101" s="464" t="s">
        <v>742</v>
      </c>
      <c r="I101" s="465" t="s">
        <v>537</v>
      </c>
      <c r="J101" s="465" t="s">
        <v>537</v>
      </c>
      <c r="K101" s="466">
        <v>28600</v>
      </c>
      <c r="L101" s="465" t="s">
        <v>537</v>
      </c>
      <c r="M101" s="465" t="s">
        <v>537</v>
      </c>
      <c r="N101" s="466">
        <v>28600</v>
      </c>
      <c r="O101" s="463" t="s">
        <v>537</v>
      </c>
      <c r="P101" s="463" t="s">
        <v>537</v>
      </c>
      <c r="Q101" s="465">
        <v>0</v>
      </c>
      <c r="R101" s="470">
        <v>241579</v>
      </c>
      <c r="S101" s="463" t="s">
        <v>743</v>
      </c>
      <c r="T101" s="463">
        <v>0</v>
      </c>
      <c r="U101" s="463">
        <v>65</v>
      </c>
      <c r="V101" s="463">
        <v>0</v>
      </c>
      <c r="W101" s="463">
        <v>0</v>
      </c>
      <c r="X101" s="463">
        <v>65</v>
      </c>
      <c r="Y101" s="464"/>
      <c r="Z101" s="463">
        <v>80</v>
      </c>
      <c r="AA101" s="472" t="s">
        <v>744</v>
      </c>
      <c r="AB101" s="463">
        <v>80</v>
      </c>
      <c r="AC101" s="463">
        <v>80</v>
      </c>
      <c r="AD101" s="472" t="s">
        <v>745</v>
      </c>
      <c r="AE101" s="463">
        <v>80</v>
      </c>
      <c r="AF101" s="463">
        <v>80</v>
      </c>
      <c r="AG101" s="463" t="s">
        <v>375</v>
      </c>
      <c r="AH101" s="476"/>
      <c r="AI101" s="472" t="s">
        <v>537</v>
      </c>
      <c r="AJ101" s="472" t="s">
        <v>543</v>
      </c>
    </row>
    <row r="102" spans="2:36" ht="24" hidden="1" customHeight="1">
      <c r="B102" s="701">
        <v>77</v>
      </c>
      <c r="C102" s="699" t="s">
        <v>534</v>
      </c>
      <c r="D102" s="699"/>
      <c r="E102" s="699" t="s">
        <v>577</v>
      </c>
      <c r="F102" s="699"/>
      <c r="G102" s="699" t="s">
        <v>270</v>
      </c>
      <c r="H102" s="699" t="s">
        <v>746</v>
      </c>
      <c r="I102" s="709" t="s">
        <v>537</v>
      </c>
      <c r="J102" s="709" t="s">
        <v>537</v>
      </c>
      <c r="K102" s="712">
        <v>60000</v>
      </c>
      <c r="L102" s="709" t="s">
        <v>537</v>
      </c>
      <c r="M102" s="709" t="s">
        <v>537</v>
      </c>
      <c r="N102" s="712">
        <v>27000</v>
      </c>
      <c r="O102" s="701" t="s">
        <v>537</v>
      </c>
      <c r="P102" s="701" t="s">
        <v>537</v>
      </c>
      <c r="Q102" s="705">
        <v>33000</v>
      </c>
      <c r="R102" s="701" t="s">
        <v>747</v>
      </c>
      <c r="S102" s="701" t="s">
        <v>748</v>
      </c>
      <c r="T102" s="701">
        <v>0</v>
      </c>
      <c r="U102" s="701">
        <v>0</v>
      </c>
      <c r="V102" s="701">
        <v>0</v>
      </c>
      <c r="W102" s="701">
        <v>0</v>
      </c>
      <c r="X102" s="701">
        <v>0</v>
      </c>
      <c r="Y102" s="701">
        <v>0</v>
      </c>
      <c r="Z102" s="701">
        <v>80</v>
      </c>
      <c r="AA102" s="458" t="s">
        <v>749</v>
      </c>
      <c r="AB102" s="459" t="s">
        <v>539</v>
      </c>
      <c r="AC102" s="459" t="s">
        <v>539</v>
      </c>
      <c r="AD102" s="458" t="s">
        <v>750</v>
      </c>
      <c r="AE102" s="459">
        <v>20</v>
      </c>
      <c r="AF102" s="459">
        <v>20</v>
      </c>
      <c r="AG102" s="701" t="s">
        <v>375</v>
      </c>
      <c r="AH102" s="728"/>
      <c r="AI102" s="697" t="s">
        <v>751</v>
      </c>
      <c r="AJ102" s="697" t="s">
        <v>543</v>
      </c>
    </row>
    <row r="103" spans="2:36" ht="24" hidden="1" customHeight="1">
      <c r="B103" s="702"/>
      <c r="C103" s="700"/>
      <c r="D103" s="700"/>
      <c r="E103" s="700"/>
      <c r="F103" s="700"/>
      <c r="G103" s="700"/>
      <c r="H103" s="700"/>
      <c r="I103" s="710"/>
      <c r="J103" s="710"/>
      <c r="K103" s="713"/>
      <c r="L103" s="710"/>
      <c r="M103" s="710"/>
      <c r="N103" s="713"/>
      <c r="O103" s="702"/>
      <c r="P103" s="702"/>
      <c r="Q103" s="706"/>
      <c r="R103" s="702"/>
      <c r="S103" s="702"/>
      <c r="T103" s="702"/>
      <c r="U103" s="702"/>
      <c r="V103" s="702"/>
      <c r="W103" s="702"/>
      <c r="X103" s="702"/>
      <c r="Y103" s="702"/>
      <c r="Z103" s="702"/>
      <c r="AA103" s="473" t="s">
        <v>752</v>
      </c>
      <c r="AB103" s="474" t="s">
        <v>539</v>
      </c>
      <c r="AC103" s="474" t="s">
        <v>539</v>
      </c>
      <c r="AD103" s="473" t="s">
        <v>753</v>
      </c>
      <c r="AE103" s="474">
        <v>100</v>
      </c>
      <c r="AF103" s="474">
        <v>100</v>
      </c>
      <c r="AG103" s="702"/>
      <c r="AH103" s="729"/>
      <c r="AI103" s="698"/>
      <c r="AJ103" s="698"/>
    </row>
    <row r="104" spans="2:36" ht="24" hidden="1" customHeight="1">
      <c r="B104" s="701">
        <v>78</v>
      </c>
      <c r="C104" s="699" t="s">
        <v>534</v>
      </c>
      <c r="D104" s="699"/>
      <c r="E104" s="699" t="s">
        <v>577</v>
      </c>
      <c r="F104" s="699"/>
      <c r="G104" s="699" t="s">
        <v>270</v>
      </c>
      <c r="H104" s="699" t="s">
        <v>754</v>
      </c>
      <c r="I104" s="709" t="s">
        <v>537</v>
      </c>
      <c r="J104" s="709" t="s">
        <v>537</v>
      </c>
      <c r="K104" s="712">
        <v>60000</v>
      </c>
      <c r="L104" s="709" t="s">
        <v>537</v>
      </c>
      <c r="M104" s="709" t="s">
        <v>537</v>
      </c>
      <c r="N104" s="712">
        <v>21387.1</v>
      </c>
      <c r="O104" s="701" t="s">
        <v>537</v>
      </c>
      <c r="P104" s="701" t="s">
        <v>537</v>
      </c>
      <c r="Q104" s="705">
        <v>38613</v>
      </c>
      <c r="R104" s="701" t="s">
        <v>747</v>
      </c>
      <c r="S104" s="701" t="s">
        <v>748</v>
      </c>
      <c r="T104" s="701">
        <v>0</v>
      </c>
      <c r="U104" s="701">
        <v>0</v>
      </c>
      <c r="V104" s="701">
        <v>0</v>
      </c>
      <c r="W104" s="701">
        <v>0</v>
      </c>
      <c r="X104" s="701">
        <v>0</v>
      </c>
      <c r="Y104" s="701">
        <v>0</v>
      </c>
      <c r="Z104" s="701">
        <v>80</v>
      </c>
      <c r="AA104" s="458" t="s">
        <v>755</v>
      </c>
      <c r="AB104" s="459" t="s">
        <v>539</v>
      </c>
      <c r="AC104" s="459" t="s">
        <v>539</v>
      </c>
      <c r="AD104" s="458" t="s">
        <v>756</v>
      </c>
      <c r="AE104" s="459">
        <v>20</v>
      </c>
      <c r="AF104" s="459">
        <v>20</v>
      </c>
      <c r="AG104" s="701" t="s">
        <v>375</v>
      </c>
      <c r="AH104" s="728"/>
      <c r="AI104" s="697" t="s">
        <v>751</v>
      </c>
      <c r="AJ104" s="697" t="s">
        <v>543</v>
      </c>
    </row>
    <row r="105" spans="2:36" ht="24" hidden="1" customHeight="1">
      <c r="B105" s="702"/>
      <c r="C105" s="700"/>
      <c r="D105" s="700"/>
      <c r="E105" s="700"/>
      <c r="F105" s="700"/>
      <c r="G105" s="700"/>
      <c r="H105" s="700"/>
      <c r="I105" s="710"/>
      <c r="J105" s="710"/>
      <c r="K105" s="713"/>
      <c r="L105" s="710"/>
      <c r="M105" s="710"/>
      <c r="N105" s="713"/>
      <c r="O105" s="702"/>
      <c r="P105" s="702"/>
      <c r="Q105" s="706"/>
      <c r="R105" s="702"/>
      <c r="S105" s="702"/>
      <c r="T105" s="702"/>
      <c r="U105" s="702"/>
      <c r="V105" s="702"/>
      <c r="W105" s="702"/>
      <c r="X105" s="702"/>
      <c r="Y105" s="702"/>
      <c r="Z105" s="702"/>
      <c r="AA105" s="473" t="s">
        <v>752</v>
      </c>
      <c r="AB105" s="474" t="s">
        <v>539</v>
      </c>
      <c r="AC105" s="474" t="s">
        <v>539</v>
      </c>
      <c r="AD105" s="473" t="s">
        <v>757</v>
      </c>
      <c r="AE105" s="474">
        <v>80</v>
      </c>
      <c r="AF105" s="474">
        <v>80</v>
      </c>
      <c r="AG105" s="702"/>
      <c r="AH105" s="729"/>
      <c r="AI105" s="698"/>
      <c r="AJ105" s="698"/>
    </row>
    <row r="106" spans="2:36" ht="24" hidden="1" customHeight="1">
      <c r="B106" s="463">
        <v>79</v>
      </c>
      <c r="C106" s="464" t="s">
        <v>534</v>
      </c>
      <c r="D106" s="464"/>
      <c r="E106" s="464" t="s">
        <v>577</v>
      </c>
      <c r="F106" s="464"/>
      <c r="G106" s="464" t="s">
        <v>270</v>
      </c>
      <c r="H106" s="464" t="s">
        <v>758</v>
      </c>
      <c r="I106" s="465" t="s">
        <v>537</v>
      </c>
      <c r="J106" s="465" t="s">
        <v>537</v>
      </c>
      <c r="K106" s="466">
        <v>150000</v>
      </c>
      <c r="L106" s="465" t="s">
        <v>537</v>
      </c>
      <c r="M106" s="465" t="s">
        <v>537</v>
      </c>
      <c r="N106" s="466">
        <v>149939</v>
      </c>
      <c r="O106" s="463" t="s">
        <v>537</v>
      </c>
      <c r="P106" s="463" t="s">
        <v>537</v>
      </c>
      <c r="Q106" s="465">
        <v>61</v>
      </c>
      <c r="R106" s="463" t="s">
        <v>552</v>
      </c>
      <c r="S106" s="463" t="s">
        <v>759</v>
      </c>
      <c r="T106" s="463">
        <v>0</v>
      </c>
      <c r="U106" s="463">
        <v>0</v>
      </c>
      <c r="V106" s="463">
        <v>0</v>
      </c>
      <c r="W106" s="463">
        <v>0</v>
      </c>
      <c r="X106" s="464"/>
      <c r="Y106" s="464"/>
      <c r="Z106" s="463">
        <v>80</v>
      </c>
      <c r="AA106" s="472" t="s">
        <v>760</v>
      </c>
      <c r="AB106" s="463" t="s">
        <v>539</v>
      </c>
      <c r="AC106" s="463" t="s">
        <v>539</v>
      </c>
      <c r="AD106" s="472" t="s">
        <v>761</v>
      </c>
      <c r="AE106" s="463" t="s">
        <v>539</v>
      </c>
      <c r="AF106" s="463" t="s">
        <v>539</v>
      </c>
      <c r="AG106" s="463" t="s">
        <v>375</v>
      </c>
      <c r="AH106" s="476"/>
      <c r="AI106" s="472" t="s">
        <v>762</v>
      </c>
      <c r="AJ106" s="472" t="s">
        <v>543</v>
      </c>
    </row>
    <row r="107" spans="2:36" ht="24" hidden="1" customHeight="1">
      <c r="B107" s="701">
        <v>80</v>
      </c>
      <c r="C107" s="699" t="s">
        <v>534</v>
      </c>
      <c r="D107" s="699"/>
      <c r="E107" s="699" t="s">
        <v>577</v>
      </c>
      <c r="F107" s="699"/>
      <c r="G107" s="699" t="s">
        <v>270</v>
      </c>
      <c r="H107" s="699" t="s">
        <v>763</v>
      </c>
      <c r="I107" s="709" t="s">
        <v>537</v>
      </c>
      <c r="J107" s="709" t="s">
        <v>537</v>
      </c>
      <c r="K107" s="712">
        <v>50000</v>
      </c>
      <c r="L107" s="709" t="s">
        <v>537</v>
      </c>
      <c r="M107" s="709" t="s">
        <v>537</v>
      </c>
      <c r="N107" s="712">
        <v>49386.67</v>
      </c>
      <c r="O107" s="701" t="s">
        <v>537</v>
      </c>
      <c r="P107" s="701" t="s">
        <v>537</v>
      </c>
      <c r="Q107" s="709">
        <v>613</v>
      </c>
      <c r="R107" s="701" t="s">
        <v>764</v>
      </c>
      <c r="S107" s="701" t="s">
        <v>765</v>
      </c>
      <c r="T107" s="701">
        <v>0</v>
      </c>
      <c r="U107" s="701">
        <v>0</v>
      </c>
      <c r="V107" s="701">
        <v>0</v>
      </c>
      <c r="W107" s="699"/>
      <c r="X107" s="701">
        <v>1</v>
      </c>
      <c r="Y107" s="699"/>
      <c r="Z107" s="701">
        <v>80</v>
      </c>
      <c r="AA107" s="697" t="s">
        <v>766</v>
      </c>
      <c r="AB107" s="701">
        <v>80</v>
      </c>
      <c r="AC107" s="701">
        <v>80</v>
      </c>
      <c r="AD107" s="458" t="s">
        <v>767</v>
      </c>
      <c r="AE107" s="459">
        <v>1</v>
      </c>
      <c r="AF107" s="459">
        <v>1</v>
      </c>
      <c r="AG107" s="701" t="s">
        <v>375</v>
      </c>
      <c r="AH107" s="728"/>
      <c r="AI107" s="697" t="s">
        <v>768</v>
      </c>
      <c r="AJ107" s="697" t="s">
        <v>543</v>
      </c>
    </row>
    <row r="108" spans="2:36" ht="24" hidden="1" customHeight="1">
      <c r="B108" s="702"/>
      <c r="C108" s="700"/>
      <c r="D108" s="700"/>
      <c r="E108" s="700"/>
      <c r="F108" s="700"/>
      <c r="G108" s="700"/>
      <c r="H108" s="700"/>
      <c r="I108" s="710"/>
      <c r="J108" s="710"/>
      <c r="K108" s="713"/>
      <c r="L108" s="710"/>
      <c r="M108" s="710"/>
      <c r="N108" s="713"/>
      <c r="O108" s="702"/>
      <c r="P108" s="702"/>
      <c r="Q108" s="710"/>
      <c r="R108" s="702"/>
      <c r="S108" s="702"/>
      <c r="T108" s="702"/>
      <c r="U108" s="702"/>
      <c r="V108" s="702"/>
      <c r="W108" s="700"/>
      <c r="X108" s="702"/>
      <c r="Y108" s="700"/>
      <c r="Z108" s="702"/>
      <c r="AA108" s="698"/>
      <c r="AB108" s="702"/>
      <c r="AC108" s="702"/>
      <c r="AD108" s="473" t="s">
        <v>769</v>
      </c>
      <c r="AE108" s="474">
        <v>1</v>
      </c>
      <c r="AF108" s="474">
        <v>1</v>
      </c>
      <c r="AG108" s="702"/>
      <c r="AH108" s="729"/>
      <c r="AI108" s="698"/>
      <c r="AJ108" s="698"/>
    </row>
    <row r="109" spans="2:36" ht="24" hidden="1" customHeight="1">
      <c r="B109" s="463">
        <v>81</v>
      </c>
      <c r="C109" s="464" t="s">
        <v>534</v>
      </c>
      <c r="D109" s="464" t="s">
        <v>544</v>
      </c>
      <c r="E109" s="464" t="s">
        <v>535</v>
      </c>
      <c r="F109" s="464"/>
      <c r="G109" s="464" t="s">
        <v>270</v>
      </c>
      <c r="H109" s="464" t="s">
        <v>770</v>
      </c>
      <c r="I109" s="465" t="s">
        <v>537</v>
      </c>
      <c r="J109" s="466">
        <v>25600</v>
      </c>
      <c r="K109" s="465" t="s">
        <v>537</v>
      </c>
      <c r="L109" s="465" t="s">
        <v>537</v>
      </c>
      <c r="M109" s="466">
        <v>25600</v>
      </c>
      <c r="N109" s="465" t="s">
        <v>537</v>
      </c>
      <c r="O109" s="463" t="s">
        <v>537</v>
      </c>
      <c r="P109" s="463" t="s">
        <v>537</v>
      </c>
      <c r="Q109" s="465">
        <v>0</v>
      </c>
      <c r="R109" s="463" t="s">
        <v>771</v>
      </c>
      <c r="S109" s="463" t="s">
        <v>772</v>
      </c>
      <c r="T109" s="463">
        <v>0</v>
      </c>
      <c r="U109" s="463">
        <v>40</v>
      </c>
      <c r="V109" s="463">
        <v>0</v>
      </c>
      <c r="W109" s="463">
        <v>0</v>
      </c>
      <c r="X109" s="463">
        <v>44</v>
      </c>
      <c r="Y109" s="463">
        <v>0</v>
      </c>
      <c r="Z109" s="463">
        <v>90.07</v>
      </c>
      <c r="AA109" s="472" t="s">
        <v>547</v>
      </c>
      <c r="AB109" s="463" t="s">
        <v>539</v>
      </c>
      <c r="AC109" s="463" t="s">
        <v>539</v>
      </c>
      <c r="AD109" s="472" t="s">
        <v>548</v>
      </c>
      <c r="AE109" s="463">
        <v>80</v>
      </c>
      <c r="AF109" s="463">
        <v>90.07</v>
      </c>
      <c r="AG109" s="463" t="s">
        <v>375</v>
      </c>
      <c r="AH109" s="476"/>
      <c r="AI109" s="472" t="s">
        <v>773</v>
      </c>
      <c r="AJ109" s="464"/>
    </row>
    <row r="110" spans="2:36" ht="24" hidden="1" customHeight="1">
      <c r="B110" s="463">
        <v>82</v>
      </c>
      <c r="C110" s="464" t="s">
        <v>534</v>
      </c>
      <c r="D110" s="464" t="s">
        <v>544</v>
      </c>
      <c r="E110" s="464" t="s">
        <v>535</v>
      </c>
      <c r="F110" s="464"/>
      <c r="G110" s="464" t="s">
        <v>270</v>
      </c>
      <c r="H110" s="464" t="s">
        <v>774</v>
      </c>
      <c r="I110" s="465" t="s">
        <v>537</v>
      </c>
      <c r="J110" s="466">
        <v>67400</v>
      </c>
      <c r="K110" s="465" t="s">
        <v>537</v>
      </c>
      <c r="L110" s="465" t="s">
        <v>537</v>
      </c>
      <c r="M110" s="466">
        <v>67388</v>
      </c>
      <c r="N110" s="465" t="s">
        <v>537</v>
      </c>
      <c r="O110" s="463" t="s">
        <v>537</v>
      </c>
      <c r="P110" s="463" t="s">
        <v>537</v>
      </c>
      <c r="Q110" s="465">
        <v>12</v>
      </c>
      <c r="R110" s="463" t="s">
        <v>775</v>
      </c>
      <c r="S110" s="463" t="s">
        <v>776</v>
      </c>
      <c r="T110" s="463">
        <v>0</v>
      </c>
      <c r="U110" s="463">
        <v>63</v>
      </c>
      <c r="V110" s="463">
        <v>27</v>
      </c>
      <c r="W110" s="463">
        <v>0</v>
      </c>
      <c r="X110" s="463">
        <v>72</v>
      </c>
      <c r="Y110" s="463">
        <v>27</v>
      </c>
      <c r="Z110" s="463">
        <v>82</v>
      </c>
      <c r="AA110" s="472" t="s">
        <v>547</v>
      </c>
      <c r="AB110" s="463" t="s">
        <v>539</v>
      </c>
      <c r="AC110" s="463" t="s">
        <v>539</v>
      </c>
      <c r="AD110" s="472" t="s">
        <v>548</v>
      </c>
      <c r="AE110" s="463">
        <v>80</v>
      </c>
      <c r="AF110" s="463">
        <v>82</v>
      </c>
      <c r="AG110" s="463" t="s">
        <v>375</v>
      </c>
      <c r="AH110" s="476"/>
      <c r="AI110" s="472" t="s">
        <v>773</v>
      </c>
      <c r="AJ110" s="464"/>
    </row>
    <row r="111" spans="2:36" ht="24" hidden="1" customHeight="1">
      <c r="B111" s="463">
        <v>83</v>
      </c>
      <c r="C111" s="464" t="s">
        <v>534</v>
      </c>
      <c r="D111" s="464" t="s">
        <v>544</v>
      </c>
      <c r="E111" s="464" t="s">
        <v>535</v>
      </c>
      <c r="F111" s="464"/>
      <c r="G111" s="464" t="s">
        <v>270</v>
      </c>
      <c r="H111" s="464" t="s">
        <v>777</v>
      </c>
      <c r="I111" s="465" t="s">
        <v>537</v>
      </c>
      <c r="J111" s="466">
        <v>20600</v>
      </c>
      <c r="K111" s="465" t="s">
        <v>537</v>
      </c>
      <c r="L111" s="465" t="s">
        <v>537</v>
      </c>
      <c r="M111" s="466">
        <v>20282</v>
      </c>
      <c r="N111" s="465" t="s">
        <v>537</v>
      </c>
      <c r="O111" s="463" t="s">
        <v>537</v>
      </c>
      <c r="P111" s="463" t="s">
        <v>537</v>
      </c>
      <c r="Q111" s="465">
        <v>318</v>
      </c>
      <c r="R111" s="470">
        <v>241640</v>
      </c>
      <c r="S111" s="471">
        <v>22488</v>
      </c>
      <c r="T111" s="463">
        <v>0</v>
      </c>
      <c r="U111" s="463">
        <v>41</v>
      </c>
      <c r="V111" s="463">
        <v>4</v>
      </c>
      <c r="W111" s="463">
        <v>0</v>
      </c>
      <c r="X111" s="463">
        <v>54</v>
      </c>
      <c r="Y111" s="463">
        <v>4</v>
      </c>
      <c r="Z111" s="463">
        <v>93.4</v>
      </c>
      <c r="AA111" s="472" t="s">
        <v>547</v>
      </c>
      <c r="AB111" s="463" t="s">
        <v>539</v>
      </c>
      <c r="AC111" s="463" t="s">
        <v>539</v>
      </c>
      <c r="AD111" s="472" t="s">
        <v>548</v>
      </c>
      <c r="AE111" s="463">
        <v>80</v>
      </c>
      <c r="AF111" s="463">
        <v>93.4</v>
      </c>
      <c r="AG111" s="463" t="s">
        <v>375</v>
      </c>
      <c r="AH111" s="476"/>
      <c r="AI111" s="472" t="s">
        <v>773</v>
      </c>
      <c r="AJ111" s="464"/>
    </row>
    <row r="112" spans="2:36" ht="24" hidden="1" customHeight="1">
      <c r="B112" s="463">
        <v>84</v>
      </c>
      <c r="C112" s="464" t="s">
        <v>534</v>
      </c>
      <c r="D112" s="464" t="s">
        <v>544</v>
      </c>
      <c r="E112" s="464" t="s">
        <v>535</v>
      </c>
      <c r="F112" s="464"/>
      <c r="G112" s="464" t="s">
        <v>270</v>
      </c>
      <c r="H112" s="464" t="s">
        <v>778</v>
      </c>
      <c r="I112" s="465" t="s">
        <v>537</v>
      </c>
      <c r="J112" s="466">
        <v>25000</v>
      </c>
      <c r="K112" s="465" t="s">
        <v>537</v>
      </c>
      <c r="L112" s="465" t="s">
        <v>537</v>
      </c>
      <c r="M112" s="466">
        <v>24110</v>
      </c>
      <c r="N112" s="465" t="s">
        <v>537</v>
      </c>
      <c r="O112" s="463" t="s">
        <v>537</v>
      </c>
      <c r="P112" s="463" t="s">
        <v>537</v>
      </c>
      <c r="Q112" s="465">
        <v>890</v>
      </c>
      <c r="R112" s="470">
        <v>241487</v>
      </c>
      <c r="S112" s="463" t="s">
        <v>779</v>
      </c>
      <c r="T112" s="463">
        <v>200</v>
      </c>
      <c r="U112" s="463">
        <v>60</v>
      </c>
      <c r="V112" s="463">
        <v>0</v>
      </c>
      <c r="W112" s="463">
        <v>225</v>
      </c>
      <c r="X112" s="463">
        <v>78</v>
      </c>
      <c r="Y112" s="463">
        <v>0</v>
      </c>
      <c r="Z112" s="463">
        <v>86.1</v>
      </c>
      <c r="AA112" s="472" t="s">
        <v>547</v>
      </c>
      <c r="AB112" s="463" t="s">
        <v>539</v>
      </c>
      <c r="AC112" s="463" t="s">
        <v>539</v>
      </c>
      <c r="AD112" s="472" t="s">
        <v>548</v>
      </c>
      <c r="AE112" s="463">
        <v>80</v>
      </c>
      <c r="AF112" s="463">
        <v>86.1</v>
      </c>
      <c r="AG112" s="463" t="s">
        <v>375</v>
      </c>
      <c r="AH112" s="476"/>
      <c r="AI112" s="472" t="s">
        <v>780</v>
      </c>
      <c r="AJ112" s="464"/>
    </row>
    <row r="113" spans="2:36" ht="24" hidden="1" customHeight="1">
      <c r="B113" s="463">
        <v>85</v>
      </c>
      <c r="C113" s="464" t="s">
        <v>534</v>
      </c>
      <c r="D113" s="464" t="s">
        <v>544</v>
      </c>
      <c r="E113" s="464" t="s">
        <v>535</v>
      </c>
      <c r="F113" s="464"/>
      <c r="G113" s="464" t="s">
        <v>270</v>
      </c>
      <c r="H113" s="464" t="s">
        <v>781</v>
      </c>
      <c r="I113" s="465" t="s">
        <v>537</v>
      </c>
      <c r="J113" s="466">
        <v>40000</v>
      </c>
      <c r="K113" s="465" t="s">
        <v>537</v>
      </c>
      <c r="L113" s="465" t="s">
        <v>537</v>
      </c>
      <c r="M113" s="466">
        <v>31500</v>
      </c>
      <c r="N113" s="465" t="s">
        <v>537</v>
      </c>
      <c r="O113" s="463" t="s">
        <v>537</v>
      </c>
      <c r="P113" s="463" t="s">
        <v>537</v>
      </c>
      <c r="Q113" s="468">
        <v>8500</v>
      </c>
      <c r="R113" s="463" t="s">
        <v>727</v>
      </c>
      <c r="S113" s="463" t="s">
        <v>664</v>
      </c>
      <c r="T113" s="463">
        <v>25</v>
      </c>
      <c r="U113" s="463">
        <v>50</v>
      </c>
      <c r="V113" s="463">
        <v>25</v>
      </c>
      <c r="W113" s="463">
        <v>1</v>
      </c>
      <c r="X113" s="463">
        <v>86</v>
      </c>
      <c r="Y113" s="463">
        <v>48</v>
      </c>
      <c r="Z113" s="463">
        <v>84.7</v>
      </c>
      <c r="AA113" s="472" t="s">
        <v>547</v>
      </c>
      <c r="AB113" s="463" t="s">
        <v>539</v>
      </c>
      <c r="AC113" s="463" t="s">
        <v>539</v>
      </c>
      <c r="AD113" s="472" t="s">
        <v>548</v>
      </c>
      <c r="AE113" s="463">
        <v>80</v>
      </c>
      <c r="AF113" s="463">
        <v>84.1</v>
      </c>
      <c r="AG113" s="463" t="s">
        <v>375</v>
      </c>
      <c r="AH113" s="476"/>
      <c r="AI113" s="472" t="s">
        <v>773</v>
      </c>
      <c r="AJ113" s="464"/>
    </row>
    <row r="114" spans="2:36" ht="24" hidden="1" customHeight="1">
      <c r="B114" s="463">
        <v>86</v>
      </c>
      <c r="C114" s="464" t="s">
        <v>534</v>
      </c>
      <c r="D114" s="464" t="s">
        <v>544</v>
      </c>
      <c r="E114" s="464" t="s">
        <v>535</v>
      </c>
      <c r="F114" s="464"/>
      <c r="G114" s="464" t="s">
        <v>270</v>
      </c>
      <c r="H114" s="464" t="s">
        <v>782</v>
      </c>
      <c r="I114" s="465" t="s">
        <v>537</v>
      </c>
      <c r="J114" s="466">
        <v>10000</v>
      </c>
      <c r="K114" s="465" t="s">
        <v>537</v>
      </c>
      <c r="L114" s="465" t="s">
        <v>537</v>
      </c>
      <c r="M114" s="466">
        <v>10000</v>
      </c>
      <c r="N114" s="465" t="s">
        <v>537</v>
      </c>
      <c r="O114" s="463" t="s">
        <v>537</v>
      </c>
      <c r="P114" s="463" t="s">
        <v>537</v>
      </c>
      <c r="Q114" s="465">
        <v>0</v>
      </c>
      <c r="R114" s="470">
        <v>241428</v>
      </c>
      <c r="S114" s="463" t="s">
        <v>783</v>
      </c>
      <c r="T114" s="463">
        <v>35</v>
      </c>
      <c r="U114" s="463">
        <v>5</v>
      </c>
      <c r="V114" s="463">
        <v>0</v>
      </c>
      <c r="W114" s="463">
        <v>128</v>
      </c>
      <c r="X114" s="463">
        <v>8</v>
      </c>
      <c r="Y114" s="463">
        <v>0</v>
      </c>
      <c r="Z114" s="463">
        <v>90.8</v>
      </c>
      <c r="AA114" s="472" t="s">
        <v>547</v>
      </c>
      <c r="AB114" s="463" t="s">
        <v>539</v>
      </c>
      <c r="AC114" s="463" t="s">
        <v>539</v>
      </c>
      <c r="AD114" s="472" t="s">
        <v>548</v>
      </c>
      <c r="AE114" s="463">
        <v>80</v>
      </c>
      <c r="AF114" s="463">
        <v>95.87</v>
      </c>
      <c r="AG114" s="463" t="s">
        <v>375</v>
      </c>
      <c r="AH114" s="476"/>
      <c r="AI114" s="472" t="s">
        <v>730</v>
      </c>
      <c r="AJ114" s="464"/>
    </row>
    <row r="115" spans="2:36" ht="24" hidden="1" customHeight="1">
      <c r="B115" s="463">
        <v>87</v>
      </c>
      <c r="C115" s="464" t="s">
        <v>534</v>
      </c>
      <c r="D115" s="464" t="s">
        <v>544</v>
      </c>
      <c r="E115" s="464" t="s">
        <v>535</v>
      </c>
      <c r="F115" s="464"/>
      <c r="G115" s="464" t="s">
        <v>270</v>
      </c>
      <c r="H115" s="464" t="s">
        <v>784</v>
      </c>
      <c r="I115" s="465" t="s">
        <v>537</v>
      </c>
      <c r="J115" s="466">
        <v>12000</v>
      </c>
      <c r="K115" s="465" t="s">
        <v>537</v>
      </c>
      <c r="L115" s="465" t="s">
        <v>537</v>
      </c>
      <c r="M115" s="466">
        <v>12000</v>
      </c>
      <c r="N115" s="465" t="s">
        <v>537</v>
      </c>
      <c r="O115" s="463" t="s">
        <v>537</v>
      </c>
      <c r="P115" s="463" t="s">
        <v>537</v>
      </c>
      <c r="Q115" s="465">
        <v>0</v>
      </c>
      <c r="R115" s="463" t="s">
        <v>785</v>
      </c>
      <c r="S115" s="463" t="s">
        <v>786</v>
      </c>
      <c r="T115" s="463">
        <v>10</v>
      </c>
      <c r="U115" s="463">
        <v>10</v>
      </c>
      <c r="V115" s="463">
        <v>0</v>
      </c>
      <c r="W115" s="463">
        <v>10</v>
      </c>
      <c r="X115" s="463">
        <v>10</v>
      </c>
      <c r="Y115" s="463">
        <v>0</v>
      </c>
      <c r="Z115" s="463">
        <v>85</v>
      </c>
      <c r="AA115" s="472" t="s">
        <v>547</v>
      </c>
      <c r="AB115" s="463" t="s">
        <v>539</v>
      </c>
      <c r="AC115" s="463" t="s">
        <v>539</v>
      </c>
      <c r="AD115" s="472" t="s">
        <v>548</v>
      </c>
      <c r="AE115" s="463">
        <v>80</v>
      </c>
      <c r="AF115" s="463">
        <v>80</v>
      </c>
      <c r="AG115" s="463" t="s">
        <v>375</v>
      </c>
      <c r="AH115" s="476"/>
      <c r="AI115" s="472" t="s">
        <v>787</v>
      </c>
      <c r="AJ115" s="464"/>
    </row>
    <row r="116" spans="2:36" ht="24" hidden="1" customHeight="1">
      <c r="B116" s="463">
        <v>88</v>
      </c>
      <c r="C116" s="464" t="s">
        <v>534</v>
      </c>
      <c r="D116" s="464"/>
      <c r="E116" s="464" t="s">
        <v>535</v>
      </c>
      <c r="F116" s="464"/>
      <c r="G116" s="464" t="s">
        <v>270</v>
      </c>
      <c r="H116" s="464" t="s">
        <v>788</v>
      </c>
      <c r="I116" s="465" t="s">
        <v>537</v>
      </c>
      <c r="J116" s="465" t="s">
        <v>537</v>
      </c>
      <c r="K116" s="466">
        <v>24400</v>
      </c>
      <c r="L116" s="465" t="s">
        <v>537</v>
      </c>
      <c r="M116" s="465" t="s">
        <v>537</v>
      </c>
      <c r="N116" s="466">
        <v>23064</v>
      </c>
      <c r="O116" s="463" t="s">
        <v>537</v>
      </c>
      <c r="P116" s="463" t="s">
        <v>537</v>
      </c>
      <c r="Q116" s="468">
        <v>1336</v>
      </c>
      <c r="R116" s="470">
        <v>241579</v>
      </c>
      <c r="S116" s="463" t="s">
        <v>789</v>
      </c>
      <c r="T116" s="463">
        <v>2</v>
      </c>
      <c r="U116" s="463">
        <v>0</v>
      </c>
      <c r="V116" s="463">
        <v>0</v>
      </c>
      <c r="W116" s="463">
        <v>2</v>
      </c>
      <c r="X116" s="464"/>
      <c r="Y116" s="464"/>
      <c r="Z116" s="463">
        <v>80</v>
      </c>
      <c r="AA116" s="472" t="s">
        <v>790</v>
      </c>
      <c r="AB116" s="463">
        <v>1</v>
      </c>
      <c r="AC116" s="463">
        <v>1</v>
      </c>
      <c r="AD116" s="472" t="s">
        <v>791</v>
      </c>
      <c r="AE116" s="463">
        <v>80</v>
      </c>
      <c r="AF116" s="463">
        <v>80</v>
      </c>
      <c r="AG116" s="463" t="s">
        <v>375</v>
      </c>
      <c r="AH116" s="476"/>
      <c r="AI116" s="472">
        <v>836566529</v>
      </c>
      <c r="AJ116" s="472" t="s">
        <v>792</v>
      </c>
    </row>
    <row r="117" spans="2:36" ht="24" hidden="1" customHeight="1">
      <c r="B117" s="463">
        <v>89</v>
      </c>
      <c r="C117" s="464" t="s">
        <v>534</v>
      </c>
      <c r="D117" s="464"/>
      <c r="E117" s="464" t="s">
        <v>535</v>
      </c>
      <c r="F117" s="464"/>
      <c r="G117" s="464" t="s">
        <v>270</v>
      </c>
      <c r="H117" s="464" t="s">
        <v>793</v>
      </c>
      <c r="I117" s="465" t="s">
        <v>537</v>
      </c>
      <c r="J117" s="465" t="s">
        <v>537</v>
      </c>
      <c r="K117" s="466">
        <v>14950</v>
      </c>
      <c r="L117" s="465" t="s">
        <v>537</v>
      </c>
      <c r="M117" s="465" t="s">
        <v>537</v>
      </c>
      <c r="N117" s="466">
        <v>14950</v>
      </c>
      <c r="O117" s="463" t="s">
        <v>537</v>
      </c>
      <c r="P117" s="463" t="s">
        <v>537</v>
      </c>
      <c r="Q117" s="465">
        <v>0</v>
      </c>
      <c r="R117" s="463" t="s">
        <v>646</v>
      </c>
      <c r="S117" s="463" t="s">
        <v>794</v>
      </c>
      <c r="T117" s="463">
        <v>83</v>
      </c>
      <c r="U117" s="463">
        <v>6</v>
      </c>
      <c r="V117" s="463">
        <v>0</v>
      </c>
      <c r="W117" s="463">
        <v>83</v>
      </c>
      <c r="X117" s="463">
        <v>6</v>
      </c>
      <c r="Y117" s="463">
        <v>0</v>
      </c>
      <c r="Z117" s="463">
        <v>96</v>
      </c>
      <c r="AA117" s="472" t="s">
        <v>547</v>
      </c>
      <c r="AB117" s="463" t="s">
        <v>539</v>
      </c>
      <c r="AC117" s="463" t="s">
        <v>539</v>
      </c>
      <c r="AD117" s="472" t="s">
        <v>795</v>
      </c>
      <c r="AE117" s="463">
        <v>80</v>
      </c>
      <c r="AF117" s="463">
        <v>88.61</v>
      </c>
      <c r="AG117" s="463" t="s">
        <v>375</v>
      </c>
      <c r="AH117" s="476"/>
      <c r="AI117" s="472" t="s">
        <v>537</v>
      </c>
      <c r="AJ117" s="472" t="s">
        <v>543</v>
      </c>
    </row>
    <row r="118" spans="2:36" ht="24" hidden="1" customHeight="1">
      <c r="B118" s="463">
        <v>90</v>
      </c>
      <c r="C118" s="464" t="s">
        <v>534</v>
      </c>
      <c r="D118" s="464"/>
      <c r="E118" s="464" t="s">
        <v>535</v>
      </c>
      <c r="F118" s="464"/>
      <c r="G118" s="464" t="s">
        <v>270</v>
      </c>
      <c r="H118" s="464" t="s">
        <v>796</v>
      </c>
      <c r="I118" s="465" t="s">
        <v>537</v>
      </c>
      <c r="J118" s="465" t="s">
        <v>537</v>
      </c>
      <c r="K118" s="466">
        <v>25000</v>
      </c>
      <c r="L118" s="465" t="s">
        <v>537</v>
      </c>
      <c r="M118" s="465" t="s">
        <v>537</v>
      </c>
      <c r="N118" s="466">
        <v>22850</v>
      </c>
      <c r="O118" s="463" t="s">
        <v>537</v>
      </c>
      <c r="P118" s="463" t="s">
        <v>537</v>
      </c>
      <c r="Q118" s="468">
        <v>2150</v>
      </c>
      <c r="R118" s="470">
        <v>241428</v>
      </c>
      <c r="S118" s="463" t="s">
        <v>623</v>
      </c>
      <c r="T118" s="463">
        <v>0</v>
      </c>
      <c r="U118" s="463">
        <v>0</v>
      </c>
      <c r="V118" s="463">
        <v>0</v>
      </c>
      <c r="W118" s="463">
        <v>160</v>
      </c>
      <c r="X118" s="463">
        <v>15</v>
      </c>
      <c r="Y118" s="463">
        <v>17</v>
      </c>
      <c r="Z118" s="463">
        <v>82</v>
      </c>
      <c r="AA118" s="472" t="s">
        <v>797</v>
      </c>
      <c r="AB118" s="463">
        <v>80</v>
      </c>
      <c r="AC118" s="463">
        <v>96</v>
      </c>
      <c r="AD118" s="472" t="s">
        <v>571</v>
      </c>
      <c r="AE118" s="463">
        <v>80</v>
      </c>
      <c r="AF118" s="463">
        <v>89</v>
      </c>
      <c r="AG118" s="463" t="s">
        <v>375</v>
      </c>
      <c r="AH118" s="476"/>
      <c r="AI118" s="472">
        <v>830611031</v>
      </c>
      <c r="AJ118" s="472" t="s">
        <v>543</v>
      </c>
    </row>
    <row r="119" spans="2:36" ht="24" hidden="1" customHeight="1">
      <c r="B119" s="463">
        <v>91</v>
      </c>
      <c r="C119" s="464" t="s">
        <v>534</v>
      </c>
      <c r="D119" s="464"/>
      <c r="E119" s="464" t="s">
        <v>535</v>
      </c>
      <c r="F119" s="464"/>
      <c r="G119" s="464" t="s">
        <v>270</v>
      </c>
      <c r="H119" s="464" t="s">
        <v>798</v>
      </c>
      <c r="I119" s="465" t="s">
        <v>537</v>
      </c>
      <c r="J119" s="465" t="s">
        <v>537</v>
      </c>
      <c r="K119" s="466">
        <v>25000</v>
      </c>
      <c r="L119" s="465" t="s">
        <v>537</v>
      </c>
      <c r="M119" s="465" t="s">
        <v>537</v>
      </c>
      <c r="N119" s="466">
        <v>24600</v>
      </c>
      <c r="O119" s="463" t="s">
        <v>537</v>
      </c>
      <c r="P119" s="463" t="s">
        <v>537</v>
      </c>
      <c r="Q119" s="465">
        <v>400</v>
      </c>
      <c r="R119" s="470">
        <v>241428</v>
      </c>
      <c r="S119" s="463" t="s">
        <v>623</v>
      </c>
      <c r="T119" s="463">
        <v>0</v>
      </c>
      <c r="U119" s="463">
        <v>0</v>
      </c>
      <c r="V119" s="463">
        <v>0</v>
      </c>
      <c r="W119" s="463">
        <v>100</v>
      </c>
      <c r="X119" s="463">
        <v>13</v>
      </c>
      <c r="Y119" s="463">
        <v>80</v>
      </c>
      <c r="Z119" s="463">
        <v>90</v>
      </c>
      <c r="AA119" s="472" t="s">
        <v>797</v>
      </c>
      <c r="AB119" s="463">
        <v>80</v>
      </c>
      <c r="AC119" s="463">
        <v>90</v>
      </c>
      <c r="AD119" s="472" t="s">
        <v>797</v>
      </c>
      <c r="AE119" s="463">
        <v>80</v>
      </c>
      <c r="AF119" s="463">
        <v>90</v>
      </c>
      <c r="AG119" s="463" t="s">
        <v>375</v>
      </c>
      <c r="AH119" s="476"/>
      <c r="AI119" s="472">
        <v>819786283</v>
      </c>
      <c r="AJ119" s="472" t="s">
        <v>543</v>
      </c>
    </row>
    <row r="120" spans="2:36" ht="24" hidden="1" customHeight="1">
      <c r="B120" s="463">
        <v>92</v>
      </c>
      <c r="C120" s="464" t="s">
        <v>534</v>
      </c>
      <c r="D120" s="464"/>
      <c r="E120" s="464" t="s">
        <v>535</v>
      </c>
      <c r="F120" s="464"/>
      <c r="G120" s="464" t="s">
        <v>270</v>
      </c>
      <c r="H120" s="464" t="s">
        <v>799</v>
      </c>
      <c r="I120" s="465" t="s">
        <v>537</v>
      </c>
      <c r="J120" s="465" t="s">
        <v>537</v>
      </c>
      <c r="K120" s="466">
        <v>25000</v>
      </c>
      <c r="L120" s="465" t="s">
        <v>537</v>
      </c>
      <c r="M120" s="465" t="s">
        <v>537</v>
      </c>
      <c r="N120" s="466">
        <v>25000</v>
      </c>
      <c r="O120" s="463" t="s">
        <v>537</v>
      </c>
      <c r="P120" s="463" t="s">
        <v>537</v>
      </c>
      <c r="Q120" s="465">
        <v>0</v>
      </c>
      <c r="R120" s="470">
        <v>241428</v>
      </c>
      <c r="S120" s="463" t="s">
        <v>623</v>
      </c>
      <c r="T120" s="463">
        <v>0</v>
      </c>
      <c r="U120" s="463">
        <v>0</v>
      </c>
      <c r="V120" s="463">
        <v>0</v>
      </c>
      <c r="W120" s="463">
        <v>25</v>
      </c>
      <c r="X120" s="463">
        <v>11</v>
      </c>
      <c r="Y120" s="463">
        <v>114</v>
      </c>
      <c r="Z120" s="463">
        <v>85</v>
      </c>
      <c r="AA120" s="472" t="s">
        <v>797</v>
      </c>
      <c r="AB120" s="463">
        <v>80</v>
      </c>
      <c r="AC120" s="463">
        <v>92</v>
      </c>
      <c r="AD120" s="472" t="s">
        <v>797</v>
      </c>
      <c r="AE120" s="463">
        <v>80</v>
      </c>
      <c r="AF120" s="463">
        <v>92</v>
      </c>
      <c r="AG120" s="463" t="s">
        <v>375</v>
      </c>
      <c r="AH120" s="476"/>
      <c r="AI120" s="472">
        <v>815990778</v>
      </c>
      <c r="AJ120" s="472" t="s">
        <v>543</v>
      </c>
    </row>
    <row r="121" spans="2:36" ht="24" hidden="1" customHeight="1">
      <c r="B121" s="463">
        <v>93</v>
      </c>
      <c r="C121" s="464" t="s">
        <v>534</v>
      </c>
      <c r="D121" s="464"/>
      <c r="E121" s="464" t="s">
        <v>535</v>
      </c>
      <c r="F121" s="464"/>
      <c r="G121" s="464" t="s">
        <v>270</v>
      </c>
      <c r="H121" s="464" t="s">
        <v>800</v>
      </c>
      <c r="I121" s="465" t="s">
        <v>537</v>
      </c>
      <c r="J121" s="465" t="s">
        <v>537</v>
      </c>
      <c r="K121" s="466">
        <v>26000</v>
      </c>
      <c r="L121" s="465" t="s">
        <v>537</v>
      </c>
      <c r="M121" s="465" t="s">
        <v>537</v>
      </c>
      <c r="N121" s="466">
        <v>26000</v>
      </c>
      <c r="O121" s="463" t="s">
        <v>537</v>
      </c>
      <c r="P121" s="463" t="s">
        <v>537</v>
      </c>
      <c r="Q121" s="465">
        <v>0</v>
      </c>
      <c r="R121" s="470">
        <v>241428</v>
      </c>
      <c r="S121" s="463" t="s">
        <v>623</v>
      </c>
      <c r="T121" s="463">
        <v>0</v>
      </c>
      <c r="U121" s="463">
        <v>0</v>
      </c>
      <c r="V121" s="463">
        <v>0</v>
      </c>
      <c r="W121" s="463">
        <v>10</v>
      </c>
      <c r="X121" s="463">
        <v>6</v>
      </c>
      <c r="Y121" s="463">
        <v>20</v>
      </c>
      <c r="Z121" s="463">
        <v>96.8</v>
      </c>
      <c r="AA121" s="472" t="s">
        <v>797</v>
      </c>
      <c r="AB121" s="463">
        <v>80</v>
      </c>
      <c r="AC121" s="463">
        <v>96</v>
      </c>
      <c r="AD121" s="472" t="s">
        <v>571</v>
      </c>
      <c r="AE121" s="463">
        <v>80</v>
      </c>
      <c r="AF121" s="463">
        <v>96</v>
      </c>
      <c r="AG121" s="463" t="s">
        <v>375</v>
      </c>
      <c r="AH121" s="476"/>
      <c r="AI121" s="472">
        <v>891696364</v>
      </c>
      <c r="AJ121" s="472" t="s">
        <v>543</v>
      </c>
    </row>
    <row r="122" spans="2:36" ht="24" hidden="1" customHeight="1">
      <c r="B122" s="463">
        <v>94</v>
      </c>
      <c r="C122" s="464" t="s">
        <v>534</v>
      </c>
      <c r="D122" s="464"/>
      <c r="E122" s="464" t="s">
        <v>535</v>
      </c>
      <c r="F122" s="464"/>
      <c r="G122" s="464" t="s">
        <v>270</v>
      </c>
      <c r="H122" s="464" t="s">
        <v>801</v>
      </c>
      <c r="I122" s="465" t="s">
        <v>537</v>
      </c>
      <c r="J122" s="465" t="s">
        <v>537</v>
      </c>
      <c r="K122" s="466">
        <v>25000</v>
      </c>
      <c r="L122" s="465" t="s">
        <v>537</v>
      </c>
      <c r="M122" s="465" t="s">
        <v>537</v>
      </c>
      <c r="N122" s="466">
        <v>25000</v>
      </c>
      <c r="O122" s="463" t="s">
        <v>537</v>
      </c>
      <c r="P122" s="463" t="s">
        <v>537</v>
      </c>
      <c r="Q122" s="465">
        <v>0</v>
      </c>
      <c r="R122" s="470">
        <v>241428</v>
      </c>
      <c r="S122" s="463" t="s">
        <v>623</v>
      </c>
      <c r="T122" s="463">
        <v>0</v>
      </c>
      <c r="U122" s="463">
        <v>0</v>
      </c>
      <c r="V122" s="463">
        <v>0</v>
      </c>
      <c r="W122" s="463">
        <v>80</v>
      </c>
      <c r="X122" s="463">
        <v>30</v>
      </c>
      <c r="Y122" s="463">
        <v>100</v>
      </c>
      <c r="Z122" s="463">
        <v>91.25</v>
      </c>
      <c r="AA122" s="472" t="s">
        <v>797</v>
      </c>
      <c r="AB122" s="463">
        <v>80</v>
      </c>
      <c r="AC122" s="463">
        <v>91</v>
      </c>
      <c r="AD122" s="472" t="s">
        <v>571</v>
      </c>
      <c r="AE122" s="463">
        <v>80</v>
      </c>
      <c r="AF122" s="463">
        <v>91.5</v>
      </c>
      <c r="AG122" s="463" t="s">
        <v>375</v>
      </c>
      <c r="AH122" s="476"/>
      <c r="AI122" s="472">
        <v>992355451</v>
      </c>
      <c r="AJ122" s="472" t="s">
        <v>543</v>
      </c>
    </row>
    <row r="123" spans="2:36" ht="24" hidden="1" customHeight="1">
      <c r="B123" s="463">
        <v>95</v>
      </c>
      <c r="C123" s="464" t="s">
        <v>534</v>
      </c>
      <c r="D123" s="464"/>
      <c r="E123" s="464" t="s">
        <v>535</v>
      </c>
      <c r="F123" s="464"/>
      <c r="G123" s="464" t="s">
        <v>270</v>
      </c>
      <c r="H123" s="464" t="s">
        <v>802</v>
      </c>
      <c r="I123" s="465" t="s">
        <v>537</v>
      </c>
      <c r="J123" s="465" t="s">
        <v>537</v>
      </c>
      <c r="K123" s="466">
        <v>25000</v>
      </c>
      <c r="L123" s="465" t="s">
        <v>537</v>
      </c>
      <c r="M123" s="465" t="s">
        <v>537</v>
      </c>
      <c r="N123" s="466">
        <v>25000</v>
      </c>
      <c r="O123" s="463" t="s">
        <v>537</v>
      </c>
      <c r="P123" s="463" t="s">
        <v>537</v>
      </c>
      <c r="Q123" s="465">
        <v>0</v>
      </c>
      <c r="R123" s="470">
        <v>241428</v>
      </c>
      <c r="S123" s="463" t="s">
        <v>623</v>
      </c>
      <c r="T123" s="463">
        <v>0</v>
      </c>
      <c r="U123" s="463">
        <v>0</v>
      </c>
      <c r="V123" s="463">
        <v>0</v>
      </c>
      <c r="W123" s="463">
        <v>40</v>
      </c>
      <c r="X123" s="463">
        <v>6</v>
      </c>
      <c r="Y123" s="463">
        <v>0</v>
      </c>
      <c r="Z123" s="463">
        <v>97.6</v>
      </c>
      <c r="AA123" s="472" t="s">
        <v>797</v>
      </c>
      <c r="AB123" s="463">
        <v>80</v>
      </c>
      <c r="AC123" s="463">
        <v>96</v>
      </c>
      <c r="AD123" s="472" t="s">
        <v>571</v>
      </c>
      <c r="AE123" s="463">
        <v>80</v>
      </c>
      <c r="AF123" s="463">
        <v>96</v>
      </c>
      <c r="AG123" s="463" t="s">
        <v>375</v>
      </c>
      <c r="AH123" s="476"/>
      <c r="AI123" s="472">
        <v>961595997</v>
      </c>
      <c r="AJ123" s="472" t="s">
        <v>543</v>
      </c>
    </row>
    <row r="124" spans="2:36" ht="24" hidden="1" customHeight="1">
      <c r="B124" s="463">
        <v>96</v>
      </c>
      <c r="C124" s="464" t="s">
        <v>534</v>
      </c>
      <c r="D124" s="464"/>
      <c r="E124" s="464" t="s">
        <v>535</v>
      </c>
      <c r="F124" s="464"/>
      <c r="G124" s="464" t="s">
        <v>270</v>
      </c>
      <c r="H124" s="464" t="s">
        <v>803</v>
      </c>
      <c r="I124" s="465" t="s">
        <v>537</v>
      </c>
      <c r="J124" s="465" t="s">
        <v>537</v>
      </c>
      <c r="K124" s="466">
        <v>99000</v>
      </c>
      <c r="L124" s="465" t="s">
        <v>537</v>
      </c>
      <c r="M124" s="465" t="s">
        <v>537</v>
      </c>
      <c r="N124" s="466">
        <v>99000</v>
      </c>
      <c r="O124" s="463" t="s">
        <v>537</v>
      </c>
      <c r="P124" s="463" t="s">
        <v>537</v>
      </c>
      <c r="Q124" s="465">
        <v>0</v>
      </c>
      <c r="R124" s="470">
        <v>241428</v>
      </c>
      <c r="S124" s="463" t="s">
        <v>623</v>
      </c>
      <c r="T124" s="463">
        <v>0</v>
      </c>
      <c r="U124" s="463">
        <v>0</v>
      </c>
      <c r="V124" s="463">
        <v>0</v>
      </c>
      <c r="W124" s="463">
        <v>262</v>
      </c>
      <c r="X124" s="463">
        <v>92</v>
      </c>
      <c r="Y124" s="463">
        <v>1154</v>
      </c>
      <c r="Z124" s="463">
        <v>83.94</v>
      </c>
      <c r="AA124" s="472" t="s">
        <v>797</v>
      </c>
      <c r="AB124" s="463">
        <v>80</v>
      </c>
      <c r="AC124" s="463">
        <v>80.8</v>
      </c>
      <c r="AD124" s="472" t="s">
        <v>571</v>
      </c>
      <c r="AE124" s="463">
        <v>80</v>
      </c>
      <c r="AF124" s="463">
        <v>88.8</v>
      </c>
      <c r="AG124" s="463" t="s">
        <v>375</v>
      </c>
      <c r="AH124" s="476"/>
      <c r="AI124" s="472">
        <v>813262944</v>
      </c>
      <c r="AJ124" s="472" t="s">
        <v>543</v>
      </c>
    </row>
    <row r="125" spans="2:36" ht="24" hidden="1" customHeight="1">
      <c r="B125" s="463">
        <v>97</v>
      </c>
      <c r="C125" s="464" t="s">
        <v>534</v>
      </c>
      <c r="D125" s="464" t="s">
        <v>544</v>
      </c>
      <c r="E125" s="464" t="s">
        <v>535</v>
      </c>
      <c r="F125" s="464"/>
      <c r="G125" s="464" t="s">
        <v>270</v>
      </c>
      <c r="H125" s="464" t="s">
        <v>804</v>
      </c>
      <c r="I125" s="466">
        <v>25000</v>
      </c>
      <c r="J125" s="465" t="s">
        <v>537</v>
      </c>
      <c r="K125" s="465" t="s">
        <v>537</v>
      </c>
      <c r="L125" s="466">
        <v>25000</v>
      </c>
      <c r="M125" s="465" t="s">
        <v>537</v>
      </c>
      <c r="N125" s="465" t="s">
        <v>537</v>
      </c>
      <c r="O125" s="463" t="s">
        <v>537</v>
      </c>
      <c r="P125" s="463" t="s">
        <v>537</v>
      </c>
      <c r="Q125" s="465">
        <v>0</v>
      </c>
      <c r="R125" s="463" t="s">
        <v>805</v>
      </c>
      <c r="S125" s="463" t="s">
        <v>806</v>
      </c>
      <c r="T125" s="463">
        <v>20</v>
      </c>
      <c r="U125" s="463">
        <v>5</v>
      </c>
      <c r="V125" s="463">
        <v>0</v>
      </c>
      <c r="W125" s="463">
        <v>20</v>
      </c>
      <c r="X125" s="463">
        <v>5</v>
      </c>
      <c r="Y125" s="463">
        <v>0</v>
      </c>
      <c r="Z125" s="463">
        <v>89.5</v>
      </c>
      <c r="AA125" s="472" t="s">
        <v>547</v>
      </c>
      <c r="AB125" s="463" t="s">
        <v>539</v>
      </c>
      <c r="AC125" s="463" t="s">
        <v>539</v>
      </c>
      <c r="AD125" s="472" t="s">
        <v>548</v>
      </c>
      <c r="AE125" s="463">
        <v>80</v>
      </c>
      <c r="AF125" s="463">
        <v>89.5</v>
      </c>
      <c r="AG125" s="463" t="s">
        <v>375</v>
      </c>
      <c r="AH125" s="476"/>
      <c r="AI125" s="472" t="s">
        <v>807</v>
      </c>
      <c r="AJ125" s="464"/>
    </row>
    <row r="126" spans="2:36" ht="24" hidden="1" customHeight="1">
      <c r="B126" s="463">
        <v>98</v>
      </c>
      <c r="C126" s="464" t="s">
        <v>534</v>
      </c>
      <c r="D126" s="464" t="s">
        <v>544</v>
      </c>
      <c r="E126" s="464" t="s">
        <v>535</v>
      </c>
      <c r="F126" s="464"/>
      <c r="G126" s="464" t="s">
        <v>270</v>
      </c>
      <c r="H126" s="464" t="s">
        <v>808</v>
      </c>
      <c r="I126" s="466">
        <v>25000</v>
      </c>
      <c r="J126" s="465" t="s">
        <v>537</v>
      </c>
      <c r="K126" s="465" t="s">
        <v>537</v>
      </c>
      <c r="L126" s="466">
        <v>24390</v>
      </c>
      <c r="M126" s="465" t="s">
        <v>537</v>
      </c>
      <c r="N126" s="465" t="s">
        <v>537</v>
      </c>
      <c r="O126" s="463" t="s">
        <v>537</v>
      </c>
      <c r="P126" s="463" t="s">
        <v>537</v>
      </c>
      <c r="Q126" s="465">
        <v>610</v>
      </c>
      <c r="R126" s="470">
        <v>241428</v>
      </c>
      <c r="S126" s="471">
        <v>22312</v>
      </c>
      <c r="T126" s="463">
        <v>45</v>
      </c>
      <c r="U126" s="463">
        <v>5</v>
      </c>
      <c r="V126" s="463">
        <v>0</v>
      </c>
      <c r="W126" s="463">
        <v>45</v>
      </c>
      <c r="X126" s="463">
        <v>5</v>
      </c>
      <c r="Y126" s="463">
        <v>0</v>
      </c>
      <c r="Z126" s="464"/>
      <c r="AA126" s="472" t="s">
        <v>547</v>
      </c>
      <c r="AB126" s="463" t="s">
        <v>539</v>
      </c>
      <c r="AC126" s="463" t="s">
        <v>539</v>
      </c>
      <c r="AD126" s="472" t="s">
        <v>548</v>
      </c>
      <c r="AE126" s="463">
        <v>80</v>
      </c>
      <c r="AF126" s="463">
        <v>80</v>
      </c>
      <c r="AG126" s="463" t="s">
        <v>375</v>
      </c>
      <c r="AH126" s="476"/>
      <c r="AI126" s="472" t="s">
        <v>809</v>
      </c>
      <c r="AJ126" s="464"/>
    </row>
    <row r="127" spans="2:36" ht="24" hidden="1" customHeight="1">
      <c r="B127" s="463">
        <v>99</v>
      </c>
      <c r="C127" s="464" t="s">
        <v>534</v>
      </c>
      <c r="D127" s="464" t="s">
        <v>544</v>
      </c>
      <c r="E127" s="464" t="s">
        <v>535</v>
      </c>
      <c r="F127" s="464"/>
      <c r="G127" s="464" t="s">
        <v>270</v>
      </c>
      <c r="H127" s="464" t="s">
        <v>810</v>
      </c>
      <c r="I127" s="466">
        <v>25000</v>
      </c>
      <c r="J127" s="465" t="s">
        <v>537</v>
      </c>
      <c r="K127" s="465" t="s">
        <v>537</v>
      </c>
      <c r="L127" s="466">
        <v>24850</v>
      </c>
      <c r="M127" s="465" t="s">
        <v>537</v>
      </c>
      <c r="N127" s="465" t="s">
        <v>537</v>
      </c>
      <c r="O127" s="463" t="s">
        <v>537</v>
      </c>
      <c r="P127" s="463" t="s">
        <v>537</v>
      </c>
      <c r="Q127" s="465">
        <v>150</v>
      </c>
      <c r="R127" s="470">
        <v>241428</v>
      </c>
      <c r="S127" s="463" t="s">
        <v>811</v>
      </c>
      <c r="T127" s="463">
        <v>40</v>
      </c>
      <c r="U127" s="463">
        <v>8</v>
      </c>
      <c r="V127" s="463">
        <v>0</v>
      </c>
      <c r="W127" s="463">
        <v>40</v>
      </c>
      <c r="X127" s="463">
        <v>8</v>
      </c>
      <c r="Y127" s="463">
        <v>0</v>
      </c>
      <c r="Z127" s="463">
        <v>90</v>
      </c>
      <c r="AA127" s="472" t="s">
        <v>547</v>
      </c>
      <c r="AB127" s="463" t="s">
        <v>539</v>
      </c>
      <c r="AC127" s="463" t="s">
        <v>539</v>
      </c>
      <c r="AD127" s="472" t="s">
        <v>548</v>
      </c>
      <c r="AE127" s="463">
        <v>80</v>
      </c>
      <c r="AF127" s="463">
        <v>90</v>
      </c>
      <c r="AG127" s="463" t="s">
        <v>375</v>
      </c>
      <c r="AH127" s="476"/>
      <c r="AI127" s="472" t="s">
        <v>812</v>
      </c>
      <c r="AJ127" s="464"/>
    </row>
    <row r="128" spans="2:36" ht="24" hidden="1" customHeight="1">
      <c r="B128" s="463">
        <v>100</v>
      </c>
      <c r="C128" s="464" t="s">
        <v>534</v>
      </c>
      <c r="D128" s="464" t="s">
        <v>544</v>
      </c>
      <c r="E128" s="464" t="s">
        <v>535</v>
      </c>
      <c r="F128" s="464"/>
      <c r="G128" s="464" t="s">
        <v>270</v>
      </c>
      <c r="H128" s="464" t="s">
        <v>813</v>
      </c>
      <c r="I128" s="466">
        <v>25000</v>
      </c>
      <c r="J128" s="465" t="s">
        <v>537</v>
      </c>
      <c r="K128" s="465" t="s">
        <v>537</v>
      </c>
      <c r="L128" s="466">
        <v>25000</v>
      </c>
      <c r="M128" s="465" t="s">
        <v>537</v>
      </c>
      <c r="N128" s="465" t="s">
        <v>537</v>
      </c>
      <c r="O128" s="463" t="s">
        <v>537</v>
      </c>
      <c r="P128" s="463" t="s">
        <v>537</v>
      </c>
      <c r="Q128" s="465">
        <v>0</v>
      </c>
      <c r="R128" s="470">
        <v>241459</v>
      </c>
      <c r="S128" s="471">
        <v>22322</v>
      </c>
      <c r="T128" s="463">
        <v>80</v>
      </c>
      <c r="U128" s="463">
        <v>13</v>
      </c>
      <c r="V128" s="463">
        <v>0</v>
      </c>
      <c r="W128" s="463">
        <v>87</v>
      </c>
      <c r="X128" s="463">
        <v>15</v>
      </c>
      <c r="Y128" s="463">
        <v>0</v>
      </c>
      <c r="Z128" s="463">
        <v>89</v>
      </c>
      <c r="AA128" s="472" t="s">
        <v>547</v>
      </c>
      <c r="AB128" s="463" t="s">
        <v>539</v>
      </c>
      <c r="AC128" s="463" t="s">
        <v>539</v>
      </c>
      <c r="AD128" s="472" t="s">
        <v>548</v>
      </c>
      <c r="AE128" s="463">
        <v>80</v>
      </c>
      <c r="AF128" s="463">
        <v>90</v>
      </c>
      <c r="AG128" s="463" t="s">
        <v>375</v>
      </c>
      <c r="AH128" s="476"/>
      <c r="AI128" s="472" t="s">
        <v>787</v>
      </c>
      <c r="AJ128" s="464"/>
    </row>
    <row r="129" spans="2:36" ht="24" hidden="1" customHeight="1">
      <c r="B129" s="463">
        <v>101</v>
      </c>
      <c r="C129" s="464" t="s">
        <v>534</v>
      </c>
      <c r="D129" s="464" t="s">
        <v>544</v>
      </c>
      <c r="E129" s="464" t="s">
        <v>535</v>
      </c>
      <c r="F129" s="464"/>
      <c r="G129" s="464" t="s">
        <v>270</v>
      </c>
      <c r="H129" s="464" t="s">
        <v>814</v>
      </c>
      <c r="I129" s="466">
        <v>25000</v>
      </c>
      <c r="J129" s="465" t="s">
        <v>537</v>
      </c>
      <c r="K129" s="465" t="s">
        <v>537</v>
      </c>
      <c r="L129" s="466">
        <v>25000</v>
      </c>
      <c r="M129" s="465" t="s">
        <v>537</v>
      </c>
      <c r="N129" s="465" t="s">
        <v>537</v>
      </c>
      <c r="O129" s="463" t="s">
        <v>537</v>
      </c>
      <c r="P129" s="463" t="s">
        <v>537</v>
      </c>
      <c r="Q129" s="465">
        <v>0</v>
      </c>
      <c r="R129" s="470">
        <v>241609</v>
      </c>
      <c r="S129" s="463" t="s">
        <v>815</v>
      </c>
      <c r="T129" s="463">
        <v>20</v>
      </c>
      <c r="U129" s="463">
        <v>10</v>
      </c>
      <c r="V129" s="463">
        <v>0</v>
      </c>
      <c r="W129" s="463">
        <v>22</v>
      </c>
      <c r="X129" s="463">
        <v>10</v>
      </c>
      <c r="Y129" s="463">
        <v>0</v>
      </c>
      <c r="Z129" s="463">
        <v>86.85</v>
      </c>
      <c r="AA129" s="472" t="s">
        <v>547</v>
      </c>
      <c r="AB129" s="463" t="s">
        <v>539</v>
      </c>
      <c r="AC129" s="463" t="s">
        <v>539</v>
      </c>
      <c r="AD129" s="472" t="s">
        <v>548</v>
      </c>
      <c r="AE129" s="463">
        <v>80</v>
      </c>
      <c r="AF129" s="463">
        <v>85.84</v>
      </c>
      <c r="AG129" s="463" t="s">
        <v>375</v>
      </c>
      <c r="AH129" s="476"/>
      <c r="AI129" s="472" t="s">
        <v>816</v>
      </c>
      <c r="AJ129" s="464"/>
    </row>
    <row r="130" spans="2:36" ht="24" hidden="1" customHeight="1">
      <c r="B130" s="463">
        <v>102</v>
      </c>
      <c r="C130" s="464" t="s">
        <v>534</v>
      </c>
      <c r="D130" s="464" t="s">
        <v>544</v>
      </c>
      <c r="E130" s="464" t="s">
        <v>535</v>
      </c>
      <c r="F130" s="464"/>
      <c r="G130" s="464" t="s">
        <v>270</v>
      </c>
      <c r="H130" s="464" t="s">
        <v>817</v>
      </c>
      <c r="I130" s="466">
        <v>25000</v>
      </c>
      <c r="J130" s="465" t="s">
        <v>537</v>
      </c>
      <c r="K130" s="465" t="s">
        <v>537</v>
      </c>
      <c r="L130" s="466">
        <v>22000</v>
      </c>
      <c r="M130" s="465" t="s">
        <v>537</v>
      </c>
      <c r="N130" s="465" t="s">
        <v>537</v>
      </c>
      <c r="O130" s="463" t="s">
        <v>537</v>
      </c>
      <c r="P130" s="463" t="s">
        <v>537</v>
      </c>
      <c r="Q130" s="468">
        <v>3000</v>
      </c>
      <c r="R130" s="463" t="s">
        <v>818</v>
      </c>
      <c r="S130" s="471">
        <v>22336</v>
      </c>
      <c r="T130" s="463">
        <v>30</v>
      </c>
      <c r="U130" s="463">
        <v>4</v>
      </c>
      <c r="V130" s="463">
        <v>1</v>
      </c>
      <c r="W130" s="463">
        <v>35</v>
      </c>
      <c r="X130" s="463">
        <v>8</v>
      </c>
      <c r="Y130" s="463">
        <v>1</v>
      </c>
      <c r="Z130" s="463">
        <v>93.49</v>
      </c>
      <c r="AA130" s="472" t="s">
        <v>547</v>
      </c>
      <c r="AB130" s="463" t="s">
        <v>539</v>
      </c>
      <c r="AC130" s="463" t="s">
        <v>539</v>
      </c>
      <c r="AD130" s="472" t="s">
        <v>548</v>
      </c>
      <c r="AE130" s="463">
        <v>80</v>
      </c>
      <c r="AF130" s="463">
        <v>93.71</v>
      </c>
      <c r="AG130" s="463" t="s">
        <v>375</v>
      </c>
      <c r="AH130" s="476"/>
      <c r="AI130" s="472" t="s">
        <v>819</v>
      </c>
      <c r="AJ130" s="464"/>
    </row>
    <row r="131" spans="2:36" ht="24" hidden="1" customHeight="1">
      <c r="B131" s="463">
        <v>103</v>
      </c>
      <c r="C131" s="464" t="s">
        <v>534</v>
      </c>
      <c r="D131" s="464" t="s">
        <v>544</v>
      </c>
      <c r="E131" s="464" t="s">
        <v>535</v>
      </c>
      <c r="F131" s="464"/>
      <c r="G131" s="464" t="s">
        <v>270</v>
      </c>
      <c r="H131" s="464" t="s">
        <v>820</v>
      </c>
      <c r="I131" s="466">
        <v>25000</v>
      </c>
      <c r="J131" s="465" t="s">
        <v>537</v>
      </c>
      <c r="K131" s="465" t="s">
        <v>537</v>
      </c>
      <c r="L131" s="466">
        <v>25000</v>
      </c>
      <c r="M131" s="465" t="s">
        <v>537</v>
      </c>
      <c r="N131" s="465" t="s">
        <v>537</v>
      </c>
      <c r="O131" s="463" t="s">
        <v>537</v>
      </c>
      <c r="P131" s="463" t="s">
        <v>537</v>
      </c>
      <c r="Q131" s="465">
        <v>0</v>
      </c>
      <c r="R131" s="470">
        <v>241428</v>
      </c>
      <c r="S131" s="463" t="s">
        <v>821</v>
      </c>
      <c r="T131" s="463">
        <v>35</v>
      </c>
      <c r="U131" s="463">
        <v>5</v>
      </c>
      <c r="V131" s="463">
        <v>0</v>
      </c>
      <c r="W131" s="463">
        <v>35</v>
      </c>
      <c r="X131" s="463">
        <v>5</v>
      </c>
      <c r="Y131" s="464"/>
      <c r="Z131" s="463">
        <v>98.8</v>
      </c>
      <c r="AA131" s="472" t="s">
        <v>547</v>
      </c>
      <c r="AB131" s="463" t="s">
        <v>539</v>
      </c>
      <c r="AC131" s="463" t="s">
        <v>539</v>
      </c>
      <c r="AD131" s="472" t="s">
        <v>548</v>
      </c>
      <c r="AE131" s="463">
        <v>80</v>
      </c>
      <c r="AF131" s="463">
        <v>99.1</v>
      </c>
      <c r="AG131" s="463" t="s">
        <v>375</v>
      </c>
      <c r="AH131" s="476"/>
      <c r="AI131" s="472" t="s">
        <v>738</v>
      </c>
      <c r="AJ131" s="464"/>
    </row>
    <row r="132" spans="2:36" ht="24" hidden="1" customHeight="1">
      <c r="B132" s="701">
        <v>104</v>
      </c>
      <c r="C132" s="699" t="s">
        <v>337</v>
      </c>
      <c r="D132" s="699" t="s">
        <v>544</v>
      </c>
      <c r="E132" s="699" t="s">
        <v>545</v>
      </c>
      <c r="F132" s="699"/>
      <c r="G132" s="699" t="s">
        <v>270</v>
      </c>
      <c r="H132" s="699" t="s">
        <v>822</v>
      </c>
      <c r="I132" s="712">
        <v>30000</v>
      </c>
      <c r="J132" s="709" t="s">
        <v>537</v>
      </c>
      <c r="K132" s="709" t="s">
        <v>537</v>
      </c>
      <c r="L132" s="712">
        <v>29748</v>
      </c>
      <c r="M132" s="709" t="s">
        <v>537</v>
      </c>
      <c r="N132" s="709" t="s">
        <v>537</v>
      </c>
      <c r="O132" s="701" t="s">
        <v>537</v>
      </c>
      <c r="P132" s="701" t="s">
        <v>537</v>
      </c>
      <c r="Q132" s="709">
        <v>252</v>
      </c>
      <c r="R132" s="707">
        <v>241459</v>
      </c>
      <c r="S132" s="701" t="s">
        <v>823</v>
      </c>
      <c r="T132" s="701">
        <v>0</v>
      </c>
      <c r="U132" s="701">
        <v>3</v>
      </c>
      <c r="V132" s="701">
        <v>17</v>
      </c>
      <c r="W132" s="701">
        <v>3</v>
      </c>
      <c r="X132" s="701">
        <v>0</v>
      </c>
      <c r="Y132" s="701">
        <v>17</v>
      </c>
      <c r="Z132" s="701">
        <v>86.5</v>
      </c>
      <c r="AA132" s="458" t="s">
        <v>547</v>
      </c>
      <c r="AB132" s="459" t="s">
        <v>539</v>
      </c>
      <c r="AC132" s="459" t="s">
        <v>539</v>
      </c>
      <c r="AD132" s="458" t="s">
        <v>548</v>
      </c>
      <c r="AE132" s="459">
        <v>80</v>
      </c>
      <c r="AF132" s="459">
        <v>85.2</v>
      </c>
      <c r="AG132" s="701" t="s">
        <v>376</v>
      </c>
      <c r="AH132" s="728"/>
      <c r="AI132" s="697" t="s">
        <v>824</v>
      </c>
      <c r="AJ132" s="699"/>
    </row>
    <row r="133" spans="2:36" ht="24" hidden="1" customHeight="1">
      <c r="B133" s="702"/>
      <c r="C133" s="700"/>
      <c r="D133" s="700"/>
      <c r="E133" s="700"/>
      <c r="F133" s="700"/>
      <c r="G133" s="700"/>
      <c r="H133" s="700"/>
      <c r="I133" s="713"/>
      <c r="J133" s="710"/>
      <c r="K133" s="710"/>
      <c r="L133" s="713"/>
      <c r="M133" s="710"/>
      <c r="N133" s="710"/>
      <c r="O133" s="702"/>
      <c r="P133" s="702"/>
      <c r="Q133" s="710"/>
      <c r="R133" s="708"/>
      <c r="S133" s="702"/>
      <c r="T133" s="702"/>
      <c r="U133" s="702"/>
      <c r="V133" s="702"/>
      <c r="W133" s="702"/>
      <c r="X133" s="702"/>
      <c r="Y133" s="702"/>
      <c r="Z133" s="702"/>
      <c r="AA133" s="473" t="s">
        <v>825</v>
      </c>
      <c r="AB133" s="474">
        <v>80</v>
      </c>
      <c r="AC133" s="474">
        <v>87.8</v>
      </c>
      <c r="AD133" s="473" t="s">
        <v>826</v>
      </c>
      <c r="AE133" s="474">
        <v>20</v>
      </c>
      <c r="AF133" s="474">
        <v>16</v>
      </c>
      <c r="AG133" s="702"/>
      <c r="AH133" s="729"/>
      <c r="AI133" s="698"/>
      <c r="AJ133" s="700"/>
    </row>
    <row r="134" spans="2:36" ht="24" hidden="1" customHeight="1">
      <c r="B134" s="701">
        <v>105</v>
      </c>
      <c r="C134" s="699" t="s">
        <v>337</v>
      </c>
      <c r="D134" s="699" t="s">
        <v>544</v>
      </c>
      <c r="E134" s="699" t="s">
        <v>545</v>
      </c>
      <c r="F134" s="699"/>
      <c r="G134" s="699" t="s">
        <v>270</v>
      </c>
      <c r="H134" s="699" t="s">
        <v>827</v>
      </c>
      <c r="I134" s="712">
        <v>30000</v>
      </c>
      <c r="J134" s="709" t="s">
        <v>537</v>
      </c>
      <c r="K134" s="709" t="s">
        <v>537</v>
      </c>
      <c r="L134" s="712">
        <v>30000</v>
      </c>
      <c r="M134" s="709" t="s">
        <v>537</v>
      </c>
      <c r="N134" s="709" t="s">
        <v>537</v>
      </c>
      <c r="O134" s="701" t="s">
        <v>537</v>
      </c>
      <c r="P134" s="701" t="s">
        <v>537</v>
      </c>
      <c r="Q134" s="709">
        <v>0</v>
      </c>
      <c r="R134" s="707">
        <v>241487</v>
      </c>
      <c r="S134" s="721">
        <v>22370</v>
      </c>
      <c r="T134" s="701">
        <v>0</v>
      </c>
      <c r="U134" s="701">
        <v>2</v>
      </c>
      <c r="V134" s="701">
        <v>20</v>
      </c>
      <c r="W134" s="701">
        <v>0</v>
      </c>
      <c r="X134" s="701">
        <v>4</v>
      </c>
      <c r="Y134" s="701">
        <v>22</v>
      </c>
      <c r="Z134" s="701">
        <v>85.89</v>
      </c>
      <c r="AA134" s="458" t="s">
        <v>547</v>
      </c>
      <c r="AB134" s="459" t="s">
        <v>539</v>
      </c>
      <c r="AC134" s="459" t="s">
        <v>539</v>
      </c>
      <c r="AD134" s="697" t="s">
        <v>699</v>
      </c>
      <c r="AE134" s="701">
        <v>1</v>
      </c>
      <c r="AF134" s="701">
        <v>1</v>
      </c>
      <c r="AG134" s="701" t="s">
        <v>375</v>
      </c>
      <c r="AH134" s="728"/>
      <c r="AI134" s="697" t="s">
        <v>828</v>
      </c>
      <c r="AJ134" s="699"/>
    </row>
    <row r="135" spans="2:36" ht="24" hidden="1" customHeight="1">
      <c r="B135" s="702"/>
      <c r="C135" s="700"/>
      <c r="D135" s="700"/>
      <c r="E135" s="700"/>
      <c r="F135" s="700"/>
      <c r="G135" s="700"/>
      <c r="H135" s="700"/>
      <c r="I135" s="713"/>
      <c r="J135" s="710"/>
      <c r="K135" s="710"/>
      <c r="L135" s="713"/>
      <c r="M135" s="710"/>
      <c r="N135" s="710"/>
      <c r="O135" s="702"/>
      <c r="P135" s="702"/>
      <c r="Q135" s="710"/>
      <c r="R135" s="708"/>
      <c r="S135" s="722"/>
      <c r="T135" s="702"/>
      <c r="U135" s="702"/>
      <c r="V135" s="702"/>
      <c r="W135" s="702"/>
      <c r="X135" s="702"/>
      <c r="Y135" s="702"/>
      <c r="Z135" s="702"/>
      <c r="AA135" s="473" t="s">
        <v>829</v>
      </c>
      <c r="AB135" s="474" t="s">
        <v>539</v>
      </c>
      <c r="AC135" s="474" t="s">
        <v>539</v>
      </c>
      <c r="AD135" s="698"/>
      <c r="AE135" s="702"/>
      <c r="AF135" s="702"/>
      <c r="AG135" s="702"/>
      <c r="AH135" s="729"/>
      <c r="AI135" s="698"/>
      <c r="AJ135" s="700"/>
    </row>
    <row r="136" spans="2:36" ht="24" hidden="1" customHeight="1">
      <c r="B136" s="701">
        <v>106</v>
      </c>
      <c r="C136" s="699" t="s">
        <v>337</v>
      </c>
      <c r="D136" s="699" t="s">
        <v>544</v>
      </c>
      <c r="E136" s="699" t="s">
        <v>545</v>
      </c>
      <c r="F136" s="699"/>
      <c r="G136" s="699" t="s">
        <v>270</v>
      </c>
      <c r="H136" s="699" t="s">
        <v>830</v>
      </c>
      <c r="I136" s="712">
        <v>80000</v>
      </c>
      <c r="J136" s="709" t="s">
        <v>537</v>
      </c>
      <c r="K136" s="709" t="s">
        <v>537</v>
      </c>
      <c r="L136" s="712">
        <v>80000</v>
      </c>
      <c r="M136" s="709" t="s">
        <v>537</v>
      </c>
      <c r="N136" s="709" t="s">
        <v>537</v>
      </c>
      <c r="O136" s="701" t="s">
        <v>537</v>
      </c>
      <c r="P136" s="701" t="s">
        <v>537</v>
      </c>
      <c r="Q136" s="709">
        <v>0</v>
      </c>
      <c r="R136" s="707">
        <v>241459</v>
      </c>
      <c r="S136" s="721">
        <v>22336</v>
      </c>
      <c r="T136" s="701">
        <v>0</v>
      </c>
      <c r="U136" s="701">
        <v>3</v>
      </c>
      <c r="V136" s="701">
        <v>30</v>
      </c>
      <c r="W136" s="701">
        <v>0</v>
      </c>
      <c r="X136" s="701">
        <v>6</v>
      </c>
      <c r="Y136" s="701">
        <v>30</v>
      </c>
      <c r="Z136" s="701">
        <v>92</v>
      </c>
      <c r="AA136" s="697" t="s">
        <v>547</v>
      </c>
      <c r="AB136" s="701" t="s">
        <v>539</v>
      </c>
      <c r="AC136" s="701" t="s">
        <v>539</v>
      </c>
      <c r="AD136" s="458" t="s">
        <v>733</v>
      </c>
      <c r="AE136" s="459">
        <v>1</v>
      </c>
      <c r="AF136" s="459">
        <v>1</v>
      </c>
      <c r="AG136" s="701" t="s">
        <v>375</v>
      </c>
      <c r="AH136" s="728"/>
      <c r="AI136" s="697" t="s">
        <v>734</v>
      </c>
      <c r="AJ136" s="699"/>
    </row>
    <row r="137" spans="2:36" ht="24" hidden="1" customHeight="1">
      <c r="B137" s="702"/>
      <c r="C137" s="700"/>
      <c r="D137" s="700"/>
      <c r="E137" s="700"/>
      <c r="F137" s="700"/>
      <c r="G137" s="700"/>
      <c r="H137" s="700"/>
      <c r="I137" s="713"/>
      <c r="J137" s="710"/>
      <c r="K137" s="710"/>
      <c r="L137" s="713"/>
      <c r="M137" s="710"/>
      <c r="N137" s="710"/>
      <c r="O137" s="702"/>
      <c r="P137" s="702"/>
      <c r="Q137" s="710"/>
      <c r="R137" s="708"/>
      <c r="S137" s="722"/>
      <c r="T137" s="702"/>
      <c r="U137" s="702"/>
      <c r="V137" s="702"/>
      <c r="W137" s="702"/>
      <c r="X137" s="702"/>
      <c r="Y137" s="702"/>
      <c r="Z137" s="702"/>
      <c r="AA137" s="698"/>
      <c r="AB137" s="702"/>
      <c r="AC137" s="702"/>
      <c r="AD137" s="473" t="s">
        <v>831</v>
      </c>
      <c r="AE137" s="474">
        <v>100</v>
      </c>
      <c r="AF137" s="474">
        <v>150</v>
      </c>
      <c r="AG137" s="702"/>
      <c r="AH137" s="729"/>
      <c r="AI137" s="698"/>
      <c r="AJ137" s="700"/>
    </row>
    <row r="138" spans="2:36" ht="24" hidden="1" customHeight="1">
      <c r="B138" s="701">
        <v>107</v>
      </c>
      <c r="C138" s="699" t="s">
        <v>337</v>
      </c>
      <c r="D138" s="699" t="s">
        <v>544</v>
      </c>
      <c r="E138" s="699" t="s">
        <v>545</v>
      </c>
      <c r="F138" s="699"/>
      <c r="G138" s="699" t="s">
        <v>270</v>
      </c>
      <c r="H138" s="699" t="s">
        <v>832</v>
      </c>
      <c r="I138" s="712">
        <v>45000</v>
      </c>
      <c r="J138" s="709" t="s">
        <v>537</v>
      </c>
      <c r="K138" s="709" t="s">
        <v>537</v>
      </c>
      <c r="L138" s="712">
        <v>45000</v>
      </c>
      <c r="M138" s="709" t="s">
        <v>537</v>
      </c>
      <c r="N138" s="709" t="s">
        <v>537</v>
      </c>
      <c r="O138" s="701" t="s">
        <v>537</v>
      </c>
      <c r="P138" s="701" t="s">
        <v>537</v>
      </c>
      <c r="Q138" s="709">
        <v>0</v>
      </c>
      <c r="R138" s="707">
        <v>241459</v>
      </c>
      <c r="S138" s="721">
        <v>22335</v>
      </c>
      <c r="T138" s="701">
        <v>0</v>
      </c>
      <c r="U138" s="701">
        <v>2</v>
      </c>
      <c r="V138" s="701">
        <v>20</v>
      </c>
      <c r="W138" s="701">
        <v>0</v>
      </c>
      <c r="X138" s="701">
        <v>2</v>
      </c>
      <c r="Y138" s="701">
        <v>25</v>
      </c>
      <c r="Z138" s="701">
        <v>96.31</v>
      </c>
      <c r="AA138" s="458" t="s">
        <v>547</v>
      </c>
      <c r="AB138" s="459" t="s">
        <v>539</v>
      </c>
      <c r="AC138" s="459" t="s">
        <v>539</v>
      </c>
      <c r="AD138" s="458" t="s">
        <v>733</v>
      </c>
      <c r="AE138" s="459">
        <v>1</v>
      </c>
      <c r="AF138" s="459">
        <v>1</v>
      </c>
      <c r="AG138" s="701" t="s">
        <v>375</v>
      </c>
      <c r="AH138" s="728"/>
      <c r="AI138" s="697" t="s">
        <v>833</v>
      </c>
      <c r="AJ138" s="699"/>
    </row>
    <row r="139" spans="2:36" ht="24" hidden="1" customHeight="1">
      <c r="B139" s="702"/>
      <c r="C139" s="700"/>
      <c r="D139" s="700"/>
      <c r="E139" s="700"/>
      <c r="F139" s="700"/>
      <c r="G139" s="700"/>
      <c r="H139" s="700"/>
      <c r="I139" s="713"/>
      <c r="J139" s="710"/>
      <c r="K139" s="710"/>
      <c r="L139" s="713"/>
      <c r="M139" s="710"/>
      <c r="N139" s="710"/>
      <c r="O139" s="702"/>
      <c r="P139" s="702"/>
      <c r="Q139" s="710"/>
      <c r="R139" s="708"/>
      <c r="S139" s="722"/>
      <c r="T139" s="702"/>
      <c r="U139" s="702"/>
      <c r="V139" s="702"/>
      <c r="W139" s="702"/>
      <c r="X139" s="702"/>
      <c r="Y139" s="702"/>
      <c r="Z139" s="702"/>
      <c r="AA139" s="473" t="s">
        <v>834</v>
      </c>
      <c r="AB139" s="474">
        <v>1</v>
      </c>
      <c r="AC139" s="474">
        <v>1</v>
      </c>
      <c r="AD139" s="473" t="s">
        <v>835</v>
      </c>
      <c r="AE139" s="474">
        <v>1</v>
      </c>
      <c r="AF139" s="474">
        <v>1</v>
      </c>
      <c r="AG139" s="702"/>
      <c r="AH139" s="729"/>
      <c r="AI139" s="698"/>
      <c r="AJ139" s="700"/>
    </row>
    <row r="140" spans="2:36" ht="24" hidden="1" customHeight="1">
      <c r="B140" s="701">
        <v>108</v>
      </c>
      <c r="C140" s="699" t="s">
        <v>337</v>
      </c>
      <c r="D140" s="699" t="s">
        <v>544</v>
      </c>
      <c r="E140" s="699" t="s">
        <v>545</v>
      </c>
      <c r="F140" s="699"/>
      <c r="G140" s="699" t="s">
        <v>270</v>
      </c>
      <c r="H140" s="699" t="s">
        <v>836</v>
      </c>
      <c r="I140" s="712">
        <v>25000</v>
      </c>
      <c r="J140" s="709" t="s">
        <v>537</v>
      </c>
      <c r="K140" s="709" t="s">
        <v>537</v>
      </c>
      <c r="L140" s="712">
        <v>25000</v>
      </c>
      <c r="M140" s="709" t="s">
        <v>537</v>
      </c>
      <c r="N140" s="709" t="s">
        <v>537</v>
      </c>
      <c r="O140" s="701" t="s">
        <v>537</v>
      </c>
      <c r="P140" s="701" t="s">
        <v>537</v>
      </c>
      <c r="Q140" s="709">
        <v>0</v>
      </c>
      <c r="R140" s="707">
        <v>241487</v>
      </c>
      <c r="S140" s="721">
        <v>22342</v>
      </c>
      <c r="T140" s="701">
        <v>0</v>
      </c>
      <c r="U140" s="701">
        <v>3</v>
      </c>
      <c r="V140" s="701">
        <v>30</v>
      </c>
      <c r="W140" s="701">
        <v>0</v>
      </c>
      <c r="X140" s="701">
        <v>5</v>
      </c>
      <c r="Y140" s="701">
        <v>30</v>
      </c>
      <c r="Z140" s="701">
        <v>89.47</v>
      </c>
      <c r="AA140" s="458" t="s">
        <v>547</v>
      </c>
      <c r="AB140" s="459" t="s">
        <v>539</v>
      </c>
      <c r="AC140" s="459" t="s">
        <v>539</v>
      </c>
      <c r="AD140" s="697" t="s">
        <v>548</v>
      </c>
      <c r="AE140" s="701">
        <v>80</v>
      </c>
      <c r="AF140" s="701">
        <v>82.22</v>
      </c>
      <c r="AG140" s="701" t="s">
        <v>375</v>
      </c>
      <c r="AH140" s="728"/>
      <c r="AI140" s="697" t="s">
        <v>738</v>
      </c>
      <c r="AJ140" s="699"/>
    </row>
    <row r="141" spans="2:36" ht="24" hidden="1" customHeight="1">
      <c r="B141" s="702"/>
      <c r="C141" s="700"/>
      <c r="D141" s="700"/>
      <c r="E141" s="700"/>
      <c r="F141" s="700"/>
      <c r="G141" s="700"/>
      <c r="H141" s="700"/>
      <c r="I141" s="713"/>
      <c r="J141" s="710"/>
      <c r="K141" s="710"/>
      <c r="L141" s="713"/>
      <c r="M141" s="710"/>
      <c r="N141" s="710"/>
      <c r="O141" s="702"/>
      <c r="P141" s="702"/>
      <c r="Q141" s="710"/>
      <c r="R141" s="708"/>
      <c r="S141" s="722"/>
      <c r="T141" s="702"/>
      <c r="U141" s="702"/>
      <c r="V141" s="702"/>
      <c r="W141" s="702"/>
      <c r="X141" s="702"/>
      <c r="Y141" s="702"/>
      <c r="Z141" s="702"/>
      <c r="AA141" s="473" t="s">
        <v>837</v>
      </c>
      <c r="AB141" s="474" t="s">
        <v>539</v>
      </c>
      <c r="AC141" s="474" t="s">
        <v>539</v>
      </c>
      <c r="AD141" s="698"/>
      <c r="AE141" s="702"/>
      <c r="AF141" s="702"/>
      <c r="AG141" s="702"/>
      <c r="AH141" s="729"/>
      <c r="AI141" s="698"/>
      <c r="AJ141" s="700"/>
    </row>
    <row r="142" spans="2:36" ht="24" hidden="1" customHeight="1">
      <c r="B142" s="463">
        <v>109</v>
      </c>
      <c r="C142" s="464" t="s">
        <v>337</v>
      </c>
      <c r="D142" s="464"/>
      <c r="E142" s="464" t="s">
        <v>545</v>
      </c>
      <c r="F142" s="464"/>
      <c r="G142" s="464" t="s">
        <v>270</v>
      </c>
      <c r="H142" s="464" t="s">
        <v>838</v>
      </c>
      <c r="I142" s="465" t="s">
        <v>537</v>
      </c>
      <c r="J142" s="465" t="s">
        <v>537</v>
      </c>
      <c r="K142" s="466">
        <v>15000</v>
      </c>
      <c r="L142" s="465" t="s">
        <v>537</v>
      </c>
      <c r="M142" s="465" t="s">
        <v>537</v>
      </c>
      <c r="N142" s="466">
        <v>15000</v>
      </c>
      <c r="O142" s="463" t="s">
        <v>537</v>
      </c>
      <c r="P142" s="463" t="s">
        <v>537</v>
      </c>
      <c r="Q142" s="465">
        <v>0</v>
      </c>
      <c r="R142" s="470">
        <v>241579</v>
      </c>
      <c r="S142" s="471">
        <v>22455</v>
      </c>
      <c r="T142" s="463">
        <v>0</v>
      </c>
      <c r="U142" s="463">
        <v>4</v>
      </c>
      <c r="V142" s="463">
        <v>45</v>
      </c>
      <c r="W142" s="464"/>
      <c r="X142" s="463">
        <v>5</v>
      </c>
      <c r="Y142" s="463">
        <v>45</v>
      </c>
      <c r="Z142" s="463">
        <v>85</v>
      </c>
      <c r="AA142" s="472" t="s">
        <v>839</v>
      </c>
      <c r="AB142" s="463">
        <v>85</v>
      </c>
      <c r="AC142" s="463">
        <v>85</v>
      </c>
      <c r="AD142" s="472" t="s">
        <v>840</v>
      </c>
      <c r="AE142" s="463">
        <v>80</v>
      </c>
      <c r="AF142" s="463">
        <v>85</v>
      </c>
      <c r="AG142" s="463" t="s">
        <v>375</v>
      </c>
      <c r="AH142" s="476"/>
      <c r="AI142" s="472">
        <v>887653674</v>
      </c>
      <c r="AJ142" s="472" t="s">
        <v>543</v>
      </c>
    </row>
    <row r="143" spans="2:36" ht="24" hidden="1" customHeight="1">
      <c r="B143" s="463">
        <v>110</v>
      </c>
      <c r="C143" s="464" t="s">
        <v>337</v>
      </c>
      <c r="D143" s="464"/>
      <c r="E143" s="464" t="s">
        <v>545</v>
      </c>
      <c r="F143" s="464"/>
      <c r="G143" s="464" t="s">
        <v>270</v>
      </c>
      <c r="H143" s="464" t="s">
        <v>841</v>
      </c>
      <c r="I143" s="465" t="s">
        <v>537</v>
      </c>
      <c r="J143" s="465" t="s">
        <v>537</v>
      </c>
      <c r="K143" s="466">
        <v>15000</v>
      </c>
      <c r="L143" s="465" t="s">
        <v>537</v>
      </c>
      <c r="M143" s="465" t="s">
        <v>537</v>
      </c>
      <c r="N143" s="466">
        <v>15000</v>
      </c>
      <c r="O143" s="463" t="s">
        <v>537</v>
      </c>
      <c r="P143" s="463" t="s">
        <v>537</v>
      </c>
      <c r="Q143" s="465">
        <v>0</v>
      </c>
      <c r="R143" s="470">
        <v>241640</v>
      </c>
      <c r="S143" s="471">
        <v>22510</v>
      </c>
      <c r="T143" s="463">
        <v>2</v>
      </c>
      <c r="U143" s="463">
        <v>1</v>
      </c>
      <c r="V143" s="463">
        <v>29</v>
      </c>
      <c r="W143" s="463">
        <v>6</v>
      </c>
      <c r="X143" s="463">
        <v>6</v>
      </c>
      <c r="Y143" s="463">
        <v>30</v>
      </c>
      <c r="Z143" s="463">
        <v>91.67</v>
      </c>
      <c r="AA143" s="472" t="s">
        <v>842</v>
      </c>
      <c r="AB143" s="463">
        <v>80</v>
      </c>
      <c r="AC143" s="463">
        <v>88.81</v>
      </c>
      <c r="AD143" s="472" t="s">
        <v>843</v>
      </c>
      <c r="AE143" s="463" t="s">
        <v>539</v>
      </c>
      <c r="AF143" s="463" t="s">
        <v>539</v>
      </c>
      <c r="AG143" s="463" t="s">
        <v>375</v>
      </c>
      <c r="AH143" s="476"/>
      <c r="AI143" s="472">
        <v>819687402</v>
      </c>
      <c r="AJ143" s="472" t="s">
        <v>543</v>
      </c>
    </row>
    <row r="144" spans="2:36" ht="24" hidden="1" customHeight="1">
      <c r="B144" s="701">
        <v>111</v>
      </c>
      <c r="C144" s="699" t="s">
        <v>337</v>
      </c>
      <c r="D144" s="699"/>
      <c r="E144" s="699" t="s">
        <v>545</v>
      </c>
      <c r="F144" s="699"/>
      <c r="G144" s="699" t="s">
        <v>270</v>
      </c>
      <c r="H144" s="699" t="s">
        <v>844</v>
      </c>
      <c r="I144" s="709" t="s">
        <v>537</v>
      </c>
      <c r="J144" s="709" t="s">
        <v>537</v>
      </c>
      <c r="K144" s="712">
        <v>13000</v>
      </c>
      <c r="L144" s="709" t="s">
        <v>537</v>
      </c>
      <c r="M144" s="709" t="s">
        <v>537</v>
      </c>
      <c r="N144" s="712">
        <v>12500</v>
      </c>
      <c r="O144" s="701" t="s">
        <v>537</v>
      </c>
      <c r="P144" s="701" t="s">
        <v>537</v>
      </c>
      <c r="Q144" s="709">
        <v>500</v>
      </c>
      <c r="R144" s="707">
        <v>241609</v>
      </c>
      <c r="S144" s="721">
        <v>22486</v>
      </c>
      <c r="T144" s="701">
        <v>0</v>
      </c>
      <c r="U144" s="701">
        <v>3</v>
      </c>
      <c r="V144" s="701">
        <v>32</v>
      </c>
      <c r="W144" s="701">
        <v>0</v>
      </c>
      <c r="X144" s="701">
        <v>5</v>
      </c>
      <c r="Y144" s="701">
        <v>50</v>
      </c>
      <c r="Z144" s="701">
        <v>85.13</v>
      </c>
      <c r="AA144" s="458" t="s">
        <v>845</v>
      </c>
      <c r="AB144" s="459">
        <v>85</v>
      </c>
      <c r="AC144" s="459">
        <v>85.13</v>
      </c>
      <c r="AD144" s="458" t="s">
        <v>846</v>
      </c>
      <c r="AE144" s="459" t="s">
        <v>539</v>
      </c>
      <c r="AF144" s="459" t="s">
        <v>539</v>
      </c>
      <c r="AG144" s="701" t="s">
        <v>375</v>
      </c>
      <c r="AH144" s="728"/>
      <c r="AI144" s="697">
        <v>817887753</v>
      </c>
      <c r="AJ144" s="697" t="s">
        <v>543</v>
      </c>
    </row>
    <row r="145" spans="1:36" ht="24" hidden="1" customHeight="1">
      <c r="B145" s="702"/>
      <c r="C145" s="700"/>
      <c r="D145" s="700"/>
      <c r="E145" s="700"/>
      <c r="F145" s="700"/>
      <c r="G145" s="700"/>
      <c r="H145" s="700"/>
      <c r="I145" s="710"/>
      <c r="J145" s="710"/>
      <c r="K145" s="713"/>
      <c r="L145" s="710"/>
      <c r="M145" s="710"/>
      <c r="N145" s="713"/>
      <c r="O145" s="702"/>
      <c r="P145" s="702"/>
      <c r="Q145" s="710"/>
      <c r="R145" s="708"/>
      <c r="S145" s="722"/>
      <c r="T145" s="702"/>
      <c r="U145" s="702"/>
      <c r="V145" s="702"/>
      <c r="W145" s="702"/>
      <c r="X145" s="702"/>
      <c r="Y145" s="702"/>
      <c r="Z145" s="702"/>
      <c r="AA145" s="473" t="s">
        <v>847</v>
      </c>
      <c r="AB145" s="474" t="s">
        <v>539</v>
      </c>
      <c r="AC145" s="474" t="s">
        <v>539</v>
      </c>
      <c r="AD145" s="473" t="s">
        <v>848</v>
      </c>
      <c r="AE145" s="474" t="s">
        <v>539</v>
      </c>
      <c r="AF145" s="474" t="s">
        <v>539</v>
      </c>
      <c r="AG145" s="702"/>
      <c r="AH145" s="729"/>
      <c r="AI145" s="698"/>
      <c r="AJ145" s="698"/>
    </row>
    <row r="146" spans="1:36" ht="24" hidden="1" customHeight="1">
      <c r="B146" s="463">
        <v>112</v>
      </c>
      <c r="C146" s="464" t="s">
        <v>337</v>
      </c>
      <c r="D146" s="464"/>
      <c r="E146" s="464" t="s">
        <v>545</v>
      </c>
      <c r="F146" s="464"/>
      <c r="G146" s="464" t="s">
        <v>270</v>
      </c>
      <c r="H146" s="464" t="s">
        <v>849</v>
      </c>
      <c r="I146" s="465" t="s">
        <v>537</v>
      </c>
      <c r="J146" s="465" t="s">
        <v>537</v>
      </c>
      <c r="K146" s="466">
        <v>18000</v>
      </c>
      <c r="L146" s="465" t="s">
        <v>537</v>
      </c>
      <c r="M146" s="465" t="s">
        <v>537</v>
      </c>
      <c r="N146" s="466">
        <v>18000</v>
      </c>
      <c r="O146" s="463" t="s">
        <v>537</v>
      </c>
      <c r="P146" s="463" t="s">
        <v>537</v>
      </c>
      <c r="Q146" s="465">
        <v>0</v>
      </c>
      <c r="R146" s="470">
        <v>241609</v>
      </c>
      <c r="S146" s="463" t="s">
        <v>850</v>
      </c>
      <c r="T146" s="463">
        <v>1</v>
      </c>
      <c r="U146" s="463">
        <v>1</v>
      </c>
      <c r="V146" s="463">
        <v>18</v>
      </c>
      <c r="W146" s="463">
        <v>4</v>
      </c>
      <c r="X146" s="463">
        <v>2</v>
      </c>
      <c r="Y146" s="463">
        <v>26</v>
      </c>
      <c r="Z146" s="463">
        <v>89.84</v>
      </c>
      <c r="AA146" s="472" t="s">
        <v>851</v>
      </c>
      <c r="AB146" s="463" t="s">
        <v>539</v>
      </c>
      <c r="AC146" s="463" t="s">
        <v>539</v>
      </c>
      <c r="AD146" s="472" t="s">
        <v>852</v>
      </c>
      <c r="AE146" s="463" t="s">
        <v>539</v>
      </c>
      <c r="AF146" s="463" t="s">
        <v>539</v>
      </c>
      <c r="AG146" s="463" t="s">
        <v>375</v>
      </c>
      <c r="AH146" s="476"/>
      <c r="AI146" s="472">
        <v>882520395</v>
      </c>
      <c r="AJ146" s="472" t="s">
        <v>543</v>
      </c>
    </row>
    <row r="147" spans="1:36" ht="24" hidden="1" customHeight="1">
      <c r="B147" s="701">
        <v>113</v>
      </c>
      <c r="C147" s="699" t="s">
        <v>337</v>
      </c>
      <c r="D147" s="699"/>
      <c r="E147" s="699" t="s">
        <v>545</v>
      </c>
      <c r="F147" s="699"/>
      <c r="G147" s="699" t="s">
        <v>270</v>
      </c>
      <c r="H147" s="699" t="s">
        <v>853</v>
      </c>
      <c r="I147" s="709" t="s">
        <v>537</v>
      </c>
      <c r="J147" s="709" t="s">
        <v>537</v>
      </c>
      <c r="K147" s="712">
        <v>18000</v>
      </c>
      <c r="L147" s="709" t="s">
        <v>537</v>
      </c>
      <c r="M147" s="709" t="s">
        <v>537</v>
      </c>
      <c r="N147" s="712">
        <v>18000</v>
      </c>
      <c r="O147" s="701" t="s">
        <v>537</v>
      </c>
      <c r="P147" s="701" t="s">
        <v>537</v>
      </c>
      <c r="Q147" s="709">
        <v>0</v>
      </c>
      <c r="R147" s="701" t="s">
        <v>643</v>
      </c>
      <c r="S147" s="701" t="s">
        <v>854</v>
      </c>
      <c r="T147" s="701">
        <v>0</v>
      </c>
      <c r="U147" s="701">
        <v>3</v>
      </c>
      <c r="V147" s="701">
        <v>30</v>
      </c>
      <c r="W147" s="699"/>
      <c r="X147" s="701">
        <v>3</v>
      </c>
      <c r="Y147" s="701">
        <v>30</v>
      </c>
      <c r="Z147" s="701">
        <v>95</v>
      </c>
      <c r="AA147" s="697" t="s">
        <v>842</v>
      </c>
      <c r="AB147" s="701">
        <v>80</v>
      </c>
      <c r="AC147" s="701">
        <v>95</v>
      </c>
      <c r="AD147" s="458" t="s">
        <v>855</v>
      </c>
      <c r="AE147" s="459" t="s">
        <v>539</v>
      </c>
      <c r="AF147" s="459" t="s">
        <v>539</v>
      </c>
      <c r="AG147" s="701" t="s">
        <v>375</v>
      </c>
      <c r="AH147" s="728"/>
      <c r="AI147" s="697">
        <v>887653674</v>
      </c>
      <c r="AJ147" s="697" t="s">
        <v>543</v>
      </c>
    </row>
    <row r="148" spans="1:36" ht="24" hidden="1" customHeight="1">
      <c r="B148" s="702"/>
      <c r="C148" s="700"/>
      <c r="D148" s="700"/>
      <c r="E148" s="700"/>
      <c r="F148" s="700"/>
      <c r="G148" s="700"/>
      <c r="H148" s="700"/>
      <c r="I148" s="710"/>
      <c r="J148" s="710"/>
      <c r="K148" s="713"/>
      <c r="L148" s="710"/>
      <c r="M148" s="710"/>
      <c r="N148" s="713"/>
      <c r="O148" s="702"/>
      <c r="P148" s="702"/>
      <c r="Q148" s="710"/>
      <c r="R148" s="702"/>
      <c r="S148" s="702"/>
      <c r="T148" s="702"/>
      <c r="U148" s="702"/>
      <c r="V148" s="702"/>
      <c r="W148" s="700"/>
      <c r="X148" s="702"/>
      <c r="Y148" s="702"/>
      <c r="Z148" s="702"/>
      <c r="AA148" s="698"/>
      <c r="AB148" s="702"/>
      <c r="AC148" s="702"/>
      <c r="AD148" s="473" t="s">
        <v>856</v>
      </c>
      <c r="AE148" s="474" t="s">
        <v>539</v>
      </c>
      <c r="AF148" s="474" t="s">
        <v>539</v>
      </c>
      <c r="AG148" s="702"/>
      <c r="AH148" s="729"/>
      <c r="AI148" s="698"/>
      <c r="AJ148" s="698"/>
    </row>
    <row r="149" spans="1:36" ht="24" hidden="1" customHeight="1">
      <c r="B149" s="701">
        <v>114</v>
      </c>
      <c r="C149" s="699" t="s">
        <v>337</v>
      </c>
      <c r="D149" s="699"/>
      <c r="E149" s="699" t="s">
        <v>545</v>
      </c>
      <c r="F149" s="699"/>
      <c r="G149" s="699" t="s">
        <v>270</v>
      </c>
      <c r="H149" s="699" t="s">
        <v>857</v>
      </c>
      <c r="I149" s="709" t="s">
        <v>537</v>
      </c>
      <c r="J149" s="709" t="s">
        <v>537</v>
      </c>
      <c r="K149" s="712">
        <v>30000</v>
      </c>
      <c r="L149" s="709" t="s">
        <v>537</v>
      </c>
      <c r="M149" s="709" t="s">
        <v>537</v>
      </c>
      <c r="N149" s="712">
        <v>13800</v>
      </c>
      <c r="O149" s="701" t="s">
        <v>537</v>
      </c>
      <c r="P149" s="701" t="s">
        <v>537</v>
      </c>
      <c r="Q149" s="705">
        <v>16200</v>
      </c>
      <c r="R149" s="701" t="s">
        <v>643</v>
      </c>
      <c r="S149" s="721">
        <v>22485</v>
      </c>
      <c r="T149" s="701">
        <v>0</v>
      </c>
      <c r="U149" s="701">
        <v>4</v>
      </c>
      <c r="V149" s="701">
        <v>50</v>
      </c>
      <c r="W149" s="699"/>
      <c r="X149" s="701">
        <v>4</v>
      </c>
      <c r="Y149" s="701">
        <v>50</v>
      </c>
      <c r="Z149" s="701">
        <v>80</v>
      </c>
      <c r="AA149" s="458" t="s">
        <v>858</v>
      </c>
      <c r="AB149" s="459" t="s">
        <v>539</v>
      </c>
      <c r="AC149" s="459" t="s">
        <v>539</v>
      </c>
      <c r="AD149" s="458" t="s">
        <v>859</v>
      </c>
      <c r="AE149" s="459" t="s">
        <v>539</v>
      </c>
      <c r="AF149" s="459" t="s">
        <v>539</v>
      </c>
      <c r="AG149" s="701" t="s">
        <v>375</v>
      </c>
      <c r="AH149" s="728"/>
      <c r="AI149" s="697">
        <v>867815670</v>
      </c>
      <c r="AJ149" s="697" t="s">
        <v>543</v>
      </c>
    </row>
    <row r="150" spans="1:36" ht="24" hidden="1" customHeight="1">
      <c r="B150" s="702"/>
      <c r="C150" s="700"/>
      <c r="D150" s="700"/>
      <c r="E150" s="700"/>
      <c r="F150" s="700"/>
      <c r="G150" s="700"/>
      <c r="H150" s="700"/>
      <c r="I150" s="710"/>
      <c r="J150" s="710"/>
      <c r="K150" s="713"/>
      <c r="L150" s="710"/>
      <c r="M150" s="710"/>
      <c r="N150" s="713"/>
      <c r="O150" s="702"/>
      <c r="P150" s="702"/>
      <c r="Q150" s="706"/>
      <c r="R150" s="702"/>
      <c r="S150" s="722"/>
      <c r="T150" s="702"/>
      <c r="U150" s="702"/>
      <c r="V150" s="702"/>
      <c r="W150" s="700"/>
      <c r="X150" s="702"/>
      <c r="Y150" s="702"/>
      <c r="Z150" s="702"/>
      <c r="AA150" s="473" t="s">
        <v>860</v>
      </c>
      <c r="AB150" s="474">
        <v>80</v>
      </c>
      <c r="AC150" s="474">
        <v>80</v>
      </c>
      <c r="AD150" s="473" t="s">
        <v>861</v>
      </c>
      <c r="AE150" s="474">
        <v>50</v>
      </c>
      <c r="AF150" s="474">
        <v>50</v>
      </c>
      <c r="AG150" s="702"/>
      <c r="AH150" s="729"/>
      <c r="AI150" s="698"/>
      <c r="AJ150" s="698"/>
    </row>
    <row r="151" spans="1:36" ht="24" customHeight="1">
      <c r="A151" s="452">
        <v>5</v>
      </c>
      <c r="B151" s="463">
        <v>115</v>
      </c>
      <c r="C151" s="464" t="s">
        <v>377</v>
      </c>
      <c r="D151" s="464" t="s">
        <v>544</v>
      </c>
      <c r="E151" s="464" t="s">
        <v>602</v>
      </c>
      <c r="F151" s="464"/>
      <c r="G151" s="464" t="s">
        <v>270</v>
      </c>
      <c r="H151" s="464" t="s">
        <v>862</v>
      </c>
      <c r="I151" s="466">
        <v>30000</v>
      </c>
      <c r="J151" s="465" t="s">
        <v>537</v>
      </c>
      <c r="K151" s="465" t="s">
        <v>537</v>
      </c>
      <c r="L151" s="466">
        <v>29150</v>
      </c>
      <c r="M151" s="465" t="s">
        <v>537</v>
      </c>
      <c r="N151" s="465" t="s">
        <v>537</v>
      </c>
      <c r="O151" s="463" t="s">
        <v>537</v>
      </c>
      <c r="P151" s="463" t="s">
        <v>537</v>
      </c>
      <c r="Q151" s="465">
        <v>850</v>
      </c>
      <c r="R151" s="463" t="s">
        <v>863</v>
      </c>
      <c r="S151" s="463" t="s">
        <v>864</v>
      </c>
      <c r="T151" s="463">
        <v>50</v>
      </c>
      <c r="U151" s="463">
        <v>10</v>
      </c>
      <c r="V151" s="463">
        <v>0</v>
      </c>
      <c r="W151" s="463">
        <v>90</v>
      </c>
      <c r="X151" s="463">
        <v>11</v>
      </c>
      <c r="Y151" s="463">
        <v>0</v>
      </c>
      <c r="Z151" s="463">
        <v>96</v>
      </c>
      <c r="AA151" s="472" t="s">
        <v>612</v>
      </c>
      <c r="AB151" s="463" t="s">
        <v>539</v>
      </c>
      <c r="AC151" s="463" t="s">
        <v>539</v>
      </c>
      <c r="AD151" s="472" t="s">
        <v>565</v>
      </c>
      <c r="AE151" s="463">
        <v>80</v>
      </c>
      <c r="AF151" s="463">
        <v>96</v>
      </c>
      <c r="AG151" s="463" t="s">
        <v>375</v>
      </c>
      <c r="AH151" s="476"/>
      <c r="AI151" s="472" t="s">
        <v>824</v>
      </c>
      <c r="AJ151" s="464"/>
    </row>
    <row r="152" spans="1:36" ht="24" customHeight="1">
      <c r="A152" s="452">
        <v>6</v>
      </c>
      <c r="B152" s="463">
        <v>116</v>
      </c>
      <c r="C152" s="464" t="s">
        <v>377</v>
      </c>
      <c r="D152" s="464" t="s">
        <v>544</v>
      </c>
      <c r="E152" s="464" t="s">
        <v>602</v>
      </c>
      <c r="F152" s="464"/>
      <c r="G152" s="464" t="s">
        <v>270</v>
      </c>
      <c r="H152" s="464" t="s">
        <v>617</v>
      </c>
      <c r="I152" s="465" t="s">
        <v>537</v>
      </c>
      <c r="J152" s="466">
        <v>150000</v>
      </c>
      <c r="K152" s="465" t="s">
        <v>537</v>
      </c>
      <c r="L152" s="465" t="s">
        <v>537</v>
      </c>
      <c r="M152" s="466">
        <v>150000</v>
      </c>
      <c r="N152" s="465" t="s">
        <v>537</v>
      </c>
      <c r="O152" s="463" t="s">
        <v>537</v>
      </c>
      <c r="P152" s="463" t="s">
        <v>537</v>
      </c>
      <c r="Q152" s="465">
        <v>0</v>
      </c>
      <c r="R152" s="470">
        <v>241609</v>
      </c>
      <c r="S152" s="463" t="s">
        <v>865</v>
      </c>
      <c r="T152" s="463">
        <v>280</v>
      </c>
      <c r="U152" s="463">
        <v>20</v>
      </c>
      <c r="V152" s="463">
        <v>0</v>
      </c>
      <c r="W152" s="463">
        <v>285</v>
      </c>
      <c r="X152" s="463">
        <v>26</v>
      </c>
      <c r="Y152" s="464"/>
      <c r="Z152" s="463">
        <v>85</v>
      </c>
      <c r="AA152" s="472" t="s">
        <v>619</v>
      </c>
      <c r="AB152" s="463" t="s">
        <v>539</v>
      </c>
      <c r="AC152" s="463" t="s">
        <v>539</v>
      </c>
      <c r="AD152" s="472" t="s">
        <v>565</v>
      </c>
      <c r="AE152" s="463">
        <v>80</v>
      </c>
      <c r="AF152" s="463">
        <v>85</v>
      </c>
      <c r="AG152" s="463" t="s">
        <v>375</v>
      </c>
      <c r="AH152" s="476"/>
      <c r="AI152" s="472" t="s">
        <v>866</v>
      </c>
      <c r="AJ152" s="464"/>
    </row>
    <row r="153" spans="1:36" ht="24" customHeight="1">
      <c r="A153" s="452">
        <v>7</v>
      </c>
      <c r="B153" s="463">
        <v>117</v>
      </c>
      <c r="C153" s="464" t="s">
        <v>377</v>
      </c>
      <c r="D153" s="464" t="s">
        <v>544</v>
      </c>
      <c r="E153" s="464" t="s">
        <v>602</v>
      </c>
      <c r="F153" s="464"/>
      <c r="G153" s="464" t="s">
        <v>270</v>
      </c>
      <c r="H153" s="464" t="s">
        <v>867</v>
      </c>
      <c r="I153" s="465" t="s">
        <v>537</v>
      </c>
      <c r="J153" s="466">
        <v>10000</v>
      </c>
      <c r="K153" s="465" t="s">
        <v>537</v>
      </c>
      <c r="L153" s="465" t="s">
        <v>537</v>
      </c>
      <c r="M153" s="466">
        <v>10000</v>
      </c>
      <c r="N153" s="465" t="s">
        <v>537</v>
      </c>
      <c r="O153" s="463" t="s">
        <v>537</v>
      </c>
      <c r="P153" s="463" t="s">
        <v>537</v>
      </c>
      <c r="Q153" s="465">
        <v>0</v>
      </c>
      <c r="R153" s="470">
        <v>241459</v>
      </c>
      <c r="S153" s="471">
        <v>22322</v>
      </c>
      <c r="T153" s="463">
        <v>30</v>
      </c>
      <c r="U153" s="463">
        <v>12</v>
      </c>
      <c r="V153" s="463">
        <v>0</v>
      </c>
      <c r="W153" s="463">
        <v>40</v>
      </c>
      <c r="X153" s="463">
        <v>4</v>
      </c>
      <c r="Y153" s="463">
        <v>0</v>
      </c>
      <c r="Z153" s="463">
        <v>86</v>
      </c>
      <c r="AA153" s="472" t="s">
        <v>619</v>
      </c>
      <c r="AB153" s="463" t="s">
        <v>539</v>
      </c>
      <c r="AC153" s="463" t="s">
        <v>539</v>
      </c>
      <c r="AD153" s="472" t="s">
        <v>565</v>
      </c>
      <c r="AE153" s="463">
        <v>80</v>
      </c>
      <c r="AF153" s="463">
        <v>86</v>
      </c>
      <c r="AG153" s="463" t="s">
        <v>375</v>
      </c>
      <c r="AH153" s="476"/>
      <c r="AI153" s="472" t="s">
        <v>868</v>
      </c>
      <c r="AJ153" s="464"/>
    </row>
    <row r="154" spans="1:36" ht="24" hidden="1" customHeight="1">
      <c r="B154" s="463">
        <v>118</v>
      </c>
      <c r="C154" s="464" t="s">
        <v>534</v>
      </c>
      <c r="D154" s="464"/>
      <c r="E154" s="464" t="s">
        <v>535</v>
      </c>
      <c r="F154" s="464"/>
      <c r="G154" s="464" t="s">
        <v>270</v>
      </c>
      <c r="H154" s="464" t="s">
        <v>869</v>
      </c>
      <c r="I154" s="465" t="s">
        <v>537</v>
      </c>
      <c r="J154" s="465" t="s">
        <v>537</v>
      </c>
      <c r="K154" s="466">
        <v>159600</v>
      </c>
      <c r="L154" s="465" t="s">
        <v>537</v>
      </c>
      <c r="M154" s="465" t="s">
        <v>537</v>
      </c>
      <c r="N154" s="466">
        <v>148520</v>
      </c>
      <c r="O154" s="463" t="s">
        <v>537</v>
      </c>
      <c r="P154" s="463" t="s">
        <v>537</v>
      </c>
      <c r="Q154" s="468">
        <v>11080</v>
      </c>
      <c r="R154" s="470">
        <v>241428</v>
      </c>
      <c r="S154" s="463" t="s">
        <v>870</v>
      </c>
      <c r="T154" s="463">
        <v>45</v>
      </c>
      <c r="U154" s="463">
        <v>10</v>
      </c>
      <c r="V154" s="463">
        <v>0</v>
      </c>
      <c r="W154" s="463">
        <v>44</v>
      </c>
      <c r="X154" s="463">
        <v>10</v>
      </c>
      <c r="Y154" s="463">
        <v>0</v>
      </c>
      <c r="Z154" s="463">
        <v>82.11</v>
      </c>
      <c r="AA154" s="472" t="s">
        <v>871</v>
      </c>
      <c r="AB154" s="463" t="s">
        <v>539</v>
      </c>
      <c r="AC154" s="463" t="s">
        <v>539</v>
      </c>
      <c r="AD154" s="472" t="s">
        <v>872</v>
      </c>
      <c r="AE154" s="463">
        <v>45</v>
      </c>
      <c r="AF154" s="463">
        <v>44</v>
      </c>
      <c r="AG154" s="463" t="s">
        <v>376</v>
      </c>
      <c r="AH154" s="476"/>
      <c r="AI154" s="472">
        <v>75773131</v>
      </c>
      <c r="AJ154" s="472" t="s">
        <v>792</v>
      </c>
    </row>
    <row r="155" spans="1:36" ht="24" hidden="1" customHeight="1">
      <c r="B155" s="463">
        <v>119</v>
      </c>
      <c r="C155" s="464" t="s">
        <v>534</v>
      </c>
      <c r="D155" s="464"/>
      <c r="E155" s="464" t="s">
        <v>535</v>
      </c>
      <c r="F155" s="464"/>
      <c r="G155" s="464" t="s">
        <v>270</v>
      </c>
      <c r="H155" s="464" t="s">
        <v>873</v>
      </c>
      <c r="I155" s="465" t="s">
        <v>537</v>
      </c>
      <c r="J155" s="465" t="s">
        <v>537</v>
      </c>
      <c r="K155" s="466">
        <v>15200</v>
      </c>
      <c r="L155" s="465" t="s">
        <v>537</v>
      </c>
      <c r="M155" s="465" t="s">
        <v>537</v>
      </c>
      <c r="N155" s="466">
        <v>13800</v>
      </c>
      <c r="O155" s="463" t="s">
        <v>537</v>
      </c>
      <c r="P155" s="463" t="s">
        <v>537</v>
      </c>
      <c r="Q155" s="468">
        <v>1400</v>
      </c>
      <c r="R155" s="470">
        <v>241487</v>
      </c>
      <c r="S155" s="463" t="s">
        <v>874</v>
      </c>
      <c r="T155" s="463">
        <v>10</v>
      </c>
      <c r="U155" s="463">
        <v>5</v>
      </c>
      <c r="V155" s="463">
        <v>0</v>
      </c>
      <c r="W155" s="463">
        <v>10</v>
      </c>
      <c r="X155" s="463">
        <v>7</v>
      </c>
      <c r="Y155" s="464"/>
      <c r="Z155" s="463">
        <v>90</v>
      </c>
      <c r="AA155" s="472" t="s">
        <v>875</v>
      </c>
      <c r="AB155" s="463">
        <v>2</v>
      </c>
      <c r="AC155" s="463">
        <v>3</v>
      </c>
      <c r="AD155" s="472" t="s">
        <v>876</v>
      </c>
      <c r="AE155" s="463">
        <v>10</v>
      </c>
      <c r="AF155" s="463">
        <v>17</v>
      </c>
      <c r="AG155" s="463" t="s">
        <v>375</v>
      </c>
      <c r="AH155" s="476"/>
      <c r="AI155" s="472">
        <v>870093652</v>
      </c>
      <c r="AJ155" s="472" t="s">
        <v>792</v>
      </c>
    </row>
    <row r="156" spans="1:36" ht="24" hidden="1" customHeight="1">
      <c r="B156" s="463">
        <v>120</v>
      </c>
      <c r="C156" s="464" t="s">
        <v>534</v>
      </c>
      <c r="D156" s="464" t="s">
        <v>544</v>
      </c>
      <c r="E156" s="464" t="s">
        <v>535</v>
      </c>
      <c r="F156" s="464"/>
      <c r="G156" s="464" t="s">
        <v>270</v>
      </c>
      <c r="H156" s="464" t="s">
        <v>667</v>
      </c>
      <c r="I156" s="465" t="s">
        <v>537</v>
      </c>
      <c r="J156" s="466">
        <v>54000</v>
      </c>
      <c r="K156" s="465" t="s">
        <v>537</v>
      </c>
      <c r="L156" s="465" t="s">
        <v>537</v>
      </c>
      <c r="M156" s="466">
        <v>54000</v>
      </c>
      <c r="N156" s="465" t="s">
        <v>537</v>
      </c>
      <c r="O156" s="463" t="s">
        <v>537</v>
      </c>
      <c r="P156" s="463" t="s">
        <v>537</v>
      </c>
      <c r="Q156" s="465">
        <v>0</v>
      </c>
      <c r="R156" s="463" t="s">
        <v>877</v>
      </c>
      <c r="S156" s="471">
        <v>22452</v>
      </c>
      <c r="T156" s="463">
        <v>250</v>
      </c>
      <c r="U156" s="463">
        <v>25</v>
      </c>
      <c r="V156" s="463">
        <v>0</v>
      </c>
      <c r="W156" s="463">
        <v>240</v>
      </c>
      <c r="X156" s="463">
        <v>20</v>
      </c>
      <c r="Y156" s="464"/>
      <c r="Z156" s="463">
        <v>90</v>
      </c>
      <c r="AA156" s="472" t="s">
        <v>547</v>
      </c>
      <c r="AB156" s="463" t="s">
        <v>539</v>
      </c>
      <c r="AC156" s="463" t="s">
        <v>539</v>
      </c>
      <c r="AD156" s="472" t="s">
        <v>548</v>
      </c>
      <c r="AE156" s="463">
        <v>80</v>
      </c>
      <c r="AF156" s="463">
        <v>90</v>
      </c>
      <c r="AG156" s="463" t="s">
        <v>375</v>
      </c>
      <c r="AH156" s="476"/>
      <c r="AI156" s="472" t="s">
        <v>878</v>
      </c>
      <c r="AJ156" s="464"/>
    </row>
    <row r="157" spans="1:36" ht="24" hidden="1" customHeight="1">
      <c r="B157" s="463">
        <v>121</v>
      </c>
      <c r="C157" s="464" t="s">
        <v>534</v>
      </c>
      <c r="D157" s="464" t="s">
        <v>544</v>
      </c>
      <c r="E157" s="464" t="s">
        <v>535</v>
      </c>
      <c r="F157" s="464"/>
      <c r="G157" s="464" t="s">
        <v>270</v>
      </c>
      <c r="H157" s="464" t="s">
        <v>668</v>
      </c>
      <c r="I157" s="465" t="s">
        <v>537</v>
      </c>
      <c r="J157" s="466">
        <v>65000</v>
      </c>
      <c r="K157" s="465" t="s">
        <v>537</v>
      </c>
      <c r="L157" s="465" t="s">
        <v>537</v>
      </c>
      <c r="M157" s="466">
        <v>63000</v>
      </c>
      <c r="N157" s="465" t="s">
        <v>537</v>
      </c>
      <c r="O157" s="463" t="s">
        <v>537</v>
      </c>
      <c r="P157" s="463" t="s">
        <v>537</v>
      </c>
      <c r="Q157" s="468">
        <v>2000</v>
      </c>
      <c r="R157" s="463" t="s">
        <v>771</v>
      </c>
      <c r="S157" s="471">
        <v>22340</v>
      </c>
      <c r="T157" s="463">
        <v>240</v>
      </c>
      <c r="U157" s="463">
        <v>35</v>
      </c>
      <c r="V157" s="463">
        <v>0</v>
      </c>
      <c r="W157" s="463">
        <v>240</v>
      </c>
      <c r="X157" s="463">
        <v>43</v>
      </c>
      <c r="Y157" s="463">
        <v>7</v>
      </c>
      <c r="Z157" s="463">
        <v>86.5</v>
      </c>
      <c r="AA157" s="472" t="s">
        <v>547</v>
      </c>
      <c r="AB157" s="463" t="s">
        <v>539</v>
      </c>
      <c r="AC157" s="463" t="s">
        <v>539</v>
      </c>
      <c r="AD157" s="472" t="s">
        <v>548</v>
      </c>
      <c r="AE157" s="463">
        <v>80</v>
      </c>
      <c r="AF157" s="463">
        <v>86.5</v>
      </c>
      <c r="AG157" s="463" t="s">
        <v>375</v>
      </c>
      <c r="AH157" s="476"/>
      <c r="AI157" s="472" t="s">
        <v>879</v>
      </c>
      <c r="AJ157" s="464"/>
    </row>
    <row r="158" spans="1:36" ht="24" hidden="1" customHeight="1">
      <c r="B158" s="463">
        <v>122</v>
      </c>
      <c r="C158" s="464" t="s">
        <v>534</v>
      </c>
      <c r="D158" s="464" t="s">
        <v>544</v>
      </c>
      <c r="E158" s="464" t="s">
        <v>535</v>
      </c>
      <c r="F158" s="464"/>
      <c r="G158" s="464" t="s">
        <v>270</v>
      </c>
      <c r="H158" s="464" t="s">
        <v>669</v>
      </c>
      <c r="I158" s="465" t="s">
        <v>537</v>
      </c>
      <c r="J158" s="466">
        <v>100000</v>
      </c>
      <c r="K158" s="465" t="s">
        <v>537</v>
      </c>
      <c r="L158" s="465" t="s">
        <v>537</v>
      </c>
      <c r="M158" s="466">
        <v>60180</v>
      </c>
      <c r="N158" s="465" t="s">
        <v>537</v>
      </c>
      <c r="O158" s="463" t="s">
        <v>537</v>
      </c>
      <c r="P158" s="463" t="s">
        <v>537</v>
      </c>
      <c r="Q158" s="468">
        <v>39820</v>
      </c>
      <c r="R158" s="470">
        <v>241609</v>
      </c>
      <c r="S158" s="463" t="s">
        <v>880</v>
      </c>
      <c r="T158" s="463">
        <v>40</v>
      </c>
      <c r="U158" s="463">
        <v>0</v>
      </c>
      <c r="V158" s="463">
        <v>0</v>
      </c>
      <c r="W158" s="463">
        <v>85</v>
      </c>
      <c r="X158" s="463">
        <v>2</v>
      </c>
      <c r="Y158" s="463">
        <v>0</v>
      </c>
      <c r="Z158" s="463">
        <v>89</v>
      </c>
      <c r="AA158" s="472" t="s">
        <v>728</v>
      </c>
      <c r="AB158" s="463">
        <v>1</v>
      </c>
      <c r="AC158" s="463">
        <v>1</v>
      </c>
      <c r="AD158" s="472" t="s">
        <v>729</v>
      </c>
      <c r="AE158" s="463">
        <v>1</v>
      </c>
      <c r="AF158" s="463">
        <v>1</v>
      </c>
      <c r="AG158" s="463" t="s">
        <v>375</v>
      </c>
      <c r="AH158" s="476"/>
      <c r="AI158" s="472" t="s">
        <v>881</v>
      </c>
      <c r="AJ158" s="464"/>
    </row>
    <row r="159" spans="1:36" ht="24" hidden="1" customHeight="1">
      <c r="B159" s="463">
        <v>123</v>
      </c>
      <c r="C159" s="464" t="s">
        <v>534</v>
      </c>
      <c r="D159" s="464" t="s">
        <v>544</v>
      </c>
      <c r="E159" s="464" t="s">
        <v>535</v>
      </c>
      <c r="F159" s="464"/>
      <c r="G159" s="464" t="s">
        <v>270</v>
      </c>
      <c r="H159" s="464" t="s">
        <v>882</v>
      </c>
      <c r="I159" s="465" t="s">
        <v>537</v>
      </c>
      <c r="J159" s="466">
        <v>25000</v>
      </c>
      <c r="K159" s="465" t="s">
        <v>537</v>
      </c>
      <c r="L159" s="465" t="s">
        <v>537</v>
      </c>
      <c r="M159" s="466">
        <v>25000</v>
      </c>
      <c r="N159" s="465" t="s">
        <v>537</v>
      </c>
      <c r="O159" s="463" t="s">
        <v>537</v>
      </c>
      <c r="P159" s="463" t="s">
        <v>537</v>
      </c>
      <c r="Q159" s="465">
        <v>0</v>
      </c>
      <c r="R159" s="463" t="s">
        <v>775</v>
      </c>
      <c r="S159" s="471">
        <v>22466</v>
      </c>
      <c r="T159" s="463">
        <v>80</v>
      </c>
      <c r="U159" s="463">
        <v>20</v>
      </c>
      <c r="V159" s="463">
        <v>0</v>
      </c>
      <c r="W159" s="463">
        <v>85</v>
      </c>
      <c r="X159" s="463">
        <v>30</v>
      </c>
      <c r="Y159" s="464"/>
      <c r="Z159" s="463">
        <v>85</v>
      </c>
      <c r="AA159" s="472" t="s">
        <v>728</v>
      </c>
      <c r="AB159" s="463">
        <v>1</v>
      </c>
      <c r="AC159" s="463">
        <v>1</v>
      </c>
      <c r="AD159" s="472" t="s">
        <v>729</v>
      </c>
      <c r="AE159" s="463">
        <v>1</v>
      </c>
      <c r="AF159" s="463">
        <v>1</v>
      </c>
      <c r="AG159" s="463" t="s">
        <v>375</v>
      </c>
      <c r="AH159" s="476"/>
      <c r="AI159" s="472" t="s">
        <v>730</v>
      </c>
      <c r="AJ159" s="464"/>
    </row>
    <row r="160" spans="1:36" ht="24" hidden="1" customHeight="1">
      <c r="B160" s="463">
        <v>124</v>
      </c>
      <c r="C160" s="464" t="s">
        <v>10</v>
      </c>
      <c r="D160" s="464"/>
      <c r="E160" s="464" t="s">
        <v>558</v>
      </c>
      <c r="F160" s="464"/>
      <c r="G160" s="464" t="s">
        <v>270</v>
      </c>
      <c r="H160" s="464" t="s">
        <v>883</v>
      </c>
      <c r="I160" s="465" t="s">
        <v>537</v>
      </c>
      <c r="J160" s="465" t="s">
        <v>537</v>
      </c>
      <c r="K160" s="466">
        <v>30000</v>
      </c>
      <c r="L160" s="465" t="s">
        <v>537</v>
      </c>
      <c r="M160" s="465" t="s">
        <v>537</v>
      </c>
      <c r="N160" s="466">
        <v>30000</v>
      </c>
      <c r="O160" s="463" t="s">
        <v>537</v>
      </c>
      <c r="P160" s="463" t="s">
        <v>537</v>
      </c>
      <c r="Q160" s="465">
        <v>0</v>
      </c>
      <c r="R160" s="470">
        <v>241518</v>
      </c>
      <c r="S160" s="463" t="s">
        <v>884</v>
      </c>
      <c r="T160" s="463">
        <v>0</v>
      </c>
      <c r="U160" s="463">
        <v>1</v>
      </c>
      <c r="V160" s="463">
        <v>0</v>
      </c>
      <c r="W160" s="463">
        <v>0</v>
      </c>
      <c r="X160" s="463">
        <v>1</v>
      </c>
      <c r="Y160" s="463">
        <v>0</v>
      </c>
      <c r="Z160" s="463">
        <v>80</v>
      </c>
      <c r="AA160" s="472" t="s">
        <v>885</v>
      </c>
      <c r="AB160" s="463" t="s">
        <v>539</v>
      </c>
      <c r="AC160" s="463" t="s">
        <v>539</v>
      </c>
      <c r="AD160" s="472" t="s">
        <v>886</v>
      </c>
      <c r="AE160" s="463" t="s">
        <v>539</v>
      </c>
      <c r="AF160" s="463" t="s">
        <v>539</v>
      </c>
      <c r="AG160" s="463" t="s">
        <v>375</v>
      </c>
      <c r="AH160" s="476"/>
      <c r="AI160" s="472" t="s">
        <v>887</v>
      </c>
      <c r="AJ160" s="472" t="s">
        <v>562</v>
      </c>
    </row>
    <row r="161" spans="1:36" ht="24" hidden="1" customHeight="1">
      <c r="B161" s="463">
        <v>125</v>
      </c>
      <c r="C161" s="464" t="s">
        <v>534</v>
      </c>
      <c r="D161" s="464"/>
      <c r="E161" s="464" t="s">
        <v>535</v>
      </c>
      <c r="F161" s="464"/>
      <c r="G161" s="464" t="s">
        <v>888</v>
      </c>
      <c r="H161" s="464" t="s">
        <v>889</v>
      </c>
      <c r="I161" s="465" t="s">
        <v>537</v>
      </c>
      <c r="J161" s="465" t="s">
        <v>537</v>
      </c>
      <c r="K161" s="466">
        <v>93032</v>
      </c>
      <c r="L161" s="465" t="s">
        <v>537</v>
      </c>
      <c r="M161" s="465" t="s">
        <v>537</v>
      </c>
      <c r="N161" s="466">
        <v>67292</v>
      </c>
      <c r="O161" s="463" t="s">
        <v>537</v>
      </c>
      <c r="P161" s="463" t="s">
        <v>537</v>
      </c>
      <c r="Q161" s="468">
        <v>25740</v>
      </c>
      <c r="R161" s="470">
        <v>241609</v>
      </c>
      <c r="S161" s="463" t="s">
        <v>890</v>
      </c>
      <c r="T161" s="463">
        <v>0</v>
      </c>
      <c r="U161" s="463">
        <v>19</v>
      </c>
      <c r="V161" s="463">
        <v>3</v>
      </c>
      <c r="W161" s="463">
        <v>0</v>
      </c>
      <c r="X161" s="463">
        <v>20</v>
      </c>
      <c r="Y161" s="463">
        <v>0</v>
      </c>
      <c r="Z161" s="463">
        <v>85</v>
      </c>
      <c r="AA161" s="472" t="s">
        <v>891</v>
      </c>
      <c r="AB161" s="463" t="s">
        <v>539</v>
      </c>
      <c r="AC161" s="463" t="s">
        <v>539</v>
      </c>
      <c r="AD161" s="472" t="s">
        <v>548</v>
      </c>
      <c r="AE161" s="463">
        <v>80</v>
      </c>
      <c r="AF161" s="463">
        <v>85</v>
      </c>
      <c r="AG161" s="463" t="s">
        <v>375</v>
      </c>
      <c r="AH161" s="476"/>
      <c r="AI161" s="472" t="s">
        <v>566</v>
      </c>
      <c r="AJ161" s="472" t="s">
        <v>543</v>
      </c>
    </row>
    <row r="162" spans="1:36" ht="24" hidden="1" customHeight="1">
      <c r="B162" s="463">
        <v>126</v>
      </c>
      <c r="C162" s="464" t="s">
        <v>534</v>
      </c>
      <c r="D162" s="464"/>
      <c r="E162" s="464" t="s">
        <v>535</v>
      </c>
      <c r="F162" s="464"/>
      <c r="G162" s="464" t="s">
        <v>58</v>
      </c>
      <c r="H162" s="464" t="s">
        <v>892</v>
      </c>
      <c r="I162" s="465" t="s">
        <v>537</v>
      </c>
      <c r="J162" s="465" t="s">
        <v>537</v>
      </c>
      <c r="K162" s="466">
        <v>15340</v>
      </c>
      <c r="L162" s="465" t="s">
        <v>537</v>
      </c>
      <c r="M162" s="465" t="s">
        <v>537</v>
      </c>
      <c r="N162" s="466">
        <v>11340</v>
      </c>
      <c r="O162" s="463" t="s">
        <v>537</v>
      </c>
      <c r="P162" s="463" t="s">
        <v>537</v>
      </c>
      <c r="Q162" s="468">
        <v>4000</v>
      </c>
      <c r="R162" s="470">
        <v>241609</v>
      </c>
      <c r="S162" s="463" t="s">
        <v>893</v>
      </c>
      <c r="T162" s="463">
        <v>5</v>
      </c>
      <c r="U162" s="463">
        <v>14</v>
      </c>
      <c r="V162" s="463">
        <v>13</v>
      </c>
      <c r="W162" s="463">
        <v>18</v>
      </c>
      <c r="X162" s="463">
        <v>12</v>
      </c>
      <c r="Y162" s="463">
        <v>0</v>
      </c>
      <c r="Z162" s="463">
        <v>95.33</v>
      </c>
      <c r="AA162" s="472" t="s">
        <v>547</v>
      </c>
      <c r="AB162" s="463" t="s">
        <v>539</v>
      </c>
      <c r="AC162" s="463" t="s">
        <v>539</v>
      </c>
      <c r="AD162" s="472" t="s">
        <v>548</v>
      </c>
      <c r="AE162" s="463">
        <v>80</v>
      </c>
      <c r="AF162" s="463">
        <v>95.33</v>
      </c>
      <c r="AG162" s="463" t="s">
        <v>375</v>
      </c>
      <c r="AH162" s="476"/>
      <c r="AI162" s="472" t="s">
        <v>894</v>
      </c>
      <c r="AJ162" s="472" t="s">
        <v>792</v>
      </c>
    </row>
    <row r="163" spans="1:36" ht="24" hidden="1" customHeight="1">
      <c r="B163" s="463">
        <v>127</v>
      </c>
      <c r="C163" s="464" t="s">
        <v>534</v>
      </c>
      <c r="D163" s="464" t="s">
        <v>544</v>
      </c>
      <c r="E163" s="464" t="s">
        <v>535</v>
      </c>
      <c r="F163" s="464"/>
      <c r="G163" s="464" t="s">
        <v>58</v>
      </c>
      <c r="H163" s="464" t="s">
        <v>895</v>
      </c>
      <c r="I163" s="465" t="s">
        <v>537</v>
      </c>
      <c r="J163" s="466">
        <v>20000</v>
      </c>
      <c r="K163" s="465" t="s">
        <v>537</v>
      </c>
      <c r="L163" s="465" t="s">
        <v>537</v>
      </c>
      <c r="M163" s="466">
        <v>20000</v>
      </c>
      <c r="N163" s="465" t="s">
        <v>537</v>
      </c>
      <c r="O163" s="463" t="s">
        <v>537</v>
      </c>
      <c r="P163" s="463" t="s">
        <v>537</v>
      </c>
      <c r="Q163" s="465">
        <v>0</v>
      </c>
      <c r="R163" s="470">
        <v>241579</v>
      </c>
      <c r="S163" s="471">
        <v>22459</v>
      </c>
      <c r="T163" s="463">
        <v>180</v>
      </c>
      <c r="U163" s="463">
        <v>10</v>
      </c>
      <c r="V163" s="463">
        <v>0</v>
      </c>
      <c r="W163" s="463">
        <v>170</v>
      </c>
      <c r="X163" s="463">
        <v>27</v>
      </c>
      <c r="Y163" s="463">
        <v>0</v>
      </c>
      <c r="Z163" s="463">
        <v>94.69</v>
      </c>
      <c r="AA163" s="472" t="s">
        <v>547</v>
      </c>
      <c r="AB163" s="463" t="s">
        <v>539</v>
      </c>
      <c r="AC163" s="463" t="s">
        <v>539</v>
      </c>
      <c r="AD163" s="472" t="s">
        <v>548</v>
      </c>
      <c r="AE163" s="463">
        <v>80</v>
      </c>
      <c r="AF163" s="463">
        <v>94.69</v>
      </c>
      <c r="AG163" s="463" t="s">
        <v>375</v>
      </c>
      <c r="AH163" s="476"/>
      <c r="AI163" s="472" t="s">
        <v>896</v>
      </c>
      <c r="AJ163" s="464"/>
    </row>
    <row r="164" spans="1:36" ht="24" hidden="1" customHeight="1">
      <c r="B164" s="463">
        <v>128</v>
      </c>
      <c r="C164" s="464" t="s">
        <v>534</v>
      </c>
      <c r="D164" s="464" t="s">
        <v>544</v>
      </c>
      <c r="E164" s="464" t="s">
        <v>535</v>
      </c>
      <c r="F164" s="464"/>
      <c r="G164" s="464" t="s">
        <v>58</v>
      </c>
      <c r="H164" s="464" t="s">
        <v>897</v>
      </c>
      <c r="I164" s="465" t="s">
        <v>537</v>
      </c>
      <c r="J164" s="466">
        <v>20000</v>
      </c>
      <c r="K164" s="465" t="s">
        <v>537</v>
      </c>
      <c r="L164" s="465" t="s">
        <v>537</v>
      </c>
      <c r="M164" s="466">
        <v>20000</v>
      </c>
      <c r="N164" s="465" t="s">
        <v>537</v>
      </c>
      <c r="O164" s="463" t="s">
        <v>537</v>
      </c>
      <c r="P164" s="463" t="s">
        <v>537</v>
      </c>
      <c r="Q164" s="465">
        <v>0</v>
      </c>
      <c r="R164" s="470">
        <v>241487</v>
      </c>
      <c r="S164" s="471">
        <v>22364</v>
      </c>
      <c r="T164" s="463">
        <v>140</v>
      </c>
      <c r="U164" s="463">
        <v>9</v>
      </c>
      <c r="V164" s="463">
        <v>1</v>
      </c>
      <c r="W164" s="463">
        <v>192</v>
      </c>
      <c r="X164" s="463">
        <v>22</v>
      </c>
      <c r="Y164" s="463">
        <v>0</v>
      </c>
      <c r="Z164" s="463">
        <v>96.54</v>
      </c>
      <c r="AA164" s="472" t="s">
        <v>547</v>
      </c>
      <c r="AB164" s="463" t="s">
        <v>539</v>
      </c>
      <c r="AC164" s="463" t="s">
        <v>539</v>
      </c>
      <c r="AD164" s="472" t="s">
        <v>548</v>
      </c>
      <c r="AE164" s="463">
        <v>80</v>
      </c>
      <c r="AF164" s="463">
        <v>96.54</v>
      </c>
      <c r="AG164" s="463" t="s">
        <v>375</v>
      </c>
      <c r="AH164" s="476"/>
      <c r="AI164" s="472">
        <v>841942744</v>
      </c>
      <c r="AJ164" s="464"/>
    </row>
    <row r="165" spans="1:36" ht="24" hidden="1" customHeight="1">
      <c r="B165" s="463">
        <v>129</v>
      </c>
      <c r="C165" s="464" t="s">
        <v>534</v>
      </c>
      <c r="D165" s="464" t="s">
        <v>544</v>
      </c>
      <c r="E165" s="464" t="s">
        <v>535</v>
      </c>
      <c r="F165" s="464"/>
      <c r="G165" s="464" t="s">
        <v>58</v>
      </c>
      <c r="H165" s="464" t="s">
        <v>898</v>
      </c>
      <c r="I165" s="465" t="s">
        <v>537</v>
      </c>
      <c r="J165" s="466">
        <v>50000</v>
      </c>
      <c r="K165" s="465" t="s">
        <v>537</v>
      </c>
      <c r="L165" s="465" t="s">
        <v>537</v>
      </c>
      <c r="M165" s="466">
        <v>50000</v>
      </c>
      <c r="N165" s="465" t="s">
        <v>537</v>
      </c>
      <c r="O165" s="463" t="s">
        <v>537</v>
      </c>
      <c r="P165" s="463" t="s">
        <v>537</v>
      </c>
      <c r="Q165" s="465">
        <v>0</v>
      </c>
      <c r="R165" s="470">
        <v>241609</v>
      </c>
      <c r="S165" s="471">
        <v>22486</v>
      </c>
      <c r="T165" s="463">
        <v>30</v>
      </c>
      <c r="U165" s="463">
        <v>30</v>
      </c>
      <c r="V165" s="463">
        <v>10</v>
      </c>
      <c r="W165" s="463">
        <v>41</v>
      </c>
      <c r="X165" s="463">
        <v>30</v>
      </c>
      <c r="Y165" s="463">
        <v>0</v>
      </c>
      <c r="Z165" s="463">
        <v>98.33</v>
      </c>
      <c r="AA165" s="472" t="s">
        <v>899</v>
      </c>
      <c r="AB165" s="463" t="s">
        <v>539</v>
      </c>
      <c r="AC165" s="463" t="s">
        <v>539</v>
      </c>
      <c r="AD165" s="472" t="s">
        <v>548</v>
      </c>
      <c r="AE165" s="463">
        <v>80</v>
      </c>
      <c r="AF165" s="463">
        <v>95.33</v>
      </c>
      <c r="AG165" s="463" t="s">
        <v>375</v>
      </c>
      <c r="AH165" s="476"/>
      <c r="AI165" s="472" t="s">
        <v>900</v>
      </c>
      <c r="AJ165" s="464"/>
    </row>
    <row r="166" spans="1:36" ht="24" hidden="1" customHeight="1">
      <c r="B166" s="463">
        <v>130</v>
      </c>
      <c r="C166" s="464" t="s">
        <v>534</v>
      </c>
      <c r="D166" s="464" t="s">
        <v>544</v>
      </c>
      <c r="E166" s="464" t="s">
        <v>535</v>
      </c>
      <c r="F166" s="464"/>
      <c r="G166" s="464" t="s">
        <v>58</v>
      </c>
      <c r="H166" s="464" t="s">
        <v>901</v>
      </c>
      <c r="I166" s="465" t="s">
        <v>537</v>
      </c>
      <c r="J166" s="466">
        <v>30000</v>
      </c>
      <c r="K166" s="465" t="s">
        <v>537</v>
      </c>
      <c r="L166" s="465" t="s">
        <v>537</v>
      </c>
      <c r="M166" s="466">
        <v>30000</v>
      </c>
      <c r="N166" s="465" t="s">
        <v>537</v>
      </c>
      <c r="O166" s="463" t="s">
        <v>537</v>
      </c>
      <c r="P166" s="463" t="s">
        <v>537</v>
      </c>
      <c r="Q166" s="465">
        <v>0</v>
      </c>
      <c r="R166" s="470">
        <v>241459</v>
      </c>
      <c r="S166" s="463" t="s">
        <v>682</v>
      </c>
      <c r="T166" s="463">
        <v>30</v>
      </c>
      <c r="U166" s="463">
        <v>8</v>
      </c>
      <c r="V166" s="463">
        <v>0</v>
      </c>
      <c r="W166" s="463">
        <v>30</v>
      </c>
      <c r="X166" s="463">
        <v>8</v>
      </c>
      <c r="Y166" s="463">
        <v>0</v>
      </c>
      <c r="Z166" s="463">
        <v>99.25</v>
      </c>
      <c r="AA166" s="472" t="s">
        <v>547</v>
      </c>
      <c r="AB166" s="463" t="s">
        <v>539</v>
      </c>
      <c r="AC166" s="463" t="s">
        <v>539</v>
      </c>
      <c r="AD166" s="472" t="s">
        <v>548</v>
      </c>
      <c r="AE166" s="463">
        <v>80</v>
      </c>
      <c r="AF166" s="463">
        <v>99.25</v>
      </c>
      <c r="AG166" s="463" t="s">
        <v>375</v>
      </c>
      <c r="AH166" s="476"/>
      <c r="AI166" s="472">
        <v>892084227</v>
      </c>
      <c r="AJ166" s="464"/>
    </row>
    <row r="167" spans="1:36" ht="24" hidden="1" customHeight="1">
      <c r="B167" s="463">
        <v>131</v>
      </c>
      <c r="C167" s="464" t="s">
        <v>534</v>
      </c>
      <c r="D167" s="464" t="s">
        <v>544</v>
      </c>
      <c r="E167" s="464" t="s">
        <v>535</v>
      </c>
      <c r="F167" s="464"/>
      <c r="G167" s="464" t="s">
        <v>58</v>
      </c>
      <c r="H167" s="464" t="s">
        <v>669</v>
      </c>
      <c r="I167" s="465" t="s">
        <v>537</v>
      </c>
      <c r="J167" s="466">
        <v>100000</v>
      </c>
      <c r="K167" s="465" t="s">
        <v>537</v>
      </c>
      <c r="L167" s="465" t="s">
        <v>537</v>
      </c>
      <c r="M167" s="466">
        <v>100000</v>
      </c>
      <c r="N167" s="465" t="s">
        <v>537</v>
      </c>
      <c r="O167" s="463" t="s">
        <v>537</v>
      </c>
      <c r="P167" s="463" t="s">
        <v>537</v>
      </c>
      <c r="Q167" s="465">
        <v>0</v>
      </c>
      <c r="R167" s="470">
        <v>241609</v>
      </c>
      <c r="S167" s="471">
        <v>22498</v>
      </c>
      <c r="T167" s="463">
        <v>100</v>
      </c>
      <c r="U167" s="463">
        <v>0</v>
      </c>
      <c r="V167" s="463">
        <v>0</v>
      </c>
      <c r="W167" s="463">
        <v>114</v>
      </c>
      <c r="X167" s="463">
        <v>0</v>
      </c>
      <c r="Y167" s="463">
        <v>0</v>
      </c>
      <c r="Z167" s="463">
        <v>82.03</v>
      </c>
      <c r="AA167" s="472" t="s">
        <v>902</v>
      </c>
      <c r="AB167" s="463">
        <v>1</v>
      </c>
      <c r="AC167" s="463">
        <v>2</v>
      </c>
      <c r="AD167" s="472" t="s">
        <v>651</v>
      </c>
      <c r="AE167" s="463">
        <v>1</v>
      </c>
      <c r="AF167" s="463">
        <v>1</v>
      </c>
      <c r="AG167" s="463" t="s">
        <v>375</v>
      </c>
      <c r="AH167" s="476"/>
      <c r="AI167" s="472" t="s">
        <v>903</v>
      </c>
      <c r="AJ167" s="464"/>
    </row>
    <row r="168" spans="1:36" ht="24" hidden="1" customHeight="1">
      <c r="B168" s="463">
        <v>132</v>
      </c>
      <c r="C168" s="464" t="s">
        <v>534</v>
      </c>
      <c r="D168" s="464" t="s">
        <v>544</v>
      </c>
      <c r="E168" s="464" t="s">
        <v>535</v>
      </c>
      <c r="F168" s="464"/>
      <c r="G168" s="464" t="s">
        <v>58</v>
      </c>
      <c r="H168" s="464" t="s">
        <v>668</v>
      </c>
      <c r="I168" s="465" t="s">
        <v>537</v>
      </c>
      <c r="J168" s="466">
        <v>30000</v>
      </c>
      <c r="K168" s="465" t="s">
        <v>537</v>
      </c>
      <c r="L168" s="465" t="s">
        <v>537</v>
      </c>
      <c r="M168" s="466">
        <v>30000</v>
      </c>
      <c r="N168" s="465" t="s">
        <v>537</v>
      </c>
      <c r="O168" s="463" t="s">
        <v>537</v>
      </c>
      <c r="P168" s="463" t="s">
        <v>537</v>
      </c>
      <c r="Q168" s="465">
        <v>0</v>
      </c>
      <c r="R168" s="470">
        <v>241487</v>
      </c>
      <c r="S168" s="471">
        <v>22365</v>
      </c>
      <c r="T168" s="463">
        <v>200</v>
      </c>
      <c r="U168" s="463">
        <v>30</v>
      </c>
      <c r="V168" s="463">
        <v>0</v>
      </c>
      <c r="W168" s="463">
        <v>204</v>
      </c>
      <c r="X168" s="463">
        <v>30</v>
      </c>
      <c r="Y168" s="463">
        <v>0</v>
      </c>
      <c r="Z168" s="463">
        <v>96.54</v>
      </c>
      <c r="AA168" s="472" t="s">
        <v>547</v>
      </c>
      <c r="AB168" s="463" t="s">
        <v>539</v>
      </c>
      <c r="AC168" s="463" t="s">
        <v>539</v>
      </c>
      <c r="AD168" s="472" t="s">
        <v>548</v>
      </c>
      <c r="AE168" s="463">
        <v>80</v>
      </c>
      <c r="AF168" s="463">
        <v>96.54</v>
      </c>
      <c r="AG168" s="463" t="s">
        <v>375</v>
      </c>
      <c r="AH168" s="476"/>
      <c r="AI168" s="472" t="s">
        <v>904</v>
      </c>
      <c r="AJ168" s="464"/>
    </row>
    <row r="169" spans="1:36" ht="24" hidden="1" customHeight="1">
      <c r="B169" s="463">
        <v>133</v>
      </c>
      <c r="C169" s="464" t="s">
        <v>534</v>
      </c>
      <c r="D169" s="464" t="s">
        <v>544</v>
      </c>
      <c r="E169" s="464" t="s">
        <v>535</v>
      </c>
      <c r="F169" s="464"/>
      <c r="G169" s="464" t="s">
        <v>58</v>
      </c>
      <c r="H169" s="464" t="s">
        <v>905</v>
      </c>
      <c r="I169" s="465" t="s">
        <v>537</v>
      </c>
      <c r="J169" s="466">
        <v>50000</v>
      </c>
      <c r="K169" s="465" t="s">
        <v>537</v>
      </c>
      <c r="L169" s="465" t="s">
        <v>537</v>
      </c>
      <c r="M169" s="466">
        <v>50000</v>
      </c>
      <c r="N169" s="465" t="s">
        <v>537</v>
      </c>
      <c r="O169" s="463" t="s">
        <v>537</v>
      </c>
      <c r="P169" s="463" t="s">
        <v>537</v>
      </c>
      <c r="Q169" s="465">
        <v>0</v>
      </c>
      <c r="R169" s="470">
        <v>241428</v>
      </c>
      <c r="S169" s="463" t="s">
        <v>906</v>
      </c>
      <c r="T169" s="463">
        <v>60</v>
      </c>
      <c r="U169" s="463">
        <v>15</v>
      </c>
      <c r="V169" s="463">
        <v>0</v>
      </c>
      <c r="W169" s="463">
        <v>60</v>
      </c>
      <c r="X169" s="463">
        <v>16</v>
      </c>
      <c r="Y169" s="463">
        <v>0</v>
      </c>
      <c r="Z169" s="463">
        <v>90.21</v>
      </c>
      <c r="AA169" s="472" t="s">
        <v>728</v>
      </c>
      <c r="AB169" s="463">
        <v>1</v>
      </c>
      <c r="AC169" s="463">
        <v>2</v>
      </c>
      <c r="AD169" s="472" t="s">
        <v>651</v>
      </c>
      <c r="AE169" s="463">
        <v>1</v>
      </c>
      <c r="AF169" s="463">
        <v>2</v>
      </c>
      <c r="AG169" s="463" t="s">
        <v>375</v>
      </c>
      <c r="AH169" s="476"/>
      <c r="AI169" s="472" t="s">
        <v>907</v>
      </c>
      <c r="AJ169" s="464"/>
    </row>
    <row r="170" spans="1:36" ht="24" hidden="1" customHeight="1">
      <c r="B170" s="463">
        <v>134</v>
      </c>
      <c r="C170" s="464" t="s">
        <v>534</v>
      </c>
      <c r="D170" s="464" t="s">
        <v>544</v>
      </c>
      <c r="E170" s="464" t="s">
        <v>535</v>
      </c>
      <c r="F170" s="464"/>
      <c r="G170" s="464" t="s">
        <v>58</v>
      </c>
      <c r="H170" s="464" t="s">
        <v>667</v>
      </c>
      <c r="I170" s="465" t="s">
        <v>537</v>
      </c>
      <c r="J170" s="466">
        <v>40000</v>
      </c>
      <c r="K170" s="465" t="s">
        <v>537</v>
      </c>
      <c r="L170" s="465" t="s">
        <v>537</v>
      </c>
      <c r="M170" s="466">
        <v>40000</v>
      </c>
      <c r="N170" s="465" t="s">
        <v>537</v>
      </c>
      <c r="O170" s="463" t="s">
        <v>537</v>
      </c>
      <c r="P170" s="463" t="s">
        <v>537</v>
      </c>
      <c r="Q170" s="465">
        <v>0</v>
      </c>
      <c r="R170" s="470">
        <v>241579</v>
      </c>
      <c r="S170" s="471">
        <v>22449</v>
      </c>
      <c r="T170" s="463">
        <v>200</v>
      </c>
      <c r="U170" s="463">
        <v>50</v>
      </c>
      <c r="V170" s="463">
        <v>200</v>
      </c>
      <c r="W170" s="463">
        <v>237</v>
      </c>
      <c r="X170" s="463">
        <v>49</v>
      </c>
      <c r="Y170" s="463">
        <v>0</v>
      </c>
      <c r="Z170" s="463">
        <v>89.09</v>
      </c>
      <c r="AA170" s="472" t="s">
        <v>547</v>
      </c>
      <c r="AB170" s="463" t="s">
        <v>539</v>
      </c>
      <c r="AC170" s="463" t="s">
        <v>539</v>
      </c>
      <c r="AD170" s="472" t="s">
        <v>548</v>
      </c>
      <c r="AE170" s="463">
        <v>80</v>
      </c>
      <c r="AF170" s="463">
        <v>89.09</v>
      </c>
      <c r="AG170" s="463" t="s">
        <v>375</v>
      </c>
      <c r="AH170" s="476"/>
      <c r="AI170" s="472" t="s">
        <v>904</v>
      </c>
      <c r="AJ170" s="464"/>
    </row>
    <row r="171" spans="1:36" ht="24" hidden="1" customHeight="1">
      <c r="B171" s="463">
        <v>135</v>
      </c>
      <c r="C171" s="464" t="s">
        <v>534</v>
      </c>
      <c r="D171" s="464" t="s">
        <v>544</v>
      </c>
      <c r="E171" s="464" t="s">
        <v>535</v>
      </c>
      <c r="F171" s="464"/>
      <c r="G171" s="464" t="s">
        <v>58</v>
      </c>
      <c r="H171" s="464" t="s">
        <v>908</v>
      </c>
      <c r="I171" s="465" t="s">
        <v>537</v>
      </c>
      <c r="J171" s="466">
        <v>40000</v>
      </c>
      <c r="K171" s="465" t="s">
        <v>537</v>
      </c>
      <c r="L171" s="465" t="s">
        <v>537</v>
      </c>
      <c r="M171" s="466">
        <v>40000</v>
      </c>
      <c r="N171" s="465" t="s">
        <v>537</v>
      </c>
      <c r="O171" s="463" t="s">
        <v>537</v>
      </c>
      <c r="P171" s="463" t="s">
        <v>537</v>
      </c>
      <c r="Q171" s="465">
        <v>0</v>
      </c>
      <c r="R171" s="470">
        <v>241609</v>
      </c>
      <c r="S171" s="471">
        <v>22475</v>
      </c>
      <c r="T171" s="463">
        <v>150</v>
      </c>
      <c r="U171" s="463">
        <v>10</v>
      </c>
      <c r="V171" s="463">
        <v>0</v>
      </c>
      <c r="W171" s="463">
        <v>150</v>
      </c>
      <c r="X171" s="463">
        <v>10</v>
      </c>
      <c r="Y171" s="463">
        <v>0</v>
      </c>
      <c r="Z171" s="463">
        <v>88.39</v>
      </c>
      <c r="AA171" s="472" t="s">
        <v>728</v>
      </c>
      <c r="AB171" s="463">
        <v>1</v>
      </c>
      <c r="AC171" s="463">
        <v>5</v>
      </c>
      <c r="AD171" s="472" t="s">
        <v>651</v>
      </c>
      <c r="AE171" s="463">
        <v>1</v>
      </c>
      <c r="AF171" s="463">
        <v>1</v>
      </c>
      <c r="AG171" s="463" t="s">
        <v>375</v>
      </c>
      <c r="AH171" s="476"/>
      <c r="AI171" s="472" t="s">
        <v>909</v>
      </c>
      <c r="AJ171" s="464"/>
    </row>
    <row r="172" spans="1:36" ht="24" hidden="1" customHeight="1">
      <c r="B172" s="463">
        <v>136</v>
      </c>
      <c r="C172" s="464" t="s">
        <v>534</v>
      </c>
      <c r="D172" s="464"/>
      <c r="E172" s="464" t="s">
        <v>535</v>
      </c>
      <c r="F172" s="464"/>
      <c r="G172" s="464" t="s">
        <v>58</v>
      </c>
      <c r="H172" s="464" t="s">
        <v>910</v>
      </c>
      <c r="I172" s="465" t="s">
        <v>537</v>
      </c>
      <c r="J172" s="465" t="s">
        <v>537</v>
      </c>
      <c r="K172" s="466">
        <v>120000</v>
      </c>
      <c r="L172" s="465" t="s">
        <v>537</v>
      </c>
      <c r="M172" s="465" t="s">
        <v>537</v>
      </c>
      <c r="N172" s="466">
        <v>115805.02</v>
      </c>
      <c r="O172" s="463" t="s">
        <v>537</v>
      </c>
      <c r="P172" s="463" t="s">
        <v>537</v>
      </c>
      <c r="Q172" s="468">
        <v>4195</v>
      </c>
      <c r="R172" s="470">
        <v>241428</v>
      </c>
      <c r="S172" s="463" t="s">
        <v>623</v>
      </c>
      <c r="T172" s="463">
        <v>11</v>
      </c>
      <c r="U172" s="463">
        <v>9</v>
      </c>
      <c r="V172" s="463">
        <v>0</v>
      </c>
      <c r="W172" s="463">
        <v>11</v>
      </c>
      <c r="X172" s="463">
        <v>9</v>
      </c>
      <c r="Y172" s="463">
        <v>0</v>
      </c>
      <c r="Z172" s="463">
        <v>82.5</v>
      </c>
      <c r="AA172" s="472" t="s">
        <v>624</v>
      </c>
      <c r="AB172" s="463" t="s">
        <v>539</v>
      </c>
      <c r="AC172" s="463" t="s">
        <v>539</v>
      </c>
      <c r="AD172" s="472" t="s">
        <v>675</v>
      </c>
      <c r="AE172" s="463">
        <v>80</v>
      </c>
      <c r="AF172" s="463">
        <v>82.5</v>
      </c>
      <c r="AG172" s="463" t="s">
        <v>375</v>
      </c>
      <c r="AH172" s="476"/>
      <c r="AI172" s="472" t="s">
        <v>911</v>
      </c>
      <c r="AJ172" s="472" t="s">
        <v>543</v>
      </c>
    </row>
    <row r="173" spans="1:36" ht="24" hidden="1" customHeight="1">
      <c r="B173" s="463">
        <v>137</v>
      </c>
      <c r="C173" s="464" t="s">
        <v>534</v>
      </c>
      <c r="D173" s="464"/>
      <c r="E173" s="464" t="s">
        <v>535</v>
      </c>
      <c r="F173" s="464"/>
      <c r="G173" s="464" t="s">
        <v>58</v>
      </c>
      <c r="H173" s="464" t="s">
        <v>912</v>
      </c>
      <c r="I173" s="465" t="s">
        <v>537</v>
      </c>
      <c r="J173" s="465" t="s">
        <v>537</v>
      </c>
      <c r="K173" s="466">
        <v>28000</v>
      </c>
      <c r="L173" s="465" t="s">
        <v>537</v>
      </c>
      <c r="M173" s="465" t="s">
        <v>537</v>
      </c>
      <c r="N173" s="466">
        <v>28000</v>
      </c>
      <c r="O173" s="463" t="s">
        <v>537</v>
      </c>
      <c r="P173" s="463" t="s">
        <v>537</v>
      </c>
      <c r="Q173" s="465">
        <v>0</v>
      </c>
      <c r="R173" s="470">
        <v>241397</v>
      </c>
      <c r="S173" s="471">
        <v>22274</v>
      </c>
      <c r="T173" s="463">
        <v>200</v>
      </c>
      <c r="U173" s="463">
        <v>0</v>
      </c>
      <c r="V173" s="463">
        <v>200</v>
      </c>
      <c r="W173" s="463">
        <v>387</v>
      </c>
      <c r="X173" s="463">
        <v>33</v>
      </c>
      <c r="Y173" s="463">
        <v>0</v>
      </c>
      <c r="Z173" s="463">
        <v>92.27</v>
      </c>
      <c r="AA173" s="472" t="s">
        <v>547</v>
      </c>
      <c r="AB173" s="463" t="s">
        <v>539</v>
      </c>
      <c r="AC173" s="463" t="s">
        <v>539</v>
      </c>
      <c r="AD173" s="472" t="s">
        <v>548</v>
      </c>
      <c r="AE173" s="463">
        <v>80</v>
      </c>
      <c r="AF173" s="463">
        <v>92.27</v>
      </c>
      <c r="AG173" s="463" t="s">
        <v>375</v>
      </c>
      <c r="AH173" s="476"/>
      <c r="AI173" s="472" t="s">
        <v>904</v>
      </c>
      <c r="AJ173" s="472" t="s">
        <v>543</v>
      </c>
    </row>
    <row r="174" spans="1:36" ht="24" hidden="1" customHeight="1">
      <c r="B174" s="463">
        <v>138</v>
      </c>
      <c r="C174" s="464" t="s">
        <v>534</v>
      </c>
      <c r="D174" s="464"/>
      <c r="E174" s="464" t="s">
        <v>535</v>
      </c>
      <c r="F174" s="464"/>
      <c r="G174" s="464" t="s">
        <v>58</v>
      </c>
      <c r="H174" s="464" t="s">
        <v>913</v>
      </c>
      <c r="I174" s="465" t="s">
        <v>537</v>
      </c>
      <c r="J174" s="465" t="s">
        <v>537</v>
      </c>
      <c r="K174" s="466">
        <v>46150</v>
      </c>
      <c r="L174" s="465" t="s">
        <v>537</v>
      </c>
      <c r="M174" s="465" t="s">
        <v>537</v>
      </c>
      <c r="N174" s="466">
        <v>36150</v>
      </c>
      <c r="O174" s="463" t="s">
        <v>537</v>
      </c>
      <c r="P174" s="463" t="s">
        <v>537</v>
      </c>
      <c r="Q174" s="468">
        <v>10000</v>
      </c>
      <c r="R174" s="470">
        <v>241640</v>
      </c>
      <c r="S174" s="471">
        <v>22499</v>
      </c>
      <c r="T174" s="463">
        <v>5</v>
      </c>
      <c r="U174" s="463">
        <v>20</v>
      </c>
      <c r="V174" s="463">
        <v>5</v>
      </c>
      <c r="W174" s="463">
        <v>8</v>
      </c>
      <c r="X174" s="463">
        <v>22</v>
      </c>
      <c r="Y174" s="463">
        <v>5</v>
      </c>
      <c r="Z174" s="463">
        <v>90.23</v>
      </c>
      <c r="AA174" s="472" t="s">
        <v>630</v>
      </c>
      <c r="AB174" s="463" t="s">
        <v>539</v>
      </c>
      <c r="AC174" s="463" t="s">
        <v>539</v>
      </c>
      <c r="AD174" s="472" t="s">
        <v>914</v>
      </c>
      <c r="AE174" s="463">
        <v>80</v>
      </c>
      <c r="AF174" s="463">
        <v>90.23</v>
      </c>
      <c r="AG174" s="463" t="s">
        <v>375</v>
      </c>
      <c r="AH174" s="476"/>
      <c r="AI174" s="472" t="s">
        <v>915</v>
      </c>
      <c r="AJ174" s="472" t="s">
        <v>543</v>
      </c>
    </row>
    <row r="175" spans="1:36" ht="24" customHeight="1">
      <c r="A175" s="452">
        <v>8</v>
      </c>
      <c r="B175" s="463">
        <v>139</v>
      </c>
      <c r="C175" s="464" t="s">
        <v>377</v>
      </c>
      <c r="D175" s="464"/>
      <c r="E175" s="464" t="s">
        <v>602</v>
      </c>
      <c r="F175" s="464"/>
      <c r="G175" s="464" t="s">
        <v>58</v>
      </c>
      <c r="H175" s="464" t="s">
        <v>916</v>
      </c>
      <c r="I175" s="465" t="s">
        <v>537</v>
      </c>
      <c r="J175" s="465" t="s">
        <v>537</v>
      </c>
      <c r="K175" s="466">
        <v>312200</v>
      </c>
      <c r="L175" s="465" t="s">
        <v>537</v>
      </c>
      <c r="M175" s="465" t="s">
        <v>537</v>
      </c>
      <c r="N175" s="466">
        <v>312200</v>
      </c>
      <c r="O175" s="463" t="s">
        <v>537</v>
      </c>
      <c r="P175" s="463" t="s">
        <v>537</v>
      </c>
      <c r="Q175" s="465">
        <v>0</v>
      </c>
      <c r="R175" s="470">
        <v>241671</v>
      </c>
      <c r="S175" s="463" t="s">
        <v>917</v>
      </c>
      <c r="T175" s="463">
        <v>70</v>
      </c>
      <c r="U175" s="463">
        <v>10</v>
      </c>
      <c r="V175" s="463">
        <v>0</v>
      </c>
      <c r="W175" s="463">
        <v>73</v>
      </c>
      <c r="X175" s="463">
        <v>10</v>
      </c>
      <c r="Y175" s="463">
        <v>0</v>
      </c>
      <c r="Z175" s="463">
        <v>90.78</v>
      </c>
      <c r="AA175" s="472" t="s">
        <v>547</v>
      </c>
      <c r="AB175" s="463" t="s">
        <v>539</v>
      </c>
      <c r="AC175" s="463" t="s">
        <v>539</v>
      </c>
      <c r="AD175" s="472" t="s">
        <v>548</v>
      </c>
      <c r="AE175" s="463">
        <v>80</v>
      </c>
      <c r="AF175" s="463">
        <v>90.78</v>
      </c>
      <c r="AG175" s="463" t="s">
        <v>375</v>
      </c>
      <c r="AH175" s="476"/>
      <c r="AI175" s="472" t="s">
        <v>915</v>
      </c>
      <c r="AJ175" s="472" t="s">
        <v>543</v>
      </c>
    </row>
    <row r="176" spans="1:36" ht="24" customHeight="1">
      <c r="A176" s="452">
        <v>9</v>
      </c>
      <c r="B176" s="463">
        <v>140</v>
      </c>
      <c r="C176" s="464" t="s">
        <v>377</v>
      </c>
      <c r="D176" s="464" t="s">
        <v>544</v>
      </c>
      <c r="E176" s="464" t="s">
        <v>602</v>
      </c>
      <c r="F176" s="464"/>
      <c r="G176" s="464" t="s">
        <v>58</v>
      </c>
      <c r="H176" s="464" t="s">
        <v>918</v>
      </c>
      <c r="I176" s="466">
        <v>250000</v>
      </c>
      <c r="J176" s="465" t="s">
        <v>537</v>
      </c>
      <c r="K176" s="465" t="s">
        <v>537</v>
      </c>
      <c r="L176" s="466">
        <v>248900</v>
      </c>
      <c r="M176" s="465" t="s">
        <v>537</v>
      </c>
      <c r="N176" s="465" t="s">
        <v>537</v>
      </c>
      <c r="O176" s="463" t="s">
        <v>537</v>
      </c>
      <c r="P176" s="463" t="s">
        <v>537</v>
      </c>
      <c r="Q176" s="468">
        <v>1100</v>
      </c>
      <c r="R176" s="470">
        <v>241428</v>
      </c>
      <c r="S176" s="463" t="s">
        <v>919</v>
      </c>
      <c r="T176" s="463">
        <v>230</v>
      </c>
      <c r="U176" s="463">
        <v>150</v>
      </c>
      <c r="V176" s="463">
        <v>20</v>
      </c>
      <c r="W176" s="463">
        <v>202</v>
      </c>
      <c r="X176" s="463">
        <v>178</v>
      </c>
      <c r="Y176" s="463">
        <v>20</v>
      </c>
      <c r="Z176" s="463">
        <v>84.81</v>
      </c>
      <c r="AA176" s="472" t="s">
        <v>619</v>
      </c>
      <c r="AB176" s="463" t="s">
        <v>539</v>
      </c>
      <c r="AC176" s="463" t="s">
        <v>539</v>
      </c>
      <c r="AD176" s="472" t="s">
        <v>565</v>
      </c>
      <c r="AE176" s="463">
        <v>80</v>
      </c>
      <c r="AF176" s="463">
        <v>84.81</v>
      </c>
      <c r="AG176" s="463" t="s">
        <v>375</v>
      </c>
      <c r="AH176" s="476"/>
      <c r="AI176" s="472" t="s">
        <v>920</v>
      </c>
      <c r="AJ176" s="464"/>
    </row>
    <row r="177" spans="1:36" ht="24" customHeight="1">
      <c r="A177" s="452">
        <v>10</v>
      </c>
      <c r="B177" s="463">
        <v>141</v>
      </c>
      <c r="C177" s="464" t="s">
        <v>377</v>
      </c>
      <c r="D177" s="464" t="s">
        <v>544</v>
      </c>
      <c r="E177" s="464" t="s">
        <v>602</v>
      </c>
      <c r="F177" s="464"/>
      <c r="G177" s="464" t="s">
        <v>58</v>
      </c>
      <c r="H177" s="464" t="s">
        <v>617</v>
      </c>
      <c r="I177" s="465" t="s">
        <v>537</v>
      </c>
      <c r="J177" s="466">
        <v>75000</v>
      </c>
      <c r="K177" s="465" t="s">
        <v>537</v>
      </c>
      <c r="L177" s="465" t="s">
        <v>537</v>
      </c>
      <c r="M177" s="466">
        <v>75000</v>
      </c>
      <c r="N177" s="465" t="s">
        <v>537</v>
      </c>
      <c r="O177" s="463" t="s">
        <v>537</v>
      </c>
      <c r="P177" s="463" t="s">
        <v>537</v>
      </c>
      <c r="Q177" s="465">
        <v>0</v>
      </c>
      <c r="R177" s="463" t="s">
        <v>643</v>
      </c>
      <c r="S177" s="463" t="s">
        <v>921</v>
      </c>
      <c r="T177" s="463">
        <v>200</v>
      </c>
      <c r="U177" s="463">
        <v>50</v>
      </c>
      <c r="V177" s="463">
        <v>0</v>
      </c>
      <c r="W177" s="463">
        <v>273</v>
      </c>
      <c r="X177" s="463">
        <v>10</v>
      </c>
      <c r="Y177" s="463">
        <v>0</v>
      </c>
      <c r="Z177" s="463">
        <v>98.55</v>
      </c>
      <c r="AA177" s="472" t="s">
        <v>612</v>
      </c>
      <c r="AB177" s="463" t="s">
        <v>539</v>
      </c>
      <c r="AC177" s="463" t="s">
        <v>539</v>
      </c>
      <c r="AD177" s="472" t="s">
        <v>565</v>
      </c>
      <c r="AE177" s="463">
        <v>80</v>
      </c>
      <c r="AF177" s="463">
        <v>98.55</v>
      </c>
      <c r="AG177" s="463" t="s">
        <v>375</v>
      </c>
      <c r="AH177" s="476"/>
      <c r="AI177" s="472" t="s">
        <v>904</v>
      </c>
      <c r="AJ177" s="464"/>
    </row>
    <row r="178" spans="1:36" ht="24" hidden="1" customHeight="1">
      <c r="B178" s="463">
        <v>142</v>
      </c>
      <c r="C178" s="464" t="s">
        <v>534</v>
      </c>
      <c r="D178" s="464"/>
      <c r="E178" s="464" t="s">
        <v>535</v>
      </c>
      <c r="F178" s="464"/>
      <c r="G178" s="464" t="s">
        <v>58</v>
      </c>
      <c r="H178" s="464" t="s">
        <v>922</v>
      </c>
      <c r="I178" s="465" t="s">
        <v>537</v>
      </c>
      <c r="J178" s="465" t="s">
        <v>537</v>
      </c>
      <c r="K178" s="466">
        <v>128400</v>
      </c>
      <c r="L178" s="465" t="s">
        <v>537</v>
      </c>
      <c r="M178" s="465" t="s">
        <v>537</v>
      </c>
      <c r="N178" s="466">
        <v>128400</v>
      </c>
      <c r="O178" s="463" t="s">
        <v>537</v>
      </c>
      <c r="P178" s="463" t="s">
        <v>537</v>
      </c>
      <c r="Q178" s="465">
        <v>0</v>
      </c>
      <c r="R178" s="470">
        <v>241428</v>
      </c>
      <c r="S178" s="463" t="s">
        <v>923</v>
      </c>
      <c r="T178" s="463">
        <v>107</v>
      </c>
      <c r="U178" s="463">
        <v>8</v>
      </c>
      <c r="V178" s="463">
        <v>0</v>
      </c>
      <c r="W178" s="463">
        <v>106</v>
      </c>
      <c r="X178" s="463">
        <v>13</v>
      </c>
      <c r="Y178" s="463">
        <v>0</v>
      </c>
      <c r="Z178" s="463">
        <v>89.59</v>
      </c>
      <c r="AA178" s="472" t="s">
        <v>547</v>
      </c>
      <c r="AB178" s="463" t="s">
        <v>539</v>
      </c>
      <c r="AC178" s="463" t="s">
        <v>539</v>
      </c>
      <c r="AD178" s="472" t="s">
        <v>548</v>
      </c>
      <c r="AE178" s="463">
        <v>80</v>
      </c>
      <c r="AF178" s="463">
        <v>89.59</v>
      </c>
      <c r="AG178" s="463" t="s">
        <v>375</v>
      </c>
      <c r="AH178" s="476"/>
      <c r="AI178" s="472" t="s">
        <v>894</v>
      </c>
      <c r="AJ178" s="472" t="s">
        <v>543</v>
      </c>
    </row>
    <row r="179" spans="1:36" ht="24" hidden="1" customHeight="1">
      <c r="B179" s="463">
        <v>143</v>
      </c>
      <c r="C179" s="464" t="s">
        <v>534</v>
      </c>
      <c r="D179" s="464"/>
      <c r="E179" s="464" t="s">
        <v>535</v>
      </c>
      <c r="F179" s="464"/>
      <c r="G179" s="464" t="s">
        <v>58</v>
      </c>
      <c r="H179" s="464" t="s">
        <v>924</v>
      </c>
      <c r="I179" s="465" t="s">
        <v>537</v>
      </c>
      <c r="J179" s="465" t="s">
        <v>537</v>
      </c>
      <c r="K179" s="466">
        <v>39200</v>
      </c>
      <c r="L179" s="465" t="s">
        <v>537</v>
      </c>
      <c r="M179" s="465" t="s">
        <v>537</v>
      </c>
      <c r="N179" s="466">
        <v>39200</v>
      </c>
      <c r="O179" s="463" t="s">
        <v>537</v>
      </c>
      <c r="P179" s="463" t="s">
        <v>537</v>
      </c>
      <c r="Q179" s="465">
        <v>0</v>
      </c>
      <c r="R179" s="470">
        <v>241459</v>
      </c>
      <c r="S179" s="471">
        <v>22340</v>
      </c>
      <c r="T179" s="463">
        <v>200</v>
      </c>
      <c r="U179" s="463">
        <v>10</v>
      </c>
      <c r="V179" s="463">
        <v>0</v>
      </c>
      <c r="W179" s="463">
        <v>391</v>
      </c>
      <c r="X179" s="463">
        <v>6</v>
      </c>
      <c r="Y179" s="463">
        <v>0</v>
      </c>
      <c r="Z179" s="463">
        <v>94.29</v>
      </c>
      <c r="AA179" s="472" t="s">
        <v>547</v>
      </c>
      <c r="AB179" s="463" t="s">
        <v>539</v>
      </c>
      <c r="AC179" s="463" t="s">
        <v>539</v>
      </c>
      <c r="AD179" s="472" t="s">
        <v>925</v>
      </c>
      <c r="AE179" s="463">
        <v>80</v>
      </c>
      <c r="AF179" s="463">
        <v>94.29</v>
      </c>
      <c r="AG179" s="463" t="s">
        <v>375</v>
      </c>
      <c r="AH179" s="476"/>
      <c r="AI179" s="472" t="s">
        <v>903</v>
      </c>
      <c r="AJ179" s="472" t="s">
        <v>543</v>
      </c>
    </row>
    <row r="180" spans="1:36" ht="24" hidden="1" customHeight="1">
      <c r="B180" s="463">
        <v>144</v>
      </c>
      <c r="C180" s="464" t="s">
        <v>534</v>
      </c>
      <c r="D180" s="464"/>
      <c r="E180" s="464" t="s">
        <v>535</v>
      </c>
      <c r="F180" s="464"/>
      <c r="G180" s="464" t="s">
        <v>58</v>
      </c>
      <c r="H180" s="464" t="s">
        <v>926</v>
      </c>
      <c r="I180" s="465" t="s">
        <v>537</v>
      </c>
      <c r="J180" s="465" t="s">
        <v>537</v>
      </c>
      <c r="K180" s="466">
        <v>30000</v>
      </c>
      <c r="L180" s="465" t="s">
        <v>537</v>
      </c>
      <c r="M180" s="465" t="s">
        <v>537</v>
      </c>
      <c r="N180" s="466">
        <v>30000</v>
      </c>
      <c r="O180" s="463" t="s">
        <v>537</v>
      </c>
      <c r="P180" s="463" t="s">
        <v>537</v>
      </c>
      <c r="Q180" s="465">
        <v>0</v>
      </c>
      <c r="R180" s="470">
        <v>241518</v>
      </c>
      <c r="S180" s="471">
        <v>22400</v>
      </c>
      <c r="T180" s="463">
        <v>0</v>
      </c>
      <c r="U180" s="463">
        <v>28</v>
      </c>
      <c r="V180" s="463">
        <v>0</v>
      </c>
      <c r="W180" s="463">
        <v>140</v>
      </c>
      <c r="X180" s="463">
        <v>29</v>
      </c>
      <c r="Y180" s="463">
        <v>126</v>
      </c>
      <c r="Z180" s="463">
        <v>90.1</v>
      </c>
      <c r="AA180" s="472" t="s">
        <v>547</v>
      </c>
      <c r="AB180" s="463" t="s">
        <v>539</v>
      </c>
      <c r="AC180" s="463" t="s">
        <v>539</v>
      </c>
      <c r="AD180" s="472" t="s">
        <v>548</v>
      </c>
      <c r="AE180" s="463">
        <v>80</v>
      </c>
      <c r="AF180" s="463">
        <v>90.1</v>
      </c>
      <c r="AG180" s="463" t="s">
        <v>375</v>
      </c>
      <c r="AH180" s="476"/>
      <c r="AI180" s="472" t="s">
        <v>927</v>
      </c>
      <c r="AJ180" s="472" t="s">
        <v>543</v>
      </c>
    </row>
    <row r="181" spans="1:36" ht="24" hidden="1" customHeight="1">
      <c r="B181" s="463">
        <v>145</v>
      </c>
      <c r="C181" s="464" t="s">
        <v>534</v>
      </c>
      <c r="D181" s="464"/>
      <c r="E181" s="464" t="s">
        <v>535</v>
      </c>
      <c r="F181" s="464"/>
      <c r="G181" s="464" t="s">
        <v>58</v>
      </c>
      <c r="H181" s="464" t="s">
        <v>928</v>
      </c>
      <c r="I181" s="465" t="s">
        <v>537</v>
      </c>
      <c r="J181" s="465" t="s">
        <v>537</v>
      </c>
      <c r="K181" s="466">
        <v>14000</v>
      </c>
      <c r="L181" s="465" t="s">
        <v>537</v>
      </c>
      <c r="M181" s="465" t="s">
        <v>537</v>
      </c>
      <c r="N181" s="466">
        <v>14000</v>
      </c>
      <c r="O181" s="463" t="s">
        <v>537</v>
      </c>
      <c r="P181" s="463" t="s">
        <v>537</v>
      </c>
      <c r="Q181" s="465">
        <v>0</v>
      </c>
      <c r="R181" s="463" t="s">
        <v>643</v>
      </c>
      <c r="S181" s="463" t="s">
        <v>929</v>
      </c>
      <c r="T181" s="463">
        <v>5</v>
      </c>
      <c r="U181" s="463">
        <v>35</v>
      </c>
      <c r="V181" s="463">
        <v>0</v>
      </c>
      <c r="W181" s="463">
        <v>3</v>
      </c>
      <c r="X181" s="463">
        <v>39</v>
      </c>
      <c r="Y181" s="463">
        <v>0</v>
      </c>
      <c r="Z181" s="463">
        <v>89.93</v>
      </c>
      <c r="AA181" s="472" t="s">
        <v>930</v>
      </c>
      <c r="AB181" s="463" t="s">
        <v>539</v>
      </c>
      <c r="AC181" s="463" t="s">
        <v>539</v>
      </c>
      <c r="AD181" s="472" t="s">
        <v>548</v>
      </c>
      <c r="AE181" s="463">
        <v>80</v>
      </c>
      <c r="AF181" s="463">
        <v>89.93</v>
      </c>
      <c r="AG181" s="463" t="s">
        <v>375</v>
      </c>
      <c r="AH181" s="476"/>
      <c r="AI181" s="472" t="s">
        <v>931</v>
      </c>
      <c r="AJ181" s="472" t="s">
        <v>543</v>
      </c>
    </row>
    <row r="182" spans="1:36" ht="24" hidden="1" customHeight="1">
      <c r="B182" s="463">
        <v>146</v>
      </c>
      <c r="C182" s="464" t="s">
        <v>534</v>
      </c>
      <c r="D182" s="464"/>
      <c r="E182" s="464" t="s">
        <v>535</v>
      </c>
      <c r="F182" s="464"/>
      <c r="G182" s="464" t="s">
        <v>58</v>
      </c>
      <c r="H182" s="464" t="s">
        <v>932</v>
      </c>
      <c r="I182" s="465" t="s">
        <v>537</v>
      </c>
      <c r="J182" s="465" t="s">
        <v>537</v>
      </c>
      <c r="K182" s="466">
        <v>9000</v>
      </c>
      <c r="L182" s="465" t="s">
        <v>537</v>
      </c>
      <c r="M182" s="465" t="s">
        <v>537</v>
      </c>
      <c r="N182" s="466">
        <v>9000</v>
      </c>
      <c r="O182" s="463" t="s">
        <v>537</v>
      </c>
      <c r="P182" s="463" t="s">
        <v>537</v>
      </c>
      <c r="Q182" s="465">
        <v>0</v>
      </c>
      <c r="R182" s="463" t="s">
        <v>643</v>
      </c>
      <c r="S182" s="463" t="s">
        <v>933</v>
      </c>
      <c r="T182" s="463">
        <v>0</v>
      </c>
      <c r="U182" s="463">
        <v>26</v>
      </c>
      <c r="V182" s="463">
        <v>0</v>
      </c>
      <c r="W182" s="463">
        <v>0</v>
      </c>
      <c r="X182" s="463">
        <v>28</v>
      </c>
      <c r="Y182" s="463">
        <v>0</v>
      </c>
      <c r="Z182" s="463">
        <v>95.07</v>
      </c>
      <c r="AA182" s="472" t="s">
        <v>547</v>
      </c>
      <c r="AB182" s="463" t="s">
        <v>539</v>
      </c>
      <c r="AC182" s="463" t="s">
        <v>539</v>
      </c>
      <c r="AD182" s="472" t="s">
        <v>548</v>
      </c>
      <c r="AE182" s="463">
        <v>80</v>
      </c>
      <c r="AF182" s="463">
        <v>95.07</v>
      </c>
      <c r="AG182" s="463" t="s">
        <v>375</v>
      </c>
      <c r="AH182" s="476"/>
      <c r="AI182" s="472" t="s">
        <v>931</v>
      </c>
      <c r="AJ182" s="472" t="s">
        <v>543</v>
      </c>
    </row>
    <row r="183" spans="1:36" ht="24" hidden="1" customHeight="1">
      <c r="B183" s="463">
        <v>147</v>
      </c>
      <c r="C183" s="464" t="s">
        <v>534</v>
      </c>
      <c r="D183" s="464"/>
      <c r="E183" s="464" t="s">
        <v>535</v>
      </c>
      <c r="F183" s="464"/>
      <c r="G183" s="464" t="s">
        <v>58</v>
      </c>
      <c r="H183" s="464" t="s">
        <v>934</v>
      </c>
      <c r="I183" s="465" t="s">
        <v>537</v>
      </c>
      <c r="J183" s="465" t="s">
        <v>537</v>
      </c>
      <c r="K183" s="466">
        <v>188000</v>
      </c>
      <c r="L183" s="465" t="s">
        <v>537</v>
      </c>
      <c r="M183" s="465" t="s">
        <v>537</v>
      </c>
      <c r="N183" s="466">
        <v>174100</v>
      </c>
      <c r="O183" s="463" t="s">
        <v>537</v>
      </c>
      <c r="P183" s="463" t="s">
        <v>537</v>
      </c>
      <c r="Q183" s="468">
        <v>13900</v>
      </c>
      <c r="R183" s="470">
        <v>241579</v>
      </c>
      <c r="S183" s="463" t="s">
        <v>935</v>
      </c>
      <c r="T183" s="463">
        <v>6</v>
      </c>
      <c r="U183" s="463">
        <v>58</v>
      </c>
      <c r="V183" s="463">
        <v>0</v>
      </c>
      <c r="W183" s="463">
        <v>8</v>
      </c>
      <c r="X183" s="463">
        <v>52</v>
      </c>
      <c r="Y183" s="463">
        <v>0</v>
      </c>
      <c r="Z183" s="463">
        <v>94.69</v>
      </c>
      <c r="AA183" s="472" t="s">
        <v>547</v>
      </c>
      <c r="AB183" s="463">
        <v>80</v>
      </c>
      <c r="AC183" s="463">
        <v>94.69</v>
      </c>
      <c r="AD183" s="472" t="s">
        <v>548</v>
      </c>
      <c r="AE183" s="463">
        <v>80</v>
      </c>
      <c r="AF183" s="463">
        <v>94.69</v>
      </c>
      <c r="AG183" s="463" t="s">
        <v>375</v>
      </c>
      <c r="AH183" s="476"/>
      <c r="AI183" s="472" t="s">
        <v>936</v>
      </c>
      <c r="AJ183" s="472" t="s">
        <v>543</v>
      </c>
    </row>
    <row r="184" spans="1:36" ht="24" hidden="1" customHeight="1">
      <c r="B184" s="463">
        <v>148</v>
      </c>
      <c r="C184" s="464" t="s">
        <v>534</v>
      </c>
      <c r="D184" s="464" t="s">
        <v>544</v>
      </c>
      <c r="E184" s="464" t="s">
        <v>535</v>
      </c>
      <c r="F184" s="464"/>
      <c r="G184" s="464" t="s">
        <v>58</v>
      </c>
      <c r="H184" s="464" t="s">
        <v>937</v>
      </c>
      <c r="I184" s="466">
        <v>200000</v>
      </c>
      <c r="J184" s="465" t="s">
        <v>537</v>
      </c>
      <c r="K184" s="465" t="s">
        <v>537</v>
      </c>
      <c r="L184" s="466">
        <v>188700</v>
      </c>
      <c r="M184" s="465" t="s">
        <v>537</v>
      </c>
      <c r="N184" s="465" t="s">
        <v>537</v>
      </c>
      <c r="O184" s="463" t="s">
        <v>537</v>
      </c>
      <c r="P184" s="463" t="s">
        <v>537</v>
      </c>
      <c r="Q184" s="468">
        <v>11300</v>
      </c>
      <c r="R184" s="463" t="s">
        <v>877</v>
      </c>
      <c r="S184" s="463" t="s">
        <v>938</v>
      </c>
      <c r="T184" s="463">
        <v>216</v>
      </c>
      <c r="U184" s="463">
        <v>25</v>
      </c>
      <c r="V184" s="463">
        <v>0</v>
      </c>
      <c r="W184" s="463">
        <v>184</v>
      </c>
      <c r="X184" s="463">
        <v>21</v>
      </c>
      <c r="Y184" s="463">
        <v>0</v>
      </c>
      <c r="Z184" s="463">
        <v>91.31</v>
      </c>
      <c r="AA184" s="472" t="s">
        <v>737</v>
      </c>
      <c r="AB184" s="463" t="s">
        <v>539</v>
      </c>
      <c r="AC184" s="463" t="s">
        <v>539</v>
      </c>
      <c r="AD184" s="472" t="s">
        <v>635</v>
      </c>
      <c r="AE184" s="463" t="s">
        <v>539</v>
      </c>
      <c r="AF184" s="463" t="s">
        <v>539</v>
      </c>
      <c r="AG184" s="463" t="s">
        <v>375</v>
      </c>
      <c r="AH184" s="476"/>
      <c r="AI184" s="472" t="s">
        <v>939</v>
      </c>
      <c r="AJ184" s="464"/>
    </row>
    <row r="185" spans="1:36" ht="24" hidden="1" customHeight="1">
      <c r="B185" s="463">
        <v>149</v>
      </c>
      <c r="C185" s="464" t="s">
        <v>534</v>
      </c>
      <c r="D185" s="464" t="s">
        <v>544</v>
      </c>
      <c r="E185" s="464" t="s">
        <v>535</v>
      </c>
      <c r="F185" s="464"/>
      <c r="G185" s="464" t="s">
        <v>58</v>
      </c>
      <c r="H185" s="464" t="s">
        <v>940</v>
      </c>
      <c r="I185" s="466">
        <v>60000</v>
      </c>
      <c r="J185" s="465" t="s">
        <v>537</v>
      </c>
      <c r="K185" s="465" t="s">
        <v>537</v>
      </c>
      <c r="L185" s="466">
        <v>60000</v>
      </c>
      <c r="M185" s="465" t="s">
        <v>537</v>
      </c>
      <c r="N185" s="465" t="s">
        <v>537</v>
      </c>
      <c r="O185" s="463" t="s">
        <v>537</v>
      </c>
      <c r="P185" s="463" t="s">
        <v>537</v>
      </c>
      <c r="Q185" s="465">
        <v>0</v>
      </c>
      <c r="R185" s="470">
        <v>241609</v>
      </c>
      <c r="S185" s="464"/>
      <c r="T185" s="463">
        <v>0</v>
      </c>
      <c r="U185" s="463">
        <v>5</v>
      </c>
      <c r="V185" s="463">
        <v>0</v>
      </c>
      <c r="W185" s="463">
        <v>0</v>
      </c>
      <c r="X185" s="463">
        <v>5</v>
      </c>
      <c r="Y185" s="463">
        <v>0</v>
      </c>
      <c r="Z185" s="463">
        <v>93</v>
      </c>
      <c r="AA185" s="472" t="s">
        <v>941</v>
      </c>
      <c r="AB185" s="463" t="s">
        <v>539</v>
      </c>
      <c r="AC185" s="463" t="s">
        <v>539</v>
      </c>
      <c r="AD185" s="472" t="s">
        <v>942</v>
      </c>
      <c r="AE185" s="463" t="s">
        <v>539</v>
      </c>
      <c r="AF185" s="463" t="s">
        <v>539</v>
      </c>
      <c r="AG185" s="463" t="s">
        <v>375</v>
      </c>
      <c r="AH185" s="476"/>
      <c r="AI185" s="472" t="s">
        <v>943</v>
      </c>
      <c r="AJ185" s="464"/>
    </row>
    <row r="186" spans="1:36" ht="24" hidden="1" customHeight="1">
      <c r="B186" s="463">
        <v>150</v>
      </c>
      <c r="C186" s="464" t="s">
        <v>534</v>
      </c>
      <c r="D186" s="464" t="s">
        <v>544</v>
      </c>
      <c r="E186" s="464" t="s">
        <v>535</v>
      </c>
      <c r="F186" s="464"/>
      <c r="G186" s="464" t="s">
        <v>58</v>
      </c>
      <c r="H186" s="464" t="s">
        <v>944</v>
      </c>
      <c r="I186" s="466">
        <v>30000</v>
      </c>
      <c r="J186" s="465" t="s">
        <v>537</v>
      </c>
      <c r="K186" s="465" t="s">
        <v>537</v>
      </c>
      <c r="L186" s="466">
        <v>30000</v>
      </c>
      <c r="M186" s="465" t="s">
        <v>537</v>
      </c>
      <c r="N186" s="465" t="s">
        <v>537</v>
      </c>
      <c r="O186" s="463" t="s">
        <v>537</v>
      </c>
      <c r="P186" s="463" t="s">
        <v>537</v>
      </c>
      <c r="Q186" s="465">
        <v>0</v>
      </c>
      <c r="R186" s="470">
        <v>241609</v>
      </c>
      <c r="S186" s="463" t="s">
        <v>945</v>
      </c>
      <c r="T186" s="463">
        <v>0</v>
      </c>
      <c r="U186" s="463">
        <v>30</v>
      </c>
      <c r="V186" s="463">
        <v>0</v>
      </c>
      <c r="W186" s="463">
        <v>14</v>
      </c>
      <c r="X186" s="463">
        <v>41</v>
      </c>
      <c r="Y186" s="463">
        <v>0</v>
      </c>
      <c r="Z186" s="463">
        <v>96.11</v>
      </c>
      <c r="AA186" s="472" t="s">
        <v>547</v>
      </c>
      <c r="AB186" s="463" t="s">
        <v>539</v>
      </c>
      <c r="AC186" s="463" t="s">
        <v>539</v>
      </c>
      <c r="AD186" s="472" t="s">
        <v>548</v>
      </c>
      <c r="AE186" s="463">
        <v>80</v>
      </c>
      <c r="AF186" s="463">
        <v>96.11</v>
      </c>
      <c r="AG186" s="463" t="s">
        <v>375</v>
      </c>
      <c r="AH186" s="476"/>
      <c r="AI186" s="472" t="s">
        <v>894</v>
      </c>
      <c r="AJ186" s="464"/>
    </row>
    <row r="187" spans="1:36" ht="24" hidden="1" customHeight="1">
      <c r="B187" s="463">
        <v>151</v>
      </c>
      <c r="C187" s="464" t="s">
        <v>534</v>
      </c>
      <c r="D187" s="464" t="s">
        <v>544</v>
      </c>
      <c r="E187" s="464" t="s">
        <v>535</v>
      </c>
      <c r="F187" s="464"/>
      <c r="G187" s="464" t="s">
        <v>58</v>
      </c>
      <c r="H187" s="464" t="s">
        <v>946</v>
      </c>
      <c r="I187" s="466">
        <v>60000</v>
      </c>
      <c r="J187" s="465" t="s">
        <v>537</v>
      </c>
      <c r="K187" s="465" t="s">
        <v>537</v>
      </c>
      <c r="L187" s="466">
        <v>55655</v>
      </c>
      <c r="M187" s="465" t="s">
        <v>537</v>
      </c>
      <c r="N187" s="465" t="s">
        <v>537</v>
      </c>
      <c r="O187" s="463" t="s">
        <v>537</v>
      </c>
      <c r="P187" s="463" t="s">
        <v>537</v>
      </c>
      <c r="Q187" s="468">
        <v>4345</v>
      </c>
      <c r="R187" s="463" t="s">
        <v>947</v>
      </c>
      <c r="S187" s="463" t="s">
        <v>948</v>
      </c>
      <c r="T187" s="463">
        <v>17</v>
      </c>
      <c r="U187" s="463">
        <v>7</v>
      </c>
      <c r="V187" s="463">
        <v>0</v>
      </c>
      <c r="W187" s="463">
        <v>7</v>
      </c>
      <c r="X187" s="463">
        <v>1</v>
      </c>
      <c r="Y187" s="463">
        <v>0</v>
      </c>
      <c r="Z187" s="463">
        <v>96.67</v>
      </c>
      <c r="AA187" s="472" t="s">
        <v>949</v>
      </c>
      <c r="AB187" s="463">
        <v>1</v>
      </c>
      <c r="AC187" s="463">
        <v>1</v>
      </c>
      <c r="AD187" s="472" t="s">
        <v>950</v>
      </c>
      <c r="AE187" s="463">
        <v>1</v>
      </c>
      <c r="AF187" s="463">
        <v>1</v>
      </c>
      <c r="AG187" s="463" t="s">
        <v>375</v>
      </c>
      <c r="AH187" s="476"/>
      <c r="AI187" s="472" t="s">
        <v>951</v>
      </c>
      <c r="AJ187" s="464"/>
    </row>
    <row r="188" spans="1:36" ht="24" hidden="1" customHeight="1">
      <c r="B188" s="463">
        <v>152</v>
      </c>
      <c r="C188" s="464" t="s">
        <v>534</v>
      </c>
      <c r="D188" s="464" t="s">
        <v>544</v>
      </c>
      <c r="E188" s="464" t="s">
        <v>535</v>
      </c>
      <c r="F188" s="464"/>
      <c r="G188" s="464" t="s">
        <v>58</v>
      </c>
      <c r="H188" s="464" t="s">
        <v>952</v>
      </c>
      <c r="I188" s="466">
        <v>40000</v>
      </c>
      <c r="J188" s="465" t="s">
        <v>537</v>
      </c>
      <c r="K188" s="465" t="s">
        <v>537</v>
      </c>
      <c r="L188" s="466">
        <v>40000</v>
      </c>
      <c r="M188" s="465" t="s">
        <v>537</v>
      </c>
      <c r="N188" s="465" t="s">
        <v>537</v>
      </c>
      <c r="O188" s="463" t="s">
        <v>537</v>
      </c>
      <c r="P188" s="463" t="s">
        <v>537</v>
      </c>
      <c r="Q188" s="465">
        <v>0</v>
      </c>
      <c r="R188" s="470">
        <v>241428</v>
      </c>
      <c r="S188" s="463" t="s">
        <v>953</v>
      </c>
      <c r="T188" s="463">
        <v>120</v>
      </c>
      <c r="U188" s="463">
        <v>30</v>
      </c>
      <c r="V188" s="463">
        <v>0</v>
      </c>
      <c r="W188" s="463">
        <v>126</v>
      </c>
      <c r="X188" s="463">
        <v>30</v>
      </c>
      <c r="Y188" s="463">
        <v>0</v>
      </c>
      <c r="Z188" s="463">
        <v>87.62</v>
      </c>
      <c r="AA188" s="472" t="s">
        <v>954</v>
      </c>
      <c r="AB188" s="463" t="s">
        <v>539</v>
      </c>
      <c r="AC188" s="463" t="s">
        <v>539</v>
      </c>
      <c r="AD188" s="472" t="s">
        <v>565</v>
      </c>
      <c r="AE188" s="463">
        <v>80</v>
      </c>
      <c r="AF188" s="463">
        <v>87.62</v>
      </c>
      <c r="AG188" s="463" t="s">
        <v>375</v>
      </c>
      <c r="AH188" s="476"/>
      <c r="AI188" s="472" t="s">
        <v>911</v>
      </c>
      <c r="AJ188" s="464"/>
    </row>
    <row r="189" spans="1:36" ht="24" hidden="1" customHeight="1">
      <c r="B189" s="463">
        <v>153</v>
      </c>
      <c r="C189" s="464" t="s">
        <v>534</v>
      </c>
      <c r="D189" s="464" t="s">
        <v>544</v>
      </c>
      <c r="E189" s="464" t="s">
        <v>535</v>
      </c>
      <c r="F189" s="464"/>
      <c r="G189" s="464" t="s">
        <v>58</v>
      </c>
      <c r="H189" s="464" t="s">
        <v>955</v>
      </c>
      <c r="I189" s="466">
        <v>200000</v>
      </c>
      <c r="J189" s="465" t="s">
        <v>537</v>
      </c>
      <c r="K189" s="465" t="s">
        <v>537</v>
      </c>
      <c r="L189" s="466">
        <v>193070</v>
      </c>
      <c r="M189" s="465" t="s">
        <v>537</v>
      </c>
      <c r="N189" s="465" t="s">
        <v>537</v>
      </c>
      <c r="O189" s="463" t="s">
        <v>537</v>
      </c>
      <c r="P189" s="463" t="s">
        <v>537</v>
      </c>
      <c r="Q189" s="468">
        <v>6930</v>
      </c>
      <c r="R189" s="470">
        <v>241459</v>
      </c>
      <c r="S189" s="463" t="s">
        <v>956</v>
      </c>
      <c r="T189" s="463">
        <v>17</v>
      </c>
      <c r="U189" s="463">
        <v>13</v>
      </c>
      <c r="V189" s="463">
        <v>0</v>
      </c>
      <c r="W189" s="463">
        <v>14</v>
      </c>
      <c r="X189" s="463">
        <v>15</v>
      </c>
      <c r="Y189" s="463">
        <v>0</v>
      </c>
      <c r="Z189" s="463">
        <v>88.36</v>
      </c>
      <c r="AA189" s="472" t="s">
        <v>728</v>
      </c>
      <c r="AB189" s="463">
        <v>1</v>
      </c>
      <c r="AC189" s="463">
        <v>4</v>
      </c>
      <c r="AD189" s="472" t="s">
        <v>651</v>
      </c>
      <c r="AE189" s="463">
        <v>1</v>
      </c>
      <c r="AF189" s="463">
        <v>2</v>
      </c>
      <c r="AG189" s="463" t="s">
        <v>375</v>
      </c>
      <c r="AH189" s="476"/>
      <c r="AI189" s="472">
        <v>80954416601</v>
      </c>
      <c r="AJ189" s="464"/>
    </row>
    <row r="190" spans="1:36" ht="24" hidden="1" customHeight="1">
      <c r="B190" s="463">
        <v>154</v>
      </c>
      <c r="C190" s="464" t="s">
        <v>534</v>
      </c>
      <c r="D190" s="464" t="s">
        <v>544</v>
      </c>
      <c r="E190" s="464" t="s">
        <v>535</v>
      </c>
      <c r="F190" s="464"/>
      <c r="G190" s="464" t="s">
        <v>58</v>
      </c>
      <c r="H190" s="464" t="s">
        <v>636</v>
      </c>
      <c r="I190" s="466">
        <v>200000</v>
      </c>
      <c r="J190" s="465" t="s">
        <v>537</v>
      </c>
      <c r="K190" s="465" t="s">
        <v>537</v>
      </c>
      <c r="L190" s="466">
        <v>194860</v>
      </c>
      <c r="M190" s="465" t="s">
        <v>537</v>
      </c>
      <c r="N190" s="465" t="s">
        <v>537</v>
      </c>
      <c r="O190" s="463" t="s">
        <v>537</v>
      </c>
      <c r="P190" s="463" t="s">
        <v>537</v>
      </c>
      <c r="Q190" s="468">
        <v>5140</v>
      </c>
      <c r="R190" s="470">
        <v>241609</v>
      </c>
      <c r="S190" s="463" t="s">
        <v>637</v>
      </c>
      <c r="T190" s="463">
        <v>100</v>
      </c>
      <c r="U190" s="463">
        <v>15</v>
      </c>
      <c r="V190" s="463">
        <v>0</v>
      </c>
      <c r="W190" s="463">
        <v>100</v>
      </c>
      <c r="X190" s="463">
        <v>20</v>
      </c>
      <c r="Y190" s="463">
        <v>0</v>
      </c>
      <c r="Z190" s="463">
        <v>94.17</v>
      </c>
      <c r="AA190" s="472" t="s">
        <v>902</v>
      </c>
      <c r="AB190" s="463">
        <v>1</v>
      </c>
      <c r="AC190" s="463">
        <v>5</v>
      </c>
      <c r="AD190" s="472" t="s">
        <v>651</v>
      </c>
      <c r="AE190" s="463">
        <v>1</v>
      </c>
      <c r="AF190" s="463">
        <v>1</v>
      </c>
      <c r="AG190" s="463" t="s">
        <v>375</v>
      </c>
      <c r="AH190" s="476"/>
      <c r="AI190" s="472" t="s">
        <v>957</v>
      </c>
      <c r="AJ190" s="464"/>
    </row>
    <row r="191" spans="1:36" ht="24" hidden="1" customHeight="1">
      <c r="B191" s="463">
        <v>155</v>
      </c>
      <c r="C191" s="464" t="s">
        <v>337</v>
      </c>
      <c r="D191" s="464"/>
      <c r="E191" s="464" t="s">
        <v>545</v>
      </c>
      <c r="F191" s="464"/>
      <c r="G191" s="464" t="s">
        <v>58</v>
      </c>
      <c r="H191" s="464" t="s">
        <v>958</v>
      </c>
      <c r="I191" s="465">
        <v>0</v>
      </c>
      <c r="J191" s="465" t="s">
        <v>537</v>
      </c>
      <c r="K191" s="465" t="s">
        <v>537</v>
      </c>
      <c r="L191" s="465">
        <v>0</v>
      </c>
      <c r="M191" s="465" t="s">
        <v>537</v>
      </c>
      <c r="N191" s="465" t="s">
        <v>537</v>
      </c>
      <c r="O191" s="463" t="s">
        <v>537</v>
      </c>
      <c r="P191" s="463" t="s">
        <v>537</v>
      </c>
      <c r="Q191" s="465">
        <v>0</v>
      </c>
      <c r="R191" s="463" t="s">
        <v>643</v>
      </c>
      <c r="S191" s="463" t="s">
        <v>959</v>
      </c>
      <c r="T191" s="463">
        <v>0</v>
      </c>
      <c r="U191" s="463">
        <v>1</v>
      </c>
      <c r="V191" s="463">
        <v>10</v>
      </c>
      <c r="W191" s="463">
        <v>0</v>
      </c>
      <c r="X191" s="463">
        <v>0</v>
      </c>
      <c r="Y191" s="463">
        <v>10</v>
      </c>
      <c r="Z191" s="463">
        <v>95.06</v>
      </c>
      <c r="AA191" s="472" t="s">
        <v>547</v>
      </c>
      <c r="AB191" s="463" t="s">
        <v>539</v>
      </c>
      <c r="AC191" s="463" t="s">
        <v>539</v>
      </c>
      <c r="AD191" s="472" t="s">
        <v>548</v>
      </c>
      <c r="AE191" s="463">
        <v>80</v>
      </c>
      <c r="AF191" s="463">
        <v>95.06</v>
      </c>
      <c r="AG191" s="463" t="s">
        <v>375</v>
      </c>
      <c r="AH191" s="476"/>
      <c r="AI191" s="472" t="s">
        <v>960</v>
      </c>
      <c r="AJ191" s="464"/>
    </row>
    <row r="192" spans="1:36" ht="24" hidden="1" customHeight="1">
      <c r="B192" s="463">
        <v>156</v>
      </c>
      <c r="C192" s="464" t="s">
        <v>337</v>
      </c>
      <c r="D192" s="464" t="s">
        <v>544</v>
      </c>
      <c r="E192" s="464" t="s">
        <v>545</v>
      </c>
      <c r="F192" s="464"/>
      <c r="G192" s="464" t="s">
        <v>58</v>
      </c>
      <c r="H192" s="464" t="s">
        <v>961</v>
      </c>
      <c r="I192" s="466">
        <v>35000</v>
      </c>
      <c r="J192" s="465" t="s">
        <v>537</v>
      </c>
      <c r="K192" s="465" t="s">
        <v>537</v>
      </c>
      <c r="L192" s="466">
        <v>35000</v>
      </c>
      <c r="M192" s="465" t="s">
        <v>537</v>
      </c>
      <c r="N192" s="465" t="s">
        <v>537</v>
      </c>
      <c r="O192" s="463" t="s">
        <v>537</v>
      </c>
      <c r="P192" s="463" t="s">
        <v>537</v>
      </c>
      <c r="Q192" s="465">
        <v>0</v>
      </c>
      <c r="R192" s="463" t="s">
        <v>643</v>
      </c>
      <c r="S192" s="463" t="s">
        <v>962</v>
      </c>
      <c r="T192" s="463">
        <v>0</v>
      </c>
      <c r="U192" s="463">
        <v>1</v>
      </c>
      <c r="V192" s="463">
        <v>10</v>
      </c>
      <c r="W192" s="463">
        <v>0</v>
      </c>
      <c r="X192" s="463">
        <v>0</v>
      </c>
      <c r="Y192" s="463">
        <v>26</v>
      </c>
      <c r="Z192" s="463">
        <v>94.52</v>
      </c>
      <c r="AA192" s="472" t="s">
        <v>547</v>
      </c>
      <c r="AB192" s="463" t="s">
        <v>539</v>
      </c>
      <c r="AC192" s="463" t="s">
        <v>539</v>
      </c>
      <c r="AD192" s="472" t="s">
        <v>548</v>
      </c>
      <c r="AE192" s="463">
        <v>80</v>
      </c>
      <c r="AF192" s="463">
        <v>94.52</v>
      </c>
      <c r="AG192" s="463" t="s">
        <v>375</v>
      </c>
      <c r="AH192" s="476"/>
      <c r="AI192" s="472" t="s">
        <v>963</v>
      </c>
      <c r="AJ192" s="464"/>
    </row>
    <row r="193" spans="1:36" ht="24" hidden="1" customHeight="1">
      <c r="B193" s="463">
        <v>157</v>
      </c>
      <c r="C193" s="464" t="s">
        <v>337</v>
      </c>
      <c r="D193" s="464" t="s">
        <v>544</v>
      </c>
      <c r="E193" s="464" t="s">
        <v>545</v>
      </c>
      <c r="F193" s="464"/>
      <c r="G193" s="464" t="s">
        <v>58</v>
      </c>
      <c r="H193" s="464" t="s">
        <v>964</v>
      </c>
      <c r="I193" s="466">
        <v>25000</v>
      </c>
      <c r="J193" s="465" t="s">
        <v>537</v>
      </c>
      <c r="K193" s="465" t="s">
        <v>537</v>
      </c>
      <c r="L193" s="466">
        <v>25000</v>
      </c>
      <c r="M193" s="465" t="s">
        <v>537</v>
      </c>
      <c r="N193" s="465" t="s">
        <v>537</v>
      </c>
      <c r="O193" s="463" t="s">
        <v>537</v>
      </c>
      <c r="P193" s="463" t="s">
        <v>537</v>
      </c>
      <c r="Q193" s="465">
        <v>0</v>
      </c>
      <c r="R193" s="463" t="s">
        <v>643</v>
      </c>
      <c r="S193" s="463" t="s">
        <v>933</v>
      </c>
      <c r="T193" s="463">
        <v>0</v>
      </c>
      <c r="U193" s="463">
        <v>2</v>
      </c>
      <c r="V193" s="463">
        <v>10</v>
      </c>
      <c r="W193" s="463">
        <v>0</v>
      </c>
      <c r="X193" s="463">
        <v>0</v>
      </c>
      <c r="Y193" s="463">
        <v>12</v>
      </c>
      <c r="Z193" s="463">
        <v>95.88</v>
      </c>
      <c r="AA193" s="472" t="s">
        <v>547</v>
      </c>
      <c r="AB193" s="463" t="s">
        <v>539</v>
      </c>
      <c r="AC193" s="463" t="s">
        <v>539</v>
      </c>
      <c r="AD193" s="472" t="s">
        <v>548</v>
      </c>
      <c r="AE193" s="463">
        <v>80</v>
      </c>
      <c r="AF193" s="463">
        <v>95.88</v>
      </c>
      <c r="AG193" s="463" t="s">
        <v>375</v>
      </c>
      <c r="AH193" s="476"/>
      <c r="AI193" s="472" t="s">
        <v>909</v>
      </c>
      <c r="AJ193" s="464"/>
    </row>
    <row r="194" spans="1:36" ht="24" hidden="1" customHeight="1">
      <c r="B194" s="463">
        <v>158</v>
      </c>
      <c r="C194" s="464" t="s">
        <v>337</v>
      </c>
      <c r="D194" s="464" t="s">
        <v>544</v>
      </c>
      <c r="E194" s="464" t="s">
        <v>545</v>
      </c>
      <c r="F194" s="464"/>
      <c r="G194" s="464" t="s">
        <v>58</v>
      </c>
      <c r="H194" s="464" t="s">
        <v>965</v>
      </c>
      <c r="I194" s="466">
        <v>30000</v>
      </c>
      <c r="J194" s="465" t="s">
        <v>537</v>
      </c>
      <c r="K194" s="465" t="s">
        <v>537</v>
      </c>
      <c r="L194" s="466">
        <v>29000</v>
      </c>
      <c r="M194" s="465" t="s">
        <v>537</v>
      </c>
      <c r="N194" s="465" t="s">
        <v>537</v>
      </c>
      <c r="O194" s="463" t="s">
        <v>537</v>
      </c>
      <c r="P194" s="463" t="s">
        <v>537</v>
      </c>
      <c r="Q194" s="468">
        <v>1000</v>
      </c>
      <c r="R194" s="463" t="s">
        <v>643</v>
      </c>
      <c r="S194" s="463" t="s">
        <v>966</v>
      </c>
      <c r="T194" s="463">
        <v>0</v>
      </c>
      <c r="U194" s="463">
        <v>1</v>
      </c>
      <c r="V194" s="463">
        <v>10</v>
      </c>
      <c r="W194" s="463">
        <v>0</v>
      </c>
      <c r="X194" s="463">
        <v>0</v>
      </c>
      <c r="Y194" s="463">
        <v>15</v>
      </c>
      <c r="Z194" s="463">
        <v>96.24</v>
      </c>
      <c r="AA194" s="472" t="s">
        <v>547</v>
      </c>
      <c r="AB194" s="463" t="s">
        <v>539</v>
      </c>
      <c r="AC194" s="463" t="s">
        <v>539</v>
      </c>
      <c r="AD194" s="472" t="s">
        <v>548</v>
      </c>
      <c r="AE194" s="463">
        <v>80</v>
      </c>
      <c r="AF194" s="463">
        <v>96.24</v>
      </c>
      <c r="AG194" s="463" t="s">
        <v>375</v>
      </c>
      <c r="AH194" s="476"/>
      <c r="AI194" s="472" t="s">
        <v>967</v>
      </c>
      <c r="AJ194" s="464"/>
    </row>
    <row r="195" spans="1:36" ht="24" hidden="1" customHeight="1">
      <c r="B195" s="463">
        <v>159</v>
      </c>
      <c r="C195" s="464" t="s">
        <v>337</v>
      </c>
      <c r="D195" s="464" t="s">
        <v>544</v>
      </c>
      <c r="E195" s="464" t="s">
        <v>545</v>
      </c>
      <c r="F195" s="464"/>
      <c r="G195" s="464" t="s">
        <v>58</v>
      </c>
      <c r="H195" s="464" t="s">
        <v>968</v>
      </c>
      <c r="I195" s="466">
        <v>25000</v>
      </c>
      <c r="J195" s="465" t="s">
        <v>537</v>
      </c>
      <c r="K195" s="465" t="s">
        <v>537</v>
      </c>
      <c r="L195" s="466">
        <v>22500</v>
      </c>
      <c r="M195" s="465" t="s">
        <v>537</v>
      </c>
      <c r="N195" s="465" t="s">
        <v>537</v>
      </c>
      <c r="O195" s="463" t="s">
        <v>537</v>
      </c>
      <c r="P195" s="463" t="s">
        <v>537</v>
      </c>
      <c r="Q195" s="468">
        <v>2500</v>
      </c>
      <c r="R195" s="463" t="s">
        <v>643</v>
      </c>
      <c r="S195" s="463" t="s">
        <v>969</v>
      </c>
      <c r="T195" s="463">
        <v>0</v>
      </c>
      <c r="U195" s="463">
        <v>1</v>
      </c>
      <c r="V195" s="463">
        <v>10</v>
      </c>
      <c r="W195" s="463">
        <v>0</v>
      </c>
      <c r="X195" s="463">
        <v>0</v>
      </c>
      <c r="Y195" s="463">
        <v>14</v>
      </c>
      <c r="Z195" s="463">
        <v>91.93</v>
      </c>
      <c r="AA195" s="472" t="s">
        <v>547</v>
      </c>
      <c r="AB195" s="463" t="s">
        <v>539</v>
      </c>
      <c r="AC195" s="463" t="s">
        <v>539</v>
      </c>
      <c r="AD195" s="472" t="s">
        <v>548</v>
      </c>
      <c r="AE195" s="463">
        <v>80</v>
      </c>
      <c r="AF195" s="463">
        <v>91.93</v>
      </c>
      <c r="AG195" s="463" t="s">
        <v>375</v>
      </c>
      <c r="AH195" s="476"/>
      <c r="AI195" s="472" t="s">
        <v>957</v>
      </c>
      <c r="AJ195" s="464"/>
    </row>
    <row r="196" spans="1:36" ht="24" hidden="1" customHeight="1">
      <c r="B196" s="463">
        <v>160</v>
      </c>
      <c r="C196" s="464" t="s">
        <v>337</v>
      </c>
      <c r="D196" s="464" t="s">
        <v>544</v>
      </c>
      <c r="E196" s="464" t="s">
        <v>545</v>
      </c>
      <c r="F196" s="464"/>
      <c r="G196" s="464" t="s">
        <v>58</v>
      </c>
      <c r="H196" s="464" t="s">
        <v>970</v>
      </c>
      <c r="I196" s="466">
        <v>35000</v>
      </c>
      <c r="J196" s="465" t="s">
        <v>537</v>
      </c>
      <c r="K196" s="465" t="s">
        <v>537</v>
      </c>
      <c r="L196" s="466">
        <v>27690</v>
      </c>
      <c r="M196" s="465" t="s">
        <v>537</v>
      </c>
      <c r="N196" s="465" t="s">
        <v>537</v>
      </c>
      <c r="O196" s="463" t="s">
        <v>537</v>
      </c>
      <c r="P196" s="463" t="s">
        <v>537</v>
      </c>
      <c r="Q196" s="468">
        <v>7310</v>
      </c>
      <c r="R196" s="463" t="s">
        <v>643</v>
      </c>
      <c r="S196" s="463" t="s">
        <v>929</v>
      </c>
      <c r="T196" s="463">
        <v>0</v>
      </c>
      <c r="U196" s="463">
        <v>1</v>
      </c>
      <c r="V196" s="463">
        <v>10</v>
      </c>
      <c r="W196" s="463">
        <v>0</v>
      </c>
      <c r="X196" s="463">
        <v>0</v>
      </c>
      <c r="Y196" s="463">
        <v>12</v>
      </c>
      <c r="Z196" s="463">
        <v>93.14</v>
      </c>
      <c r="AA196" s="472" t="s">
        <v>547</v>
      </c>
      <c r="AB196" s="463" t="s">
        <v>539</v>
      </c>
      <c r="AC196" s="463" t="s">
        <v>539</v>
      </c>
      <c r="AD196" s="472" t="s">
        <v>548</v>
      </c>
      <c r="AE196" s="463">
        <v>80</v>
      </c>
      <c r="AF196" s="463">
        <v>93.14</v>
      </c>
      <c r="AG196" s="463" t="s">
        <v>375</v>
      </c>
      <c r="AH196" s="476"/>
      <c r="AI196" s="472" t="s">
        <v>960</v>
      </c>
      <c r="AJ196" s="464"/>
    </row>
    <row r="197" spans="1:36" ht="24" hidden="1" customHeight="1">
      <c r="B197" s="463">
        <v>161</v>
      </c>
      <c r="C197" s="464" t="s">
        <v>337</v>
      </c>
      <c r="D197" s="464"/>
      <c r="E197" s="464" t="s">
        <v>545</v>
      </c>
      <c r="F197" s="464"/>
      <c r="G197" s="464" t="s">
        <v>58</v>
      </c>
      <c r="H197" s="464" t="s">
        <v>971</v>
      </c>
      <c r="I197" s="465" t="s">
        <v>537</v>
      </c>
      <c r="J197" s="465" t="s">
        <v>537</v>
      </c>
      <c r="K197" s="466">
        <v>25000</v>
      </c>
      <c r="L197" s="465" t="s">
        <v>537</v>
      </c>
      <c r="M197" s="465" t="s">
        <v>537</v>
      </c>
      <c r="N197" s="466">
        <v>25000</v>
      </c>
      <c r="O197" s="463" t="s">
        <v>537</v>
      </c>
      <c r="P197" s="463" t="s">
        <v>537</v>
      </c>
      <c r="Q197" s="465">
        <v>0</v>
      </c>
      <c r="R197" s="470">
        <v>241518</v>
      </c>
      <c r="S197" s="463" t="s">
        <v>972</v>
      </c>
      <c r="T197" s="463">
        <v>2</v>
      </c>
      <c r="U197" s="463">
        <v>3</v>
      </c>
      <c r="V197" s="463">
        <v>5</v>
      </c>
      <c r="W197" s="463">
        <v>0</v>
      </c>
      <c r="X197" s="463">
        <v>11</v>
      </c>
      <c r="Y197" s="463">
        <v>0</v>
      </c>
      <c r="Z197" s="463">
        <v>96.15</v>
      </c>
      <c r="AA197" s="472" t="s">
        <v>973</v>
      </c>
      <c r="AB197" s="463" t="s">
        <v>539</v>
      </c>
      <c r="AC197" s="463" t="s">
        <v>539</v>
      </c>
      <c r="AD197" s="472" t="s">
        <v>974</v>
      </c>
      <c r="AE197" s="463">
        <v>1</v>
      </c>
      <c r="AF197" s="463">
        <v>1</v>
      </c>
      <c r="AG197" s="463" t="s">
        <v>375</v>
      </c>
      <c r="AH197" s="476"/>
      <c r="AI197" s="472" t="s">
        <v>915</v>
      </c>
      <c r="AJ197" s="472" t="s">
        <v>543</v>
      </c>
    </row>
    <row r="198" spans="1:36" ht="24" hidden="1" customHeight="1">
      <c r="B198" s="463">
        <v>162</v>
      </c>
      <c r="C198" s="464" t="s">
        <v>534</v>
      </c>
      <c r="D198" s="464"/>
      <c r="E198" s="464" t="s">
        <v>577</v>
      </c>
      <c r="F198" s="464"/>
      <c r="G198" s="464" t="s">
        <v>58</v>
      </c>
      <c r="H198" s="464" t="s">
        <v>975</v>
      </c>
      <c r="I198" s="465" t="s">
        <v>537</v>
      </c>
      <c r="J198" s="465" t="s">
        <v>537</v>
      </c>
      <c r="K198" s="466">
        <v>40000</v>
      </c>
      <c r="L198" s="465" t="s">
        <v>537</v>
      </c>
      <c r="M198" s="465" t="s">
        <v>537</v>
      </c>
      <c r="N198" s="466">
        <v>40000</v>
      </c>
      <c r="O198" s="463" t="s">
        <v>537</v>
      </c>
      <c r="P198" s="463" t="s">
        <v>537</v>
      </c>
      <c r="Q198" s="465">
        <v>0</v>
      </c>
      <c r="R198" s="463" t="s">
        <v>976</v>
      </c>
      <c r="S198" s="463" t="s">
        <v>977</v>
      </c>
      <c r="T198" s="463">
        <v>0</v>
      </c>
      <c r="U198" s="463">
        <v>0</v>
      </c>
      <c r="V198" s="463">
        <v>0</v>
      </c>
      <c r="W198" s="463">
        <v>0</v>
      </c>
      <c r="X198" s="463">
        <v>0</v>
      </c>
      <c r="Y198" s="463">
        <v>0</v>
      </c>
      <c r="Z198" s="463">
        <v>95.88</v>
      </c>
      <c r="AA198" s="472" t="s">
        <v>978</v>
      </c>
      <c r="AB198" s="463" t="s">
        <v>539</v>
      </c>
      <c r="AC198" s="463" t="s">
        <v>539</v>
      </c>
      <c r="AD198" s="472" t="s">
        <v>979</v>
      </c>
      <c r="AE198" s="463" t="s">
        <v>539</v>
      </c>
      <c r="AF198" s="463" t="s">
        <v>539</v>
      </c>
      <c r="AG198" s="463" t="s">
        <v>375</v>
      </c>
      <c r="AH198" s="476"/>
      <c r="AI198" s="472" t="s">
        <v>915</v>
      </c>
      <c r="AJ198" s="472" t="s">
        <v>543</v>
      </c>
    </row>
    <row r="199" spans="1:36" ht="24" hidden="1" customHeight="1">
      <c r="B199" s="463">
        <v>163</v>
      </c>
      <c r="C199" s="464" t="s">
        <v>534</v>
      </c>
      <c r="D199" s="464"/>
      <c r="E199" s="464" t="s">
        <v>535</v>
      </c>
      <c r="F199" s="464"/>
      <c r="G199" s="464" t="s">
        <v>188</v>
      </c>
      <c r="H199" s="464" t="s">
        <v>980</v>
      </c>
      <c r="I199" s="466">
        <v>100000</v>
      </c>
      <c r="J199" s="465" t="s">
        <v>537</v>
      </c>
      <c r="K199" s="465" t="s">
        <v>537</v>
      </c>
      <c r="L199" s="466">
        <v>100000</v>
      </c>
      <c r="M199" s="465" t="s">
        <v>537</v>
      </c>
      <c r="N199" s="465" t="s">
        <v>537</v>
      </c>
      <c r="O199" s="463" t="s">
        <v>537</v>
      </c>
      <c r="P199" s="463" t="s">
        <v>537</v>
      </c>
      <c r="Q199" s="465">
        <v>0</v>
      </c>
      <c r="R199" s="470">
        <v>241518</v>
      </c>
      <c r="S199" s="463" t="s">
        <v>981</v>
      </c>
      <c r="T199" s="463">
        <v>0</v>
      </c>
      <c r="U199" s="463">
        <v>50</v>
      </c>
      <c r="V199" s="463">
        <v>0</v>
      </c>
      <c r="W199" s="463">
        <v>0</v>
      </c>
      <c r="X199" s="463">
        <v>52</v>
      </c>
      <c r="Y199" s="463">
        <v>0</v>
      </c>
      <c r="Z199" s="463">
        <v>82</v>
      </c>
      <c r="AA199" s="472" t="s">
        <v>982</v>
      </c>
      <c r="AB199" s="463" t="s">
        <v>539</v>
      </c>
      <c r="AC199" s="463" t="s">
        <v>539</v>
      </c>
      <c r="AD199" s="472" t="s">
        <v>548</v>
      </c>
      <c r="AE199" s="463">
        <v>80</v>
      </c>
      <c r="AF199" s="463">
        <v>82</v>
      </c>
      <c r="AG199" s="463" t="s">
        <v>375</v>
      </c>
      <c r="AH199" s="476"/>
      <c r="AI199" s="472" t="s">
        <v>537</v>
      </c>
      <c r="AJ199" s="464"/>
    </row>
    <row r="200" spans="1:36" ht="24" hidden="1" customHeight="1">
      <c r="B200" s="463">
        <v>164</v>
      </c>
      <c r="C200" s="464" t="s">
        <v>534</v>
      </c>
      <c r="D200" s="464"/>
      <c r="E200" s="464" t="s">
        <v>535</v>
      </c>
      <c r="F200" s="464"/>
      <c r="G200" s="464" t="s">
        <v>188</v>
      </c>
      <c r="H200" s="464" t="s">
        <v>983</v>
      </c>
      <c r="I200" s="466">
        <v>100000</v>
      </c>
      <c r="J200" s="465" t="s">
        <v>537</v>
      </c>
      <c r="K200" s="465" t="s">
        <v>537</v>
      </c>
      <c r="L200" s="466">
        <v>100000</v>
      </c>
      <c r="M200" s="465" t="s">
        <v>537</v>
      </c>
      <c r="N200" s="465" t="s">
        <v>537</v>
      </c>
      <c r="O200" s="463" t="s">
        <v>537</v>
      </c>
      <c r="P200" s="463" t="s">
        <v>537</v>
      </c>
      <c r="Q200" s="465">
        <v>0</v>
      </c>
      <c r="R200" s="463" t="s">
        <v>984</v>
      </c>
      <c r="S200" s="463" t="s">
        <v>985</v>
      </c>
      <c r="T200" s="463">
        <v>0</v>
      </c>
      <c r="U200" s="463">
        <v>70</v>
      </c>
      <c r="V200" s="463">
        <v>0</v>
      </c>
      <c r="W200" s="463">
        <v>0</v>
      </c>
      <c r="X200" s="463">
        <v>80</v>
      </c>
      <c r="Y200" s="463">
        <v>0</v>
      </c>
      <c r="Z200" s="463">
        <v>80</v>
      </c>
      <c r="AA200" s="472" t="s">
        <v>982</v>
      </c>
      <c r="AB200" s="463" t="s">
        <v>539</v>
      </c>
      <c r="AC200" s="463">
        <v>85.7</v>
      </c>
      <c r="AD200" s="472" t="s">
        <v>986</v>
      </c>
      <c r="AE200" s="463">
        <v>80</v>
      </c>
      <c r="AF200" s="463">
        <v>82.8</v>
      </c>
      <c r="AG200" s="463" t="s">
        <v>375</v>
      </c>
      <c r="AH200" s="476"/>
      <c r="AI200" s="472">
        <v>2090</v>
      </c>
      <c r="AJ200" s="464"/>
    </row>
    <row r="201" spans="1:36" ht="24" hidden="1" customHeight="1">
      <c r="B201" s="701">
        <v>165</v>
      </c>
      <c r="C201" s="699" t="s">
        <v>534</v>
      </c>
      <c r="D201" s="699"/>
      <c r="E201" s="699" t="s">
        <v>535</v>
      </c>
      <c r="F201" s="699"/>
      <c r="G201" s="699" t="s">
        <v>188</v>
      </c>
      <c r="H201" s="699" t="s">
        <v>987</v>
      </c>
      <c r="I201" s="709" t="s">
        <v>537</v>
      </c>
      <c r="J201" s="712">
        <v>150000</v>
      </c>
      <c r="K201" s="709" t="s">
        <v>537</v>
      </c>
      <c r="L201" s="709" t="s">
        <v>537</v>
      </c>
      <c r="M201" s="712">
        <v>105376.25</v>
      </c>
      <c r="N201" s="709" t="s">
        <v>537</v>
      </c>
      <c r="O201" s="701" t="s">
        <v>537</v>
      </c>
      <c r="P201" s="701" t="s">
        <v>537</v>
      </c>
      <c r="Q201" s="705">
        <v>44624</v>
      </c>
      <c r="R201" s="701" t="s">
        <v>643</v>
      </c>
      <c r="S201" s="701" t="s">
        <v>988</v>
      </c>
      <c r="T201" s="701">
        <v>0</v>
      </c>
      <c r="U201" s="701">
        <v>50</v>
      </c>
      <c r="V201" s="701">
        <v>0</v>
      </c>
      <c r="W201" s="699"/>
      <c r="X201" s="701">
        <v>51</v>
      </c>
      <c r="Y201" s="699"/>
      <c r="Z201" s="701">
        <v>80</v>
      </c>
      <c r="AA201" s="458" t="s">
        <v>547</v>
      </c>
      <c r="AB201" s="459" t="s">
        <v>539</v>
      </c>
      <c r="AC201" s="459">
        <v>80.125</v>
      </c>
      <c r="AD201" s="458" t="s">
        <v>548</v>
      </c>
      <c r="AE201" s="459">
        <v>80</v>
      </c>
      <c r="AF201" s="459">
        <v>80.25</v>
      </c>
      <c r="AG201" s="701" t="s">
        <v>375</v>
      </c>
      <c r="AH201" s="728"/>
      <c r="AI201" s="697">
        <v>2061</v>
      </c>
      <c r="AJ201" s="699"/>
    </row>
    <row r="202" spans="1:36" ht="24" hidden="1" customHeight="1">
      <c r="B202" s="702"/>
      <c r="C202" s="700"/>
      <c r="D202" s="700"/>
      <c r="E202" s="700"/>
      <c r="F202" s="700"/>
      <c r="G202" s="700"/>
      <c r="H202" s="700"/>
      <c r="I202" s="710"/>
      <c r="J202" s="713"/>
      <c r="K202" s="710"/>
      <c r="L202" s="710"/>
      <c r="M202" s="713"/>
      <c r="N202" s="710"/>
      <c r="O202" s="702"/>
      <c r="P202" s="702"/>
      <c r="Q202" s="706"/>
      <c r="R202" s="702"/>
      <c r="S202" s="702"/>
      <c r="T202" s="702"/>
      <c r="U202" s="702"/>
      <c r="V202" s="702"/>
      <c r="W202" s="700"/>
      <c r="X202" s="702"/>
      <c r="Y202" s="700"/>
      <c r="Z202" s="702"/>
      <c r="AA202" s="473" t="s">
        <v>989</v>
      </c>
      <c r="AB202" s="474" t="s">
        <v>539</v>
      </c>
      <c r="AC202" s="474">
        <v>80</v>
      </c>
      <c r="AD202" s="473" t="s">
        <v>990</v>
      </c>
      <c r="AE202" s="474">
        <v>80</v>
      </c>
      <c r="AF202" s="474">
        <v>82</v>
      </c>
      <c r="AG202" s="702"/>
      <c r="AH202" s="729"/>
      <c r="AI202" s="698"/>
      <c r="AJ202" s="700"/>
    </row>
    <row r="203" spans="1:36" ht="24" customHeight="1">
      <c r="A203" s="452">
        <v>11</v>
      </c>
      <c r="B203" s="463">
        <v>166</v>
      </c>
      <c r="C203" s="464" t="s">
        <v>377</v>
      </c>
      <c r="D203" s="464"/>
      <c r="E203" s="464" t="s">
        <v>602</v>
      </c>
      <c r="F203" s="464"/>
      <c r="G203" s="464" t="s">
        <v>186</v>
      </c>
      <c r="H203" s="464" t="s">
        <v>991</v>
      </c>
      <c r="I203" s="466">
        <v>6200</v>
      </c>
      <c r="J203" s="465" t="s">
        <v>537</v>
      </c>
      <c r="K203" s="465" t="s">
        <v>537</v>
      </c>
      <c r="L203" s="466">
        <v>3090</v>
      </c>
      <c r="M203" s="465" t="s">
        <v>537</v>
      </c>
      <c r="N203" s="465" t="s">
        <v>537</v>
      </c>
      <c r="O203" s="463" t="s">
        <v>537</v>
      </c>
      <c r="P203" s="463" t="s">
        <v>537</v>
      </c>
      <c r="Q203" s="468">
        <v>3110</v>
      </c>
      <c r="R203" s="463" t="s">
        <v>984</v>
      </c>
      <c r="S203" s="463" t="s">
        <v>992</v>
      </c>
      <c r="T203" s="463">
        <v>400</v>
      </c>
      <c r="U203" s="463">
        <v>100</v>
      </c>
      <c r="V203" s="463">
        <v>100</v>
      </c>
      <c r="W203" s="463">
        <v>400</v>
      </c>
      <c r="X203" s="463">
        <v>100</v>
      </c>
      <c r="Y203" s="463">
        <v>100</v>
      </c>
      <c r="Z203" s="463">
        <v>80</v>
      </c>
      <c r="AA203" s="472" t="s">
        <v>612</v>
      </c>
      <c r="AB203" s="463" t="s">
        <v>539</v>
      </c>
      <c r="AC203" s="463" t="s">
        <v>539</v>
      </c>
      <c r="AD203" s="472" t="s">
        <v>993</v>
      </c>
      <c r="AE203" s="463">
        <v>80</v>
      </c>
      <c r="AF203" s="463">
        <v>80</v>
      </c>
      <c r="AG203" s="463" t="s">
        <v>375</v>
      </c>
      <c r="AH203" s="476"/>
      <c r="AI203" s="472">
        <v>862860530</v>
      </c>
      <c r="AJ203" s="464"/>
    </row>
    <row r="204" spans="1:36" ht="24" customHeight="1">
      <c r="A204" s="452">
        <v>12</v>
      </c>
      <c r="B204" s="463">
        <v>167</v>
      </c>
      <c r="C204" s="464" t="s">
        <v>377</v>
      </c>
      <c r="D204" s="464"/>
      <c r="E204" s="464" t="s">
        <v>602</v>
      </c>
      <c r="F204" s="464"/>
      <c r="G204" s="464" t="s">
        <v>186</v>
      </c>
      <c r="H204" s="464" t="s">
        <v>994</v>
      </c>
      <c r="I204" s="466">
        <v>38800</v>
      </c>
      <c r="J204" s="465" t="s">
        <v>537</v>
      </c>
      <c r="K204" s="465" t="s">
        <v>537</v>
      </c>
      <c r="L204" s="466">
        <v>30489</v>
      </c>
      <c r="M204" s="465" t="s">
        <v>537</v>
      </c>
      <c r="N204" s="465" t="s">
        <v>537</v>
      </c>
      <c r="O204" s="463" t="s">
        <v>537</v>
      </c>
      <c r="P204" s="463" t="s">
        <v>537</v>
      </c>
      <c r="Q204" s="468">
        <v>8311</v>
      </c>
      <c r="R204" s="463" t="s">
        <v>984</v>
      </c>
      <c r="S204" s="463" t="s">
        <v>992</v>
      </c>
      <c r="T204" s="463">
        <v>600</v>
      </c>
      <c r="U204" s="463">
        <v>300</v>
      </c>
      <c r="V204" s="463">
        <v>100</v>
      </c>
      <c r="W204" s="463">
        <v>700</v>
      </c>
      <c r="X204" s="463">
        <v>250</v>
      </c>
      <c r="Y204" s="463">
        <v>50</v>
      </c>
      <c r="Z204" s="463">
        <v>80</v>
      </c>
      <c r="AA204" s="472" t="s">
        <v>612</v>
      </c>
      <c r="AB204" s="463" t="s">
        <v>539</v>
      </c>
      <c r="AC204" s="463" t="s">
        <v>539</v>
      </c>
      <c r="AD204" s="472" t="s">
        <v>993</v>
      </c>
      <c r="AE204" s="463">
        <v>80</v>
      </c>
      <c r="AF204" s="463">
        <v>80</v>
      </c>
      <c r="AG204" s="463" t="s">
        <v>375</v>
      </c>
      <c r="AH204" s="476"/>
      <c r="AI204" s="472">
        <v>862860530</v>
      </c>
      <c r="AJ204" s="464"/>
    </row>
    <row r="205" spans="1:36" ht="24" customHeight="1">
      <c r="A205" s="452">
        <v>13</v>
      </c>
      <c r="B205" s="463">
        <v>168</v>
      </c>
      <c r="C205" s="464" t="s">
        <v>377</v>
      </c>
      <c r="D205" s="464"/>
      <c r="E205" s="464" t="s">
        <v>602</v>
      </c>
      <c r="F205" s="464"/>
      <c r="G205" s="464" t="s">
        <v>186</v>
      </c>
      <c r="H205" s="464" t="s">
        <v>995</v>
      </c>
      <c r="I205" s="465" t="s">
        <v>537</v>
      </c>
      <c r="J205" s="465" t="s">
        <v>537</v>
      </c>
      <c r="K205" s="466">
        <v>100000</v>
      </c>
      <c r="L205" s="465" t="s">
        <v>537</v>
      </c>
      <c r="M205" s="465" t="s">
        <v>537</v>
      </c>
      <c r="N205" s="466">
        <v>98133</v>
      </c>
      <c r="O205" s="463" t="s">
        <v>537</v>
      </c>
      <c r="P205" s="463" t="s">
        <v>537</v>
      </c>
      <c r="Q205" s="468">
        <v>1867</v>
      </c>
      <c r="R205" s="470">
        <v>241579</v>
      </c>
      <c r="S205" s="463" t="s">
        <v>996</v>
      </c>
      <c r="T205" s="463">
        <v>60</v>
      </c>
      <c r="U205" s="463">
        <v>110</v>
      </c>
      <c r="V205" s="463">
        <v>30</v>
      </c>
      <c r="W205" s="463">
        <v>118</v>
      </c>
      <c r="X205" s="463">
        <v>110</v>
      </c>
      <c r="Y205" s="463">
        <v>30</v>
      </c>
      <c r="Z205" s="463">
        <v>90</v>
      </c>
      <c r="AA205" s="472" t="s">
        <v>997</v>
      </c>
      <c r="AB205" s="463" t="s">
        <v>539</v>
      </c>
      <c r="AC205" s="463" t="s">
        <v>539</v>
      </c>
      <c r="AD205" s="472" t="s">
        <v>565</v>
      </c>
      <c r="AE205" s="463">
        <v>80</v>
      </c>
      <c r="AF205" s="463">
        <v>90</v>
      </c>
      <c r="AG205" s="463" t="s">
        <v>375</v>
      </c>
      <c r="AH205" s="476"/>
      <c r="AI205" s="472">
        <v>817387898</v>
      </c>
      <c r="AJ205" s="472" t="s">
        <v>543</v>
      </c>
    </row>
    <row r="206" spans="1:36" ht="24" hidden="1" customHeight="1">
      <c r="A206" s="452">
        <v>4</v>
      </c>
      <c r="B206" s="463">
        <v>169</v>
      </c>
      <c r="C206" s="464" t="s">
        <v>534</v>
      </c>
      <c r="D206" s="464"/>
      <c r="E206" s="464" t="s">
        <v>535</v>
      </c>
      <c r="F206" s="464"/>
      <c r="G206" s="464" t="s">
        <v>186</v>
      </c>
      <c r="H206" s="464" t="s">
        <v>998</v>
      </c>
      <c r="I206" s="465" t="s">
        <v>537</v>
      </c>
      <c r="J206" s="465" t="s">
        <v>537</v>
      </c>
      <c r="K206" s="466">
        <v>172400</v>
      </c>
      <c r="L206" s="465" t="s">
        <v>537</v>
      </c>
      <c r="M206" s="465" t="s">
        <v>537</v>
      </c>
      <c r="N206" s="466">
        <v>159433</v>
      </c>
      <c r="O206" s="463" t="s">
        <v>537</v>
      </c>
      <c r="P206" s="463" t="s">
        <v>537</v>
      </c>
      <c r="Q206" s="468">
        <v>12967</v>
      </c>
      <c r="R206" s="463" t="s">
        <v>643</v>
      </c>
      <c r="S206" s="463" t="s">
        <v>999</v>
      </c>
      <c r="T206" s="463">
        <v>0</v>
      </c>
      <c r="U206" s="463">
        <v>63</v>
      </c>
      <c r="V206" s="463">
        <v>1</v>
      </c>
      <c r="W206" s="464"/>
      <c r="X206" s="463">
        <v>64</v>
      </c>
      <c r="Y206" s="464"/>
      <c r="Z206" s="463">
        <v>83.43</v>
      </c>
      <c r="AA206" s="472" t="s">
        <v>633</v>
      </c>
      <c r="AB206" s="463" t="s">
        <v>539</v>
      </c>
      <c r="AC206" s="463">
        <v>80</v>
      </c>
      <c r="AD206" s="472" t="s">
        <v>635</v>
      </c>
      <c r="AE206" s="463" t="s">
        <v>539</v>
      </c>
      <c r="AF206" s="463">
        <v>80</v>
      </c>
      <c r="AG206" s="463" t="s">
        <v>376</v>
      </c>
      <c r="AH206" s="476"/>
      <c r="AI206" s="472">
        <v>2090</v>
      </c>
      <c r="AJ206" s="472" t="s">
        <v>543</v>
      </c>
    </row>
    <row r="207" spans="1:36" ht="24" hidden="1" customHeight="1">
      <c r="A207" s="452">
        <v>5</v>
      </c>
      <c r="B207" s="463">
        <v>170</v>
      </c>
      <c r="C207" s="464" t="s">
        <v>534</v>
      </c>
      <c r="D207" s="464"/>
      <c r="E207" s="464" t="s">
        <v>535</v>
      </c>
      <c r="F207" s="464"/>
      <c r="G207" s="464" t="s">
        <v>186</v>
      </c>
      <c r="H207" s="464" t="s">
        <v>1000</v>
      </c>
      <c r="I207" s="466">
        <v>30000</v>
      </c>
      <c r="J207" s="465" t="s">
        <v>537</v>
      </c>
      <c r="K207" s="465" t="s">
        <v>537</v>
      </c>
      <c r="L207" s="466">
        <v>30000</v>
      </c>
      <c r="M207" s="465" t="s">
        <v>537</v>
      </c>
      <c r="N207" s="465" t="s">
        <v>537</v>
      </c>
      <c r="O207" s="463" t="s">
        <v>537</v>
      </c>
      <c r="P207" s="463" t="s">
        <v>537</v>
      </c>
      <c r="Q207" s="465">
        <v>0</v>
      </c>
      <c r="R207" s="463" t="s">
        <v>775</v>
      </c>
      <c r="S207" s="463" t="s">
        <v>1001</v>
      </c>
      <c r="T207" s="463">
        <v>0</v>
      </c>
      <c r="U207" s="463">
        <v>1</v>
      </c>
      <c r="V207" s="463">
        <v>0</v>
      </c>
      <c r="W207" s="464"/>
      <c r="X207" s="463">
        <v>2</v>
      </c>
      <c r="Y207" s="464"/>
      <c r="Z207" s="463">
        <v>90</v>
      </c>
      <c r="AA207" s="472" t="s">
        <v>1002</v>
      </c>
      <c r="AB207" s="463">
        <v>1</v>
      </c>
      <c r="AC207" s="463">
        <v>2</v>
      </c>
      <c r="AD207" s="472" t="s">
        <v>1003</v>
      </c>
      <c r="AE207" s="463" t="s">
        <v>539</v>
      </c>
      <c r="AF207" s="463" t="s">
        <v>539</v>
      </c>
      <c r="AG207" s="463" t="s">
        <v>375</v>
      </c>
      <c r="AH207" s="476"/>
      <c r="AI207" s="472">
        <v>815697303</v>
      </c>
      <c r="AJ207" s="464"/>
    </row>
    <row r="208" spans="1:36" ht="24" hidden="1" customHeight="1">
      <c r="A208" s="452">
        <v>6</v>
      </c>
      <c r="B208" s="463">
        <v>171</v>
      </c>
      <c r="C208" s="464" t="s">
        <v>534</v>
      </c>
      <c r="D208" s="464"/>
      <c r="E208" s="464" t="s">
        <v>535</v>
      </c>
      <c r="F208" s="464"/>
      <c r="G208" s="464" t="s">
        <v>186</v>
      </c>
      <c r="H208" s="464" t="s">
        <v>1004</v>
      </c>
      <c r="I208" s="465" t="s">
        <v>537</v>
      </c>
      <c r="J208" s="465" t="s">
        <v>537</v>
      </c>
      <c r="K208" s="466">
        <v>1945000</v>
      </c>
      <c r="L208" s="465" t="s">
        <v>537</v>
      </c>
      <c r="M208" s="465" t="s">
        <v>537</v>
      </c>
      <c r="N208" s="466">
        <v>1298772</v>
      </c>
      <c r="O208" s="463" t="s">
        <v>537</v>
      </c>
      <c r="P208" s="463" t="s">
        <v>537</v>
      </c>
      <c r="Q208" s="468">
        <v>646228</v>
      </c>
      <c r="R208" s="470">
        <v>241640</v>
      </c>
      <c r="S208" s="463" t="s">
        <v>1005</v>
      </c>
      <c r="T208" s="463">
        <v>69</v>
      </c>
      <c r="U208" s="463">
        <v>20</v>
      </c>
      <c r="V208" s="463">
        <v>0</v>
      </c>
      <c r="W208" s="463">
        <v>66</v>
      </c>
      <c r="X208" s="463">
        <v>19</v>
      </c>
      <c r="Y208" s="463">
        <v>0</v>
      </c>
      <c r="Z208" s="463">
        <v>82.4</v>
      </c>
      <c r="AA208" s="472" t="s">
        <v>1006</v>
      </c>
      <c r="AB208" s="463" t="s">
        <v>539</v>
      </c>
      <c r="AC208" s="463" t="s">
        <v>539</v>
      </c>
      <c r="AD208" s="472" t="s">
        <v>565</v>
      </c>
      <c r="AE208" s="463">
        <v>80</v>
      </c>
      <c r="AF208" s="463">
        <v>82.4</v>
      </c>
      <c r="AG208" s="463" t="s">
        <v>375</v>
      </c>
      <c r="AH208" s="476"/>
      <c r="AI208" s="472">
        <v>836551701</v>
      </c>
      <c r="AJ208" s="472" t="s">
        <v>792</v>
      </c>
    </row>
    <row r="209" spans="1:36" ht="24" hidden="1" customHeight="1">
      <c r="A209" s="452">
        <v>7</v>
      </c>
      <c r="B209" s="463">
        <v>172</v>
      </c>
      <c r="C209" s="464" t="s">
        <v>534</v>
      </c>
      <c r="D209" s="464"/>
      <c r="E209" s="464" t="s">
        <v>535</v>
      </c>
      <c r="F209" s="464"/>
      <c r="G209" s="464" t="s">
        <v>186</v>
      </c>
      <c r="H209" s="464" t="s">
        <v>1007</v>
      </c>
      <c r="I209" s="466">
        <v>300000</v>
      </c>
      <c r="J209" s="465" t="s">
        <v>537</v>
      </c>
      <c r="K209" s="465" t="s">
        <v>537</v>
      </c>
      <c r="L209" s="466">
        <v>300000</v>
      </c>
      <c r="M209" s="465" t="s">
        <v>537</v>
      </c>
      <c r="N209" s="465" t="s">
        <v>537</v>
      </c>
      <c r="O209" s="463" t="s">
        <v>537</v>
      </c>
      <c r="P209" s="463" t="s">
        <v>537</v>
      </c>
      <c r="Q209" s="465">
        <v>0</v>
      </c>
      <c r="R209" s="470">
        <v>241397</v>
      </c>
      <c r="S209" s="471">
        <v>22277</v>
      </c>
      <c r="T209" s="463">
        <v>0</v>
      </c>
      <c r="U209" s="463">
        <v>1720</v>
      </c>
      <c r="V209" s="463">
        <v>0</v>
      </c>
      <c r="W209" s="463">
        <v>0</v>
      </c>
      <c r="X209" s="463">
        <v>650</v>
      </c>
      <c r="Y209" s="463">
        <v>0</v>
      </c>
      <c r="Z209" s="463">
        <v>80</v>
      </c>
      <c r="AA209" s="472" t="s">
        <v>547</v>
      </c>
      <c r="AB209" s="463" t="s">
        <v>539</v>
      </c>
      <c r="AC209" s="463" t="s">
        <v>539</v>
      </c>
      <c r="AD209" s="472" t="s">
        <v>548</v>
      </c>
      <c r="AE209" s="463">
        <v>80</v>
      </c>
      <c r="AF209" s="463">
        <v>80</v>
      </c>
      <c r="AG209" s="463" t="s">
        <v>375</v>
      </c>
      <c r="AH209" s="476"/>
      <c r="AI209" s="472">
        <v>656659244</v>
      </c>
      <c r="AJ209" s="464"/>
    </row>
    <row r="210" spans="1:36" ht="24" hidden="1" customHeight="1">
      <c r="A210" s="452">
        <v>8</v>
      </c>
      <c r="B210" s="701">
        <v>173</v>
      </c>
      <c r="C210" s="699" t="s">
        <v>534</v>
      </c>
      <c r="D210" s="699"/>
      <c r="E210" s="699" t="s">
        <v>535</v>
      </c>
      <c r="F210" s="699"/>
      <c r="G210" s="699" t="s">
        <v>186</v>
      </c>
      <c r="H210" s="699" t="s">
        <v>1008</v>
      </c>
      <c r="I210" s="712">
        <v>5000000</v>
      </c>
      <c r="J210" s="709" t="s">
        <v>537</v>
      </c>
      <c r="K210" s="709" t="s">
        <v>537</v>
      </c>
      <c r="L210" s="709">
        <v>0</v>
      </c>
      <c r="M210" s="709" t="s">
        <v>537</v>
      </c>
      <c r="N210" s="709" t="s">
        <v>537</v>
      </c>
      <c r="O210" s="701" t="s">
        <v>537</v>
      </c>
      <c r="P210" s="701" t="s">
        <v>537</v>
      </c>
      <c r="Q210" s="705">
        <v>5000000</v>
      </c>
      <c r="R210" s="701" t="s">
        <v>552</v>
      </c>
      <c r="S210" s="701" t="s">
        <v>1009</v>
      </c>
      <c r="T210" s="701">
        <v>300</v>
      </c>
      <c r="U210" s="701">
        <v>300</v>
      </c>
      <c r="V210" s="701">
        <v>500</v>
      </c>
      <c r="W210" s="701">
        <v>0</v>
      </c>
      <c r="X210" s="701">
        <v>0</v>
      </c>
      <c r="Y210" s="701">
        <v>0</v>
      </c>
      <c r="Z210" s="701">
        <v>0</v>
      </c>
      <c r="AA210" s="458" t="s">
        <v>1010</v>
      </c>
      <c r="AB210" s="459">
        <v>1</v>
      </c>
      <c r="AC210" s="459">
        <v>1</v>
      </c>
      <c r="AD210" s="458" t="s">
        <v>925</v>
      </c>
      <c r="AE210" s="459">
        <v>1</v>
      </c>
      <c r="AF210" s="459">
        <v>1</v>
      </c>
      <c r="AG210" s="701" t="s">
        <v>375</v>
      </c>
      <c r="AH210" s="728"/>
      <c r="AI210" s="697" t="s">
        <v>537</v>
      </c>
      <c r="AJ210" s="699"/>
    </row>
    <row r="211" spans="1:36" ht="24" hidden="1" customHeight="1">
      <c r="A211" s="452">
        <v>9</v>
      </c>
      <c r="B211" s="715"/>
      <c r="C211" s="714"/>
      <c r="D211" s="714"/>
      <c r="E211" s="714"/>
      <c r="F211" s="714"/>
      <c r="G211" s="714"/>
      <c r="H211" s="714"/>
      <c r="I211" s="720"/>
      <c r="J211" s="717"/>
      <c r="K211" s="717"/>
      <c r="L211" s="717"/>
      <c r="M211" s="717"/>
      <c r="N211" s="717"/>
      <c r="O211" s="715"/>
      <c r="P211" s="715"/>
      <c r="Q211" s="718"/>
      <c r="R211" s="715"/>
      <c r="S211" s="715"/>
      <c r="T211" s="715"/>
      <c r="U211" s="715"/>
      <c r="V211" s="715"/>
      <c r="W211" s="715"/>
      <c r="X211" s="715"/>
      <c r="Y211" s="715"/>
      <c r="Z211" s="715"/>
      <c r="AA211" s="460" t="s">
        <v>1011</v>
      </c>
      <c r="AB211" s="461">
        <v>1</v>
      </c>
      <c r="AC211" s="461">
        <v>1</v>
      </c>
      <c r="AD211" s="460" t="s">
        <v>1012</v>
      </c>
      <c r="AE211" s="461">
        <v>1</v>
      </c>
      <c r="AF211" s="461">
        <v>1</v>
      </c>
      <c r="AG211" s="715"/>
      <c r="AH211" s="730"/>
      <c r="AI211" s="711"/>
      <c r="AJ211" s="714"/>
    </row>
    <row r="212" spans="1:36" ht="24" hidden="1" customHeight="1">
      <c r="A212" s="452">
        <v>10</v>
      </c>
      <c r="B212" s="702"/>
      <c r="C212" s="700"/>
      <c r="D212" s="700"/>
      <c r="E212" s="700"/>
      <c r="F212" s="700"/>
      <c r="G212" s="700"/>
      <c r="H212" s="700"/>
      <c r="I212" s="713"/>
      <c r="J212" s="710"/>
      <c r="K212" s="710"/>
      <c r="L212" s="710"/>
      <c r="M212" s="710"/>
      <c r="N212" s="710"/>
      <c r="O212" s="702"/>
      <c r="P212" s="702"/>
      <c r="Q212" s="706"/>
      <c r="R212" s="702"/>
      <c r="S212" s="702"/>
      <c r="T212" s="702"/>
      <c r="U212" s="702"/>
      <c r="V212" s="702"/>
      <c r="W212" s="702"/>
      <c r="X212" s="702"/>
      <c r="Y212" s="702"/>
      <c r="Z212" s="702"/>
      <c r="AA212" s="462"/>
      <c r="AB212" s="462"/>
      <c r="AC212" s="462"/>
      <c r="AD212" s="473" t="s">
        <v>1013</v>
      </c>
      <c r="AE212" s="474">
        <v>80</v>
      </c>
      <c r="AF212" s="474">
        <v>80</v>
      </c>
      <c r="AG212" s="702"/>
      <c r="AH212" s="729"/>
      <c r="AI212" s="698"/>
      <c r="AJ212" s="700"/>
    </row>
    <row r="213" spans="1:36" ht="24" hidden="1" customHeight="1">
      <c r="B213" s="701">
        <v>174</v>
      </c>
      <c r="C213" s="699" t="s">
        <v>534</v>
      </c>
      <c r="D213" s="699"/>
      <c r="E213" s="699" t="s">
        <v>535</v>
      </c>
      <c r="F213" s="699"/>
      <c r="G213" s="699" t="s">
        <v>186</v>
      </c>
      <c r="H213" s="699" t="s">
        <v>1014</v>
      </c>
      <c r="I213" s="712">
        <v>600000</v>
      </c>
      <c r="J213" s="709" t="s">
        <v>537</v>
      </c>
      <c r="K213" s="709" t="s">
        <v>537</v>
      </c>
      <c r="L213" s="709">
        <v>0</v>
      </c>
      <c r="M213" s="709" t="s">
        <v>537</v>
      </c>
      <c r="N213" s="709" t="s">
        <v>537</v>
      </c>
      <c r="O213" s="701" t="s">
        <v>537</v>
      </c>
      <c r="P213" s="701" t="s">
        <v>537</v>
      </c>
      <c r="Q213" s="705">
        <v>600000</v>
      </c>
      <c r="R213" s="701" t="s">
        <v>552</v>
      </c>
      <c r="S213" s="699"/>
      <c r="T213" s="701">
        <v>200</v>
      </c>
      <c r="U213" s="701">
        <v>70</v>
      </c>
      <c r="V213" s="701">
        <v>200</v>
      </c>
      <c r="W213" s="699"/>
      <c r="X213" s="699"/>
      <c r="Y213" s="699"/>
      <c r="Z213" s="699"/>
      <c r="AA213" s="458" t="s">
        <v>1015</v>
      </c>
      <c r="AB213" s="459" t="s">
        <v>539</v>
      </c>
      <c r="AC213" s="699"/>
      <c r="AD213" s="458" t="s">
        <v>1016</v>
      </c>
      <c r="AE213" s="459">
        <v>1</v>
      </c>
      <c r="AF213" s="699"/>
      <c r="AG213" s="701" t="s">
        <v>376</v>
      </c>
      <c r="AH213" s="728"/>
      <c r="AI213" s="697" t="s">
        <v>537</v>
      </c>
      <c r="AJ213" s="699"/>
    </row>
    <row r="214" spans="1:36" ht="24" hidden="1" customHeight="1">
      <c r="B214" s="715"/>
      <c r="C214" s="714"/>
      <c r="D214" s="714"/>
      <c r="E214" s="714"/>
      <c r="F214" s="714"/>
      <c r="G214" s="714"/>
      <c r="H214" s="714"/>
      <c r="I214" s="720"/>
      <c r="J214" s="717"/>
      <c r="K214" s="717"/>
      <c r="L214" s="717"/>
      <c r="M214" s="717"/>
      <c r="N214" s="717"/>
      <c r="O214" s="715"/>
      <c r="P214" s="715"/>
      <c r="Q214" s="718"/>
      <c r="R214" s="715"/>
      <c r="S214" s="714"/>
      <c r="T214" s="715"/>
      <c r="U214" s="715"/>
      <c r="V214" s="715"/>
      <c r="W214" s="714"/>
      <c r="X214" s="714"/>
      <c r="Y214" s="714"/>
      <c r="Z214" s="714"/>
      <c r="AA214" s="460" t="s">
        <v>1017</v>
      </c>
      <c r="AB214" s="461">
        <v>1</v>
      </c>
      <c r="AC214" s="714"/>
      <c r="AD214" s="460" t="s">
        <v>1018</v>
      </c>
      <c r="AE214" s="461">
        <v>1</v>
      </c>
      <c r="AF214" s="714"/>
      <c r="AG214" s="715"/>
      <c r="AH214" s="730"/>
      <c r="AI214" s="711"/>
      <c r="AJ214" s="714"/>
    </row>
    <row r="215" spans="1:36" ht="24" hidden="1" customHeight="1">
      <c r="B215" s="715"/>
      <c r="C215" s="714"/>
      <c r="D215" s="714"/>
      <c r="E215" s="714"/>
      <c r="F215" s="714"/>
      <c r="G215" s="714"/>
      <c r="H215" s="714"/>
      <c r="I215" s="720"/>
      <c r="J215" s="717"/>
      <c r="K215" s="717"/>
      <c r="L215" s="717"/>
      <c r="M215" s="717"/>
      <c r="N215" s="717"/>
      <c r="O215" s="715"/>
      <c r="P215" s="715"/>
      <c r="Q215" s="718"/>
      <c r="R215" s="715"/>
      <c r="S215" s="714"/>
      <c r="T215" s="715"/>
      <c r="U215" s="715"/>
      <c r="V215" s="715"/>
      <c r="W215" s="714"/>
      <c r="X215" s="714"/>
      <c r="Y215" s="714"/>
      <c r="Z215" s="714"/>
      <c r="AA215" s="460" t="s">
        <v>1019</v>
      </c>
      <c r="AB215" s="461" t="s">
        <v>634</v>
      </c>
      <c r="AC215" s="714"/>
      <c r="AD215" s="460" t="s">
        <v>1020</v>
      </c>
      <c r="AE215" s="461">
        <v>1</v>
      </c>
      <c r="AF215" s="714"/>
      <c r="AG215" s="715"/>
      <c r="AH215" s="730"/>
      <c r="AI215" s="711"/>
      <c r="AJ215" s="714"/>
    </row>
    <row r="216" spans="1:36" ht="24" hidden="1" customHeight="1">
      <c r="B216" s="702"/>
      <c r="C216" s="700"/>
      <c r="D216" s="700"/>
      <c r="E216" s="700"/>
      <c r="F216" s="700"/>
      <c r="G216" s="700"/>
      <c r="H216" s="700"/>
      <c r="I216" s="713"/>
      <c r="J216" s="710"/>
      <c r="K216" s="710"/>
      <c r="L216" s="710"/>
      <c r="M216" s="710"/>
      <c r="N216" s="710"/>
      <c r="O216" s="702"/>
      <c r="P216" s="702"/>
      <c r="Q216" s="706"/>
      <c r="R216" s="702"/>
      <c r="S216" s="700"/>
      <c r="T216" s="702"/>
      <c r="U216" s="702"/>
      <c r="V216" s="702"/>
      <c r="W216" s="700"/>
      <c r="X216" s="700"/>
      <c r="Y216" s="700"/>
      <c r="Z216" s="700"/>
      <c r="AA216" s="462"/>
      <c r="AB216" s="462"/>
      <c r="AC216" s="700"/>
      <c r="AD216" s="462"/>
      <c r="AE216" s="462"/>
      <c r="AF216" s="700"/>
      <c r="AG216" s="702"/>
      <c r="AH216" s="729"/>
      <c r="AI216" s="698"/>
      <c r="AJ216" s="700"/>
    </row>
    <row r="217" spans="1:36" ht="24" hidden="1" customHeight="1">
      <c r="B217" s="701">
        <v>175</v>
      </c>
      <c r="C217" s="699" t="s">
        <v>534</v>
      </c>
      <c r="D217" s="699"/>
      <c r="E217" s="699" t="s">
        <v>535</v>
      </c>
      <c r="F217" s="699"/>
      <c r="G217" s="699" t="s">
        <v>186</v>
      </c>
      <c r="H217" s="699" t="s">
        <v>1021</v>
      </c>
      <c r="I217" s="712">
        <v>300000</v>
      </c>
      <c r="J217" s="709" t="s">
        <v>537</v>
      </c>
      <c r="K217" s="709" t="s">
        <v>537</v>
      </c>
      <c r="L217" s="709">
        <v>0</v>
      </c>
      <c r="M217" s="709" t="s">
        <v>537</v>
      </c>
      <c r="N217" s="709" t="s">
        <v>537</v>
      </c>
      <c r="O217" s="701" t="s">
        <v>537</v>
      </c>
      <c r="P217" s="701" t="s">
        <v>537</v>
      </c>
      <c r="Q217" s="705">
        <v>300000</v>
      </c>
      <c r="R217" s="701" t="s">
        <v>1022</v>
      </c>
      <c r="S217" s="699"/>
      <c r="T217" s="701">
        <v>0</v>
      </c>
      <c r="U217" s="701">
        <v>3</v>
      </c>
      <c r="V217" s="701">
        <v>0</v>
      </c>
      <c r="W217" s="701">
        <v>0</v>
      </c>
      <c r="X217" s="701">
        <v>0</v>
      </c>
      <c r="Y217" s="701">
        <v>0</v>
      </c>
      <c r="Z217" s="699"/>
      <c r="AA217" s="458" t="s">
        <v>1023</v>
      </c>
      <c r="AB217" s="459">
        <v>1</v>
      </c>
      <c r="AC217" s="699"/>
      <c r="AD217" s="458" t="s">
        <v>651</v>
      </c>
      <c r="AE217" s="459">
        <v>1</v>
      </c>
      <c r="AF217" s="699"/>
      <c r="AG217" s="701" t="s">
        <v>376</v>
      </c>
      <c r="AH217" s="728"/>
      <c r="AI217" s="699"/>
      <c r="AJ217" s="699"/>
    </row>
    <row r="218" spans="1:36" ht="24" hidden="1" customHeight="1">
      <c r="B218" s="715"/>
      <c r="C218" s="714"/>
      <c r="D218" s="714"/>
      <c r="E218" s="714"/>
      <c r="F218" s="714"/>
      <c r="G218" s="714"/>
      <c r="H218" s="714"/>
      <c r="I218" s="720"/>
      <c r="J218" s="717"/>
      <c r="K218" s="717"/>
      <c r="L218" s="717"/>
      <c r="M218" s="717"/>
      <c r="N218" s="717"/>
      <c r="O218" s="715"/>
      <c r="P218" s="715"/>
      <c r="Q218" s="718"/>
      <c r="R218" s="715"/>
      <c r="S218" s="714"/>
      <c r="T218" s="715"/>
      <c r="U218" s="715"/>
      <c r="V218" s="715"/>
      <c r="W218" s="715"/>
      <c r="X218" s="715"/>
      <c r="Y218" s="715"/>
      <c r="Z218" s="714"/>
      <c r="AA218" s="460" t="s">
        <v>1024</v>
      </c>
      <c r="AB218" s="461">
        <v>3</v>
      </c>
      <c r="AC218" s="714"/>
      <c r="AD218" s="460" t="s">
        <v>1025</v>
      </c>
      <c r="AE218" s="461" t="s">
        <v>539</v>
      </c>
      <c r="AF218" s="714"/>
      <c r="AG218" s="715"/>
      <c r="AH218" s="730"/>
      <c r="AI218" s="714"/>
      <c r="AJ218" s="714"/>
    </row>
    <row r="219" spans="1:36" ht="24" hidden="1" customHeight="1">
      <c r="B219" s="702"/>
      <c r="C219" s="700"/>
      <c r="D219" s="700"/>
      <c r="E219" s="700"/>
      <c r="F219" s="700"/>
      <c r="G219" s="700"/>
      <c r="H219" s="700"/>
      <c r="I219" s="713"/>
      <c r="J219" s="710"/>
      <c r="K219" s="710"/>
      <c r="L219" s="710"/>
      <c r="M219" s="710"/>
      <c r="N219" s="710"/>
      <c r="O219" s="702"/>
      <c r="P219" s="702"/>
      <c r="Q219" s="706"/>
      <c r="R219" s="702"/>
      <c r="S219" s="700"/>
      <c r="T219" s="702"/>
      <c r="U219" s="702"/>
      <c r="V219" s="702"/>
      <c r="W219" s="702"/>
      <c r="X219" s="702"/>
      <c r="Y219" s="702"/>
      <c r="Z219" s="700"/>
      <c r="AA219" s="462"/>
      <c r="AB219" s="462"/>
      <c r="AC219" s="700"/>
      <c r="AD219" s="462"/>
      <c r="AE219" s="462"/>
      <c r="AF219" s="700"/>
      <c r="AG219" s="702"/>
      <c r="AH219" s="729"/>
      <c r="AI219" s="700"/>
      <c r="AJ219" s="700"/>
    </row>
    <row r="220" spans="1:36" ht="24" hidden="1" customHeight="1">
      <c r="B220" s="701">
        <v>176</v>
      </c>
      <c r="C220" s="699" t="s">
        <v>534</v>
      </c>
      <c r="D220" s="699"/>
      <c r="E220" s="699" t="s">
        <v>535</v>
      </c>
      <c r="F220" s="699"/>
      <c r="G220" s="699" t="s">
        <v>186</v>
      </c>
      <c r="H220" s="699" t="s">
        <v>1026</v>
      </c>
      <c r="I220" s="712">
        <v>20000</v>
      </c>
      <c r="J220" s="709" t="s">
        <v>537</v>
      </c>
      <c r="K220" s="709" t="s">
        <v>537</v>
      </c>
      <c r="L220" s="712">
        <v>10500</v>
      </c>
      <c r="M220" s="709" t="s">
        <v>537</v>
      </c>
      <c r="N220" s="709" t="s">
        <v>537</v>
      </c>
      <c r="O220" s="701" t="s">
        <v>537</v>
      </c>
      <c r="P220" s="701" t="s">
        <v>537</v>
      </c>
      <c r="Q220" s="705">
        <v>9500</v>
      </c>
      <c r="R220" s="707">
        <v>241459</v>
      </c>
      <c r="S220" s="721">
        <v>22338</v>
      </c>
      <c r="T220" s="701">
        <v>0</v>
      </c>
      <c r="U220" s="701">
        <v>20</v>
      </c>
      <c r="V220" s="701">
        <v>0</v>
      </c>
      <c r="W220" s="701">
        <v>24</v>
      </c>
      <c r="X220" s="701">
        <v>9</v>
      </c>
      <c r="Y220" s="701">
        <v>2</v>
      </c>
      <c r="Z220" s="701">
        <v>90</v>
      </c>
      <c r="AA220" s="697" t="s">
        <v>547</v>
      </c>
      <c r="AB220" s="701" t="s">
        <v>539</v>
      </c>
      <c r="AC220" s="701" t="s">
        <v>539</v>
      </c>
      <c r="AD220" s="458" t="s">
        <v>548</v>
      </c>
      <c r="AE220" s="459">
        <v>80</v>
      </c>
      <c r="AF220" s="459">
        <v>90</v>
      </c>
      <c r="AG220" s="701" t="s">
        <v>375</v>
      </c>
      <c r="AH220" s="728"/>
      <c r="AI220" s="697" t="s">
        <v>1027</v>
      </c>
      <c r="AJ220" s="699"/>
    </row>
    <row r="221" spans="1:36" ht="24" hidden="1" customHeight="1">
      <c r="B221" s="702"/>
      <c r="C221" s="700"/>
      <c r="D221" s="700"/>
      <c r="E221" s="700"/>
      <c r="F221" s="700"/>
      <c r="G221" s="700"/>
      <c r="H221" s="700"/>
      <c r="I221" s="713"/>
      <c r="J221" s="710"/>
      <c r="K221" s="710"/>
      <c r="L221" s="713"/>
      <c r="M221" s="710"/>
      <c r="N221" s="710"/>
      <c r="O221" s="702"/>
      <c r="P221" s="702"/>
      <c r="Q221" s="706"/>
      <c r="R221" s="708"/>
      <c r="S221" s="722"/>
      <c r="T221" s="702"/>
      <c r="U221" s="702"/>
      <c r="V221" s="702"/>
      <c r="W221" s="702"/>
      <c r="X221" s="702"/>
      <c r="Y221" s="702"/>
      <c r="Z221" s="702"/>
      <c r="AA221" s="698"/>
      <c r="AB221" s="702"/>
      <c r="AC221" s="702"/>
      <c r="AD221" s="473" t="s">
        <v>1028</v>
      </c>
      <c r="AE221" s="474">
        <v>85</v>
      </c>
      <c r="AF221" s="474">
        <v>90</v>
      </c>
      <c r="AG221" s="702"/>
      <c r="AH221" s="729"/>
      <c r="AI221" s="698"/>
      <c r="AJ221" s="700"/>
    </row>
    <row r="222" spans="1:36" ht="24" hidden="1" customHeight="1">
      <c r="B222" s="701">
        <v>177</v>
      </c>
      <c r="C222" s="699" t="s">
        <v>534</v>
      </c>
      <c r="D222" s="699"/>
      <c r="E222" s="699" t="s">
        <v>535</v>
      </c>
      <c r="F222" s="699"/>
      <c r="G222" s="699" t="s">
        <v>186</v>
      </c>
      <c r="H222" s="699" t="s">
        <v>1029</v>
      </c>
      <c r="I222" s="712">
        <v>30000</v>
      </c>
      <c r="J222" s="709" t="s">
        <v>537</v>
      </c>
      <c r="K222" s="709" t="s">
        <v>537</v>
      </c>
      <c r="L222" s="712">
        <v>29870</v>
      </c>
      <c r="M222" s="709" t="s">
        <v>537</v>
      </c>
      <c r="N222" s="709" t="s">
        <v>537</v>
      </c>
      <c r="O222" s="701" t="s">
        <v>537</v>
      </c>
      <c r="P222" s="701" t="s">
        <v>537</v>
      </c>
      <c r="Q222" s="709">
        <v>130</v>
      </c>
      <c r="R222" s="701" t="s">
        <v>643</v>
      </c>
      <c r="S222" s="701" t="s">
        <v>1030</v>
      </c>
      <c r="T222" s="701">
        <v>0</v>
      </c>
      <c r="U222" s="701">
        <v>15</v>
      </c>
      <c r="V222" s="701">
        <v>0</v>
      </c>
      <c r="W222" s="701">
        <v>0</v>
      </c>
      <c r="X222" s="701">
        <v>35</v>
      </c>
      <c r="Y222" s="701">
        <v>2</v>
      </c>
      <c r="Z222" s="701">
        <v>80</v>
      </c>
      <c r="AA222" s="458" t="s">
        <v>547</v>
      </c>
      <c r="AB222" s="459" t="s">
        <v>539</v>
      </c>
      <c r="AC222" s="459" t="s">
        <v>539</v>
      </c>
      <c r="AD222" s="458" t="s">
        <v>1031</v>
      </c>
      <c r="AE222" s="459">
        <v>1</v>
      </c>
      <c r="AF222" s="459">
        <v>1</v>
      </c>
      <c r="AG222" s="701" t="s">
        <v>375</v>
      </c>
      <c r="AH222" s="728"/>
      <c r="AI222" s="697">
        <v>815697303</v>
      </c>
      <c r="AJ222" s="699"/>
    </row>
    <row r="223" spans="1:36" ht="24" hidden="1" customHeight="1">
      <c r="B223" s="702"/>
      <c r="C223" s="700"/>
      <c r="D223" s="700"/>
      <c r="E223" s="700"/>
      <c r="F223" s="700"/>
      <c r="G223" s="700"/>
      <c r="H223" s="700"/>
      <c r="I223" s="713"/>
      <c r="J223" s="710"/>
      <c r="K223" s="710"/>
      <c r="L223" s="713"/>
      <c r="M223" s="710"/>
      <c r="N223" s="710"/>
      <c r="O223" s="702"/>
      <c r="P223" s="702"/>
      <c r="Q223" s="710"/>
      <c r="R223" s="702"/>
      <c r="S223" s="702"/>
      <c r="T223" s="702"/>
      <c r="U223" s="702"/>
      <c r="V223" s="702"/>
      <c r="W223" s="702"/>
      <c r="X223" s="702"/>
      <c r="Y223" s="702"/>
      <c r="Z223" s="702"/>
      <c r="AA223" s="473" t="s">
        <v>1032</v>
      </c>
      <c r="AB223" s="474">
        <v>2</v>
      </c>
      <c r="AC223" s="474">
        <v>2</v>
      </c>
      <c r="AD223" s="473" t="s">
        <v>1033</v>
      </c>
      <c r="AE223" s="474" t="s">
        <v>539</v>
      </c>
      <c r="AF223" s="474" t="s">
        <v>539</v>
      </c>
      <c r="AG223" s="702"/>
      <c r="AH223" s="729"/>
      <c r="AI223" s="698"/>
      <c r="AJ223" s="700"/>
    </row>
    <row r="224" spans="1:36" ht="24" hidden="1" customHeight="1">
      <c r="B224" s="701">
        <v>178</v>
      </c>
      <c r="C224" s="699" t="s">
        <v>534</v>
      </c>
      <c r="D224" s="699"/>
      <c r="E224" s="699" t="s">
        <v>535</v>
      </c>
      <c r="F224" s="699"/>
      <c r="G224" s="699" t="s">
        <v>186</v>
      </c>
      <c r="H224" s="699" t="s">
        <v>1034</v>
      </c>
      <c r="I224" s="712">
        <v>20000</v>
      </c>
      <c r="J224" s="709" t="s">
        <v>537</v>
      </c>
      <c r="K224" s="709" t="s">
        <v>537</v>
      </c>
      <c r="L224" s="712">
        <v>8400</v>
      </c>
      <c r="M224" s="709" t="s">
        <v>537</v>
      </c>
      <c r="N224" s="709" t="s">
        <v>537</v>
      </c>
      <c r="O224" s="701" t="s">
        <v>537</v>
      </c>
      <c r="P224" s="701" t="s">
        <v>537</v>
      </c>
      <c r="Q224" s="705">
        <v>11600</v>
      </c>
      <c r="R224" s="701" t="s">
        <v>643</v>
      </c>
      <c r="S224" s="701" t="s">
        <v>969</v>
      </c>
      <c r="T224" s="701">
        <v>0</v>
      </c>
      <c r="U224" s="701">
        <v>15</v>
      </c>
      <c r="V224" s="701">
        <v>0</v>
      </c>
      <c r="W224" s="701">
        <v>0</v>
      </c>
      <c r="X224" s="701">
        <v>22</v>
      </c>
      <c r="Y224" s="701">
        <v>2</v>
      </c>
      <c r="Z224" s="701">
        <v>80</v>
      </c>
      <c r="AA224" s="458" t="s">
        <v>1002</v>
      </c>
      <c r="AB224" s="459">
        <v>1</v>
      </c>
      <c r="AC224" s="459">
        <v>2</v>
      </c>
      <c r="AD224" s="697" t="s">
        <v>548</v>
      </c>
      <c r="AE224" s="701">
        <v>80</v>
      </c>
      <c r="AF224" s="701">
        <v>80</v>
      </c>
      <c r="AG224" s="701" t="s">
        <v>375</v>
      </c>
      <c r="AH224" s="728"/>
      <c r="AI224" s="697">
        <v>815697303</v>
      </c>
      <c r="AJ224" s="699"/>
    </row>
    <row r="225" spans="2:36" ht="24" hidden="1" customHeight="1">
      <c r="B225" s="702"/>
      <c r="C225" s="700"/>
      <c r="D225" s="700"/>
      <c r="E225" s="700"/>
      <c r="F225" s="700"/>
      <c r="G225" s="700"/>
      <c r="H225" s="700"/>
      <c r="I225" s="713"/>
      <c r="J225" s="710"/>
      <c r="K225" s="710"/>
      <c r="L225" s="713"/>
      <c r="M225" s="710"/>
      <c r="N225" s="710"/>
      <c r="O225" s="702"/>
      <c r="P225" s="702"/>
      <c r="Q225" s="706"/>
      <c r="R225" s="702"/>
      <c r="S225" s="702"/>
      <c r="T225" s="702"/>
      <c r="U225" s="702"/>
      <c r="V225" s="702"/>
      <c r="W225" s="702"/>
      <c r="X225" s="702"/>
      <c r="Y225" s="702"/>
      <c r="Z225" s="702"/>
      <c r="AA225" s="473" t="s">
        <v>1035</v>
      </c>
      <c r="AB225" s="474">
        <v>1</v>
      </c>
      <c r="AC225" s="474">
        <v>2</v>
      </c>
      <c r="AD225" s="698"/>
      <c r="AE225" s="702"/>
      <c r="AF225" s="702"/>
      <c r="AG225" s="702"/>
      <c r="AH225" s="729"/>
      <c r="AI225" s="698"/>
      <c r="AJ225" s="700"/>
    </row>
    <row r="226" spans="2:36" ht="24" hidden="1" customHeight="1">
      <c r="B226" s="701">
        <v>179</v>
      </c>
      <c r="C226" s="699" t="s">
        <v>534</v>
      </c>
      <c r="D226" s="699"/>
      <c r="E226" s="699" t="s">
        <v>535</v>
      </c>
      <c r="F226" s="699"/>
      <c r="G226" s="699" t="s">
        <v>186</v>
      </c>
      <c r="H226" s="699" t="s">
        <v>1036</v>
      </c>
      <c r="I226" s="712">
        <v>30000</v>
      </c>
      <c r="J226" s="709" t="s">
        <v>537</v>
      </c>
      <c r="K226" s="709" t="s">
        <v>537</v>
      </c>
      <c r="L226" s="712">
        <v>21310</v>
      </c>
      <c r="M226" s="709" t="s">
        <v>537</v>
      </c>
      <c r="N226" s="709" t="s">
        <v>537</v>
      </c>
      <c r="O226" s="701" t="s">
        <v>537</v>
      </c>
      <c r="P226" s="701" t="s">
        <v>537</v>
      </c>
      <c r="Q226" s="705">
        <v>8690</v>
      </c>
      <c r="R226" s="707">
        <v>241579</v>
      </c>
      <c r="S226" s="701" t="s">
        <v>988</v>
      </c>
      <c r="T226" s="701">
        <v>0</v>
      </c>
      <c r="U226" s="701">
        <v>20</v>
      </c>
      <c r="V226" s="701">
        <v>0</v>
      </c>
      <c r="W226" s="701">
        <v>0</v>
      </c>
      <c r="X226" s="701">
        <v>23</v>
      </c>
      <c r="Y226" s="701">
        <v>0</v>
      </c>
      <c r="Z226" s="701">
        <v>80</v>
      </c>
      <c r="AA226" s="458" t="s">
        <v>547</v>
      </c>
      <c r="AB226" s="459" t="s">
        <v>539</v>
      </c>
      <c r="AC226" s="459" t="s">
        <v>539</v>
      </c>
      <c r="AD226" s="458" t="s">
        <v>548</v>
      </c>
      <c r="AE226" s="459">
        <v>80</v>
      </c>
      <c r="AF226" s="459">
        <v>90</v>
      </c>
      <c r="AG226" s="701" t="s">
        <v>375</v>
      </c>
      <c r="AH226" s="728"/>
      <c r="AI226" s="697">
        <v>815697303</v>
      </c>
      <c r="AJ226" s="699"/>
    </row>
    <row r="227" spans="2:36" ht="24" hidden="1" customHeight="1">
      <c r="B227" s="702"/>
      <c r="C227" s="700"/>
      <c r="D227" s="700"/>
      <c r="E227" s="700"/>
      <c r="F227" s="700"/>
      <c r="G227" s="700"/>
      <c r="H227" s="700"/>
      <c r="I227" s="713"/>
      <c r="J227" s="710"/>
      <c r="K227" s="710"/>
      <c r="L227" s="713"/>
      <c r="M227" s="710"/>
      <c r="N227" s="710"/>
      <c r="O227" s="702"/>
      <c r="P227" s="702"/>
      <c r="Q227" s="706"/>
      <c r="R227" s="708"/>
      <c r="S227" s="702"/>
      <c r="T227" s="702"/>
      <c r="U227" s="702"/>
      <c r="V227" s="702"/>
      <c r="W227" s="702"/>
      <c r="X227" s="702"/>
      <c r="Y227" s="702"/>
      <c r="Z227" s="702"/>
      <c r="AA227" s="473" t="s">
        <v>1037</v>
      </c>
      <c r="AB227" s="474">
        <v>80</v>
      </c>
      <c r="AC227" s="474">
        <v>90</v>
      </c>
      <c r="AD227" s="473" t="s">
        <v>1028</v>
      </c>
      <c r="AE227" s="474">
        <v>85</v>
      </c>
      <c r="AF227" s="474">
        <v>90</v>
      </c>
      <c r="AG227" s="702"/>
      <c r="AH227" s="729"/>
      <c r="AI227" s="698"/>
      <c r="AJ227" s="700"/>
    </row>
    <row r="228" spans="2:36" ht="24" hidden="1" customHeight="1">
      <c r="B228" s="463">
        <v>180</v>
      </c>
      <c r="C228" s="464" t="s">
        <v>534</v>
      </c>
      <c r="D228" s="464"/>
      <c r="E228" s="464" t="s">
        <v>535</v>
      </c>
      <c r="F228" s="464"/>
      <c r="G228" s="464" t="s">
        <v>186</v>
      </c>
      <c r="H228" s="464" t="s">
        <v>1038</v>
      </c>
      <c r="I228" s="465" t="s">
        <v>537</v>
      </c>
      <c r="J228" s="465" t="s">
        <v>537</v>
      </c>
      <c r="K228" s="466">
        <v>67500</v>
      </c>
      <c r="L228" s="465" t="s">
        <v>537</v>
      </c>
      <c r="M228" s="465" t="s">
        <v>537</v>
      </c>
      <c r="N228" s="466">
        <v>67500</v>
      </c>
      <c r="O228" s="463" t="s">
        <v>537</v>
      </c>
      <c r="P228" s="463" t="s">
        <v>537</v>
      </c>
      <c r="Q228" s="465">
        <v>0</v>
      </c>
      <c r="R228" s="470">
        <v>241671</v>
      </c>
      <c r="S228" s="471">
        <v>22545</v>
      </c>
      <c r="T228" s="463">
        <v>0</v>
      </c>
      <c r="U228" s="463">
        <v>15</v>
      </c>
      <c r="V228" s="463">
        <v>0</v>
      </c>
      <c r="W228" s="464"/>
      <c r="X228" s="463">
        <v>15</v>
      </c>
      <c r="Y228" s="464"/>
      <c r="Z228" s="463">
        <v>90</v>
      </c>
      <c r="AA228" s="472" t="s">
        <v>1039</v>
      </c>
      <c r="AB228" s="463" t="s">
        <v>539</v>
      </c>
      <c r="AC228" s="463" t="s">
        <v>1040</v>
      </c>
      <c r="AD228" s="472" t="s">
        <v>1041</v>
      </c>
      <c r="AE228" s="463">
        <v>15</v>
      </c>
      <c r="AF228" s="463">
        <v>15</v>
      </c>
      <c r="AG228" s="463" t="s">
        <v>375</v>
      </c>
      <c r="AH228" s="476"/>
      <c r="AI228" s="472">
        <v>74317126</v>
      </c>
      <c r="AJ228" s="472" t="s">
        <v>792</v>
      </c>
    </row>
    <row r="229" spans="2:36" ht="24" hidden="1" customHeight="1">
      <c r="B229" s="701">
        <v>181</v>
      </c>
      <c r="C229" s="699" t="s">
        <v>337</v>
      </c>
      <c r="D229" s="699"/>
      <c r="E229" s="699" t="s">
        <v>545</v>
      </c>
      <c r="F229" s="699"/>
      <c r="G229" s="699" t="s">
        <v>186</v>
      </c>
      <c r="H229" s="699" t="s">
        <v>1042</v>
      </c>
      <c r="I229" s="712">
        <v>200000</v>
      </c>
      <c r="J229" s="709" t="s">
        <v>537</v>
      </c>
      <c r="K229" s="709" t="s">
        <v>537</v>
      </c>
      <c r="L229" s="709">
        <v>0</v>
      </c>
      <c r="M229" s="709" t="s">
        <v>537</v>
      </c>
      <c r="N229" s="709" t="s">
        <v>537</v>
      </c>
      <c r="O229" s="701" t="s">
        <v>537</v>
      </c>
      <c r="P229" s="701" t="s">
        <v>537</v>
      </c>
      <c r="Q229" s="705">
        <v>200000</v>
      </c>
      <c r="R229" s="701" t="s">
        <v>552</v>
      </c>
      <c r="S229" s="699"/>
      <c r="T229" s="701">
        <v>0</v>
      </c>
      <c r="U229" s="701">
        <v>10</v>
      </c>
      <c r="V229" s="701">
        <v>100</v>
      </c>
      <c r="W229" s="699"/>
      <c r="X229" s="699"/>
      <c r="Y229" s="699"/>
      <c r="Z229" s="699"/>
      <c r="AA229" s="458" t="s">
        <v>554</v>
      </c>
      <c r="AB229" s="459" t="s">
        <v>539</v>
      </c>
      <c r="AC229" s="699"/>
      <c r="AD229" s="458" t="s">
        <v>986</v>
      </c>
      <c r="AE229" s="459">
        <v>80</v>
      </c>
      <c r="AF229" s="699"/>
      <c r="AG229" s="701" t="s">
        <v>376</v>
      </c>
      <c r="AH229" s="728"/>
      <c r="AI229" s="697">
        <v>869949008</v>
      </c>
      <c r="AJ229" s="699"/>
    </row>
    <row r="230" spans="2:36" ht="24" hidden="1" customHeight="1">
      <c r="B230" s="715"/>
      <c r="C230" s="714"/>
      <c r="D230" s="714"/>
      <c r="E230" s="714"/>
      <c r="F230" s="714"/>
      <c r="G230" s="714"/>
      <c r="H230" s="714"/>
      <c r="I230" s="720"/>
      <c r="J230" s="717"/>
      <c r="K230" s="717"/>
      <c r="L230" s="717"/>
      <c r="M230" s="717"/>
      <c r="N230" s="717"/>
      <c r="O230" s="715"/>
      <c r="P230" s="715"/>
      <c r="Q230" s="718"/>
      <c r="R230" s="715"/>
      <c r="S230" s="714"/>
      <c r="T230" s="715"/>
      <c r="U230" s="715"/>
      <c r="V230" s="715"/>
      <c r="W230" s="714"/>
      <c r="X230" s="714"/>
      <c r="Y230" s="714"/>
      <c r="Z230" s="714"/>
      <c r="AA230" s="460" t="s">
        <v>1043</v>
      </c>
      <c r="AB230" s="461" t="s">
        <v>539</v>
      </c>
      <c r="AC230" s="714"/>
      <c r="AD230" s="460" t="s">
        <v>1044</v>
      </c>
      <c r="AE230" s="461">
        <v>10</v>
      </c>
      <c r="AF230" s="714"/>
      <c r="AG230" s="715"/>
      <c r="AH230" s="730"/>
      <c r="AI230" s="711"/>
      <c r="AJ230" s="714"/>
    </row>
    <row r="231" spans="2:36" ht="24" hidden="1" customHeight="1">
      <c r="B231" s="702"/>
      <c r="C231" s="700"/>
      <c r="D231" s="700"/>
      <c r="E231" s="700"/>
      <c r="F231" s="700"/>
      <c r="G231" s="700"/>
      <c r="H231" s="700"/>
      <c r="I231" s="713"/>
      <c r="J231" s="710"/>
      <c r="K231" s="710"/>
      <c r="L231" s="710"/>
      <c r="M231" s="710"/>
      <c r="N231" s="710"/>
      <c r="O231" s="702"/>
      <c r="P231" s="702"/>
      <c r="Q231" s="706"/>
      <c r="R231" s="702"/>
      <c r="S231" s="700"/>
      <c r="T231" s="702"/>
      <c r="U231" s="702"/>
      <c r="V231" s="702"/>
      <c r="W231" s="700"/>
      <c r="X231" s="700"/>
      <c r="Y231" s="700"/>
      <c r="Z231" s="700"/>
      <c r="AA231" s="462"/>
      <c r="AB231" s="462"/>
      <c r="AC231" s="700"/>
      <c r="AD231" s="462"/>
      <c r="AE231" s="462"/>
      <c r="AF231" s="700"/>
      <c r="AG231" s="702"/>
      <c r="AH231" s="729"/>
      <c r="AI231" s="698"/>
      <c r="AJ231" s="700"/>
    </row>
    <row r="232" spans="2:36" ht="24" hidden="1" customHeight="1">
      <c r="B232" s="701">
        <v>182</v>
      </c>
      <c r="C232" s="699" t="s">
        <v>337</v>
      </c>
      <c r="D232" s="699"/>
      <c r="E232" s="699" t="s">
        <v>545</v>
      </c>
      <c r="F232" s="699"/>
      <c r="G232" s="699" t="s">
        <v>186</v>
      </c>
      <c r="H232" s="699" t="s">
        <v>1045</v>
      </c>
      <c r="I232" s="712">
        <v>175000</v>
      </c>
      <c r="J232" s="709" t="s">
        <v>537</v>
      </c>
      <c r="K232" s="709" t="s">
        <v>537</v>
      </c>
      <c r="L232" s="709">
        <v>0</v>
      </c>
      <c r="M232" s="709" t="s">
        <v>537</v>
      </c>
      <c r="N232" s="709" t="s">
        <v>537</v>
      </c>
      <c r="O232" s="701" t="s">
        <v>537</v>
      </c>
      <c r="P232" s="701" t="s">
        <v>537</v>
      </c>
      <c r="Q232" s="705">
        <v>175000</v>
      </c>
      <c r="R232" s="701" t="s">
        <v>552</v>
      </c>
      <c r="S232" s="699"/>
      <c r="T232" s="701">
        <v>0</v>
      </c>
      <c r="U232" s="701">
        <v>20</v>
      </c>
      <c r="V232" s="701">
        <v>100</v>
      </c>
      <c r="W232" s="699"/>
      <c r="X232" s="699"/>
      <c r="Y232" s="699"/>
      <c r="Z232" s="699"/>
      <c r="AA232" s="458" t="s">
        <v>554</v>
      </c>
      <c r="AB232" s="459" t="s">
        <v>539</v>
      </c>
      <c r="AC232" s="699"/>
      <c r="AD232" s="458" t="s">
        <v>986</v>
      </c>
      <c r="AE232" s="459">
        <v>80</v>
      </c>
      <c r="AF232" s="699"/>
      <c r="AG232" s="701" t="s">
        <v>376</v>
      </c>
      <c r="AH232" s="728"/>
      <c r="AI232" s="697">
        <v>869949008</v>
      </c>
      <c r="AJ232" s="699"/>
    </row>
    <row r="233" spans="2:36" ht="24" hidden="1" customHeight="1">
      <c r="B233" s="715"/>
      <c r="C233" s="714"/>
      <c r="D233" s="714"/>
      <c r="E233" s="714"/>
      <c r="F233" s="714"/>
      <c r="G233" s="714"/>
      <c r="H233" s="714"/>
      <c r="I233" s="720"/>
      <c r="J233" s="717"/>
      <c r="K233" s="717"/>
      <c r="L233" s="717"/>
      <c r="M233" s="717"/>
      <c r="N233" s="717"/>
      <c r="O233" s="715"/>
      <c r="P233" s="715"/>
      <c r="Q233" s="718"/>
      <c r="R233" s="715"/>
      <c r="S233" s="714"/>
      <c r="T233" s="715"/>
      <c r="U233" s="715"/>
      <c r="V233" s="715"/>
      <c r="W233" s="714"/>
      <c r="X233" s="714"/>
      <c r="Y233" s="714"/>
      <c r="Z233" s="714"/>
      <c r="AA233" s="460" t="s">
        <v>1046</v>
      </c>
      <c r="AB233" s="461" t="s">
        <v>539</v>
      </c>
      <c r="AC233" s="714"/>
      <c r="AD233" s="460" t="s">
        <v>1047</v>
      </c>
      <c r="AE233" s="461">
        <v>6</v>
      </c>
      <c r="AF233" s="714"/>
      <c r="AG233" s="715"/>
      <c r="AH233" s="730"/>
      <c r="AI233" s="711"/>
      <c r="AJ233" s="714"/>
    </row>
    <row r="234" spans="2:36" ht="24" hidden="1" customHeight="1">
      <c r="B234" s="715"/>
      <c r="C234" s="714"/>
      <c r="D234" s="714"/>
      <c r="E234" s="714"/>
      <c r="F234" s="714"/>
      <c r="G234" s="714"/>
      <c r="H234" s="714"/>
      <c r="I234" s="720"/>
      <c r="J234" s="717"/>
      <c r="K234" s="717"/>
      <c r="L234" s="717"/>
      <c r="M234" s="717"/>
      <c r="N234" s="717"/>
      <c r="O234" s="715"/>
      <c r="P234" s="715"/>
      <c r="Q234" s="718"/>
      <c r="R234" s="715"/>
      <c r="S234" s="714"/>
      <c r="T234" s="715"/>
      <c r="U234" s="715"/>
      <c r="V234" s="715"/>
      <c r="W234" s="714"/>
      <c r="X234" s="714"/>
      <c r="Y234" s="714"/>
      <c r="Z234" s="714"/>
      <c r="AA234" s="477"/>
      <c r="AB234" s="477"/>
      <c r="AC234" s="714"/>
      <c r="AD234" s="460" t="s">
        <v>1048</v>
      </c>
      <c r="AE234" s="461" t="s">
        <v>539</v>
      </c>
      <c r="AF234" s="714"/>
      <c r="AG234" s="715"/>
      <c r="AH234" s="730"/>
      <c r="AI234" s="711"/>
      <c r="AJ234" s="714"/>
    </row>
    <row r="235" spans="2:36" ht="24" hidden="1" customHeight="1">
      <c r="B235" s="702"/>
      <c r="C235" s="700"/>
      <c r="D235" s="700"/>
      <c r="E235" s="700"/>
      <c r="F235" s="700"/>
      <c r="G235" s="700"/>
      <c r="H235" s="700"/>
      <c r="I235" s="713"/>
      <c r="J235" s="710"/>
      <c r="K235" s="710"/>
      <c r="L235" s="710"/>
      <c r="M235" s="710"/>
      <c r="N235" s="710"/>
      <c r="O235" s="702"/>
      <c r="P235" s="702"/>
      <c r="Q235" s="706"/>
      <c r="R235" s="702"/>
      <c r="S235" s="700"/>
      <c r="T235" s="702"/>
      <c r="U235" s="702"/>
      <c r="V235" s="702"/>
      <c r="W235" s="700"/>
      <c r="X235" s="700"/>
      <c r="Y235" s="700"/>
      <c r="Z235" s="700"/>
      <c r="AA235" s="462"/>
      <c r="AB235" s="462"/>
      <c r="AC235" s="700"/>
      <c r="AD235" s="462"/>
      <c r="AE235" s="462"/>
      <c r="AF235" s="700"/>
      <c r="AG235" s="702"/>
      <c r="AH235" s="729"/>
      <c r="AI235" s="698"/>
      <c r="AJ235" s="700"/>
    </row>
    <row r="236" spans="2:36" ht="24" hidden="1" customHeight="1">
      <c r="B236" s="701">
        <v>183</v>
      </c>
      <c r="C236" s="699" t="s">
        <v>337</v>
      </c>
      <c r="D236" s="699"/>
      <c r="E236" s="699" t="s">
        <v>545</v>
      </c>
      <c r="F236" s="699"/>
      <c r="G236" s="699" t="s">
        <v>186</v>
      </c>
      <c r="H236" s="699" t="s">
        <v>1049</v>
      </c>
      <c r="I236" s="712">
        <v>100000</v>
      </c>
      <c r="J236" s="709" t="s">
        <v>537</v>
      </c>
      <c r="K236" s="709" t="s">
        <v>537</v>
      </c>
      <c r="L236" s="709">
        <v>0</v>
      </c>
      <c r="M236" s="709" t="s">
        <v>537</v>
      </c>
      <c r="N236" s="709" t="s">
        <v>537</v>
      </c>
      <c r="O236" s="701" t="s">
        <v>537</v>
      </c>
      <c r="P236" s="701" t="s">
        <v>537</v>
      </c>
      <c r="Q236" s="705">
        <v>100000</v>
      </c>
      <c r="R236" s="701" t="s">
        <v>552</v>
      </c>
      <c r="S236" s="699"/>
      <c r="T236" s="701">
        <v>0</v>
      </c>
      <c r="U236" s="701">
        <v>10</v>
      </c>
      <c r="V236" s="701">
        <v>100</v>
      </c>
      <c r="W236" s="699"/>
      <c r="X236" s="699"/>
      <c r="Y236" s="699"/>
      <c r="Z236" s="699"/>
      <c r="AA236" s="458" t="s">
        <v>554</v>
      </c>
      <c r="AB236" s="459" t="s">
        <v>539</v>
      </c>
      <c r="AC236" s="699"/>
      <c r="AD236" s="458" t="s">
        <v>986</v>
      </c>
      <c r="AE236" s="459">
        <v>80</v>
      </c>
      <c r="AF236" s="699"/>
      <c r="AG236" s="701" t="s">
        <v>376</v>
      </c>
      <c r="AH236" s="728"/>
      <c r="AI236" s="697">
        <v>869949008</v>
      </c>
      <c r="AJ236" s="699"/>
    </row>
    <row r="237" spans="2:36" ht="24" hidden="1" customHeight="1">
      <c r="B237" s="715"/>
      <c r="C237" s="714"/>
      <c r="D237" s="714"/>
      <c r="E237" s="714"/>
      <c r="F237" s="714"/>
      <c r="G237" s="714"/>
      <c r="H237" s="714"/>
      <c r="I237" s="720"/>
      <c r="J237" s="717"/>
      <c r="K237" s="717"/>
      <c r="L237" s="717"/>
      <c r="M237" s="717"/>
      <c r="N237" s="717"/>
      <c r="O237" s="715"/>
      <c r="P237" s="715"/>
      <c r="Q237" s="718"/>
      <c r="R237" s="715"/>
      <c r="S237" s="714"/>
      <c r="T237" s="715"/>
      <c r="U237" s="715"/>
      <c r="V237" s="715"/>
      <c r="W237" s="714"/>
      <c r="X237" s="714"/>
      <c r="Y237" s="714"/>
      <c r="Z237" s="714"/>
      <c r="AA237" s="460" t="s">
        <v>1046</v>
      </c>
      <c r="AB237" s="461" t="s">
        <v>539</v>
      </c>
      <c r="AC237" s="714"/>
      <c r="AD237" s="460" t="s">
        <v>1050</v>
      </c>
      <c r="AE237" s="461">
        <v>3</v>
      </c>
      <c r="AF237" s="714"/>
      <c r="AG237" s="715"/>
      <c r="AH237" s="730"/>
      <c r="AI237" s="711"/>
      <c r="AJ237" s="714"/>
    </row>
    <row r="238" spans="2:36" ht="24" hidden="1" customHeight="1">
      <c r="B238" s="715"/>
      <c r="C238" s="714"/>
      <c r="D238" s="714"/>
      <c r="E238" s="714"/>
      <c r="F238" s="714"/>
      <c r="G238" s="714"/>
      <c r="H238" s="714"/>
      <c r="I238" s="720"/>
      <c r="J238" s="717"/>
      <c r="K238" s="717"/>
      <c r="L238" s="717"/>
      <c r="M238" s="717"/>
      <c r="N238" s="717"/>
      <c r="O238" s="715"/>
      <c r="P238" s="715"/>
      <c r="Q238" s="718"/>
      <c r="R238" s="715"/>
      <c r="S238" s="714"/>
      <c r="T238" s="715"/>
      <c r="U238" s="715"/>
      <c r="V238" s="715"/>
      <c r="W238" s="714"/>
      <c r="X238" s="714"/>
      <c r="Y238" s="714"/>
      <c r="Z238" s="714"/>
      <c r="AA238" s="477"/>
      <c r="AB238" s="477"/>
      <c r="AC238" s="714"/>
      <c r="AD238" s="460" t="s">
        <v>1048</v>
      </c>
      <c r="AE238" s="461" t="s">
        <v>539</v>
      </c>
      <c r="AF238" s="714"/>
      <c r="AG238" s="715"/>
      <c r="AH238" s="730"/>
      <c r="AI238" s="711"/>
      <c r="AJ238" s="714"/>
    </row>
    <row r="239" spans="2:36" ht="24" hidden="1" customHeight="1">
      <c r="B239" s="715"/>
      <c r="C239" s="714"/>
      <c r="D239" s="714"/>
      <c r="E239" s="714"/>
      <c r="F239" s="714"/>
      <c r="G239" s="714"/>
      <c r="H239" s="714"/>
      <c r="I239" s="720"/>
      <c r="J239" s="717"/>
      <c r="K239" s="717"/>
      <c r="L239" s="717"/>
      <c r="M239" s="717"/>
      <c r="N239" s="717"/>
      <c r="O239" s="715"/>
      <c r="P239" s="715"/>
      <c r="Q239" s="718"/>
      <c r="R239" s="715"/>
      <c r="S239" s="714"/>
      <c r="T239" s="715"/>
      <c r="U239" s="715"/>
      <c r="V239" s="715"/>
      <c r="W239" s="714"/>
      <c r="X239" s="714"/>
      <c r="Y239" s="714"/>
      <c r="Z239" s="714"/>
      <c r="AA239" s="477"/>
      <c r="AB239" s="477"/>
      <c r="AC239" s="714"/>
      <c r="AD239" s="460" t="s">
        <v>1051</v>
      </c>
      <c r="AE239" s="461" t="s">
        <v>539</v>
      </c>
      <c r="AF239" s="714"/>
      <c r="AG239" s="715"/>
      <c r="AH239" s="730"/>
      <c r="AI239" s="711"/>
      <c r="AJ239" s="714"/>
    </row>
    <row r="240" spans="2:36" ht="24" hidden="1" customHeight="1">
      <c r="B240" s="702"/>
      <c r="C240" s="700"/>
      <c r="D240" s="700"/>
      <c r="E240" s="700"/>
      <c r="F240" s="700"/>
      <c r="G240" s="700"/>
      <c r="H240" s="700"/>
      <c r="I240" s="713"/>
      <c r="J240" s="710"/>
      <c r="K240" s="710"/>
      <c r="L240" s="710"/>
      <c r="M240" s="710"/>
      <c r="N240" s="710"/>
      <c r="O240" s="702"/>
      <c r="P240" s="702"/>
      <c r="Q240" s="706"/>
      <c r="R240" s="702"/>
      <c r="S240" s="700"/>
      <c r="T240" s="702"/>
      <c r="U240" s="702"/>
      <c r="V240" s="702"/>
      <c r="W240" s="700"/>
      <c r="X240" s="700"/>
      <c r="Y240" s="700"/>
      <c r="Z240" s="700"/>
      <c r="AA240" s="462"/>
      <c r="AB240" s="462"/>
      <c r="AC240" s="700"/>
      <c r="AD240" s="462"/>
      <c r="AE240" s="462"/>
      <c r="AF240" s="700"/>
      <c r="AG240" s="702"/>
      <c r="AH240" s="729"/>
      <c r="AI240" s="698"/>
      <c r="AJ240" s="700"/>
    </row>
    <row r="241" spans="2:36" ht="24" hidden="1" customHeight="1">
      <c r="B241" s="701">
        <v>184</v>
      </c>
      <c r="C241" s="699" t="s">
        <v>337</v>
      </c>
      <c r="D241" s="699"/>
      <c r="E241" s="699" t="s">
        <v>545</v>
      </c>
      <c r="F241" s="699"/>
      <c r="G241" s="699" t="s">
        <v>186</v>
      </c>
      <c r="H241" s="699" t="s">
        <v>1052</v>
      </c>
      <c r="I241" s="712">
        <v>175000</v>
      </c>
      <c r="J241" s="709" t="s">
        <v>537</v>
      </c>
      <c r="K241" s="709" t="s">
        <v>537</v>
      </c>
      <c r="L241" s="709">
        <v>0</v>
      </c>
      <c r="M241" s="709" t="s">
        <v>537</v>
      </c>
      <c r="N241" s="709" t="s">
        <v>537</v>
      </c>
      <c r="O241" s="701" t="s">
        <v>537</v>
      </c>
      <c r="P241" s="701" t="s">
        <v>537</v>
      </c>
      <c r="Q241" s="705">
        <v>175000</v>
      </c>
      <c r="R241" s="701" t="s">
        <v>552</v>
      </c>
      <c r="S241" s="699"/>
      <c r="T241" s="701">
        <v>0</v>
      </c>
      <c r="U241" s="701">
        <v>20</v>
      </c>
      <c r="V241" s="701">
        <v>100</v>
      </c>
      <c r="W241" s="699"/>
      <c r="X241" s="699"/>
      <c r="Y241" s="699"/>
      <c r="Z241" s="699"/>
      <c r="AA241" s="458" t="s">
        <v>554</v>
      </c>
      <c r="AB241" s="459" t="s">
        <v>539</v>
      </c>
      <c r="AC241" s="699"/>
      <c r="AD241" s="458" t="s">
        <v>986</v>
      </c>
      <c r="AE241" s="459">
        <v>80</v>
      </c>
      <c r="AF241" s="699"/>
      <c r="AG241" s="701" t="s">
        <v>376</v>
      </c>
      <c r="AH241" s="728"/>
      <c r="AI241" s="697">
        <v>869949008</v>
      </c>
      <c r="AJ241" s="699"/>
    </row>
    <row r="242" spans="2:36" ht="24" hidden="1" customHeight="1">
      <c r="B242" s="715"/>
      <c r="C242" s="714"/>
      <c r="D242" s="714"/>
      <c r="E242" s="714"/>
      <c r="F242" s="714"/>
      <c r="G242" s="714"/>
      <c r="H242" s="714"/>
      <c r="I242" s="720"/>
      <c r="J242" s="717"/>
      <c r="K242" s="717"/>
      <c r="L242" s="717"/>
      <c r="M242" s="717"/>
      <c r="N242" s="717"/>
      <c r="O242" s="715"/>
      <c r="P242" s="715"/>
      <c r="Q242" s="718"/>
      <c r="R242" s="715"/>
      <c r="S242" s="714"/>
      <c r="T242" s="715"/>
      <c r="U242" s="715"/>
      <c r="V242" s="715"/>
      <c r="W242" s="714"/>
      <c r="X242" s="714"/>
      <c r="Y242" s="714"/>
      <c r="Z242" s="714"/>
      <c r="AA242" s="460" t="s">
        <v>1046</v>
      </c>
      <c r="AB242" s="461" t="s">
        <v>539</v>
      </c>
      <c r="AC242" s="714"/>
      <c r="AD242" s="460" t="s">
        <v>1047</v>
      </c>
      <c r="AE242" s="461">
        <v>6</v>
      </c>
      <c r="AF242" s="714"/>
      <c r="AG242" s="715"/>
      <c r="AH242" s="730"/>
      <c r="AI242" s="711"/>
      <c r="AJ242" s="714"/>
    </row>
    <row r="243" spans="2:36" ht="24" hidden="1" customHeight="1">
      <c r="B243" s="715"/>
      <c r="C243" s="714"/>
      <c r="D243" s="714"/>
      <c r="E243" s="714"/>
      <c r="F243" s="714"/>
      <c r="G243" s="714"/>
      <c r="H243" s="714"/>
      <c r="I243" s="720"/>
      <c r="J243" s="717"/>
      <c r="K243" s="717"/>
      <c r="L243" s="717"/>
      <c r="M243" s="717"/>
      <c r="N243" s="717"/>
      <c r="O243" s="715"/>
      <c r="P243" s="715"/>
      <c r="Q243" s="718"/>
      <c r="R243" s="715"/>
      <c r="S243" s="714"/>
      <c r="T243" s="715"/>
      <c r="U243" s="715"/>
      <c r="V243" s="715"/>
      <c r="W243" s="714"/>
      <c r="X243" s="714"/>
      <c r="Y243" s="714"/>
      <c r="Z243" s="714"/>
      <c r="AA243" s="477"/>
      <c r="AB243" s="477"/>
      <c r="AC243" s="714"/>
      <c r="AD243" s="460" t="s">
        <v>1048</v>
      </c>
      <c r="AE243" s="461" t="s">
        <v>539</v>
      </c>
      <c r="AF243" s="714"/>
      <c r="AG243" s="715"/>
      <c r="AH243" s="730"/>
      <c r="AI243" s="711"/>
      <c r="AJ243" s="714"/>
    </row>
    <row r="244" spans="2:36" ht="24" hidden="1" customHeight="1">
      <c r="B244" s="702"/>
      <c r="C244" s="700"/>
      <c r="D244" s="700"/>
      <c r="E244" s="700"/>
      <c r="F244" s="700"/>
      <c r="G244" s="700"/>
      <c r="H244" s="700"/>
      <c r="I244" s="713"/>
      <c r="J244" s="710"/>
      <c r="K244" s="710"/>
      <c r="L244" s="710"/>
      <c r="M244" s="710"/>
      <c r="N244" s="710"/>
      <c r="O244" s="702"/>
      <c r="P244" s="702"/>
      <c r="Q244" s="706"/>
      <c r="R244" s="702"/>
      <c r="S244" s="700"/>
      <c r="T244" s="702"/>
      <c r="U244" s="702"/>
      <c r="V244" s="702"/>
      <c r="W244" s="700"/>
      <c r="X244" s="700"/>
      <c r="Y244" s="700"/>
      <c r="Z244" s="700"/>
      <c r="AA244" s="462"/>
      <c r="AB244" s="462"/>
      <c r="AC244" s="700"/>
      <c r="AD244" s="462"/>
      <c r="AE244" s="462"/>
      <c r="AF244" s="700"/>
      <c r="AG244" s="702"/>
      <c r="AH244" s="729"/>
      <c r="AI244" s="698"/>
      <c r="AJ244" s="700"/>
    </row>
    <row r="245" spans="2:36" ht="24" hidden="1" customHeight="1">
      <c r="B245" s="701">
        <v>185</v>
      </c>
      <c r="C245" s="699" t="s">
        <v>337</v>
      </c>
      <c r="D245" s="699"/>
      <c r="E245" s="699" t="s">
        <v>545</v>
      </c>
      <c r="F245" s="699"/>
      <c r="G245" s="699" t="s">
        <v>186</v>
      </c>
      <c r="H245" s="699" t="s">
        <v>1053</v>
      </c>
      <c r="I245" s="712">
        <v>200000</v>
      </c>
      <c r="J245" s="709" t="s">
        <v>537</v>
      </c>
      <c r="K245" s="709" t="s">
        <v>537</v>
      </c>
      <c r="L245" s="709">
        <v>0</v>
      </c>
      <c r="M245" s="709" t="s">
        <v>537</v>
      </c>
      <c r="N245" s="709" t="s">
        <v>537</v>
      </c>
      <c r="O245" s="701" t="s">
        <v>537</v>
      </c>
      <c r="P245" s="701" t="s">
        <v>537</v>
      </c>
      <c r="Q245" s="705">
        <v>200000</v>
      </c>
      <c r="R245" s="701" t="s">
        <v>552</v>
      </c>
      <c r="S245" s="699"/>
      <c r="T245" s="701">
        <v>0</v>
      </c>
      <c r="U245" s="701">
        <v>12</v>
      </c>
      <c r="V245" s="701">
        <v>120</v>
      </c>
      <c r="W245" s="699"/>
      <c r="X245" s="699"/>
      <c r="Y245" s="699"/>
      <c r="Z245" s="699"/>
      <c r="AA245" s="697" t="s">
        <v>554</v>
      </c>
      <c r="AB245" s="701" t="s">
        <v>539</v>
      </c>
      <c r="AC245" s="699"/>
      <c r="AD245" s="458" t="s">
        <v>986</v>
      </c>
      <c r="AE245" s="459">
        <v>80</v>
      </c>
      <c r="AF245" s="699"/>
      <c r="AG245" s="701" t="s">
        <v>376</v>
      </c>
      <c r="AH245" s="728"/>
      <c r="AI245" s="697">
        <v>869949008</v>
      </c>
      <c r="AJ245" s="699"/>
    </row>
    <row r="246" spans="2:36" ht="24" hidden="1" customHeight="1">
      <c r="B246" s="715"/>
      <c r="C246" s="714"/>
      <c r="D246" s="714"/>
      <c r="E246" s="714"/>
      <c r="F246" s="714"/>
      <c r="G246" s="714"/>
      <c r="H246" s="714"/>
      <c r="I246" s="720"/>
      <c r="J246" s="717"/>
      <c r="K246" s="717"/>
      <c r="L246" s="717"/>
      <c r="M246" s="717"/>
      <c r="N246" s="717"/>
      <c r="O246" s="715"/>
      <c r="P246" s="715"/>
      <c r="Q246" s="718"/>
      <c r="R246" s="715"/>
      <c r="S246" s="714"/>
      <c r="T246" s="715"/>
      <c r="U246" s="715"/>
      <c r="V246" s="715"/>
      <c r="W246" s="714"/>
      <c r="X246" s="714"/>
      <c r="Y246" s="714"/>
      <c r="Z246" s="714"/>
      <c r="AA246" s="711"/>
      <c r="AB246" s="715"/>
      <c r="AC246" s="714"/>
      <c r="AD246" s="460" t="s">
        <v>1044</v>
      </c>
      <c r="AE246" s="461">
        <v>10</v>
      </c>
      <c r="AF246" s="714"/>
      <c r="AG246" s="715"/>
      <c r="AH246" s="730"/>
      <c r="AI246" s="711"/>
      <c r="AJ246" s="714"/>
    </row>
    <row r="247" spans="2:36" ht="24" hidden="1" customHeight="1">
      <c r="B247" s="715"/>
      <c r="C247" s="714"/>
      <c r="D247" s="714"/>
      <c r="E247" s="714"/>
      <c r="F247" s="714"/>
      <c r="G247" s="714"/>
      <c r="H247" s="714"/>
      <c r="I247" s="720"/>
      <c r="J247" s="717"/>
      <c r="K247" s="717"/>
      <c r="L247" s="717"/>
      <c r="M247" s="717"/>
      <c r="N247" s="717"/>
      <c r="O247" s="715"/>
      <c r="P247" s="715"/>
      <c r="Q247" s="718"/>
      <c r="R247" s="715"/>
      <c r="S247" s="714"/>
      <c r="T247" s="715"/>
      <c r="U247" s="715"/>
      <c r="V247" s="715"/>
      <c r="W247" s="714"/>
      <c r="X247" s="714"/>
      <c r="Y247" s="714"/>
      <c r="Z247" s="714"/>
      <c r="AA247" s="711"/>
      <c r="AB247" s="715"/>
      <c r="AC247" s="714"/>
      <c r="AD247" s="460" t="s">
        <v>1054</v>
      </c>
      <c r="AE247" s="461" t="s">
        <v>539</v>
      </c>
      <c r="AF247" s="714"/>
      <c r="AG247" s="715"/>
      <c r="AH247" s="730"/>
      <c r="AI247" s="711"/>
      <c r="AJ247" s="714"/>
    </row>
    <row r="248" spans="2:36" ht="24" hidden="1" customHeight="1">
      <c r="B248" s="702"/>
      <c r="C248" s="700"/>
      <c r="D248" s="700"/>
      <c r="E248" s="700"/>
      <c r="F248" s="700"/>
      <c r="G248" s="700"/>
      <c r="H248" s="700"/>
      <c r="I248" s="713"/>
      <c r="J248" s="710"/>
      <c r="K248" s="710"/>
      <c r="L248" s="710"/>
      <c r="M248" s="710"/>
      <c r="N248" s="710"/>
      <c r="O248" s="702"/>
      <c r="P248" s="702"/>
      <c r="Q248" s="706"/>
      <c r="R248" s="702"/>
      <c r="S248" s="700"/>
      <c r="T248" s="702"/>
      <c r="U248" s="702"/>
      <c r="V248" s="702"/>
      <c r="W248" s="700"/>
      <c r="X248" s="700"/>
      <c r="Y248" s="700"/>
      <c r="Z248" s="700"/>
      <c r="AA248" s="698"/>
      <c r="AB248" s="702"/>
      <c r="AC248" s="700"/>
      <c r="AD248" s="462"/>
      <c r="AE248" s="462"/>
      <c r="AF248" s="700"/>
      <c r="AG248" s="702"/>
      <c r="AH248" s="729"/>
      <c r="AI248" s="698"/>
      <c r="AJ248" s="700"/>
    </row>
    <row r="249" spans="2:36" ht="24" hidden="1" customHeight="1">
      <c r="B249" s="463">
        <v>186</v>
      </c>
      <c r="C249" s="464" t="s">
        <v>337</v>
      </c>
      <c r="D249" s="464"/>
      <c r="E249" s="464" t="s">
        <v>545</v>
      </c>
      <c r="F249" s="464"/>
      <c r="G249" s="464" t="s">
        <v>186</v>
      </c>
      <c r="H249" s="464" t="s">
        <v>1055</v>
      </c>
      <c r="I249" s="466">
        <v>80000</v>
      </c>
      <c r="J249" s="465" t="s">
        <v>537</v>
      </c>
      <c r="K249" s="465" t="s">
        <v>537</v>
      </c>
      <c r="L249" s="466">
        <v>79202.8</v>
      </c>
      <c r="M249" s="465" t="s">
        <v>537</v>
      </c>
      <c r="N249" s="465" t="s">
        <v>537</v>
      </c>
      <c r="O249" s="463" t="s">
        <v>537</v>
      </c>
      <c r="P249" s="463" t="s">
        <v>537</v>
      </c>
      <c r="Q249" s="465">
        <v>797</v>
      </c>
      <c r="R249" s="463" t="s">
        <v>785</v>
      </c>
      <c r="S249" s="463" t="s">
        <v>1056</v>
      </c>
      <c r="T249" s="463">
        <v>0</v>
      </c>
      <c r="U249" s="463">
        <v>30</v>
      </c>
      <c r="V249" s="463">
        <v>0</v>
      </c>
      <c r="W249" s="463">
        <v>0</v>
      </c>
      <c r="X249" s="463">
        <v>0</v>
      </c>
      <c r="Y249" s="463">
        <v>0</v>
      </c>
      <c r="Z249" s="463">
        <v>96</v>
      </c>
      <c r="AA249" s="472" t="s">
        <v>1057</v>
      </c>
      <c r="AB249" s="463" t="s">
        <v>539</v>
      </c>
      <c r="AC249" s="463" t="s">
        <v>539</v>
      </c>
      <c r="AD249" s="472" t="s">
        <v>1058</v>
      </c>
      <c r="AE249" s="463">
        <v>30</v>
      </c>
      <c r="AF249" s="463">
        <v>30</v>
      </c>
      <c r="AG249" s="463" t="s">
        <v>375</v>
      </c>
      <c r="AH249" s="476"/>
      <c r="AI249" s="472" t="s">
        <v>566</v>
      </c>
      <c r="AJ249" s="464"/>
    </row>
    <row r="250" spans="2:36" ht="24" hidden="1" customHeight="1">
      <c r="B250" s="701">
        <v>187</v>
      </c>
      <c r="C250" s="699" t="s">
        <v>337</v>
      </c>
      <c r="D250" s="699"/>
      <c r="E250" s="699" t="s">
        <v>545</v>
      </c>
      <c r="F250" s="699"/>
      <c r="G250" s="699" t="s">
        <v>186</v>
      </c>
      <c r="H250" s="699" t="s">
        <v>1059</v>
      </c>
      <c r="I250" s="712">
        <v>50000</v>
      </c>
      <c r="J250" s="709" t="s">
        <v>537</v>
      </c>
      <c r="K250" s="709" t="s">
        <v>537</v>
      </c>
      <c r="L250" s="712">
        <v>46342</v>
      </c>
      <c r="M250" s="709" t="s">
        <v>537</v>
      </c>
      <c r="N250" s="709" t="s">
        <v>537</v>
      </c>
      <c r="O250" s="701" t="s">
        <v>537</v>
      </c>
      <c r="P250" s="701" t="s">
        <v>537</v>
      </c>
      <c r="Q250" s="705">
        <v>3658</v>
      </c>
      <c r="R250" s="701" t="s">
        <v>552</v>
      </c>
      <c r="S250" s="701" t="s">
        <v>1060</v>
      </c>
      <c r="T250" s="701">
        <v>0</v>
      </c>
      <c r="U250" s="701">
        <v>10</v>
      </c>
      <c r="V250" s="701">
        <v>100</v>
      </c>
      <c r="W250" s="701">
        <v>25</v>
      </c>
      <c r="X250" s="701">
        <v>30</v>
      </c>
      <c r="Y250" s="701">
        <v>120</v>
      </c>
      <c r="Z250" s="701">
        <v>89</v>
      </c>
      <c r="AA250" s="458" t="s">
        <v>554</v>
      </c>
      <c r="AB250" s="459" t="s">
        <v>539</v>
      </c>
      <c r="AC250" s="459" t="s">
        <v>539</v>
      </c>
      <c r="AD250" s="458" t="s">
        <v>986</v>
      </c>
      <c r="AE250" s="459">
        <v>80</v>
      </c>
      <c r="AF250" s="459">
        <v>89</v>
      </c>
      <c r="AG250" s="701" t="s">
        <v>375</v>
      </c>
      <c r="AH250" s="728"/>
      <c r="AI250" s="697">
        <v>869949008</v>
      </c>
      <c r="AJ250" s="699"/>
    </row>
    <row r="251" spans="2:36" ht="24" hidden="1" customHeight="1">
      <c r="B251" s="702"/>
      <c r="C251" s="700"/>
      <c r="D251" s="700"/>
      <c r="E251" s="700"/>
      <c r="F251" s="700"/>
      <c r="G251" s="700"/>
      <c r="H251" s="700"/>
      <c r="I251" s="713"/>
      <c r="J251" s="710"/>
      <c r="K251" s="710"/>
      <c r="L251" s="713"/>
      <c r="M251" s="710"/>
      <c r="N251" s="710"/>
      <c r="O251" s="702"/>
      <c r="P251" s="702"/>
      <c r="Q251" s="706"/>
      <c r="R251" s="702"/>
      <c r="S251" s="702"/>
      <c r="T251" s="702"/>
      <c r="U251" s="702"/>
      <c r="V251" s="702"/>
      <c r="W251" s="702"/>
      <c r="X251" s="702"/>
      <c r="Y251" s="702"/>
      <c r="Z251" s="702"/>
      <c r="AA251" s="473" t="s">
        <v>1061</v>
      </c>
      <c r="AB251" s="474" t="s">
        <v>539</v>
      </c>
      <c r="AC251" s="474" t="s">
        <v>539</v>
      </c>
      <c r="AD251" s="473" t="s">
        <v>1062</v>
      </c>
      <c r="AE251" s="474" t="s">
        <v>539</v>
      </c>
      <c r="AF251" s="474" t="s">
        <v>539</v>
      </c>
      <c r="AG251" s="702"/>
      <c r="AH251" s="729"/>
      <c r="AI251" s="698"/>
      <c r="AJ251" s="700"/>
    </row>
    <row r="252" spans="2:36" ht="24" hidden="1" customHeight="1">
      <c r="B252" s="463">
        <v>188</v>
      </c>
      <c r="C252" s="464" t="s">
        <v>337</v>
      </c>
      <c r="D252" s="464"/>
      <c r="E252" s="464" t="s">
        <v>545</v>
      </c>
      <c r="F252" s="464"/>
      <c r="G252" s="464" t="s">
        <v>186</v>
      </c>
      <c r="H252" s="464" t="s">
        <v>1063</v>
      </c>
      <c r="I252" s="466">
        <v>207600</v>
      </c>
      <c r="J252" s="465" t="s">
        <v>537</v>
      </c>
      <c r="K252" s="465" t="s">
        <v>537</v>
      </c>
      <c r="L252" s="466">
        <v>166080</v>
      </c>
      <c r="M252" s="465" t="s">
        <v>537</v>
      </c>
      <c r="N252" s="465" t="s">
        <v>537</v>
      </c>
      <c r="O252" s="463" t="s">
        <v>537</v>
      </c>
      <c r="P252" s="463" t="s">
        <v>537</v>
      </c>
      <c r="Q252" s="468">
        <v>41520</v>
      </c>
      <c r="R252" s="463" t="s">
        <v>552</v>
      </c>
      <c r="S252" s="463" t="s">
        <v>1064</v>
      </c>
      <c r="T252" s="463">
        <v>0</v>
      </c>
      <c r="U252" s="463">
        <v>2</v>
      </c>
      <c r="V252" s="463">
        <v>0</v>
      </c>
      <c r="W252" s="464"/>
      <c r="X252" s="463">
        <v>2</v>
      </c>
      <c r="Y252" s="464"/>
      <c r="Z252" s="463">
        <v>80</v>
      </c>
      <c r="AA252" s="472" t="s">
        <v>1065</v>
      </c>
      <c r="AB252" s="463" t="s">
        <v>539</v>
      </c>
      <c r="AC252" s="463" t="s">
        <v>539</v>
      </c>
      <c r="AD252" s="472" t="s">
        <v>1066</v>
      </c>
      <c r="AE252" s="463">
        <v>80</v>
      </c>
      <c r="AF252" s="463">
        <v>80</v>
      </c>
      <c r="AG252" s="463" t="s">
        <v>375</v>
      </c>
      <c r="AH252" s="476"/>
      <c r="AI252" s="472">
        <v>869949008</v>
      </c>
      <c r="AJ252" s="464"/>
    </row>
    <row r="253" spans="2:36" ht="24" hidden="1" customHeight="1">
      <c r="B253" s="701">
        <v>189</v>
      </c>
      <c r="C253" s="699" t="s">
        <v>337</v>
      </c>
      <c r="D253" s="699"/>
      <c r="E253" s="699" t="s">
        <v>545</v>
      </c>
      <c r="F253" s="699"/>
      <c r="G253" s="699" t="s">
        <v>186</v>
      </c>
      <c r="H253" s="699" t="s">
        <v>1067</v>
      </c>
      <c r="I253" s="712">
        <v>10000</v>
      </c>
      <c r="J253" s="709" t="s">
        <v>537</v>
      </c>
      <c r="K253" s="709" t="s">
        <v>537</v>
      </c>
      <c r="L253" s="712">
        <v>7429.91</v>
      </c>
      <c r="M253" s="709" t="s">
        <v>537</v>
      </c>
      <c r="N253" s="709" t="s">
        <v>537</v>
      </c>
      <c r="O253" s="701" t="s">
        <v>537</v>
      </c>
      <c r="P253" s="701" t="s">
        <v>537</v>
      </c>
      <c r="Q253" s="705">
        <v>2570</v>
      </c>
      <c r="R253" s="707">
        <v>241428</v>
      </c>
      <c r="S253" s="721">
        <v>22297</v>
      </c>
      <c r="T253" s="701">
        <v>0</v>
      </c>
      <c r="U253" s="701">
        <v>4</v>
      </c>
      <c r="V253" s="701">
        <v>0</v>
      </c>
      <c r="W253" s="699"/>
      <c r="X253" s="701">
        <v>4</v>
      </c>
      <c r="Y253" s="701">
        <v>1</v>
      </c>
      <c r="Z253" s="701">
        <v>85</v>
      </c>
      <c r="AA253" s="458" t="s">
        <v>554</v>
      </c>
      <c r="AB253" s="459" t="s">
        <v>539</v>
      </c>
      <c r="AC253" s="459" t="s">
        <v>539</v>
      </c>
      <c r="AD253" s="458" t="s">
        <v>986</v>
      </c>
      <c r="AE253" s="459">
        <v>80</v>
      </c>
      <c r="AF253" s="459" t="s">
        <v>539</v>
      </c>
      <c r="AG253" s="701" t="s">
        <v>375</v>
      </c>
      <c r="AH253" s="728"/>
      <c r="AI253" s="697">
        <v>869949008</v>
      </c>
      <c r="AJ253" s="697" t="s">
        <v>537</v>
      </c>
    </row>
    <row r="254" spans="2:36" ht="24" hidden="1" customHeight="1">
      <c r="B254" s="702"/>
      <c r="C254" s="700"/>
      <c r="D254" s="700"/>
      <c r="E254" s="700"/>
      <c r="F254" s="700"/>
      <c r="G254" s="700"/>
      <c r="H254" s="700"/>
      <c r="I254" s="713"/>
      <c r="J254" s="710"/>
      <c r="K254" s="710"/>
      <c r="L254" s="713"/>
      <c r="M254" s="710"/>
      <c r="N254" s="710"/>
      <c r="O254" s="702"/>
      <c r="P254" s="702"/>
      <c r="Q254" s="706"/>
      <c r="R254" s="708"/>
      <c r="S254" s="722"/>
      <c r="T254" s="702"/>
      <c r="U254" s="702"/>
      <c r="V254" s="702"/>
      <c r="W254" s="700"/>
      <c r="X254" s="702"/>
      <c r="Y254" s="702"/>
      <c r="Z254" s="702"/>
      <c r="AA254" s="473" t="s">
        <v>1068</v>
      </c>
      <c r="AB254" s="474" t="s">
        <v>539</v>
      </c>
      <c r="AC254" s="474" t="s">
        <v>539</v>
      </c>
      <c r="AD254" s="473" t="s">
        <v>1069</v>
      </c>
      <c r="AE254" s="474" t="s">
        <v>539</v>
      </c>
      <c r="AF254" s="474" t="s">
        <v>539</v>
      </c>
      <c r="AG254" s="702"/>
      <c r="AH254" s="729"/>
      <c r="AI254" s="698"/>
      <c r="AJ254" s="698"/>
    </row>
    <row r="255" spans="2:36" ht="24" hidden="1" customHeight="1">
      <c r="B255" s="463">
        <v>190</v>
      </c>
      <c r="C255" s="464" t="s">
        <v>337</v>
      </c>
      <c r="D255" s="464"/>
      <c r="E255" s="464" t="s">
        <v>1070</v>
      </c>
      <c r="F255" s="464"/>
      <c r="G255" s="464" t="s">
        <v>186</v>
      </c>
      <c r="H255" s="464" t="s">
        <v>1071</v>
      </c>
      <c r="I255" s="465" t="s">
        <v>537</v>
      </c>
      <c r="J255" s="465" t="s">
        <v>537</v>
      </c>
      <c r="K255" s="466">
        <v>143000</v>
      </c>
      <c r="L255" s="465" t="s">
        <v>537</v>
      </c>
      <c r="M255" s="465" t="s">
        <v>537</v>
      </c>
      <c r="N255" s="466">
        <v>129170</v>
      </c>
      <c r="O255" s="463" t="s">
        <v>537</v>
      </c>
      <c r="P255" s="463" t="s">
        <v>537</v>
      </c>
      <c r="Q255" s="468">
        <v>13830</v>
      </c>
      <c r="R255" s="463" t="s">
        <v>1072</v>
      </c>
      <c r="S255" s="463" t="s">
        <v>1073</v>
      </c>
      <c r="T255" s="463">
        <v>0</v>
      </c>
      <c r="U255" s="463">
        <v>18</v>
      </c>
      <c r="V255" s="463">
        <v>0</v>
      </c>
      <c r="W255" s="464"/>
      <c r="X255" s="463">
        <v>21</v>
      </c>
      <c r="Y255" s="464"/>
      <c r="Z255" s="463">
        <v>90</v>
      </c>
      <c r="AA255" s="472" t="s">
        <v>1074</v>
      </c>
      <c r="AB255" s="463" t="s">
        <v>539</v>
      </c>
      <c r="AC255" s="463" t="s">
        <v>539</v>
      </c>
      <c r="AD255" s="472" t="s">
        <v>1075</v>
      </c>
      <c r="AE255" s="463">
        <v>80</v>
      </c>
      <c r="AF255" s="463">
        <v>90</v>
      </c>
      <c r="AG255" s="463" t="s">
        <v>375</v>
      </c>
      <c r="AH255" s="476"/>
      <c r="AI255" s="472">
        <v>2040</v>
      </c>
      <c r="AJ255" s="472" t="s">
        <v>543</v>
      </c>
    </row>
    <row r="256" spans="2:36" ht="24" hidden="1" customHeight="1">
      <c r="B256" s="463">
        <v>191</v>
      </c>
      <c r="C256" s="464" t="s">
        <v>337</v>
      </c>
      <c r="D256" s="464"/>
      <c r="E256" s="464" t="s">
        <v>1070</v>
      </c>
      <c r="F256" s="464"/>
      <c r="G256" s="464" t="s">
        <v>186</v>
      </c>
      <c r="H256" s="464" t="s">
        <v>1076</v>
      </c>
      <c r="I256" s="465" t="s">
        <v>537</v>
      </c>
      <c r="J256" s="465" t="s">
        <v>537</v>
      </c>
      <c r="K256" s="466">
        <v>37500</v>
      </c>
      <c r="L256" s="465" t="s">
        <v>537</v>
      </c>
      <c r="M256" s="465" t="s">
        <v>537</v>
      </c>
      <c r="N256" s="466">
        <v>11720</v>
      </c>
      <c r="O256" s="463" t="s">
        <v>537</v>
      </c>
      <c r="P256" s="463" t="s">
        <v>537</v>
      </c>
      <c r="Q256" s="468">
        <v>25780</v>
      </c>
      <c r="R256" s="470">
        <v>241487</v>
      </c>
      <c r="S256" s="471">
        <v>22371</v>
      </c>
      <c r="T256" s="463">
        <v>2</v>
      </c>
      <c r="U256" s="463">
        <v>3</v>
      </c>
      <c r="V256" s="463">
        <v>10</v>
      </c>
      <c r="W256" s="463">
        <v>5</v>
      </c>
      <c r="X256" s="463">
        <v>6</v>
      </c>
      <c r="Y256" s="463">
        <v>16</v>
      </c>
      <c r="Z256" s="463">
        <v>94.87</v>
      </c>
      <c r="AA256" s="472" t="s">
        <v>1077</v>
      </c>
      <c r="AB256" s="463">
        <v>80</v>
      </c>
      <c r="AC256" s="463">
        <v>94.87</v>
      </c>
      <c r="AD256" s="472" t="s">
        <v>571</v>
      </c>
      <c r="AE256" s="463">
        <v>80</v>
      </c>
      <c r="AF256" s="463">
        <v>94.87</v>
      </c>
      <c r="AG256" s="463" t="s">
        <v>375</v>
      </c>
      <c r="AH256" s="476"/>
      <c r="AI256" s="472">
        <v>817387898</v>
      </c>
      <c r="AJ256" s="472" t="s">
        <v>543</v>
      </c>
    </row>
    <row r="257" spans="2:36" ht="24" hidden="1" customHeight="1">
      <c r="B257" s="463">
        <v>192</v>
      </c>
      <c r="C257" s="464" t="s">
        <v>337</v>
      </c>
      <c r="D257" s="464"/>
      <c r="E257" s="464" t="s">
        <v>1070</v>
      </c>
      <c r="F257" s="464"/>
      <c r="G257" s="464" t="s">
        <v>186</v>
      </c>
      <c r="H257" s="464" t="s">
        <v>1078</v>
      </c>
      <c r="I257" s="465" t="s">
        <v>537</v>
      </c>
      <c r="J257" s="465" t="s">
        <v>537</v>
      </c>
      <c r="K257" s="466">
        <v>27500</v>
      </c>
      <c r="L257" s="465" t="s">
        <v>537</v>
      </c>
      <c r="M257" s="465" t="s">
        <v>537</v>
      </c>
      <c r="N257" s="466">
        <v>7440</v>
      </c>
      <c r="O257" s="463" t="s">
        <v>537</v>
      </c>
      <c r="P257" s="463" t="s">
        <v>537</v>
      </c>
      <c r="Q257" s="468">
        <v>20060</v>
      </c>
      <c r="R257" s="470">
        <v>241487</v>
      </c>
      <c r="S257" s="463" t="s">
        <v>1079</v>
      </c>
      <c r="T257" s="463">
        <v>2</v>
      </c>
      <c r="U257" s="463">
        <v>3</v>
      </c>
      <c r="V257" s="463">
        <v>10</v>
      </c>
      <c r="W257" s="464"/>
      <c r="X257" s="463">
        <v>8</v>
      </c>
      <c r="Y257" s="463">
        <v>17</v>
      </c>
      <c r="Z257" s="463">
        <v>92.8</v>
      </c>
      <c r="AA257" s="472" t="s">
        <v>1077</v>
      </c>
      <c r="AB257" s="463">
        <v>80</v>
      </c>
      <c r="AC257" s="463" t="s">
        <v>539</v>
      </c>
      <c r="AD257" s="472" t="s">
        <v>571</v>
      </c>
      <c r="AE257" s="463">
        <v>80</v>
      </c>
      <c r="AF257" s="463">
        <v>92.8</v>
      </c>
      <c r="AG257" s="463" t="s">
        <v>375</v>
      </c>
      <c r="AH257" s="476"/>
      <c r="AI257" s="472">
        <v>2040</v>
      </c>
      <c r="AJ257" s="472" t="s">
        <v>543</v>
      </c>
    </row>
    <row r="258" spans="2:36" ht="24" hidden="1" customHeight="1">
      <c r="B258" s="463">
        <v>193</v>
      </c>
      <c r="C258" s="464" t="s">
        <v>337</v>
      </c>
      <c r="D258" s="464"/>
      <c r="E258" s="464" t="s">
        <v>1070</v>
      </c>
      <c r="F258" s="464"/>
      <c r="G258" s="464" t="s">
        <v>186</v>
      </c>
      <c r="H258" s="464" t="s">
        <v>1080</v>
      </c>
      <c r="I258" s="465" t="s">
        <v>537</v>
      </c>
      <c r="J258" s="465" t="s">
        <v>537</v>
      </c>
      <c r="K258" s="466">
        <v>27500</v>
      </c>
      <c r="L258" s="465" t="s">
        <v>537</v>
      </c>
      <c r="M258" s="465" t="s">
        <v>537</v>
      </c>
      <c r="N258" s="466">
        <v>4420</v>
      </c>
      <c r="O258" s="463" t="s">
        <v>537</v>
      </c>
      <c r="P258" s="463" t="s">
        <v>537</v>
      </c>
      <c r="Q258" s="468">
        <v>23080</v>
      </c>
      <c r="R258" s="470">
        <v>241518</v>
      </c>
      <c r="S258" s="463" t="s">
        <v>854</v>
      </c>
      <c r="T258" s="463">
        <v>2</v>
      </c>
      <c r="U258" s="463">
        <v>3</v>
      </c>
      <c r="V258" s="463">
        <v>10</v>
      </c>
      <c r="W258" s="464"/>
      <c r="X258" s="463">
        <v>3</v>
      </c>
      <c r="Y258" s="463">
        <v>14</v>
      </c>
      <c r="Z258" s="463">
        <v>98.86</v>
      </c>
      <c r="AA258" s="472" t="s">
        <v>1077</v>
      </c>
      <c r="AB258" s="463">
        <v>80</v>
      </c>
      <c r="AC258" s="463" t="s">
        <v>539</v>
      </c>
      <c r="AD258" s="472" t="s">
        <v>571</v>
      </c>
      <c r="AE258" s="463">
        <v>80</v>
      </c>
      <c r="AF258" s="463">
        <v>98.86</v>
      </c>
      <c r="AG258" s="463" t="s">
        <v>375</v>
      </c>
      <c r="AH258" s="476"/>
      <c r="AI258" s="472">
        <v>817387898</v>
      </c>
      <c r="AJ258" s="472" t="s">
        <v>543</v>
      </c>
    </row>
    <row r="259" spans="2:36" ht="24" hidden="1" customHeight="1">
      <c r="B259" s="463">
        <v>194</v>
      </c>
      <c r="C259" s="464" t="s">
        <v>337</v>
      </c>
      <c r="D259" s="464"/>
      <c r="E259" s="464" t="s">
        <v>1070</v>
      </c>
      <c r="F259" s="464"/>
      <c r="G259" s="464" t="s">
        <v>186</v>
      </c>
      <c r="H259" s="464" t="s">
        <v>1081</v>
      </c>
      <c r="I259" s="465" t="s">
        <v>537</v>
      </c>
      <c r="J259" s="465" t="s">
        <v>537</v>
      </c>
      <c r="K259" s="466">
        <v>27500</v>
      </c>
      <c r="L259" s="465" t="s">
        <v>537</v>
      </c>
      <c r="M259" s="465" t="s">
        <v>537</v>
      </c>
      <c r="N259" s="466">
        <v>5460</v>
      </c>
      <c r="O259" s="463" t="s">
        <v>537</v>
      </c>
      <c r="P259" s="463" t="s">
        <v>537</v>
      </c>
      <c r="Q259" s="468">
        <v>22040</v>
      </c>
      <c r="R259" s="470">
        <v>241579</v>
      </c>
      <c r="S259" s="471">
        <v>22435</v>
      </c>
      <c r="T259" s="463">
        <v>2</v>
      </c>
      <c r="U259" s="463">
        <v>3</v>
      </c>
      <c r="V259" s="463">
        <v>10</v>
      </c>
      <c r="W259" s="464"/>
      <c r="X259" s="463">
        <v>6</v>
      </c>
      <c r="Y259" s="463">
        <v>15</v>
      </c>
      <c r="Z259" s="463">
        <v>89.82</v>
      </c>
      <c r="AA259" s="472" t="s">
        <v>1077</v>
      </c>
      <c r="AB259" s="463">
        <v>80</v>
      </c>
      <c r="AC259" s="463" t="s">
        <v>539</v>
      </c>
      <c r="AD259" s="472" t="s">
        <v>571</v>
      </c>
      <c r="AE259" s="463">
        <v>80</v>
      </c>
      <c r="AF259" s="463">
        <v>89.82</v>
      </c>
      <c r="AG259" s="463" t="s">
        <v>375</v>
      </c>
      <c r="AH259" s="476"/>
      <c r="AI259" s="472">
        <v>2040</v>
      </c>
      <c r="AJ259" s="472" t="s">
        <v>543</v>
      </c>
    </row>
    <row r="260" spans="2:36" ht="24" hidden="1" customHeight="1">
      <c r="B260" s="463">
        <v>195</v>
      </c>
      <c r="C260" s="464" t="s">
        <v>337</v>
      </c>
      <c r="D260" s="464"/>
      <c r="E260" s="464" t="s">
        <v>1070</v>
      </c>
      <c r="F260" s="464"/>
      <c r="G260" s="464" t="s">
        <v>186</v>
      </c>
      <c r="H260" s="464" t="s">
        <v>1082</v>
      </c>
      <c r="I260" s="465" t="s">
        <v>537</v>
      </c>
      <c r="J260" s="465" t="s">
        <v>537</v>
      </c>
      <c r="K260" s="466">
        <v>27500</v>
      </c>
      <c r="L260" s="465" t="s">
        <v>537</v>
      </c>
      <c r="M260" s="465" t="s">
        <v>537</v>
      </c>
      <c r="N260" s="466">
        <v>18550</v>
      </c>
      <c r="O260" s="463" t="s">
        <v>537</v>
      </c>
      <c r="P260" s="463" t="s">
        <v>537</v>
      </c>
      <c r="Q260" s="468">
        <v>8950</v>
      </c>
      <c r="R260" s="470">
        <v>241579</v>
      </c>
      <c r="S260" s="471">
        <v>22442</v>
      </c>
      <c r="T260" s="463">
        <v>2</v>
      </c>
      <c r="U260" s="463">
        <v>3</v>
      </c>
      <c r="V260" s="463">
        <v>10</v>
      </c>
      <c r="W260" s="464"/>
      <c r="X260" s="463">
        <v>6</v>
      </c>
      <c r="Y260" s="463">
        <v>11</v>
      </c>
      <c r="Z260" s="463">
        <v>87.35</v>
      </c>
      <c r="AA260" s="472" t="s">
        <v>1077</v>
      </c>
      <c r="AB260" s="463">
        <v>80</v>
      </c>
      <c r="AC260" s="463" t="s">
        <v>539</v>
      </c>
      <c r="AD260" s="472" t="s">
        <v>571</v>
      </c>
      <c r="AE260" s="463">
        <v>80</v>
      </c>
      <c r="AF260" s="463">
        <v>87.35</v>
      </c>
      <c r="AG260" s="463" t="s">
        <v>375</v>
      </c>
      <c r="AH260" s="476"/>
      <c r="AI260" s="472">
        <v>2040</v>
      </c>
      <c r="AJ260" s="472" t="s">
        <v>543</v>
      </c>
    </row>
    <row r="261" spans="2:36" ht="24" hidden="1" customHeight="1">
      <c r="B261" s="463">
        <v>196</v>
      </c>
      <c r="C261" s="464" t="s">
        <v>337</v>
      </c>
      <c r="D261" s="464"/>
      <c r="E261" s="464" t="s">
        <v>1070</v>
      </c>
      <c r="F261" s="464"/>
      <c r="G261" s="464" t="s">
        <v>186</v>
      </c>
      <c r="H261" s="464" t="s">
        <v>1083</v>
      </c>
      <c r="I261" s="465" t="s">
        <v>537</v>
      </c>
      <c r="J261" s="465" t="s">
        <v>537</v>
      </c>
      <c r="K261" s="466">
        <v>27500</v>
      </c>
      <c r="L261" s="465" t="s">
        <v>537</v>
      </c>
      <c r="M261" s="465" t="s">
        <v>537</v>
      </c>
      <c r="N261" s="466">
        <v>9830</v>
      </c>
      <c r="O261" s="463" t="s">
        <v>537</v>
      </c>
      <c r="P261" s="463" t="s">
        <v>537</v>
      </c>
      <c r="Q261" s="468">
        <v>17670</v>
      </c>
      <c r="R261" s="470">
        <v>241579</v>
      </c>
      <c r="S261" s="471">
        <v>22449</v>
      </c>
      <c r="T261" s="463">
        <v>2</v>
      </c>
      <c r="U261" s="463">
        <v>3</v>
      </c>
      <c r="V261" s="463">
        <v>10</v>
      </c>
      <c r="W261" s="463">
        <v>0</v>
      </c>
      <c r="X261" s="463">
        <v>4</v>
      </c>
      <c r="Y261" s="463">
        <v>18</v>
      </c>
      <c r="Z261" s="463">
        <v>89.76</v>
      </c>
      <c r="AA261" s="472" t="s">
        <v>1077</v>
      </c>
      <c r="AB261" s="463">
        <v>80</v>
      </c>
      <c r="AC261" s="463" t="s">
        <v>539</v>
      </c>
      <c r="AD261" s="472" t="s">
        <v>571</v>
      </c>
      <c r="AE261" s="463">
        <v>80</v>
      </c>
      <c r="AF261" s="463">
        <v>89.76</v>
      </c>
      <c r="AG261" s="463" t="s">
        <v>375</v>
      </c>
      <c r="AH261" s="476"/>
      <c r="AI261" s="472">
        <v>2040</v>
      </c>
      <c r="AJ261" s="472" t="s">
        <v>543</v>
      </c>
    </row>
    <row r="262" spans="2:36" ht="24" hidden="1" customHeight="1">
      <c r="B262" s="463">
        <v>197</v>
      </c>
      <c r="C262" s="464" t="s">
        <v>337</v>
      </c>
      <c r="D262" s="464"/>
      <c r="E262" s="464" t="s">
        <v>1070</v>
      </c>
      <c r="F262" s="464"/>
      <c r="G262" s="464" t="s">
        <v>186</v>
      </c>
      <c r="H262" s="464" t="s">
        <v>1084</v>
      </c>
      <c r="I262" s="465" t="s">
        <v>537</v>
      </c>
      <c r="J262" s="465" t="s">
        <v>537</v>
      </c>
      <c r="K262" s="466">
        <v>27500</v>
      </c>
      <c r="L262" s="465" t="s">
        <v>537</v>
      </c>
      <c r="M262" s="465" t="s">
        <v>537</v>
      </c>
      <c r="N262" s="466">
        <v>20750</v>
      </c>
      <c r="O262" s="463" t="s">
        <v>537</v>
      </c>
      <c r="P262" s="463" t="s">
        <v>537</v>
      </c>
      <c r="Q262" s="468">
        <v>6750</v>
      </c>
      <c r="R262" s="470">
        <v>241579</v>
      </c>
      <c r="S262" s="471">
        <v>22462</v>
      </c>
      <c r="T262" s="463">
        <v>2</v>
      </c>
      <c r="U262" s="463">
        <v>3</v>
      </c>
      <c r="V262" s="463">
        <v>10</v>
      </c>
      <c r="W262" s="464"/>
      <c r="X262" s="463">
        <v>3</v>
      </c>
      <c r="Y262" s="463">
        <v>19</v>
      </c>
      <c r="Z262" s="464"/>
      <c r="AA262" s="472" t="s">
        <v>1077</v>
      </c>
      <c r="AB262" s="463">
        <v>80</v>
      </c>
      <c r="AC262" s="463">
        <v>97.17</v>
      </c>
      <c r="AD262" s="472" t="s">
        <v>571</v>
      </c>
      <c r="AE262" s="463">
        <v>80</v>
      </c>
      <c r="AF262" s="463">
        <v>97.17</v>
      </c>
      <c r="AG262" s="463" t="s">
        <v>375</v>
      </c>
      <c r="AH262" s="476"/>
      <c r="AI262" s="472">
        <v>2040</v>
      </c>
      <c r="AJ262" s="472" t="s">
        <v>543</v>
      </c>
    </row>
    <row r="263" spans="2:36" ht="24" hidden="1" customHeight="1">
      <c r="B263" s="463">
        <v>198</v>
      </c>
      <c r="C263" s="464" t="s">
        <v>337</v>
      </c>
      <c r="D263" s="464"/>
      <c r="E263" s="464" t="s">
        <v>1070</v>
      </c>
      <c r="F263" s="464"/>
      <c r="G263" s="464" t="s">
        <v>186</v>
      </c>
      <c r="H263" s="464" t="s">
        <v>1085</v>
      </c>
      <c r="I263" s="465" t="s">
        <v>537</v>
      </c>
      <c r="J263" s="465" t="s">
        <v>537</v>
      </c>
      <c r="K263" s="466">
        <v>27500</v>
      </c>
      <c r="L263" s="465" t="s">
        <v>537</v>
      </c>
      <c r="M263" s="465" t="s">
        <v>537</v>
      </c>
      <c r="N263" s="466">
        <v>9620</v>
      </c>
      <c r="O263" s="463" t="s">
        <v>537</v>
      </c>
      <c r="P263" s="463" t="s">
        <v>537</v>
      </c>
      <c r="Q263" s="468">
        <v>17880</v>
      </c>
      <c r="R263" s="470">
        <v>241640</v>
      </c>
      <c r="S263" s="471">
        <v>22497</v>
      </c>
      <c r="T263" s="463">
        <v>2</v>
      </c>
      <c r="U263" s="463">
        <v>3</v>
      </c>
      <c r="V263" s="463">
        <v>10</v>
      </c>
      <c r="W263" s="464"/>
      <c r="X263" s="463">
        <v>3</v>
      </c>
      <c r="Y263" s="463">
        <v>8</v>
      </c>
      <c r="Z263" s="464"/>
      <c r="AA263" s="472" t="s">
        <v>1077</v>
      </c>
      <c r="AB263" s="463">
        <v>80</v>
      </c>
      <c r="AC263" s="463">
        <v>97.32</v>
      </c>
      <c r="AD263" s="472" t="s">
        <v>571</v>
      </c>
      <c r="AE263" s="463">
        <v>80</v>
      </c>
      <c r="AF263" s="463">
        <v>97.32</v>
      </c>
      <c r="AG263" s="463" t="s">
        <v>375</v>
      </c>
      <c r="AH263" s="476"/>
      <c r="AI263" s="472">
        <v>2040</v>
      </c>
      <c r="AJ263" s="472" t="s">
        <v>543</v>
      </c>
    </row>
    <row r="264" spans="2:36" ht="24" hidden="1" customHeight="1">
      <c r="B264" s="463">
        <v>199</v>
      </c>
      <c r="C264" s="464" t="s">
        <v>337</v>
      </c>
      <c r="D264" s="464"/>
      <c r="E264" s="464" t="s">
        <v>1070</v>
      </c>
      <c r="F264" s="464"/>
      <c r="G264" s="464" t="s">
        <v>186</v>
      </c>
      <c r="H264" s="464" t="s">
        <v>1086</v>
      </c>
      <c r="I264" s="465" t="s">
        <v>537</v>
      </c>
      <c r="J264" s="465" t="s">
        <v>537</v>
      </c>
      <c r="K264" s="466">
        <v>27500</v>
      </c>
      <c r="L264" s="465" t="s">
        <v>537</v>
      </c>
      <c r="M264" s="465" t="s">
        <v>537</v>
      </c>
      <c r="N264" s="466">
        <v>25850</v>
      </c>
      <c r="O264" s="463" t="s">
        <v>537</v>
      </c>
      <c r="P264" s="463" t="s">
        <v>537</v>
      </c>
      <c r="Q264" s="468">
        <v>1650</v>
      </c>
      <c r="R264" s="470">
        <v>241640</v>
      </c>
      <c r="S264" s="471">
        <v>22511</v>
      </c>
      <c r="T264" s="463">
        <v>2</v>
      </c>
      <c r="U264" s="463">
        <v>3</v>
      </c>
      <c r="V264" s="463">
        <v>10</v>
      </c>
      <c r="W264" s="463">
        <v>0</v>
      </c>
      <c r="X264" s="463">
        <v>4</v>
      </c>
      <c r="Y264" s="463">
        <v>25</v>
      </c>
      <c r="Z264" s="463">
        <v>0</v>
      </c>
      <c r="AA264" s="472" t="s">
        <v>1077</v>
      </c>
      <c r="AB264" s="463">
        <v>80</v>
      </c>
      <c r="AC264" s="463">
        <v>93.42</v>
      </c>
      <c r="AD264" s="472" t="s">
        <v>571</v>
      </c>
      <c r="AE264" s="463">
        <v>80</v>
      </c>
      <c r="AF264" s="463">
        <v>93.42</v>
      </c>
      <c r="AG264" s="463" t="s">
        <v>375</v>
      </c>
      <c r="AH264" s="476"/>
      <c r="AI264" s="472">
        <v>2040</v>
      </c>
      <c r="AJ264" s="472" t="s">
        <v>543</v>
      </c>
    </row>
    <row r="265" spans="2:36" ht="24" hidden="1" customHeight="1">
      <c r="B265" s="463">
        <v>200</v>
      </c>
      <c r="C265" s="464" t="s">
        <v>337</v>
      </c>
      <c r="D265" s="464"/>
      <c r="E265" s="464" t="s">
        <v>1070</v>
      </c>
      <c r="F265" s="464"/>
      <c r="G265" s="464" t="s">
        <v>186</v>
      </c>
      <c r="H265" s="464" t="s">
        <v>1087</v>
      </c>
      <c r="I265" s="465" t="s">
        <v>537</v>
      </c>
      <c r="J265" s="465" t="s">
        <v>537</v>
      </c>
      <c r="K265" s="466">
        <v>27500</v>
      </c>
      <c r="L265" s="465" t="s">
        <v>537</v>
      </c>
      <c r="M265" s="465" t="s">
        <v>537</v>
      </c>
      <c r="N265" s="466">
        <v>21968.5</v>
      </c>
      <c r="O265" s="463" t="s">
        <v>537</v>
      </c>
      <c r="P265" s="463" t="s">
        <v>537</v>
      </c>
      <c r="Q265" s="468">
        <v>5532</v>
      </c>
      <c r="R265" s="470">
        <v>241640</v>
      </c>
      <c r="S265" s="471">
        <v>22518</v>
      </c>
      <c r="T265" s="463">
        <v>2</v>
      </c>
      <c r="U265" s="463">
        <v>3</v>
      </c>
      <c r="V265" s="463">
        <v>10</v>
      </c>
      <c r="W265" s="463">
        <v>0</v>
      </c>
      <c r="X265" s="463">
        <v>6</v>
      </c>
      <c r="Y265" s="463">
        <v>16</v>
      </c>
      <c r="Z265" s="464"/>
      <c r="AA265" s="472" t="s">
        <v>1077</v>
      </c>
      <c r="AB265" s="463">
        <v>80</v>
      </c>
      <c r="AC265" s="463">
        <v>89.71</v>
      </c>
      <c r="AD265" s="472" t="s">
        <v>571</v>
      </c>
      <c r="AE265" s="463">
        <v>80</v>
      </c>
      <c r="AF265" s="463">
        <v>89.71</v>
      </c>
      <c r="AG265" s="463" t="s">
        <v>375</v>
      </c>
      <c r="AH265" s="476"/>
      <c r="AI265" s="472">
        <v>2040</v>
      </c>
      <c r="AJ265" s="472" t="s">
        <v>543</v>
      </c>
    </row>
    <row r="266" spans="2:36" ht="24" hidden="1" customHeight="1">
      <c r="B266" s="463">
        <v>201</v>
      </c>
      <c r="C266" s="464" t="s">
        <v>337</v>
      </c>
      <c r="D266" s="464"/>
      <c r="E266" s="464" t="s">
        <v>1070</v>
      </c>
      <c r="F266" s="464"/>
      <c r="G266" s="464" t="s">
        <v>186</v>
      </c>
      <c r="H266" s="464" t="s">
        <v>1088</v>
      </c>
      <c r="I266" s="465" t="s">
        <v>537</v>
      </c>
      <c r="J266" s="465" t="s">
        <v>537</v>
      </c>
      <c r="K266" s="466">
        <v>27500</v>
      </c>
      <c r="L266" s="465" t="s">
        <v>537</v>
      </c>
      <c r="M266" s="465" t="s">
        <v>537</v>
      </c>
      <c r="N266" s="466">
        <v>21370</v>
      </c>
      <c r="O266" s="463" t="s">
        <v>537</v>
      </c>
      <c r="P266" s="463" t="s">
        <v>537</v>
      </c>
      <c r="Q266" s="468">
        <v>6130</v>
      </c>
      <c r="R266" s="470">
        <v>241640</v>
      </c>
      <c r="S266" s="471">
        <v>22519</v>
      </c>
      <c r="T266" s="463">
        <v>2</v>
      </c>
      <c r="U266" s="463">
        <v>3</v>
      </c>
      <c r="V266" s="463">
        <v>10</v>
      </c>
      <c r="W266" s="463">
        <v>0</v>
      </c>
      <c r="X266" s="463">
        <v>6</v>
      </c>
      <c r="Y266" s="463">
        <v>12</v>
      </c>
      <c r="Z266" s="463">
        <v>98.85</v>
      </c>
      <c r="AA266" s="472" t="s">
        <v>1077</v>
      </c>
      <c r="AB266" s="463">
        <v>80</v>
      </c>
      <c r="AC266" s="463">
        <v>98.85</v>
      </c>
      <c r="AD266" s="472" t="s">
        <v>571</v>
      </c>
      <c r="AE266" s="463">
        <v>80</v>
      </c>
      <c r="AF266" s="463">
        <v>98.85</v>
      </c>
      <c r="AG266" s="463" t="s">
        <v>375</v>
      </c>
      <c r="AH266" s="476"/>
      <c r="AI266" s="472">
        <v>2040</v>
      </c>
      <c r="AJ266" s="472" t="s">
        <v>543</v>
      </c>
    </row>
    <row r="267" spans="2:36" ht="24" hidden="1" customHeight="1">
      <c r="B267" s="463">
        <v>202</v>
      </c>
      <c r="C267" s="464" t="s">
        <v>337</v>
      </c>
      <c r="D267" s="464"/>
      <c r="E267" s="464" t="s">
        <v>1070</v>
      </c>
      <c r="F267" s="464"/>
      <c r="G267" s="464" t="s">
        <v>186</v>
      </c>
      <c r="H267" s="464" t="s">
        <v>1089</v>
      </c>
      <c r="I267" s="465" t="s">
        <v>537</v>
      </c>
      <c r="J267" s="465" t="s">
        <v>537</v>
      </c>
      <c r="K267" s="466">
        <v>27500</v>
      </c>
      <c r="L267" s="465" t="s">
        <v>537</v>
      </c>
      <c r="M267" s="465" t="s">
        <v>537</v>
      </c>
      <c r="N267" s="466">
        <v>22630</v>
      </c>
      <c r="O267" s="463" t="s">
        <v>537</v>
      </c>
      <c r="P267" s="463" t="s">
        <v>537</v>
      </c>
      <c r="Q267" s="468">
        <v>4870</v>
      </c>
      <c r="R267" s="470">
        <v>241671</v>
      </c>
      <c r="S267" s="471">
        <v>22525</v>
      </c>
      <c r="T267" s="463">
        <v>2</v>
      </c>
      <c r="U267" s="463">
        <v>3</v>
      </c>
      <c r="V267" s="463">
        <v>10</v>
      </c>
      <c r="W267" s="463">
        <v>3</v>
      </c>
      <c r="X267" s="463">
        <v>5</v>
      </c>
      <c r="Y267" s="463">
        <v>15</v>
      </c>
      <c r="Z267" s="463">
        <v>96.44</v>
      </c>
      <c r="AA267" s="472" t="s">
        <v>1077</v>
      </c>
      <c r="AB267" s="463">
        <v>80</v>
      </c>
      <c r="AC267" s="463">
        <v>96.44</v>
      </c>
      <c r="AD267" s="472" t="s">
        <v>571</v>
      </c>
      <c r="AE267" s="463">
        <v>80</v>
      </c>
      <c r="AF267" s="463">
        <v>96.44</v>
      </c>
      <c r="AG267" s="463" t="s">
        <v>375</v>
      </c>
      <c r="AH267" s="476"/>
      <c r="AI267" s="472">
        <v>2040</v>
      </c>
      <c r="AJ267" s="472" t="s">
        <v>543</v>
      </c>
    </row>
    <row r="268" spans="2:36" ht="24" hidden="1" customHeight="1">
      <c r="B268" s="463">
        <v>203</v>
      </c>
      <c r="C268" s="464" t="s">
        <v>337</v>
      </c>
      <c r="D268" s="464"/>
      <c r="E268" s="464" t="s">
        <v>1070</v>
      </c>
      <c r="F268" s="464"/>
      <c r="G268" s="464" t="s">
        <v>186</v>
      </c>
      <c r="H268" s="464" t="s">
        <v>1090</v>
      </c>
      <c r="I268" s="465" t="s">
        <v>537</v>
      </c>
      <c r="J268" s="465" t="s">
        <v>537</v>
      </c>
      <c r="K268" s="466">
        <v>27500</v>
      </c>
      <c r="L268" s="465" t="s">
        <v>537</v>
      </c>
      <c r="M268" s="465" t="s">
        <v>537</v>
      </c>
      <c r="N268" s="466">
        <v>17180</v>
      </c>
      <c r="O268" s="463" t="s">
        <v>537</v>
      </c>
      <c r="P268" s="463" t="s">
        <v>537</v>
      </c>
      <c r="Q268" s="468">
        <v>10320</v>
      </c>
      <c r="R268" s="470">
        <v>241671</v>
      </c>
      <c r="S268" s="471">
        <v>22532</v>
      </c>
      <c r="T268" s="463">
        <v>2</v>
      </c>
      <c r="U268" s="463">
        <v>3</v>
      </c>
      <c r="V268" s="463">
        <v>10</v>
      </c>
      <c r="W268" s="463">
        <v>3</v>
      </c>
      <c r="X268" s="463">
        <v>6</v>
      </c>
      <c r="Y268" s="463">
        <v>17</v>
      </c>
      <c r="Z268" s="463">
        <v>97.23</v>
      </c>
      <c r="AA268" s="472" t="s">
        <v>1077</v>
      </c>
      <c r="AB268" s="463">
        <v>80</v>
      </c>
      <c r="AC268" s="463">
        <v>97.23</v>
      </c>
      <c r="AD268" s="472" t="s">
        <v>571</v>
      </c>
      <c r="AE268" s="463">
        <v>80</v>
      </c>
      <c r="AF268" s="463">
        <v>97.23</v>
      </c>
      <c r="AG268" s="463" t="s">
        <v>375</v>
      </c>
      <c r="AH268" s="476"/>
      <c r="AI268" s="472">
        <v>2040</v>
      </c>
      <c r="AJ268" s="472" t="s">
        <v>543</v>
      </c>
    </row>
    <row r="269" spans="2:36" ht="24" hidden="1" customHeight="1">
      <c r="B269" s="463">
        <v>204</v>
      </c>
      <c r="C269" s="464" t="s">
        <v>337</v>
      </c>
      <c r="D269" s="464"/>
      <c r="E269" s="464" t="s">
        <v>1070</v>
      </c>
      <c r="F269" s="464"/>
      <c r="G269" s="464" t="s">
        <v>186</v>
      </c>
      <c r="H269" s="464" t="s">
        <v>1091</v>
      </c>
      <c r="I269" s="465" t="s">
        <v>537</v>
      </c>
      <c r="J269" s="465" t="s">
        <v>537</v>
      </c>
      <c r="K269" s="466">
        <v>27500</v>
      </c>
      <c r="L269" s="465" t="s">
        <v>537</v>
      </c>
      <c r="M269" s="465" t="s">
        <v>537</v>
      </c>
      <c r="N269" s="466">
        <v>26290</v>
      </c>
      <c r="O269" s="463" t="s">
        <v>537</v>
      </c>
      <c r="P269" s="463" t="s">
        <v>537</v>
      </c>
      <c r="Q269" s="468">
        <v>1210</v>
      </c>
      <c r="R269" s="470">
        <v>241671</v>
      </c>
      <c r="S269" s="471">
        <v>22526</v>
      </c>
      <c r="T269" s="463">
        <v>2</v>
      </c>
      <c r="U269" s="463">
        <v>3</v>
      </c>
      <c r="V269" s="463">
        <v>10</v>
      </c>
      <c r="W269" s="463">
        <v>3</v>
      </c>
      <c r="X269" s="463">
        <v>3</v>
      </c>
      <c r="Y269" s="463">
        <v>9</v>
      </c>
      <c r="Z269" s="463">
        <v>88.22</v>
      </c>
      <c r="AA269" s="472" t="s">
        <v>1077</v>
      </c>
      <c r="AB269" s="463">
        <v>80</v>
      </c>
      <c r="AC269" s="463">
        <v>88.22</v>
      </c>
      <c r="AD269" s="472" t="s">
        <v>571</v>
      </c>
      <c r="AE269" s="463">
        <v>80</v>
      </c>
      <c r="AF269" s="463">
        <v>88.22</v>
      </c>
      <c r="AG269" s="463" t="s">
        <v>375</v>
      </c>
      <c r="AH269" s="476"/>
      <c r="AI269" s="472">
        <v>2040</v>
      </c>
      <c r="AJ269" s="472" t="s">
        <v>543</v>
      </c>
    </row>
    <row r="270" spans="2:36" ht="24" hidden="1" customHeight="1">
      <c r="B270" s="463">
        <v>205</v>
      </c>
      <c r="C270" s="464" t="s">
        <v>337</v>
      </c>
      <c r="D270" s="464"/>
      <c r="E270" s="464" t="s">
        <v>1070</v>
      </c>
      <c r="F270" s="464"/>
      <c r="G270" s="464" t="s">
        <v>186</v>
      </c>
      <c r="H270" s="464" t="s">
        <v>1092</v>
      </c>
      <c r="I270" s="465" t="s">
        <v>537</v>
      </c>
      <c r="J270" s="465" t="s">
        <v>537</v>
      </c>
      <c r="K270" s="466">
        <v>394000</v>
      </c>
      <c r="L270" s="465" t="s">
        <v>537</v>
      </c>
      <c r="M270" s="465" t="s">
        <v>537</v>
      </c>
      <c r="N270" s="466">
        <v>186544</v>
      </c>
      <c r="O270" s="463" t="s">
        <v>537</v>
      </c>
      <c r="P270" s="463" t="s">
        <v>537</v>
      </c>
      <c r="Q270" s="468">
        <v>207456</v>
      </c>
      <c r="R270" s="463" t="s">
        <v>643</v>
      </c>
      <c r="S270" s="463" t="s">
        <v>1093</v>
      </c>
      <c r="T270" s="463">
        <v>0</v>
      </c>
      <c r="U270" s="463">
        <v>20</v>
      </c>
      <c r="V270" s="463">
        <v>0</v>
      </c>
      <c r="W270" s="464"/>
      <c r="X270" s="463">
        <v>11</v>
      </c>
      <c r="Y270" s="464"/>
      <c r="Z270" s="463">
        <v>98.82</v>
      </c>
      <c r="AA270" s="472" t="s">
        <v>1077</v>
      </c>
      <c r="AB270" s="463">
        <v>80</v>
      </c>
      <c r="AC270" s="463" t="s">
        <v>539</v>
      </c>
      <c r="AD270" s="472" t="s">
        <v>571</v>
      </c>
      <c r="AE270" s="463">
        <v>80</v>
      </c>
      <c r="AF270" s="463">
        <v>98.82</v>
      </c>
      <c r="AG270" s="463" t="s">
        <v>375</v>
      </c>
      <c r="AH270" s="476"/>
      <c r="AI270" s="472">
        <v>2040</v>
      </c>
      <c r="AJ270" s="472" t="s">
        <v>543</v>
      </c>
    </row>
    <row r="271" spans="2:36" ht="24" hidden="1" customHeight="1">
      <c r="B271" s="463">
        <v>206</v>
      </c>
      <c r="C271" s="464" t="s">
        <v>337</v>
      </c>
      <c r="D271" s="464"/>
      <c r="E271" s="464" t="s">
        <v>1070</v>
      </c>
      <c r="F271" s="464"/>
      <c r="G271" s="464" t="s">
        <v>186</v>
      </c>
      <c r="H271" s="464" t="s">
        <v>1094</v>
      </c>
      <c r="I271" s="465" t="s">
        <v>537</v>
      </c>
      <c r="J271" s="465" t="s">
        <v>537</v>
      </c>
      <c r="K271" s="466">
        <v>131250</v>
      </c>
      <c r="L271" s="465" t="s">
        <v>537</v>
      </c>
      <c r="M271" s="465" t="s">
        <v>537</v>
      </c>
      <c r="N271" s="466">
        <v>65100</v>
      </c>
      <c r="O271" s="463" t="s">
        <v>537</v>
      </c>
      <c r="P271" s="463" t="s">
        <v>537</v>
      </c>
      <c r="Q271" s="468">
        <v>66150</v>
      </c>
      <c r="R271" s="470">
        <v>241487</v>
      </c>
      <c r="S271" s="471">
        <v>22366</v>
      </c>
      <c r="T271" s="463">
        <v>5</v>
      </c>
      <c r="U271" s="463">
        <v>30</v>
      </c>
      <c r="V271" s="463">
        <v>35</v>
      </c>
      <c r="W271" s="463">
        <v>4</v>
      </c>
      <c r="X271" s="463">
        <v>26</v>
      </c>
      <c r="Y271" s="463">
        <v>5</v>
      </c>
      <c r="Z271" s="464"/>
      <c r="AA271" s="472" t="s">
        <v>1077</v>
      </c>
      <c r="AB271" s="463">
        <v>80</v>
      </c>
      <c r="AC271" s="463" t="s">
        <v>539</v>
      </c>
      <c r="AD271" s="472" t="s">
        <v>571</v>
      </c>
      <c r="AE271" s="463">
        <v>80</v>
      </c>
      <c r="AF271" s="463">
        <v>89.79</v>
      </c>
      <c r="AG271" s="463" t="s">
        <v>375</v>
      </c>
      <c r="AH271" s="476"/>
      <c r="AI271" s="472" t="s">
        <v>1095</v>
      </c>
      <c r="AJ271" s="472" t="s">
        <v>543</v>
      </c>
    </row>
    <row r="272" spans="2:36" ht="24" hidden="1" customHeight="1">
      <c r="B272" s="701">
        <v>207</v>
      </c>
      <c r="C272" s="699" t="s">
        <v>337</v>
      </c>
      <c r="D272" s="699"/>
      <c r="E272" s="699" t="s">
        <v>1070</v>
      </c>
      <c r="F272" s="699"/>
      <c r="G272" s="699" t="s">
        <v>186</v>
      </c>
      <c r="H272" s="699" t="s">
        <v>1096</v>
      </c>
      <c r="I272" s="709" t="s">
        <v>537</v>
      </c>
      <c r="J272" s="709" t="s">
        <v>537</v>
      </c>
      <c r="K272" s="712">
        <v>530440</v>
      </c>
      <c r="L272" s="709" t="s">
        <v>537</v>
      </c>
      <c r="M272" s="709" t="s">
        <v>537</v>
      </c>
      <c r="N272" s="712">
        <v>204560</v>
      </c>
      <c r="O272" s="701" t="s">
        <v>537</v>
      </c>
      <c r="P272" s="701" t="s">
        <v>537</v>
      </c>
      <c r="Q272" s="705">
        <v>325880</v>
      </c>
      <c r="R272" s="707">
        <v>241518</v>
      </c>
      <c r="S272" s="701" t="s">
        <v>1097</v>
      </c>
      <c r="T272" s="701">
        <v>5</v>
      </c>
      <c r="U272" s="701">
        <v>30</v>
      </c>
      <c r="V272" s="701">
        <v>35</v>
      </c>
      <c r="W272" s="701">
        <v>5</v>
      </c>
      <c r="X272" s="701">
        <v>20</v>
      </c>
      <c r="Y272" s="701">
        <v>19</v>
      </c>
      <c r="Z272" s="701">
        <v>92.8</v>
      </c>
      <c r="AA272" s="458" t="s">
        <v>571</v>
      </c>
      <c r="AB272" s="459">
        <v>80</v>
      </c>
      <c r="AC272" s="459" t="s">
        <v>539</v>
      </c>
      <c r="AD272" s="699"/>
      <c r="AE272" s="699"/>
      <c r="AF272" s="699"/>
      <c r="AG272" s="701" t="s">
        <v>376</v>
      </c>
      <c r="AH272" s="728"/>
      <c r="AI272" s="697">
        <v>2040</v>
      </c>
      <c r="AJ272" s="697" t="s">
        <v>543</v>
      </c>
    </row>
    <row r="273" spans="1:36" ht="24" hidden="1" customHeight="1">
      <c r="B273" s="702"/>
      <c r="C273" s="700"/>
      <c r="D273" s="700"/>
      <c r="E273" s="700"/>
      <c r="F273" s="700"/>
      <c r="G273" s="700"/>
      <c r="H273" s="700"/>
      <c r="I273" s="710"/>
      <c r="J273" s="710"/>
      <c r="K273" s="713"/>
      <c r="L273" s="710"/>
      <c r="M273" s="710"/>
      <c r="N273" s="713"/>
      <c r="O273" s="702"/>
      <c r="P273" s="702"/>
      <c r="Q273" s="706"/>
      <c r="R273" s="708"/>
      <c r="S273" s="702"/>
      <c r="T273" s="702"/>
      <c r="U273" s="702"/>
      <c r="V273" s="702"/>
      <c r="W273" s="702"/>
      <c r="X273" s="702"/>
      <c r="Y273" s="702"/>
      <c r="Z273" s="702"/>
      <c r="AA273" s="473" t="s">
        <v>1098</v>
      </c>
      <c r="AB273" s="474">
        <v>80</v>
      </c>
      <c r="AC273" s="474">
        <v>92.8</v>
      </c>
      <c r="AD273" s="700"/>
      <c r="AE273" s="700"/>
      <c r="AF273" s="700"/>
      <c r="AG273" s="702"/>
      <c r="AH273" s="729"/>
      <c r="AI273" s="698"/>
      <c r="AJ273" s="698"/>
    </row>
    <row r="274" spans="1:36" ht="24" hidden="1" customHeight="1">
      <c r="B274" s="463">
        <v>208</v>
      </c>
      <c r="C274" s="464" t="s">
        <v>337</v>
      </c>
      <c r="D274" s="464"/>
      <c r="E274" s="464" t="s">
        <v>1070</v>
      </c>
      <c r="F274" s="464"/>
      <c r="G274" s="464" t="s">
        <v>186</v>
      </c>
      <c r="H274" s="464" t="s">
        <v>1099</v>
      </c>
      <c r="I274" s="465" t="s">
        <v>537</v>
      </c>
      <c r="J274" s="465" t="s">
        <v>537</v>
      </c>
      <c r="K274" s="466">
        <v>243310</v>
      </c>
      <c r="L274" s="465" t="s">
        <v>537</v>
      </c>
      <c r="M274" s="465" t="s">
        <v>537</v>
      </c>
      <c r="N274" s="466">
        <v>63520</v>
      </c>
      <c r="O274" s="463" t="s">
        <v>537</v>
      </c>
      <c r="P274" s="463" t="s">
        <v>537</v>
      </c>
      <c r="Q274" s="468">
        <v>179790</v>
      </c>
      <c r="R274" s="470">
        <v>241609</v>
      </c>
      <c r="S274" s="463" t="s">
        <v>1100</v>
      </c>
      <c r="T274" s="463">
        <v>5</v>
      </c>
      <c r="U274" s="463">
        <v>30</v>
      </c>
      <c r="V274" s="463">
        <v>35</v>
      </c>
      <c r="W274" s="464"/>
      <c r="X274" s="463">
        <v>24</v>
      </c>
      <c r="Y274" s="463">
        <v>12</v>
      </c>
      <c r="Z274" s="463">
        <v>98.12</v>
      </c>
      <c r="AA274" s="472" t="s">
        <v>1077</v>
      </c>
      <c r="AB274" s="463">
        <v>80</v>
      </c>
      <c r="AC274" s="463">
        <v>98.12</v>
      </c>
      <c r="AD274" s="472" t="s">
        <v>571</v>
      </c>
      <c r="AE274" s="463">
        <v>80</v>
      </c>
      <c r="AF274" s="463">
        <v>98.12</v>
      </c>
      <c r="AG274" s="463" t="s">
        <v>375</v>
      </c>
      <c r="AH274" s="476"/>
      <c r="AI274" s="472">
        <v>2040</v>
      </c>
      <c r="AJ274" s="472" t="s">
        <v>543</v>
      </c>
    </row>
    <row r="275" spans="1:36" ht="24" hidden="1" customHeight="1">
      <c r="B275" s="463">
        <v>209</v>
      </c>
      <c r="C275" s="464" t="s">
        <v>337</v>
      </c>
      <c r="D275" s="464"/>
      <c r="E275" s="464" t="s">
        <v>1070</v>
      </c>
      <c r="F275" s="464"/>
      <c r="G275" s="464" t="s">
        <v>186</v>
      </c>
      <c r="H275" s="464" t="s">
        <v>1101</v>
      </c>
      <c r="I275" s="465" t="s">
        <v>537</v>
      </c>
      <c r="J275" s="465" t="s">
        <v>537</v>
      </c>
      <c r="K275" s="466">
        <v>241000</v>
      </c>
      <c r="L275" s="465" t="s">
        <v>537</v>
      </c>
      <c r="M275" s="465" t="s">
        <v>537</v>
      </c>
      <c r="N275" s="466">
        <v>241000</v>
      </c>
      <c r="O275" s="463" t="s">
        <v>537</v>
      </c>
      <c r="P275" s="463" t="s">
        <v>537</v>
      </c>
      <c r="Q275" s="465">
        <v>0</v>
      </c>
      <c r="R275" s="470">
        <v>241671</v>
      </c>
      <c r="S275" s="463" t="s">
        <v>1102</v>
      </c>
      <c r="T275" s="463">
        <v>0</v>
      </c>
      <c r="U275" s="463">
        <v>22</v>
      </c>
      <c r="V275" s="463">
        <v>0</v>
      </c>
      <c r="W275" s="463">
        <v>30</v>
      </c>
      <c r="X275" s="463">
        <v>25</v>
      </c>
      <c r="Y275" s="463">
        <v>0</v>
      </c>
      <c r="Z275" s="463">
        <v>88.87</v>
      </c>
      <c r="AA275" s="472" t="s">
        <v>1103</v>
      </c>
      <c r="AB275" s="463" t="s">
        <v>539</v>
      </c>
      <c r="AC275" s="463" t="s">
        <v>539</v>
      </c>
      <c r="AD275" s="472" t="s">
        <v>1104</v>
      </c>
      <c r="AE275" s="463" t="s">
        <v>539</v>
      </c>
      <c r="AF275" s="463">
        <v>88.87</v>
      </c>
      <c r="AG275" s="463" t="s">
        <v>376</v>
      </c>
      <c r="AH275" s="476"/>
      <c r="AI275" s="472" t="s">
        <v>537</v>
      </c>
      <c r="AJ275" s="472" t="s">
        <v>1105</v>
      </c>
    </row>
    <row r="276" spans="1:36" ht="24" hidden="1" customHeight="1">
      <c r="B276" s="463">
        <v>210</v>
      </c>
      <c r="C276" s="464" t="s">
        <v>337</v>
      </c>
      <c r="D276" s="464"/>
      <c r="E276" s="464" t="s">
        <v>1070</v>
      </c>
      <c r="F276" s="464"/>
      <c r="G276" s="464" t="s">
        <v>186</v>
      </c>
      <c r="H276" s="464" t="s">
        <v>1106</v>
      </c>
      <c r="I276" s="465" t="s">
        <v>537</v>
      </c>
      <c r="J276" s="465" t="s">
        <v>537</v>
      </c>
      <c r="K276" s="466">
        <v>136720</v>
      </c>
      <c r="L276" s="465" t="s">
        <v>537</v>
      </c>
      <c r="M276" s="465" t="s">
        <v>537</v>
      </c>
      <c r="N276" s="466">
        <v>115090</v>
      </c>
      <c r="O276" s="463" t="s">
        <v>537</v>
      </c>
      <c r="P276" s="463" t="s">
        <v>537</v>
      </c>
      <c r="Q276" s="468">
        <v>21630</v>
      </c>
      <c r="R276" s="470">
        <v>241671</v>
      </c>
      <c r="S276" s="463" t="s">
        <v>1107</v>
      </c>
      <c r="T276" s="463">
        <v>30</v>
      </c>
      <c r="U276" s="463">
        <v>60</v>
      </c>
      <c r="V276" s="463">
        <v>6</v>
      </c>
      <c r="W276" s="463">
        <v>30</v>
      </c>
      <c r="X276" s="463">
        <v>29</v>
      </c>
      <c r="Y276" s="463">
        <v>29</v>
      </c>
      <c r="Z276" s="463">
        <v>88.76</v>
      </c>
      <c r="AA276" s="472" t="s">
        <v>547</v>
      </c>
      <c r="AB276" s="463" t="s">
        <v>539</v>
      </c>
      <c r="AC276" s="463" t="s">
        <v>539</v>
      </c>
      <c r="AD276" s="472" t="s">
        <v>1108</v>
      </c>
      <c r="AE276" s="463">
        <v>80</v>
      </c>
      <c r="AF276" s="463">
        <v>88.76</v>
      </c>
      <c r="AG276" s="463" t="s">
        <v>375</v>
      </c>
      <c r="AH276" s="476"/>
      <c r="AI276" s="472" t="s">
        <v>537</v>
      </c>
      <c r="AJ276" s="472" t="s">
        <v>543</v>
      </c>
    </row>
    <row r="277" spans="1:36" ht="24" hidden="1" customHeight="1">
      <c r="B277" s="463">
        <v>211</v>
      </c>
      <c r="C277" s="464" t="s">
        <v>337</v>
      </c>
      <c r="D277" s="464"/>
      <c r="E277" s="464" t="s">
        <v>1070</v>
      </c>
      <c r="F277" s="464"/>
      <c r="G277" s="464" t="s">
        <v>186</v>
      </c>
      <c r="H277" s="464" t="s">
        <v>1109</v>
      </c>
      <c r="I277" s="465" t="s">
        <v>537</v>
      </c>
      <c r="J277" s="465" t="s">
        <v>537</v>
      </c>
      <c r="K277" s="466">
        <v>32300</v>
      </c>
      <c r="L277" s="465" t="s">
        <v>537</v>
      </c>
      <c r="M277" s="465" t="s">
        <v>537</v>
      </c>
      <c r="N277" s="466">
        <v>29343</v>
      </c>
      <c r="O277" s="463" t="s">
        <v>537</v>
      </c>
      <c r="P277" s="463" t="s">
        <v>537</v>
      </c>
      <c r="Q277" s="468">
        <v>2957</v>
      </c>
      <c r="R277" s="470">
        <v>241640</v>
      </c>
      <c r="S277" s="463" t="s">
        <v>1110</v>
      </c>
      <c r="T277" s="463">
        <v>0</v>
      </c>
      <c r="U277" s="463">
        <v>54</v>
      </c>
      <c r="V277" s="463">
        <v>1</v>
      </c>
      <c r="W277" s="463">
        <v>0</v>
      </c>
      <c r="X277" s="463">
        <v>46</v>
      </c>
      <c r="Y277" s="463">
        <v>1</v>
      </c>
      <c r="Z277" s="463">
        <v>97.83</v>
      </c>
      <c r="AA277" s="472" t="s">
        <v>547</v>
      </c>
      <c r="AB277" s="463" t="s">
        <v>539</v>
      </c>
      <c r="AC277" s="463" t="s">
        <v>539</v>
      </c>
      <c r="AD277" s="472" t="s">
        <v>548</v>
      </c>
      <c r="AE277" s="463">
        <v>80</v>
      </c>
      <c r="AF277" s="463">
        <v>97.83</v>
      </c>
      <c r="AG277" s="463" t="s">
        <v>375</v>
      </c>
      <c r="AH277" s="476"/>
      <c r="AI277" s="472" t="s">
        <v>537</v>
      </c>
      <c r="AJ277" s="472" t="s">
        <v>543</v>
      </c>
    </row>
    <row r="278" spans="1:36" ht="24" hidden="1" customHeight="1">
      <c r="B278" s="463">
        <v>212</v>
      </c>
      <c r="C278" s="464" t="s">
        <v>337</v>
      </c>
      <c r="D278" s="464"/>
      <c r="E278" s="464" t="s">
        <v>1070</v>
      </c>
      <c r="F278" s="464"/>
      <c r="G278" s="464" t="s">
        <v>186</v>
      </c>
      <c r="H278" s="464" t="s">
        <v>1111</v>
      </c>
      <c r="I278" s="465" t="s">
        <v>537</v>
      </c>
      <c r="J278" s="465" t="s">
        <v>537</v>
      </c>
      <c r="K278" s="466">
        <v>44400</v>
      </c>
      <c r="L278" s="465" t="s">
        <v>537</v>
      </c>
      <c r="M278" s="465" t="s">
        <v>537</v>
      </c>
      <c r="N278" s="466">
        <v>25760</v>
      </c>
      <c r="O278" s="463" t="s">
        <v>537</v>
      </c>
      <c r="P278" s="463" t="s">
        <v>537</v>
      </c>
      <c r="Q278" s="468">
        <v>18640</v>
      </c>
      <c r="R278" s="470">
        <v>241671</v>
      </c>
      <c r="S278" s="471">
        <v>22531</v>
      </c>
      <c r="T278" s="463">
        <v>30</v>
      </c>
      <c r="U278" s="463">
        <v>26</v>
      </c>
      <c r="V278" s="463">
        <v>4</v>
      </c>
      <c r="W278" s="463">
        <v>30</v>
      </c>
      <c r="X278" s="463">
        <v>22</v>
      </c>
      <c r="Y278" s="463">
        <v>3</v>
      </c>
      <c r="Z278" s="463">
        <v>95.92</v>
      </c>
      <c r="AA278" s="472" t="s">
        <v>1112</v>
      </c>
      <c r="AB278" s="463" t="s">
        <v>539</v>
      </c>
      <c r="AC278" s="463" t="s">
        <v>539</v>
      </c>
      <c r="AD278" s="472" t="s">
        <v>548</v>
      </c>
      <c r="AE278" s="463">
        <v>80</v>
      </c>
      <c r="AF278" s="463">
        <v>95.92</v>
      </c>
      <c r="AG278" s="463" t="s">
        <v>375</v>
      </c>
      <c r="AH278" s="476"/>
      <c r="AI278" s="472" t="s">
        <v>537</v>
      </c>
      <c r="AJ278" s="472" t="s">
        <v>543</v>
      </c>
    </row>
    <row r="279" spans="1:36" ht="24" hidden="1" customHeight="1">
      <c r="B279" s="463">
        <v>213</v>
      </c>
      <c r="C279" s="464" t="s">
        <v>337</v>
      </c>
      <c r="D279" s="464"/>
      <c r="E279" s="464" t="s">
        <v>1070</v>
      </c>
      <c r="F279" s="464"/>
      <c r="G279" s="464" t="s">
        <v>186</v>
      </c>
      <c r="H279" s="464" t="s">
        <v>1113</v>
      </c>
      <c r="I279" s="465" t="s">
        <v>537</v>
      </c>
      <c r="J279" s="465" t="s">
        <v>537</v>
      </c>
      <c r="K279" s="466">
        <v>27200</v>
      </c>
      <c r="L279" s="465" t="s">
        <v>537</v>
      </c>
      <c r="M279" s="465" t="s">
        <v>537</v>
      </c>
      <c r="N279" s="466">
        <v>21620</v>
      </c>
      <c r="O279" s="463" t="s">
        <v>537</v>
      </c>
      <c r="P279" s="463" t="s">
        <v>537</v>
      </c>
      <c r="Q279" s="468">
        <v>5580</v>
      </c>
      <c r="R279" s="470">
        <v>241518</v>
      </c>
      <c r="S279" s="463" t="s">
        <v>1114</v>
      </c>
      <c r="T279" s="463">
        <v>0</v>
      </c>
      <c r="U279" s="463">
        <v>9</v>
      </c>
      <c r="V279" s="463">
        <v>0</v>
      </c>
      <c r="W279" s="464"/>
      <c r="X279" s="463">
        <v>9</v>
      </c>
      <c r="Y279" s="464"/>
      <c r="Z279" s="464"/>
      <c r="AA279" s="472" t="s">
        <v>1115</v>
      </c>
      <c r="AB279" s="463" t="s">
        <v>539</v>
      </c>
      <c r="AC279" s="463" t="s">
        <v>539</v>
      </c>
      <c r="AD279" s="472" t="s">
        <v>1116</v>
      </c>
      <c r="AE279" s="463">
        <v>80</v>
      </c>
      <c r="AF279" s="463">
        <v>100</v>
      </c>
      <c r="AG279" s="463" t="s">
        <v>375</v>
      </c>
      <c r="AH279" s="476"/>
      <c r="AI279" s="472" t="s">
        <v>1027</v>
      </c>
      <c r="AJ279" s="472" t="s">
        <v>543</v>
      </c>
    </row>
    <row r="280" spans="1:36" ht="24" hidden="1" customHeight="1">
      <c r="B280" s="701">
        <v>214</v>
      </c>
      <c r="C280" s="699" t="s">
        <v>534</v>
      </c>
      <c r="D280" s="699"/>
      <c r="E280" s="699" t="s">
        <v>535</v>
      </c>
      <c r="F280" s="699"/>
      <c r="G280" s="699" t="s">
        <v>280</v>
      </c>
      <c r="H280" s="699" t="s">
        <v>1117</v>
      </c>
      <c r="I280" s="712">
        <v>1000000</v>
      </c>
      <c r="J280" s="709" t="s">
        <v>537</v>
      </c>
      <c r="K280" s="709" t="s">
        <v>537</v>
      </c>
      <c r="L280" s="712">
        <v>993874</v>
      </c>
      <c r="M280" s="709" t="s">
        <v>537</v>
      </c>
      <c r="N280" s="709" t="s">
        <v>537</v>
      </c>
      <c r="O280" s="701" t="s">
        <v>537</v>
      </c>
      <c r="P280" s="701" t="s">
        <v>537</v>
      </c>
      <c r="Q280" s="705">
        <v>6126</v>
      </c>
      <c r="R280" s="701" t="s">
        <v>552</v>
      </c>
      <c r="S280" s="701" t="s">
        <v>1118</v>
      </c>
      <c r="T280" s="701">
        <v>0</v>
      </c>
      <c r="U280" s="701">
        <v>0</v>
      </c>
      <c r="V280" s="701">
        <v>20000</v>
      </c>
      <c r="W280" s="701">
        <v>0</v>
      </c>
      <c r="X280" s="701">
        <v>0</v>
      </c>
      <c r="Y280" s="701">
        <v>35000</v>
      </c>
      <c r="Z280" s="701">
        <v>89.3</v>
      </c>
      <c r="AA280" s="697" t="s">
        <v>1119</v>
      </c>
      <c r="AB280" s="701" t="s">
        <v>539</v>
      </c>
      <c r="AC280" s="701" t="s">
        <v>539</v>
      </c>
      <c r="AD280" s="458" t="s">
        <v>1016</v>
      </c>
      <c r="AE280" s="459">
        <v>80</v>
      </c>
      <c r="AF280" s="459">
        <v>89.3</v>
      </c>
      <c r="AG280" s="701" t="s">
        <v>375</v>
      </c>
      <c r="AH280" s="728"/>
      <c r="AI280" s="697">
        <v>950149284</v>
      </c>
      <c r="AJ280" s="699"/>
    </row>
    <row r="281" spans="1:36" ht="24" hidden="1" customHeight="1">
      <c r="B281" s="702"/>
      <c r="C281" s="700"/>
      <c r="D281" s="700"/>
      <c r="E281" s="700"/>
      <c r="F281" s="700"/>
      <c r="G281" s="700"/>
      <c r="H281" s="700"/>
      <c r="I281" s="713"/>
      <c r="J281" s="710"/>
      <c r="K281" s="710"/>
      <c r="L281" s="713"/>
      <c r="M281" s="710"/>
      <c r="N281" s="710"/>
      <c r="O281" s="702"/>
      <c r="P281" s="702"/>
      <c r="Q281" s="706"/>
      <c r="R281" s="702"/>
      <c r="S281" s="702"/>
      <c r="T281" s="702"/>
      <c r="U281" s="702"/>
      <c r="V281" s="702"/>
      <c r="W281" s="702"/>
      <c r="X281" s="702"/>
      <c r="Y281" s="702"/>
      <c r="Z281" s="702"/>
      <c r="AA281" s="698"/>
      <c r="AB281" s="702"/>
      <c r="AC281" s="702"/>
      <c r="AD281" s="473" t="s">
        <v>1120</v>
      </c>
      <c r="AE281" s="474">
        <v>1</v>
      </c>
      <c r="AF281" s="474">
        <v>2</v>
      </c>
      <c r="AG281" s="702"/>
      <c r="AH281" s="729"/>
      <c r="AI281" s="698"/>
      <c r="AJ281" s="700"/>
    </row>
    <row r="282" spans="1:36" ht="24" hidden="1" customHeight="1">
      <c r="B282" s="701">
        <v>215</v>
      </c>
      <c r="C282" s="699" t="s">
        <v>534</v>
      </c>
      <c r="D282" s="699"/>
      <c r="E282" s="699" t="s">
        <v>535</v>
      </c>
      <c r="F282" s="699"/>
      <c r="G282" s="699" t="s">
        <v>280</v>
      </c>
      <c r="H282" s="699" t="s">
        <v>1121</v>
      </c>
      <c r="I282" s="712">
        <v>25000</v>
      </c>
      <c r="J282" s="709" t="s">
        <v>537</v>
      </c>
      <c r="K282" s="709" t="s">
        <v>537</v>
      </c>
      <c r="L282" s="712">
        <v>25000</v>
      </c>
      <c r="M282" s="709" t="s">
        <v>537</v>
      </c>
      <c r="N282" s="709" t="s">
        <v>537</v>
      </c>
      <c r="O282" s="701" t="s">
        <v>537</v>
      </c>
      <c r="P282" s="701" t="s">
        <v>537</v>
      </c>
      <c r="Q282" s="709">
        <v>0</v>
      </c>
      <c r="R282" s="701" t="s">
        <v>643</v>
      </c>
      <c r="S282" s="701" t="s">
        <v>1122</v>
      </c>
      <c r="T282" s="701">
        <v>0</v>
      </c>
      <c r="U282" s="701">
        <v>19</v>
      </c>
      <c r="V282" s="701">
        <v>0</v>
      </c>
      <c r="W282" s="701">
        <v>0</v>
      </c>
      <c r="X282" s="701">
        <v>36</v>
      </c>
      <c r="Y282" s="701">
        <v>0</v>
      </c>
      <c r="Z282" s="701">
        <v>86.27</v>
      </c>
      <c r="AA282" s="458" t="s">
        <v>630</v>
      </c>
      <c r="AB282" s="459" t="s">
        <v>539</v>
      </c>
      <c r="AC282" s="459" t="s">
        <v>539</v>
      </c>
      <c r="AD282" s="458" t="s">
        <v>1075</v>
      </c>
      <c r="AE282" s="459">
        <v>80</v>
      </c>
      <c r="AF282" s="459">
        <v>86</v>
      </c>
      <c r="AG282" s="701" t="s">
        <v>375</v>
      </c>
      <c r="AH282" s="728"/>
      <c r="AI282" s="697">
        <v>936868245</v>
      </c>
      <c r="AJ282" s="699"/>
    </row>
    <row r="283" spans="1:36" ht="24" hidden="1" customHeight="1">
      <c r="B283" s="702"/>
      <c r="C283" s="700"/>
      <c r="D283" s="700"/>
      <c r="E283" s="700"/>
      <c r="F283" s="700"/>
      <c r="G283" s="700"/>
      <c r="H283" s="700"/>
      <c r="I283" s="713"/>
      <c r="J283" s="710"/>
      <c r="K283" s="710"/>
      <c r="L283" s="713"/>
      <c r="M283" s="710"/>
      <c r="N283" s="710"/>
      <c r="O283" s="702"/>
      <c r="P283" s="702"/>
      <c r="Q283" s="710"/>
      <c r="R283" s="702"/>
      <c r="S283" s="702"/>
      <c r="T283" s="702"/>
      <c r="U283" s="702"/>
      <c r="V283" s="702"/>
      <c r="W283" s="702"/>
      <c r="X283" s="702"/>
      <c r="Y283" s="702"/>
      <c r="Z283" s="702"/>
      <c r="AA283" s="473" t="s">
        <v>1123</v>
      </c>
      <c r="AB283" s="474">
        <v>80</v>
      </c>
      <c r="AC283" s="474">
        <v>86</v>
      </c>
      <c r="AD283" s="473" t="s">
        <v>1124</v>
      </c>
      <c r="AE283" s="474">
        <v>80</v>
      </c>
      <c r="AF283" s="474">
        <v>100</v>
      </c>
      <c r="AG283" s="702"/>
      <c r="AH283" s="729"/>
      <c r="AI283" s="698"/>
      <c r="AJ283" s="700"/>
    </row>
    <row r="284" spans="1:36" ht="24" customHeight="1">
      <c r="A284" s="452">
        <v>14</v>
      </c>
      <c r="B284" s="463">
        <v>216</v>
      </c>
      <c r="C284" s="464" t="s">
        <v>377</v>
      </c>
      <c r="D284" s="464"/>
      <c r="E284" s="464" t="s">
        <v>602</v>
      </c>
      <c r="F284" s="464"/>
      <c r="G284" s="464" t="s">
        <v>280</v>
      </c>
      <c r="H284" s="464" t="s">
        <v>1125</v>
      </c>
      <c r="I284" s="466">
        <v>70000</v>
      </c>
      <c r="J284" s="465" t="s">
        <v>537</v>
      </c>
      <c r="K284" s="465" t="s">
        <v>537</v>
      </c>
      <c r="L284" s="466">
        <v>69812</v>
      </c>
      <c r="M284" s="465" t="s">
        <v>537</v>
      </c>
      <c r="N284" s="465" t="s">
        <v>537</v>
      </c>
      <c r="O284" s="463" t="s">
        <v>537</v>
      </c>
      <c r="P284" s="463" t="s">
        <v>537</v>
      </c>
      <c r="Q284" s="465">
        <v>188</v>
      </c>
      <c r="R284" s="463" t="s">
        <v>1126</v>
      </c>
      <c r="S284" s="463" t="s">
        <v>1127</v>
      </c>
      <c r="T284" s="463">
        <v>0</v>
      </c>
      <c r="U284" s="463">
        <v>30</v>
      </c>
      <c r="V284" s="463">
        <v>470</v>
      </c>
      <c r="W284" s="463">
        <v>0</v>
      </c>
      <c r="X284" s="463">
        <v>30</v>
      </c>
      <c r="Y284" s="463">
        <v>470</v>
      </c>
      <c r="Z284" s="463">
        <v>87.33</v>
      </c>
      <c r="AA284" s="472" t="s">
        <v>612</v>
      </c>
      <c r="AB284" s="463" t="s">
        <v>539</v>
      </c>
      <c r="AC284" s="463">
        <v>88</v>
      </c>
      <c r="AD284" s="472" t="s">
        <v>565</v>
      </c>
      <c r="AE284" s="463">
        <v>80</v>
      </c>
      <c r="AF284" s="463">
        <v>87.33</v>
      </c>
      <c r="AG284" s="463" t="s">
        <v>375</v>
      </c>
      <c r="AH284" s="476"/>
      <c r="AI284" s="472">
        <v>979859925</v>
      </c>
      <c r="AJ284" s="464"/>
    </row>
    <row r="285" spans="1:36" ht="24" hidden="1" customHeight="1">
      <c r="B285" s="463">
        <v>217</v>
      </c>
      <c r="C285" s="464" t="s">
        <v>534</v>
      </c>
      <c r="D285" s="464"/>
      <c r="E285" s="464" t="s">
        <v>577</v>
      </c>
      <c r="F285" s="464"/>
      <c r="G285" s="464" t="s">
        <v>280</v>
      </c>
      <c r="H285" s="464" t="s">
        <v>1128</v>
      </c>
      <c r="I285" s="465" t="s">
        <v>537</v>
      </c>
      <c r="J285" s="465" t="s">
        <v>537</v>
      </c>
      <c r="K285" s="466">
        <v>100000</v>
      </c>
      <c r="L285" s="465" t="s">
        <v>537</v>
      </c>
      <c r="M285" s="465" t="s">
        <v>537</v>
      </c>
      <c r="N285" s="466">
        <v>97591</v>
      </c>
      <c r="O285" s="463" t="s">
        <v>537</v>
      </c>
      <c r="P285" s="463" t="s">
        <v>537</v>
      </c>
      <c r="Q285" s="468">
        <v>2409</v>
      </c>
      <c r="R285" s="470">
        <v>241518</v>
      </c>
      <c r="S285" s="463" t="s">
        <v>1129</v>
      </c>
      <c r="T285" s="463">
        <v>0</v>
      </c>
      <c r="U285" s="463">
        <v>0</v>
      </c>
      <c r="V285" s="463">
        <v>0</v>
      </c>
      <c r="W285" s="463">
        <v>0</v>
      </c>
      <c r="X285" s="463">
        <v>0</v>
      </c>
      <c r="Y285" s="463">
        <v>10000</v>
      </c>
      <c r="Z285" s="463">
        <v>86</v>
      </c>
      <c r="AA285" s="472" t="s">
        <v>1130</v>
      </c>
      <c r="AB285" s="463" t="s">
        <v>539</v>
      </c>
      <c r="AC285" s="463" t="s">
        <v>539</v>
      </c>
      <c r="AD285" s="472" t="s">
        <v>1131</v>
      </c>
      <c r="AE285" s="463" t="s">
        <v>539</v>
      </c>
      <c r="AF285" s="463" t="s">
        <v>539</v>
      </c>
      <c r="AG285" s="463" t="s">
        <v>375</v>
      </c>
      <c r="AH285" s="476"/>
      <c r="AI285" s="472">
        <v>806979729</v>
      </c>
      <c r="AJ285" s="472" t="s">
        <v>543</v>
      </c>
    </row>
    <row r="286" spans="1:36" ht="24" hidden="1" customHeight="1">
      <c r="B286" s="463">
        <v>218</v>
      </c>
      <c r="C286" s="464" t="s">
        <v>337</v>
      </c>
      <c r="D286" s="464"/>
      <c r="E286" s="464" t="s">
        <v>545</v>
      </c>
      <c r="F286" s="464"/>
      <c r="G286" s="464" t="s">
        <v>280</v>
      </c>
      <c r="H286" s="464" t="s">
        <v>1132</v>
      </c>
      <c r="I286" s="465" t="s">
        <v>537</v>
      </c>
      <c r="J286" s="465" t="s">
        <v>537</v>
      </c>
      <c r="K286" s="466">
        <v>20000</v>
      </c>
      <c r="L286" s="465" t="s">
        <v>537</v>
      </c>
      <c r="M286" s="465" t="s">
        <v>537</v>
      </c>
      <c r="N286" s="466">
        <v>19970</v>
      </c>
      <c r="O286" s="463" t="s">
        <v>537</v>
      </c>
      <c r="P286" s="463" t="s">
        <v>537</v>
      </c>
      <c r="Q286" s="465">
        <v>30</v>
      </c>
      <c r="R286" s="470">
        <v>241518</v>
      </c>
      <c r="S286" s="471">
        <v>22374</v>
      </c>
      <c r="T286" s="463">
        <v>0</v>
      </c>
      <c r="U286" s="463">
        <v>4</v>
      </c>
      <c r="V286" s="463">
        <v>10</v>
      </c>
      <c r="W286" s="463">
        <v>0</v>
      </c>
      <c r="X286" s="463">
        <v>8</v>
      </c>
      <c r="Y286" s="463">
        <v>10</v>
      </c>
      <c r="Z286" s="463">
        <v>86.43</v>
      </c>
      <c r="AA286" s="472" t="s">
        <v>1133</v>
      </c>
      <c r="AB286" s="463">
        <v>1</v>
      </c>
      <c r="AC286" s="463">
        <v>1</v>
      </c>
      <c r="AD286" s="472" t="s">
        <v>1134</v>
      </c>
      <c r="AE286" s="463">
        <v>10</v>
      </c>
      <c r="AF286" s="463">
        <v>10</v>
      </c>
      <c r="AG286" s="463" t="s">
        <v>375</v>
      </c>
      <c r="AH286" s="476"/>
      <c r="AI286" s="472">
        <v>857932005</v>
      </c>
      <c r="AJ286" s="472" t="s">
        <v>543</v>
      </c>
    </row>
    <row r="287" spans="1:36" ht="24" hidden="1" customHeight="1">
      <c r="B287" s="463">
        <v>219</v>
      </c>
      <c r="C287" s="464" t="s">
        <v>534</v>
      </c>
      <c r="D287" s="464"/>
      <c r="E287" s="464" t="s">
        <v>577</v>
      </c>
      <c r="F287" s="464"/>
      <c r="G287" s="464" t="s">
        <v>272</v>
      </c>
      <c r="H287" s="464" t="s">
        <v>1135</v>
      </c>
      <c r="I287" s="465" t="s">
        <v>537</v>
      </c>
      <c r="J287" s="465" t="s">
        <v>537</v>
      </c>
      <c r="K287" s="466">
        <v>6800</v>
      </c>
      <c r="L287" s="465" t="s">
        <v>537</v>
      </c>
      <c r="M287" s="465" t="s">
        <v>537</v>
      </c>
      <c r="N287" s="466">
        <v>6800</v>
      </c>
      <c r="O287" s="463" t="s">
        <v>537</v>
      </c>
      <c r="P287" s="463" t="s">
        <v>537</v>
      </c>
      <c r="Q287" s="465">
        <v>0</v>
      </c>
      <c r="R287" s="463" t="s">
        <v>552</v>
      </c>
      <c r="S287" s="463" t="s">
        <v>1136</v>
      </c>
      <c r="T287" s="463">
        <v>0</v>
      </c>
      <c r="U287" s="463">
        <v>0</v>
      </c>
      <c r="V287" s="463">
        <v>0</v>
      </c>
      <c r="W287" s="464"/>
      <c r="X287" s="464"/>
      <c r="Y287" s="464"/>
      <c r="Z287" s="463">
        <v>92</v>
      </c>
      <c r="AA287" s="472" t="s">
        <v>1137</v>
      </c>
      <c r="AB287" s="463" t="s">
        <v>539</v>
      </c>
      <c r="AC287" s="463" t="s">
        <v>539</v>
      </c>
      <c r="AD287" s="472" t="s">
        <v>1138</v>
      </c>
      <c r="AE287" s="463" t="s">
        <v>539</v>
      </c>
      <c r="AF287" s="463" t="s">
        <v>539</v>
      </c>
      <c r="AG287" s="463" t="s">
        <v>375</v>
      </c>
      <c r="AH287" s="476"/>
      <c r="AI287" s="472">
        <v>848402742</v>
      </c>
      <c r="AJ287" s="472" t="s">
        <v>543</v>
      </c>
    </row>
    <row r="288" spans="1:36" ht="24" hidden="1" customHeight="1">
      <c r="B288" s="463">
        <v>220</v>
      </c>
      <c r="C288" s="464" t="s">
        <v>337</v>
      </c>
      <c r="D288" s="464" t="s">
        <v>544</v>
      </c>
      <c r="E288" s="464" t="s">
        <v>545</v>
      </c>
      <c r="F288" s="464"/>
      <c r="G288" s="464" t="s">
        <v>272</v>
      </c>
      <c r="H288" s="464" t="s">
        <v>1139</v>
      </c>
      <c r="I288" s="466">
        <v>30000</v>
      </c>
      <c r="J288" s="465" t="s">
        <v>537</v>
      </c>
      <c r="K288" s="465" t="s">
        <v>537</v>
      </c>
      <c r="L288" s="466">
        <v>30000</v>
      </c>
      <c r="M288" s="465" t="s">
        <v>537</v>
      </c>
      <c r="N288" s="465" t="s">
        <v>537</v>
      </c>
      <c r="O288" s="463" t="s">
        <v>537</v>
      </c>
      <c r="P288" s="463" t="s">
        <v>537</v>
      </c>
      <c r="Q288" s="465">
        <v>0</v>
      </c>
      <c r="R288" s="470">
        <v>241428</v>
      </c>
      <c r="S288" s="471">
        <v>22293</v>
      </c>
      <c r="T288" s="463">
        <v>1</v>
      </c>
      <c r="U288" s="463">
        <v>2</v>
      </c>
      <c r="V288" s="463">
        <v>22</v>
      </c>
      <c r="W288" s="463">
        <v>1</v>
      </c>
      <c r="X288" s="463">
        <v>10</v>
      </c>
      <c r="Y288" s="463">
        <v>35</v>
      </c>
      <c r="Z288" s="463">
        <v>90</v>
      </c>
      <c r="AA288" s="472" t="s">
        <v>547</v>
      </c>
      <c r="AB288" s="463" t="s">
        <v>539</v>
      </c>
      <c r="AC288" s="463" t="s">
        <v>539</v>
      </c>
      <c r="AD288" s="472" t="s">
        <v>1140</v>
      </c>
      <c r="AE288" s="463" t="s">
        <v>1141</v>
      </c>
      <c r="AF288" s="463">
        <v>90</v>
      </c>
      <c r="AG288" s="463" t="s">
        <v>376</v>
      </c>
      <c r="AH288" s="476"/>
      <c r="AI288" s="472">
        <v>848402742</v>
      </c>
      <c r="AJ288" s="464"/>
    </row>
    <row r="289" spans="1:36" ht="24" hidden="1" customHeight="1">
      <c r="B289" s="463">
        <v>221</v>
      </c>
      <c r="C289" s="464" t="s">
        <v>337</v>
      </c>
      <c r="D289" s="464" t="s">
        <v>544</v>
      </c>
      <c r="E289" s="464" t="s">
        <v>545</v>
      </c>
      <c r="F289" s="464"/>
      <c r="G289" s="464" t="s">
        <v>272</v>
      </c>
      <c r="H289" s="464" t="s">
        <v>1142</v>
      </c>
      <c r="I289" s="466">
        <v>20000</v>
      </c>
      <c r="J289" s="465" t="s">
        <v>537</v>
      </c>
      <c r="K289" s="465" t="s">
        <v>537</v>
      </c>
      <c r="L289" s="466">
        <v>20000</v>
      </c>
      <c r="M289" s="465" t="s">
        <v>537</v>
      </c>
      <c r="N289" s="465" t="s">
        <v>537</v>
      </c>
      <c r="O289" s="463" t="s">
        <v>537</v>
      </c>
      <c r="P289" s="463" t="s">
        <v>537</v>
      </c>
      <c r="Q289" s="465">
        <v>0</v>
      </c>
      <c r="R289" s="470">
        <v>241428</v>
      </c>
      <c r="S289" s="471">
        <v>22310</v>
      </c>
      <c r="T289" s="463">
        <v>0</v>
      </c>
      <c r="U289" s="463">
        <v>2</v>
      </c>
      <c r="V289" s="463">
        <v>20</v>
      </c>
      <c r="W289" s="464"/>
      <c r="X289" s="464"/>
      <c r="Y289" s="463">
        <v>30</v>
      </c>
      <c r="Z289" s="463">
        <v>90</v>
      </c>
      <c r="AA289" s="472" t="s">
        <v>547</v>
      </c>
      <c r="AB289" s="463" t="s">
        <v>539</v>
      </c>
      <c r="AC289" s="463" t="s">
        <v>539</v>
      </c>
      <c r="AD289" s="472" t="s">
        <v>1140</v>
      </c>
      <c r="AE289" s="463" t="s">
        <v>1141</v>
      </c>
      <c r="AF289" s="463">
        <v>90</v>
      </c>
      <c r="AG289" s="463" t="s">
        <v>376</v>
      </c>
      <c r="AH289" s="476"/>
      <c r="AI289" s="472">
        <v>865931789</v>
      </c>
      <c r="AJ289" s="464"/>
    </row>
    <row r="290" spans="1:36" ht="24" hidden="1" customHeight="1">
      <c r="B290" s="463">
        <v>222</v>
      </c>
      <c r="C290" s="464" t="s">
        <v>337</v>
      </c>
      <c r="D290" s="464" t="s">
        <v>544</v>
      </c>
      <c r="E290" s="464" t="s">
        <v>545</v>
      </c>
      <c r="F290" s="464"/>
      <c r="G290" s="464" t="s">
        <v>272</v>
      </c>
      <c r="H290" s="464" t="s">
        <v>1143</v>
      </c>
      <c r="I290" s="466">
        <v>30000</v>
      </c>
      <c r="J290" s="465" t="s">
        <v>537</v>
      </c>
      <c r="K290" s="465" t="s">
        <v>537</v>
      </c>
      <c r="L290" s="466">
        <v>30000</v>
      </c>
      <c r="M290" s="465" t="s">
        <v>537</v>
      </c>
      <c r="N290" s="465" t="s">
        <v>537</v>
      </c>
      <c r="O290" s="463" t="s">
        <v>537</v>
      </c>
      <c r="P290" s="463" t="s">
        <v>537</v>
      </c>
      <c r="Q290" s="465">
        <v>0</v>
      </c>
      <c r="R290" s="470">
        <v>241428</v>
      </c>
      <c r="S290" s="463" t="s">
        <v>1144</v>
      </c>
      <c r="T290" s="463">
        <v>0</v>
      </c>
      <c r="U290" s="463">
        <v>5</v>
      </c>
      <c r="V290" s="463">
        <v>50</v>
      </c>
      <c r="W290" s="463">
        <v>0</v>
      </c>
      <c r="X290" s="463">
        <v>7</v>
      </c>
      <c r="Y290" s="463">
        <v>48</v>
      </c>
      <c r="Z290" s="463">
        <v>95</v>
      </c>
      <c r="AA290" s="472" t="s">
        <v>547</v>
      </c>
      <c r="AB290" s="463" t="s">
        <v>539</v>
      </c>
      <c r="AC290" s="463" t="s">
        <v>539</v>
      </c>
      <c r="AD290" s="472" t="s">
        <v>1140</v>
      </c>
      <c r="AE290" s="463" t="s">
        <v>1141</v>
      </c>
      <c r="AF290" s="463">
        <v>95</v>
      </c>
      <c r="AG290" s="463" t="s">
        <v>376</v>
      </c>
      <c r="AH290" s="476"/>
      <c r="AI290" s="472">
        <v>848402742</v>
      </c>
      <c r="AJ290" s="464"/>
    </row>
    <row r="291" spans="1:36" ht="24" hidden="1" customHeight="1">
      <c r="B291" s="463">
        <v>223</v>
      </c>
      <c r="C291" s="464" t="s">
        <v>337</v>
      </c>
      <c r="D291" s="464" t="s">
        <v>544</v>
      </c>
      <c r="E291" s="464" t="s">
        <v>545</v>
      </c>
      <c r="F291" s="464"/>
      <c r="G291" s="464" t="s">
        <v>272</v>
      </c>
      <c r="H291" s="464" t="s">
        <v>1145</v>
      </c>
      <c r="I291" s="466">
        <v>52500</v>
      </c>
      <c r="J291" s="465" t="s">
        <v>537</v>
      </c>
      <c r="K291" s="465" t="s">
        <v>537</v>
      </c>
      <c r="L291" s="466">
        <v>44580</v>
      </c>
      <c r="M291" s="465" t="s">
        <v>537</v>
      </c>
      <c r="N291" s="465" t="s">
        <v>537</v>
      </c>
      <c r="O291" s="463" t="s">
        <v>537</v>
      </c>
      <c r="P291" s="463" t="s">
        <v>537</v>
      </c>
      <c r="Q291" s="468">
        <v>7920</v>
      </c>
      <c r="R291" s="470">
        <v>241459</v>
      </c>
      <c r="S291" s="463" t="s">
        <v>1146</v>
      </c>
      <c r="T291" s="463">
        <v>0</v>
      </c>
      <c r="U291" s="463">
        <v>3</v>
      </c>
      <c r="V291" s="463">
        <v>30</v>
      </c>
      <c r="W291" s="463">
        <v>0</v>
      </c>
      <c r="X291" s="463">
        <v>3</v>
      </c>
      <c r="Y291" s="463">
        <v>30</v>
      </c>
      <c r="Z291" s="464"/>
      <c r="AA291" s="472" t="s">
        <v>547</v>
      </c>
      <c r="AB291" s="463" t="s">
        <v>539</v>
      </c>
      <c r="AC291" s="463" t="s">
        <v>539</v>
      </c>
      <c r="AD291" s="472" t="s">
        <v>1140</v>
      </c>
      <c r="AE291" s="463" t="s">
        <v>1141</v>
      </c>
      <c r="AF291" s="463">
        <v>90</v>
      </c>
      <c r="AG291" s="463" t="s">
        <v>376</v>
      </c>
      <c r="AH291" s="476"/>
      <c r="AI291" s="472">
        <v>848402742</v>
      </c>
      <c r="AJ291" s="464"/>
    </row>
    <row r="292" spans="1:36" ht="24" hidden="1" customHeight="1">
      <c r="B292" s="463">
        <v>224</v>
      </c>
      <c r="C292" s="464" t="s">
        <v>337</v>
      </c>
      <c r="D292" s="464" t="s">
        <v>544</v>
      </c>
      <c r="E292" s="464" t="s">
        <v>545</v>
      </c>
      <c r="F292" s="464"/>
      <c r="G292" s="464" t="s">
        <v>272</v>
      </c>
      <c r="H292" s="464" t="s">
        <v>1147</v>
      </c>
      <c r="I292" s="466">
        <v>30000</v>
      </c>
      <c r="J292" s="465" t="s">
        <v>537</v>
      </c>
      <c r="K292" s="465" t="s">
        <v>537</v>
      </c>
      <c r="L292" s="466">
        <v>30000</v>
      </c>
      <c r="M292" s="465" t="s">
        <v>537</v>
      </c>
      <c r="N292" s="465" t="s">
        <v>537</v>
      </c>
      <c r="O292" s="463" t="s">
        <v>537</v>
      </c>
      <c r="P292" s="463" t="s">
        <v>537</v>
      </c>
      <c r="Q292" s="465">
        <v>0</v>
      </c>
      <c r="R292" s="470">
        <v>241518</v>
      </c>
      <c r="S292" s="463" t="s">
        <v>1148</v>
      </c>
      <c r="T292" s="463">
        <v>0</v>
      </c>
      <c r="U292" s="463">
        <v>3</v>
      </c>
      <c r="V292" s="463">
        <v>30</v>
      </c>
      <c r="W292" s="464"/>
      <c r="X292" s="463">
        <v>3</v>
      </c>
      <c r="Y292" s="463">
        <v>30</v>
      </c>
      <c r="Z292" s="463">
        <v>90</v>
      </c>
      <c r="AA292" s="472" t="s">
        <v>547</v>
      </c>
      <c r="AB292" s="463" t="s">
        <v>539</v>
      </c>
      <c r="AC292" s="463" t="s">
        <v>539</v>
      </c>
      <c r="AD292" s="472" t="s">
        <v>1140</v>
      </c>
      <c r="AE292" s="463" t="s">
        <v>1141</v>
      </c>
      <c r="AF292" s="463">
        <v>90</v>
      </c>
      <c r="AG292" s="463" t="s">
        <v>376</v>
      </c>
      <c r="AH292" s="476"/>
      <c r="AI292" s="472">
        <v>831038264</v>
      </c>
      <c r="AJ292" s="464"/>
    </row>
    <row r="293" spans="1:36" ht="24" hidden="1" customHeight="1">
      <c r="B293" s="463">
        <v>225</v>
      </c>
      <c r="C293" s="464" t="s">
        <v>337</v>
      </c>
      <c r="D293" s="464" t="s">
        <v>544</v>
      </c>
      <c r="E293" s="464" t="s">
        <v>545</v>
      </c>
      <c r="F293" s="464"/>
      <c r="G293" s="464" t="s">
        <v>272</v>
      </c>
      <c r="H293" s="464" t="s">
        <v>1149</v>
      </c>
      <c r="I293" s="466">
        <v>17500</v>
      </c>
      <c r="J293" s="465" t="s">
        <v>537</v>
      </c>
      <c r="K293" s="465" t="s">
        <v>537</v>
      </c>
      <c r="L293" s="466">
        <v>17500</v>
      </c>
      <c r="M293" s="465" t="s">
        <v>537</v>
      </c>
      <c r="N293" s="465" t="s">
        <v>537</v>
      </c>
      <c r="O293" s="463" t="s">
        <v>537</v>
      </c>
      <c r="P293" s="463" t="s">
        <v>537</v>
      </c>
      <c r="Q293" s="465">
        <v>0</v>
      </c>
      <c r="R293" s="470">
        <v>241518</v>
      </c>
      <c r="S293" s="463" t="s">
        <v>1150</v>
      </c>
      <c r="T293" s="463">
        <v>0</v>
      </c>
      <c r="U293" s="463">
        <v>3</v>
      </c>
      <c r="V293" s="463">
        <v>30</v>
      </c>
      <c r="W293" s="464"/>
      <c r="X293" s="464"/>
      <c r="Y293" s="463">
        <v>34</v>
      </c>
      <c r="Z293" s="464"/>
      <c r="AA293" s="472" t="s">
        <v>547</v>
      </c>
      <c r="AB293" s="463" t="s">
        <v>539</v>
      </c>
      <c r="AC293" s="463" t="s">
        <v>539</v>
      </c>
      <c r="AD293" s="472" t="s">
        <v>1140</v>
      </c>
      <c r="AE293" s="463" t="s">
        <v>1141</v>
      </c>
      <c r="AF293" s="463">
        <v>94</v>
      </c>
      <c r="AG293" s="463" t="s">
        <v>376</v>
      </c>
      <c r="AH293" s="476"/>
      <c r="AI293" s="472">
        <v>848402742</v>
      </c>
      <c r="AJ293" s="464"/>
    </row>
    <row r="294" spans="1:36" ht="24" hidden="1" customHeight="1">
      <c r="B294" s="463">
        <v>226</v>
      </c>
      <c r="C294" s="464" t="s">
        <v>337</v>
      </c>
      <c r="D294" s="464" t="s">
        <v>544</v>
      </c>
      <c r="E294" s="464" t="s">
        <v>545</v>
      </c>
      <c r="F294" s="464"/>
      <c r="G294" s="464" t="s">
        <v>272</v>
      </c>
      <c r="H294" s="464" t="s">
        <v>1151</v>
      </c>
      <c r="I294" s="465">
        <v>0</v>
      </c>
      <c r="J294" s="465" t="s">
        <v>537</v>
      </c>
      <c r="K294" s="465" t="s">
        <v>537</v>
      </c>
      <c r="L294" s="465">
        <v>0</v>
      </c>
      <c r="M294" s="465" t="s">
        <v>537</v>
      </c>
      <c r="N294" s="465" t="s">
        <v>537</v>
      </c>
      <c r="O294" s="463" t="s">
        <v>537</v>
      </c>
      <c r="P294" s="463" t="s">
        <v>537</v>
      </c>
      <c r="Q294" s="465">
        <v>0</v>
      </c>
      <c r="R294" s="463" t="s">
        <v>643</v>
      </c>
      <c r="S294" s="463" t="s">
        <v>1152</v>
      </c>
      <c r="T294" s="463">
        <v>0</v>
      </c>
      <c r="U294" s="463">
        <v>2</v>
      </c>
      <c r="V294" s="463">
        <v>20</v>
      </c>
      <c r="W294" s="464"/>
      <c r="X294" s="463">
        <v>2</v>
      </c>
      <c r="Y294" s="463">
        <v>20</v>
      </c>
      <c r="Z294" s="463">
        <v>90</v>
      </c>
      <c r="AA294" s="472" t="s">
        <v>547</v>
      </c>
      <c r="AB294" s="463" t="s">
        <v>539</v>
      </c>
      <c r="AC294" s="463" t="s">
        <v>539</v>
      </c>
      <c r="AD294" s="472" t="s">
        <v>1140</v>
      </c>
      <c r="AE294" s="463" t="s">
        <v>1141</v>
      </c>
      <c r="AF294" s="463">
        <v>90</v>
      </c>
      <c r="AG294" s="463" t="s">
        <v>376</v>
      </c>
      <c r="AH294" s="476"/>
      <c r="AI294" s="472">
        <v>848402742</v>
      </c>
      <c r="AJ294" s="464"/>
    </row>
    <row r="295" spans="1:36" ht="24" hidden="1" customHeight="1">
      <c r="B295" s="463">
        <v>227</v>
      </c>
      <c r="C295" s="464" t="s">
        <v>337</v>
      </c>
      <c r="D295" s="464"/>
      <c r="E295" s="464" t="s">
        <v>545</v>
      </c>
      <c r="F295" s="464"/>
      <c r="G295" s="464" t="s">
        <v>272</v>
      </c>
      <c r="H295" s="464" t="s">
        <v>1153</v>
      </c>
      <c r="I295" s="465" t="s">
        <v>537</v>
      </c>
      <c r="J295" s="465" t="s">
        <v>537</v>
      </c>
      <c r="K295" s="466">
        <v>12000</v>
      </c>
      <c r="L295" s="465" t="s">
        <v>537</v>
      </c>
      <c r="M295" s="465" t="s">
        <v>537</v>
      </c>
      <c r="N295" s="466">
        <v>12000</v>
      </c>
      <c r="O295" s="463" t="s">
        <v>537</v>
      </c>
      <c r="P295" s="463" t="s">
        <v>537</v>
      </c>
      <c r="Q295" s="465">
        <v>0</v>
      </c>
      <c r="R295" s="470">
        <v>241579</v>
      </c>
      <c r="S295" s="463" t="s">
        <v>1154</v>
      </c>
      <c r="T295" s="463">
        <v>0</v>
      </c>
      <c r="U295" s="463">
        <v>2</v>
      </c>
      <c r="V295" s="463">
        <v>40</v>
      </c>
      <c r="W295" s="464"/>
      <c r="X295" s="464"/>
      <c r="Y295" s="463">
        <v>40</v>
      </c>
      <c r="Z295" s="463">
        <v>92</v>
      </c>
      <c r="AA295" s="472" t="s">
        <v>1155</v>
      </c>
      <c r="AB295" s="463" t="s">
        <v>539</v>
      </c>
      <c r="AC295" s="463" t="s">
        <v>1040</v>
      </c>
      <c r="AD295" s="472" t="s">
        <v>1156</v>
      </c>
      <c r="AE295" s="463" t="s">
        <v>539</v>
      </c>
      <c r="AF295" s="463" t="s">
        <v>1040</v>
      </c>
      <c r="AG295" s="463" t="s">
        <v>376</v>
      </c>
      <c r="AH295" s="476"/>
      <c r="AI295" s="472">
        <v>848402742</v>
      </c>
      <c r="AJ295" s="472" t="s">
        <v>543</v>
      </c>
    </row>
    <row r="296" spans="1:36" ht="24" hidden="1" customHeight="1">
      <c r="B296" s="701">
        <v>228</v>
      </c>
      <c r="C296" s="699" t="s">
        <v>337</v>
      </c>
      <c r="D296" s="699"/>
      <c r="E296" s="699" t="s">
        <v>545</v>
      </c>
      <c r="F296" s="699"/>
      <c r="G296" s="699" t="s">
        <v>272</v>
      </c>
      <c r="H296" s="699" t="s">
        <v>1157</v>
      </c>
      <c r="I296" s="709" t="s">
        <v>537</v>
      </c>
      <c r="J296" s="709" t="s">
        <v>537</v>
      </c>
      <c r="K296" s="712">
        <v>30000</v>
      </c>
      <c r="L296" s="709" t="s">
        <v>537</v>
      </c>
      <c r="M296" s="709" t="s">
        <v>537</v>
      </c>
      <c r="N296" s="712">
        <v>30000</v>
      </c>
      <c r="O296" s="701" t="s">
        <v>537</v>
      </c>
      <c r="P296" s="701" t="s">
        <v>537</v>
      </c>
      <c r="Q296" s="709">
        <v>0</v>
      </c>
      <c r="R296" s="701" t="s">
        <v>643</v>
      </c>
      <c r="S296" s="701" t="s">
        <v>1158</v>
      </c>
      <c r="T296" s="701">
        <v>4</v>
      </c>
      <c r="U296" s="701">
        <v>2</v>
      </c>
      <c r="V296" s="701">
        <v>20</v>
      </c>
      <c r="W296" s="699"/>
      <c r="X296" s="699"/>
      <c r="Y296" s="701">
        <v>25</v>
      </c>
      <c r="Z296" s="701">
        <v>90</v>
      </c>
      <c r="AA296" s="458" t="s">
        <v>1159</v>
      </c>
      <c r="AB296" s="459" t="s">
        <v>539</v>
      </c>
      <c r="AC296" s="459" t="s">
        <v>539</v>
      </c>
      <c r="AD296" s="697" t="s">
        <v>1160</v>
      </c>
      <c r="AE296" s="701" t="s">
        <v>539</v>
      </c>
      <c r="AF296" s="701" t="s">
        <v>539</v>
      </c>
      <c r="AG296" s="701" t="s">
        <v>375</v>
      </c>
      <c r="AH296" s="728"/>
      <c r="AI296" s="697">
        <v>848402742</v>
      </c>
      <c r="AJ296" s="697" t="s">
        <v>543</v>
      </c>
    </row>
    <row r="297" spans="1:36" ht="24" hidden="1" customHeight="1">
      <c r="B297" s="702"/>
      <c r="C297" s="700"/>
      <c r="D297" s="700"/>
      <c r="E297" s="700"/>
      <c r="F297" s="700"/>
      <c r="G297" s="700"/>
      <c r="H297" s="700"/>
      <c r="I297" s="710"/>
      <c r="J297" s="710"/>
      <c r="K297" s="713"/>
      <c r="L297" s="710"/>
      <c r="M297" s="710"/>
      <c r="N297" s="713"/>
      <c r="O297" s="702"/>
      <c r="P297" s="702"/>
      <c r="Q297" s="710"/>
      <c r="R297" s="702"/>
      <c r="S297" s="702"/>
      <c r="T297" s="702"/>
      <c r="U297" s="702"/>
      <c r="V297" s="702"/>
      <c r="W297" s="700"/>
      <c r="X297" s="700"/>
      <c r="Y297" s="702"/>
      <c r="Z297" s="702"/>
      <c r="AA297" s="473" t="s">
        <v>1161</v>
      </c>
      <c r="AB297" s="474" t="s">
        <v>539</v>
      </c>
      <c r="AC297" s="474" t="s">
        <v>539</v>
      </c>
      <c r="AD297" s="698"/>
      <c r="AE297" s="702"/>
      <c r="AF297" s="702"/>
      <c r="AG297" s="702"/>
      <c r="AH297" s="729"/>
      <c r="AI297" s="698"/>
      <c r="AJ297" s="698"/>
    </row>
    <row r="298" spans="1:36" ht="24" hidden="1" customHeight="1">
      <c r="B298" s="463">
        <v>229</v>
      </c>
      <c r="C298" s="464" t="s">
        <v>337</v>
      </c>
      <c r="D298" s="464"/>
      <c r="E298" s="464" t="s">
        <v>545</v>
      </c>
      <c r="F298" s="464"/>
      <c r="G298" s="464" t="s">
        <v>272</v>
      </c>
      <c r="H298" s="464" t="s">
        <v>1162</v>
      </c>
      <c r="I298" s="465" t="s">
        <v>537</v>
      </c>
      <c r="J298" s="465" t="s">
        <v>537</v>
      </c>
      <c r="K298" s="466">
        <v>20000</v>
      </c>
      <c r="L298" s="465" t="s">
        <v>537</v>
      </c>
      <c r="M298" s="465" t="s">
        <v>537</v>
      </c>
      <c r="N298" s="466">
        <v>20000</v>
      </c>
      <c r="O298" s="463" t="s">
        <v>537</v>
      </c>
      <c r="P298" s="463" t="s">
        <v>537</v>
      </c>
      <c r="Q298" s="465">
        <v>0</v>
      </c>
      <c r="R298" s="463" t="s">
        <v>643</v>
      </c>
      <c r="S298" s="463" t="s">
        <v>1163</v>
      </c>
      <c r="T298" s="463">
        <v>8</v>
      </c>
      <c r="U298" s="463">
        <v>2</v>
      </c>
      <c r="V298" s="463">
        <v>20</v>
      </c>
      <c r="W298" s="464"/>
      <c r="X298" s="464"/>
      <c r="Y298" s="463">
        <v>30</v>
      </c>
      <c r="Z298" s="463">
        <v>90</v>
      </c>
      <c r="AA298" s="472" t="s">
        <v>1164</v>
      </c>
      <c r="AB298" s="463" t="s">
        <v>539</v>
      </c>
      <c r="AC298" s="463" t="s">
        <v>539</v>
      </c>
      <c r="AD298" s="472" t="s">
        <v>1165</v>
      </c>
      <c r="AE298" s="463">
        <v>20</v>
      </c>
      <c r="AF298" s="463">
        <v>90</v>
      </c>
      <c r="AG298" s="463" t="s">
        <v>375</v>
      </c>
      <c r="AH298" s="476"/>
      <c r="AI298" s="472">
        <v>827344304</v>
      </c>
      <c r="AJ298" s="472" t="s">
        <v>543</v>
      </c>
    </row>
    <row r="299" spans="1:36" ht="24" customHeight="1">
      <c r="A299" s="452">
        <v>15</v>
      </c>
      <c r="B299" s="463">
        <v>230</v>
      </c>
      <c r="C299" s="464" t="s">
        <v>377</v>
      </c>
      <c r="D299" s="464" t="s">
        <v>544</v>
      </c>
      <c r="E299" s="464" t="s">
        <v>602</v>
      </c>
      <c r="F299" s="464"/>
      <c r="G299" s="464" t="s">
        <v>272</v>
      </c>
      <c r="H299" s="464" t="s">
        <v>1166</v>
      </c>
      <c r="I299" s="466">
        <v>50000</v>
      </c>
      <c r="J299" s="465" t="s">
        <v>537</v>
      </c>
      <c r="K299" s="465" t="s">
        <v>537</v>
      </c>
      <c r="L299" s="466">
        <v>50000</v>
      </c>
      <c r="M299" s="465" t="s">
        <v>537</v>
      </c>
      <c r="N299" s="465" t="s">
        <v>537</v>
      </c>
      <c r="O299" s="463" t="s">
        <v>537</v>
      </c>
      <c r="P299" s="463" t="s">
        <v>537</v>
      </c>
      <c r="Q299" s="465">
        <v>0</v>
      </c>
      <c r="R299" s="470">
        <v>241487</v>
      </c>
      <c r="S299" s="471">
        <v>22361</v>
      </c>
      <c r="T299" s="463">
        <v>200</v>
      </c>
      <c r="U299" s="463">
        <v>0</v>
      </c>
      <c r="V299" s="463">
        <v>0</v>
      </c>
      <c r="W299" s="463">
        <v>200</v>
      </c>
      <c r="X299" s="464"/>
      <c r="Y299" s="464"/>
      <c r="Z299" s="463">
        <v>89</v>
      </c>
      <c r="AA299" s="472" t="s">
        <v>1167</v>
      </c>
      <c r="AB299" s="463" t="s">
        <v>539</v>
      </c>
      <c r="AC299" s="463" t="s">
        <v>539</v>
      </c>
      <c r="AD299" s="472" t="s">
        <v>1168</v>
      </c>
      <c r="AE299" s="463" t="s">
        <v>1141</v>
      </c>
      <c r="AF299" s="463">
        <v>89</v>
      </c>
      <c r="AG299" s="463" t="s">
        <v>376</v>
      </c>
      <c r="AH299" s="476"/>
      <c r="AI299" s="472">
        <v>848402742</v>
      </c>
      <c r="AJ299" s="464"/>
    </row>
    <row r="300" spans="1:36" ht="24" customHeight="1">
      <c r="A300" s="452">
        <v>16</v>
      </c>
      <c r="B300" s="463">
        <v>231</v>
      </c>
      <c r="C300" s="464" t="s">
        <v>377</v>
      </c>
      <c r="D300" s="464" t="s">
        <v>544</v>
      </c>
      <c r="E300" s="464" t="s">
        <v>602</v>
      </c>
      <c r="F300" s="464"/>
      <c r="G300" s="464" t="s">
        <v>272</v>
      </c>
      <c r="H300" s="464" t="s">
        <v>617</v>
      </c>
      <c r="I300" s="465" t="s">
        <v>537</v>
      </c>
      <c r="J300" s="466">
        <v>200000</v>
      </c>
      <c r="K300" s="465" t="s">
        <v>537</v>
      </c>
      <c r="L300" s="465" t="s">
        <v>537</v>
      </c>
      <c r="M300" s="466">
        <v>200000</v>
      </c>
      <c r="N300" s="465" t="s">
        <v>537</v>
      </c>
      <c r="O300" s="463" t="s">
        <v>537</v>
      </c>
      <c r="P300" s="463" t="s">
        <v>537</v>
      </c>
      <c r="Q300" s="465">
        <v>0</v>
      </c>
      <c r="R300" s="470">
        <v>241579</v>
      </c>
      <c r="S300" s="463" t="s">
        <v>618</v>
      </c>
      <c r="T300" s="463">
        <v>400</v>
      </c>
      <c r="U300" s="463">
        <v>0</v>
      </c>
      <c r="V300" s="463">
        <v>0</v>
      </c>
      <c r="W300" s="463">
        <v>250</v>
      </c>
      <c r="X300" s="464"/>
      <c r="Y300" s="464"/>
      <c r="Z300" s="463">
        <v>93</v>
      </c>
      <c r="AA300" s="472" t="s">
        <v>1167</v>
      </c>
      <c r="AB300" s="463" t="s">
        <v>539</v>
      </c>
      <c r="AC300" s="463" t="s">
        <v>539</v>
      </c>
      <c r="AD300" s="472" t="s">
        <v>1168</v>
      </c>
      <c r="AE300" s="463" t="s">
        <v>1141</v>
      </c>
      <c r="AF300" s="463">
        <v>93</v>
      </c>
      <c r="AG300" s="463" t="s">
        <v>376</v>
      </c>
      <c r="AH300" s="476"/>
      <c r="AI300" s="472">
        <v>848402742</v>
      </c>
      <c r="AJ300" s="464"/>
    </row>
    <row r="301" spans="1:36" ht="24" hidden="1" customHeight="1">
      <c r="B301" s="463">
        <v>232</v>
      </c>
      <c r="C301" s="464" t="s">
        <v>165</v>
      </c>
      <c r="D301" s="464" t="s">
        <v>544</v>
      </c>
      <c r="E301" s="464" t="s">
        <v>535</v>
      </c>
      <c r="F301" s="464"/>
      <c r="G301" s="464" t="s">
        <v>272</v>
      </c>
      <c r="H301" s="464" t="s">
        <v>1169</v>
      </c>
      <c r="I301" s="465" t="s">
        <v>537</v>
      </c>
      <c r="J301" s="466">
        <v>11380</v>
      </c>
      <c r="K301" s="465" t="s">
        <v>537</v>
      </c>
      <c r="L301" s="465" t="s">
        <v>537</v>
      </c>
      <c r="M301" s="466">
        <v>11380</v>
      </c>
      <c r="N301" s="465" t="s">
        <v>537</v>
      </c>
      <c r="O301" s="463" t="s">
        <v>537</v>
      </c>
      <c r="P301" s="463" t="s">
        <v>537</v>
      </c>
      <c r="Q301" s="465">
        <v>0</v>
      </c>
      <c r="R301" s="470">
        <v>241579</v>
      </c>
      <c r="S301" s="471">
        <v>22451</v>
      </c>
      <c r="T301" s="463">
        <v>27</v>
      </c>
      <c r="U301" s="463">
        <v>5</v>
      </c>
      <c r="V301" s="463">
        <v>0</v>
      </c>
      <c r="W301" s="463">
        <v>37</v>
      </c>
      <c r="X301" s="463">
        <v>7</v>
      </c>
      <c r="Y301" s="464"/>
      <c r="Z301" s="463">
        <v>93</v>
      </c>
      <c r="AA301" s="472" t="s">
        <v>547</v>
      </c>
      <c r="AB301" s="463" t="s">
        <v>539</v>
      </c>
      <c r="AC301" s="463" t="s">
        <v>539</v>
      </c>
      <c r="AD301" s="472" t="s">
        <v>1140</v>
      </c>
      <c r="AE301" s="463" t="s">
        <v>1141</v>
      </c>
      <c r="AF301" s="463">
        <v>93</v>
      </c>
      <c r="AG301" s="463" t="s">
        <v>376</v>
      </c>
      <c r="AH301" s="476"/>
      <c r="AI301" s="472">
        <v>848402742</v>
      </c>
      <c r="AJ301" s="464"/>
    </row>
    <row r="302" spans="1:36" ht="24" hidden="1" customHeight="1">
      <c r="B302" s="463">
        <v>233</v>
      </c>
      <c r="C302" s="464" t="s">
        <v>165</v>
      </c>
      <c r="D302" s="464" t="s">
        <v>544</v>
      </c>
      <c r="E302" s="464" t="s">
        <v>535</v>
      </c>
      <c r="F302" s="464"/>
      <c r="G302" s="464" t="s">
        <v>272</v>
      </c>
      <c r="H302" s="464" t="s">
        <v>1170</v>
      </c>
      <c r="I302" s="465" t="s">
        <v>537</v>
      </c>
      <c r="J302" s="466">
        <v>26000</v>
      </c>
      <c r="K302" s="465" t="s">
        <v>537</v>
      </c>
      <c r="L302" s="465" t="s">
        <v>537</v>
      </c>
      <c r="M302" s="466">
        <v>26000</v>
      </c>
      <c r="N302" s="465" t="s">
        <v>537</v>
      </c>
      <c r="O302" s="463" t="s">
        <v>537</v>
      </c>
      <c r="P302" s="463" t="s">
        <v>537</v>
      </c>
      <c r="Q302" s="465">
        <v>0</v>
      </c>
      <c r="R302" s="470">
        <v>241459</v>
      </c>
      <c r="S302" s="463" t="s">
        <v>1171</v>
      </c>
      <c r="T302" s="463">
        <v>40</v>
      </c>
      <c r="U302" s="463">
        <v>0</v>
      </c>
      <c r="V302" s="463">
        <v>0</v>
      </c>
      <c r="W302" s="463">
        <v>50</v>
      </c>
      <c r="X302" s="464"/>
      <c r="Y302" s="463">
        <v>3</v>
      </c>
      <c r="Z302" s="463">
        <v>89</v>
      </c>
      <c r="AA302" s="472" t="s">
        <v>547</v>
      </c>
      <c r="AB302" s="463" t="s">
        <v>539</v>
      </c>
      <c r="AC302" s="463" t="s">
        <v>539</v>
      </c>
      <c r="AD302" s="472" t="s">
        <v>699</v>
      </c>
      <c r="AE302" s="463" t="s">
        <v>1172</v>
      </c>
      <c r="AF302" s="463">
        <v>1</v>
      </c>
      <c r="AG302" s="463" t="s">
        <v>376</v>
      </c>
      <c r="AH302" s="476"/>
      <c r="AI302" s="472" t="s">
        <v>1173</v>
      </c>
      <c r="AJ302" s="464"/>
    </row>
    <row r="303" spans="1:36" ht="24" hidden="1" customHeight="1">
      <c r="B303" s="463">
        <v>234</v>
      </c>
      <c r="C303" s="464" t="s">
        <v>165</v>
      </c>
      <c r="D303" s="464" t="s">
        <v>544</v>
      </c>
      <c r="E303" s="464" t="s">
        <v>535</v>
      </c>
      <c r="F303" s="464"/>
      <c r="G303" s="464" t="s">
        <v>272</v>
      </c>
      <c r="H303" s="464" t="s">
        <v>1174</v>
      </c>
      <c r="I303" s="465" t="s">
        <v>537</v>
      </c>
      <c r="J303" s="466">
        <v>20000</v>
      </c>
      <c r="K303" s="465" t="s">
        <v>537</v>
      </c>
      <c r="L303" s="465" t="s">
        <v>537</v>
      </c>
      <c r="M303" s="466">
        <v>20000</v>
      </c>
      <c r="N303" s="465" t="s">
        <v>537</v>
      </c>
      <c r="O303" s="463" t="s">
        <v>537</v>
      </c>
      <c r="P303" s="463" t="s">
        <v>537</v>
      </c>
      <c r="Q303" s="465">
        <v>0</v>
      </c>
      <c r="R303" s="470">
        <v>241579</v>
      </c>
      <c r="S303" s="471">
        <v>22444</v>
      </c>
      <c r="T303" s="463">
        <v>0</v>
      </c>
      <c r="U303" s="463">
        <v>30</v>
      </c>
      <c r="V303" s="463">
        <v>0</v>
      </c>
      <c r="W303" s="464"/>
      <c r="X303" s="463">
        <v>35</v>
      </c>
      <c r="Y303" s="464"/>
      <c r="Z303" s="463">
        <v>99.34</v>
      </c>
      <c r="AA303" s="472" t="s">
        <v>547</v>
      </c>
      <c r="AB303" s="463" t="s">
        <v>539</v>
      </c>
      <c r="AC303" s="463" t="s">
        <v>539</v>
      </c>
      <c r="AD303" s="472" t="s">
        <v>1140</v>
      </c>
      <c r="AE303" s="463" t="s">
        <v>1141</v>
      </c>
      <c r="AF303" s="463">
        <v>993.4</v>
      </c>
      <c r="AG303" s="463" t="s">
        <v>376</v>
      </c>
      <c r="AH303" s="476"/>
      <c r="AI303" s="472">
        <v>848402742</v>
      </c>
      <c r="AJ303" s="464"/>
    </row>
    <row r="304" spans="1:36" ht="24" hidden="1" customHeight="1">
      <c r="B304" s="463">
        <v>235</v>
      </c>
      <c r="C304" s="464" t="s">
        <v>165</v>
      </c>
      <c r="D304" s="464" t="s">
        <v>544</v>
      </c>
      <c r="E304" s="464" t="s">
        <v>535</v>
      </c>
      <c r="F304" s="464"/>
      <c r="G304" s="464" t="s">
        <v>272</v>
      </c>
      <c r="H304" s="464" t="s">
        <v>1175</v>
      </c>
      <c r="I304" s="465" t="s">
        <v>537</v>
      </c>
      <c r="J304" s="466">
        <v>30000</v>
      </c>
      <c r="K304" s="465" t="s">
        <v>537</v>
      </c>
      <c r="L304" s="465" t="s">
        <v>537</v>
      </c>
      <c r="M304" s="466">
        <v>30000</v>
      </c>
      <c r="N304" s="465" t="s">
        <v>537</v>
      </c>
      <c r="O304" s="463" t="s">
        <v>537</v>
      </c>
      <c r="P304" s="463" t="s">
        <v>537</v>
      </c>
      <c r="Q304" s="465">
        <v>0</v>
      </c>
      <c r="R304" s="470">
        <v>241579</v>
      </c>
      <c r="S304" s="471">
        <v>22327</v>
      </c>
      <c r="T304" s="463">
        <v>100</v>
      </c>
      <c r="U304" s="463">
        <v>10</v>
      </c>
      <c r="V304" s="463">
        <v>0</v>
      </c>
      <c r="W304" s="463">
        <v>130</v>
      </c>
      <c r="X304" s="464"/>
      <c r="Y304" s="464"/>
      <c r="Z304" s="463">
        <v>92</v>
      </c>
      <c r="AA304" s="472" t="s">
        <v>547</v>
      </c>
      <c r="AB304" s="463" t="s">
        <v>634</v>
      </c>
      <c r="AC304" s="463" t="s">
        <v>539</v>
      </c>
      <c r="AD304" s="472" t="s">
        <v>1140</v>
      </c>
      <c r="AE304" s="463" t="s">
        <v>1141</v>
      </c>
      <c r="AF304" s="463">
        <v>92</v>
      </c>
      <c r="AG304" s="463" t="s">
        <v>376</v>
      </c>
      <c r="AH304" s="476"/>
      <c r="AI304" s="472">
        <v>848402742</v>
      </c>
      <c r="AJ304" s="464"/>
    </row>
    <row r="305" spans="2:36" ht="24" hidden="1" customHeight="1">
      <c r="B305" s="463">
        <v>236</v>
      </c>
      <c r="C305" s="464" t="s">
        <v>165</v>
      </c>
      <c r="D305" s="464" t="s">
        <v>544</v>
      </c>
      <c r="E305" s="464" t="s">
        <v>535</v>
      </c>
      <c r="F305" s="464"/>
      <c r="G305" s="464" t="s">
        <v>272</v>
      </c>
      <c r="H305" s="464" t="s">
        <v>1176</v>
      </c>
      <c r="I305" s="465" t="s">
        <v>537</v>
      </c>
      <c r="J305" s="466">
        <v>50000</v>
      </c>
      <c r="K305" s="465" t="s">
        <v>537</v>
      </c>
      <c r="L305" s="465" t="s">
        <v>537</v>
      </c>
      <c r="M305" s="466">
        <v>50000</v>
      </c>
      <c r="N305" s="465" t="s">
        <v>537</v>
      </c>
      <c r="O305" s="463" t="s">
        <v>537</v>
      </c>
      <c r="P305" s="463" t="s">
        <v>537</v>
      </c>
      <c r="Q305" s="465">
        <v>0</v>
      </c>
      <c r="R305" s="470">
        <v>241459</v>
      </c>
      <c r="S305" s="471">
        <v>22326</v>
      </c>
      <c r="T305" s="463">
        <v>30</v>
      </c>
      <c r="U305" s="463">
        <v>5</v>
      </c>
      <c r="V305" s="463">
        <v>0</v>
      </c>
      <c r="W305" s="463">
        <v>35</v>
      </c>
      <c r="X305" s="464"/>
      <c r="Y305" s="464"/>
      <c r="Z305" s="463">
        <v>92</v>
      </c>
      <c r="AA305" s="472" t="s">
        <v>547</v>
      </c>
      <c r="AB305" s="463" t="s">
        <v>539</v>
      </c>
      <c r="AC305" s="463" t="s">
        <v>539</v>
      </c>
      <c r="AD305" s="472" t="s">
        <v>1140</v>
      </c>
      <c r="AE305" s="463" t="s">
        <v>1141</v>
      </c>
      <c r="AF305" s="463">
        <v>92</v>
      </c>
      <c r="AG305" s="463" t="s">
        <v>376</v>
      </c>
      <c r="AH305" s="476"/>
      <c r="AI305" s="472">
        <v>848402742</v>
      </c>
      <c r="AJ305" s="464"/>
    </row>
    <row r="306" spans="2:36" ht="24" hidden="1" customHeight="1">
      <c r="B306" s="463">
        <v>237</v>
      </c>
      <c r="C306" s="464" t="s">
        <v>165</v>
      </c>
      <c r="D306" s="464" t="s">
        <v>544</v>
      </c>
      <c r="E306" s="464" t="s">
        <v>535</v>
      </c>
      <c r="F306" s="464"/>
      <c r="G306" s="464" t="s">
        <v>272</v>
      </c>
      <c r="H306" s="464" t="s">
        <v>668</v>
      </c>
      <c r="I306" s="465" t="s">
        <v>537</v>
      </c>
      <c r="J306" s="466">
        <v>120000</v>
      </c>
      <c r="K306" s="465" t="s">
        <v>537</v>
      </c>
      <c r="L306" s="465" t="s">
        <v>537</v>
      </c>
      <c r="M306" s="466">
        <v>116400</v>
      </c>
      <c r="N306" s="465" t="s">
        <v>537</v>
      </c>
      <c r="O306" s="463" t="s">
        <v>537</v>
      </c>
      <c r="P306" s="463" t="s">
        <v>537</v>
      </c>
      <c r="Q306" s="468">
        <v>3600</v>
      </c>
      <c r="R306" s="463" t="s">
        <v>643</v>
      </c>
      <c r="S306" s="471">
        <v>22375</v>
      </c>
      <c r="T306" s="463">
        <v>550</v>
      </c>
      <c r="U306" s="463">
        <v>0</v>
      </c>
      <c r="V306" s="463">
        <v>0</v>
      </c>
      <c r="W306" s="463">
        <v>700</v>
      </c>
      <c r="X306" s="464"/>
      <c r="Y306" s="464"/>
      <c r="Z306" s="463">
        <v>90</v>
      </c>
      <c r="AA306" s="472" t="s">
        <v>547</v>
      </c>
      <c r="AB306" s="463" t="s">
        <v>539</v>
      </c>
      <c r="AC306" s="463" t="s">
        <v>539</v>
      </c>
      <c r="AD306" s="472" t="s">
        <v>1140</v>
      </c>
      <c r="AE306" s="463" t="s">
        <v>1141</v>
      </c>
      <c r="AF306" s="463">
        <v>90</v>
      </c>
      <c r="AG306" s="463" t="s">
        <v>376</v>
      </c>
      <c r="AH306" s="476"/>
      <c r="AI306" s="472">
        <v>848402742</v>
      </c>
      <c r="AJ306" s="464"/>
    </row>
    <row r="307" spans="2:36" ht="24" hidden="1" customHeight="1">
      <c r="B307" s="463">
        <v>238</v>
      </c>
      <c r="C307" s="464" t="s">
        <v>165</v>
      </c>
      <c r="D307" s="464" t="s">
        <v>544</v>
      </c>
      <c r="E307" s="464" t="s">
        <v>535</v>
      </c>
      <c r="F307" s="464"/>
      <c r="G307" s="464" t="s">
        <v>272</v>
      </c>
      <c r="H307" s="464" t="s">
        <v>667</v>
      </c>
      <c r="I307" s="465" t="s">
        <v>537</v>
      </c>
      <c r="J307" s="466">
        <v>44000</v>
      </c>
      <c r="K307" s="465" t="s">
        <v>537</v>
      </c>
      <c r="L307" s="465" t="s">
        <v>537</v>
      </c>
      <c r="M307" s="466">
        <v>44000</v>
      </c>
      <c r="N307" s="465" t="s">
        <v>537</v>
      </c>
      <c r="O307" s="463" t="s">
        <v>537</v>
      </c>
      <c r="P307" s="463" t="s">
        <v>537</v>
      </c>
      <c r="Q307" s="465">
        <v>0</v>
      </c>
      <c r="R307" s="470">
        <v>241579</v>
      </c>
      <c r="S307" s="471">
        <v>22452</v>
      </c>
      <c r="T307" s="463">
        <v>400</v>
      </c>
      <c r="U307" s="463">
        <v>0</v>
      </c>
      <c r="V307" s="463">
        <v>0</v>
      </c>
      <c r="W307" s="463">
        <v>334</v>
      </c>
      <c r="X307" s="464"/>
      <c r="Y307" s="464"/>
      <c r="Z307" s="463">
        <v>91</v>
      </c>
      <c r="AA307" s="472" t="s">
        <v>547</v>
      </c>
      <c r="AB307" s="463" t="s">
        <v>539</v>
      </c>
      <c r="AC307" s="463" t="s">
        <v>539</v>
      </c>
      <c r="AD307" s="472" t="s">
        <v>1140</v>
      </c>
      <c r="AE307" s="463" t="s">
        <v>1141</v>
      </c>
      <c r="AF307" s="463">
        <v>91</v>
      </c>
      <c r="AG307" s="463" t="s">
        <v>376</v>
      </c>
      <c r="AH307" s="476"/>
      <c r="AI307" s="472">
        <v>848402742</v>
      </c>
      <c r="AJ307" s="464"/>
    </row>
    <row r="308" spans="2:36" ht="24" hidden="1" customHeight="1">
      <c r="B308" s="463">
        <v>239</v>
      </c>
      <c r="C308" s="464" t="s">
        <v>165</v>
      </c>
      <c r="D308" s="464" t="s">
        <v>544</v>
      </c>
      <c r="E308" s="464" t="s">
        <v>535</v>
      </c>
      <c r="F308" s="464"/>
      <c r="G308" s="464" t="s">
        <v>272</v>
      </c>
      <c r="H308" s="464" t="s">
        <v>669</v>
      </c>
      <c r="I308" s="465" t="s">
        <v>537</v>
      </c>
      <c r="J308" s="466">
        <v>200000</v>
      </c>
      <c r="K308" s="465" t="s">
        <v>537</v>
      </c>
      <c r="L308" s="465" t="s">
        <v>537</v>
      </c>
      <c r="M308" s="466">
        <v>200000</v>
      </c>
      <c r="N308" s="465" t="s">
        <v>537</v>
      </c>
      <c r="O308" s="463" t="s">
        <v>537</v>
      </c>
      <c r="P308" s="463" t="s">
        <v>537</v>
      </c>
      <c r="Q308" s="465">
        <v>0</v>
      </c>
      <c r="R308" s="470">
        <v>241609</v>
      </c>
      <c r="S308" s="471">
        <v>22498</v>
      </c>
      <c r="T308" s="463">
        <v>150</v>
      </c>
      <c r="U308" s="463">
        <v>28</v>
      </c>
      <c r="V308" s="463">
        <v>0</v>
      </c>
      <c r="W308" s="463">
        <v>200</v>
      </c>
      <c r="X308" s="464"/>
      <c r="Y308" s="464"/>
      <c r="Z308" s="463">
        <v>94</v>
      </c>
      <c r="AA308" s="472" t="s">
        <v>547</v>
      </c>
      <c r="AB308" s="463" t="s">
        <v>539</v>
      </c>
      <c r="AC308" s="463" t="s">
        <v>539</v>
      </c>
      <c r="AD308" s="472" t="s">
        <v>699</v>
      </c>
      <c r="AE308" s="463" t="s">
        <v>1172</v>
      </c>
      <c r="AF308" s="463">
        <v>1</v>
      </c>
      <c r="AG308" s="463" t="s">
        <v>376</v>
      </c>
      <c r="AH308" s="476"/>
      <c r="AI308" s="472">
        <v>848402742</v>
      </c>
      <c r="AJ308" s="464"/>
    </row>
    <row r="309" spans="2:36" ht="24" hidden="1" customHeight="1">
      <c r="B309" s="463">
        <v>240</v>
      </c>
      <c r="C309" s="464" t="s">
        <v>165</v>
      </c>
      <c r="D309" s="464" t="s">
        <v>544</v>
      </c>
      <c r="E309" s="464" t="s">
        <v>535</v>
      </c>
      <c r="F309" s="464"/>
      <c r="G309" s="464" t="s">
        <v>272</v>
      </c>
      <c r="H309" s="464" t="s">
        <v>1177</v>
      </c>
      <c r="I309" s="465" t="s">
        <v>537</v>
      </c>
      <c r="J309" s="466">
        <v>60000</v>
      </c>
      <c r="K309" s="465" t="s">
        <v>537</v>
      </c>
      <c r="L309" s="465" t="s">
        <v>537</v>
      </c>
      <c r="M309" s="466">
        <v>59540.23</v>
      </c>
      <c r="N309" s="465" t="s">
        <v>537</v>
      </c>
      <c r="O309" s="463" t="s">
        <v>537</v>
      </c>
      <c r="P309" s="463" t="s">
        <v>537</v>
      </c>
      <c r="Q309" s="465">
        <v>460</v>
      </c>
      <c r="R309" s="470">
        <v>241640</v>
      </c>
      <c r="S309" s="463" t="s">
        <v>1178</v>
      </c>
      <c r="T309" s="463">
        <v>10</v>
      </c>
      <c r="U309" s="463">
        <v>40</v>
      </c>
      <c r="V309" s="463">
        <v>0</v>
      </c>
      <c r="W309" s="464"/>
      <c r="X309" s="463">
        <v>70</v>
      </c>
      <c r="Y309" s="464"/>
      <c r="Z309" s="463">
        <v>94</v>
      </c>
      <c r="AA309" s="472" t="s">
        <v>547</v>
      </c>
      <c r="AB309" s="463" t="s">
        <v>539</v>
      </c>
      <c r="AC309" s="463" t="s">
        <v>1040</v>
      </c>
      <c r="AD309" s="472" t="s">
        <v>1140</v>
      </c>
      <c r="AE309" s="463" t="s">
        <v>1141</v>
      </c>
      <c r="AF309" s="463">
        <v>94</v>
      </c>
      <c r="AG309" s="463" t="s">
        <v>376</v>
      </c>
      <c r="AH309" s="476"/>
      <c r="AI309" s="472">
        <v>848402742</v>
      </c>
      <c r="AJ309" s="464"/>
    </row>
    <row r="310" spans="2:36" ht="24" hidden="1" customHeight="1">
      <c r="B310" s="463">
        <v>241</v>
      </c>
      <c r="C310" s="464" t="s">
        <v>165</v>
      </c>
      <c r="D310" s="464" t="s">
        <v>544</v>
      </c>
      <c r="E310" s="464" t="s">
        <v>535</v>
      </c>
      <c r="F310" s="464"/>
      <c r="G310" s="464" t="s">
        <v>272</v>
      </c>
      <c r="H310" s="464" t="s">
        <v>1179</v>
      </c>
      <c r="I310" s="465" t="s">
        <v>537</v>
      </c>
      <c r="J310" s="466">
        <v>40000</v>
      </c>
      <c r="K310" s="465" t="s">
        <v>537</v>
      </c>
      <c r="L310" s="465" t="s">
        <v>537</v>
      </c>
      <c r="M310" s="466">
        <v>40000</v>
      </c>
      <c r="N310" s="465" t="s">
        <v>537</v>
      </c>
      <c r="O310" s="463" t="s">
        <v>537</v>
      </c>
      <c r="P310" s="463" t="s">
        <v>537</v>
      </c>
      <c r="Q310" s="465">
        <v>0</v>
      </c>
      <c r="R310" s="470">
        <v>241671</v>
      </c>
      <c r="S310" s="471">
        <v>22487</v>
      </c>
      <c r="T310" s="463">
        <v>15</v>
      </c>
      <c r="U310" s="463">
        <v>70</v>
      </c>
      <c r="V310" s="463">
        <v>5</v>
      </c>
      <c r="W310" s="464"/>
      <c r="X310" s="463">
        <v>80</v>
      </c>
      <c r="Y310" s="464"/>
      <c r="Z310" s="463">
        <v>94</v>
      </c>
      <c r="AA310" s="472" t="s">
        <v>547</v>
      </c>
      <c r="AB310" s="463" t="s">
        <v>539</v>
      </c>
      <c r="AC310" s="463" t="s">
        <v>1040</v>
      </c>
      <c r="AD310" s="472" t="s">
        <v>1140</v>
      </c>
      <c r="AE310" s="463" t="s">
        <v>1141</v>
      </c>
      <c r="AF310" s="463">
        <v>94</v>
      </c>
      <c r="AG310" s="463" t="s">
        <v>376</v>
      </c>
      <c r="AH310" s="476"/>
      <c r="AI310" s="472">
        <v>848402742</v>
      </c>
      <c r="AJ310" s="464"/>
    </row>
    <row r="311" spans="2:36" ht="24" hidden="1" customHeight="1">
      <c r="B311" s="463">
        <v>242</v>
      </c>
      <c r="C311" s="464" t="s">
        <v>165</v>
      </c>
      <c r="D311" s="464" t="s">
        <v>544</v>
      </c>
      <c r="E311" s="464" t="s">
        <v>535</v>
      </c>
      <c r="F311" s="464"/>
      <c r="G311" s="464" t="s">
        <v>272</v>
      </c>
      <c r="H311" s="464" t="s">
        <v>1180</v>
      </c>
      <c r="I311" s="465" t="s">
        <v>537</v>
      </c>
      <c r="J311" s="466">
        <v>65000</v>
      </c>
      <c r="K311" s="465" t="s">
        <v>537</v>
      </c>
      <c r="L311" s="465" t="s">
        <v>537</v>
      </c>
      <c r="M311" s="466">
        <v>65000</v>
      </c>
      <c r="N311" s="465" t="s">
        <v>537</v>
      </c>
      <c r="O311" s="463" t="s">
        <v>537</v>
      </c>
      <c r="P311" s="463" t="s">
        <v>537</v>
      </c>
      <c r="Q311" s="465">
        <v>0</v>
      </c>
      <c r="R311" s="470">
        <v>241397</v>
      </c>
      <c r="S311" s="471">
        <v>22263</v>
      </c>
      <c r="T311" s="463">
        <v>0</v>
      </c>
      <c r="U311" s="463">
        <v>0</v>
      </c>
      <c r="V311" s="463">
        <v>1200</v>
      </c>
      <c r="W311" s="463">
        <v>0</v>
      </c>
      <c r="X311" s="463">
        <v>0</v>
      </c>
      <c r="Y311" s="463">
        <v>0</v>
      </c>
      <c r="Z311" s="463">
        <v>92</v>
      </c>
      <c r="AA311" s="472" t="s">
        <v>1181</v>
      </c>
      <c r="AB311" s="463" t="s">
        <v>539</v>
      </c>
      <c r="AC311" s="463" t="s">
        <v>539</v>
      </c>
      <c r="AD311" s="472" t="s">
        <v>1016</v>
      </c>
      <c r="AE311" s="463" t="s">
        <v>620</v>
      </c>
      <c r="AF311" s="463">
        <v>92</v>
      </c>
      <c r="AG311" s="463" t="s">
        <v>376</v>
      </c>
      <c r="AH311" s="476"/>
      <c r="AI311" s="472">
        <v>819107264</v>
      </c>
      <c r="AJ311" s="464"/>
    </row>
    <row r="312" spans="2:36" ht="24" hidden="1" customHeight="1">
      <c r="B312" s="701">
        <v>243</v>
      </c>
      <c r="C312" s="699" t="s">
        <v>165</v>
      </c>
      <c r="D312" s="699" t="s">
        <v>544</v>
      </c>
      <c r="E312" s="699" t="s">
        <v>535</v>
      </c>
      <c r="F312" s="699"/>
      <c r="G312" s="699" t="s">
        <v>272</v>
      </c>
      <c r="H312" s="699" t="s">
        <v>1182</v>
      </c>
      <c r="I312" s="709" t="s">
        <v>537</v>
      </c>
      <c r="J312" s="712">
        <v>30000</v>
      </c>
      <c r="K312" s="709" t="s">
        <v>537</v>
      </c>
      <c r="L312" s="709" t="s">
        <v>537</v>
      </c>
      <c r="M312" s="712">
        <v>30000</v>
      </c>
      <c r="N312" s="709" t="s">
        <v>537</v>
      </c>
      <c r="O312" s="701" t="s">
        <v>537</v>
      </c>
      <c r="P312" s="701" t="s">
        <v>537</v>
      </c>
      <c r="Q312" s="709">
        <v>0</v>
      </c>
      <c r="R312" s="707">
        <v>241579</v>
      </c>
      <c r="S312" s="721">
        <v>22456</v>
      </c>
      <c r="T312" s="701">
        <v>30</v>
      </c>
      <c r="U312" s="701">
        <v>40</v>
      </c>
      <c r="V312" s="701">
        <v>250</v>
      </c>
      <c r="W312" s="699"/>
      <c r="X312" s="699"/>
      <c r="Y312" s="701">
        <v>250</v>
      </c>
      <c r="Z312" s="699"/>
      <c r="AA312" s="697" t="s">
        <v>1183</v>
      </c>
      <c r="AB312" s="701" t="s">
        <v>539</v>
      </c>
      <c r="AC312" s="701" t="s">
        <v>539</v>
      </c>
      <c r="AD312" s="458" t="s">
        <v>1184</v>
      </c>
      <c r="AE312" s="459" t="s">
        <v>539</v>
      </c>
      <c r="AF312" s="459" t="s">
        <v>539</v>
      </c>
      <c r="AG312" s="701" t="s">
        <v>375</v>
      </c>
      <c r="AH312" s="728"/>
      <c r="AI312" s="697">
        <v>848402742</v>
      </c>
      <c r="AJ312" s="699"/>
    </row>
    <row r="313" spans="2:36" ht="24" hidden="1" customHeight="1">
      <c r="B313" s="715"/>
      <c r="C313" s="714"/>
      <c r="D313" s="714"/>
      <c r="E313" s="714"/>
      <c r="F313" s="714"/>
      <c r="G313" s="714"/>
      <c r="H313" s="714"/>
      <c r="I313" s="717"/>
      <c r="J313" s="720"/>
      <c r="K313" s="717"/>
      <c r="L313" s="717"/>
      <c r="M313" s="720"/>
      <c r="N313" s="717"/>
      <c r="O313" s="715"/>
      <c r="P313" s="715"/>
      <c r="Q313" s="717"/>
      <c r="R313" s="719"/>
      <c r="S313" s="731"/>
      <c r="T313" s="715"/>
      <c r="U313" s="715"/>
      <c r="V313" s="715"/>
      <c r="W313" s="714"/>
      <c r="X313" s="714"/>
      <c r="Y313" s="715"/>
      <c r="Z313" s="714"/>
      <c r="AA313" s="711"/>
      <c r="AB313" s="715"/>
      <c r="AC313" s="715"/>
      <c r="AD313" s="460" t="s">
        <v>1185</v>
      </c>
      <c r="AE313" s="461">
        <v>80</v>
      </c>
      <c r="AF313" s="461">
        <v>92</v>
      </c>
      <c r="AG313" s="715"/>
      <c r="AH313" s="730"/>
      <c r="AI313" s="711"/>
      <c r="AJ313" s="714"/>
    </row>
    <row r="314" spans="2:36" ht="24" hidden="1" customHeight="1">
      <c r="B314" s="702"/>
      <c r="C314" s="700"/>
      <c r="D314" s="700"/>
      <c r="E314" s="700"/>
      <c r="F314" s="700"/>
      <c r="G314" s="700"/>
      <c r="H314" s="700"/>
      <c r="I314" s="710"/>
      <c r="J314" s="713"/>
      <c r="K314" s="710"/>
      <c r="L314" s="710"/>
      <c r="M314" s="713"/>
      <c r="N314" s="710"/>
      <c r="O314" s="702"/>
      <c r="P314" s="702"/>
      <c r="Q314" s="710"/>
      <c r="R314" s="708"/>
      <c r="S314" s="722"/>
      <c r="T314" s="702"/>
      <c r="U314" s="702"/>
      <c r="V314" s="702"/>
      <c r="W314" s="700"/>
      <c r="X314" s="700"/>
      <c r="Y314" s="702"/>
      <c r="Z314" s="700"/>
      <c r="AA314" s="698"/>
      <c r="AB314" s="702"/>
      <c r="AC314" s="702"/>
      <c r="AD314" s="473" t="s">
        <v>1186</v>
      </c>
      <c r="AE314" s="474" t="s">
        <v>539</v>
      </c>
      <c r="AF314" s="474" t="s">
        <v>539</v>
      </c>
      <c r="AG314" s="702"/>
      <c r="AH314" s="729"/>
      <c r="AI314" s="698"/>
      <c r="AJ314" s="700"/>
    </row>
    <row r="315" spans="2:36" ht="24" hidden="1" customHeight="1">
      <c r="B315" s="463">
        <v>244</v>
      </c>
      <c r="C315" s="464" t="s">
        <v>165</v>
      </c>
      <c r="D315" s="464" t="s">
        <v>544</v>
      </c>
      <c r="E315" s="464" t="s">
        <v>535</v>
      </c>
      <c r="F315" s="464"/>
      <c r="G315" s="464" t="s">
        <v>272</v>
      </c>
      <c r="H315" s="464" t="s">
        <v>1187</v>
      </c>
      <c r="I315" s="465" t="s">
        <v>537</v>
      </c>
      <c r="J315" s="466">
        <v>100000</v>
      </c>
      <c r="K315" s="465" t="s">
        <v>537</v>
      </c>
      <c r="L315" s="465" t="s">
        <v>537</v>
      </c>
      <c r="M315" s="466">
        <v>99600</v>
      </c>
      <c r="N315" s="465" t="s">
        <v>537</v>
      </c>
      <c r="O315" s="463" t="s">
        <v>537</v>
      </c>
      <c r="P315" s="463" t="s">
        <v>537</v>
      </c>
      <c r="Q315" s="465">
        <v>400</v>
      </c>
      <c r="R315" s="470">
        <v>241459</v>
      </c>
      <c r="S315" s="463" t="s">
        <v>664</v>
      </c>
      <c r="T315" s="463">
        <v>0</v>
      </c>
      <c r="U315" s="463">
        <v>48</v>
      </c>
      <c r="V315" s="463">
        <v>2</v>
      </c>
      <c r="W315" s="464"/>
      <c r="X315" s="463">
        <v>50</v>
      </c>
      <c r="Y315" s="464"/>
      <c r="Z315" s="463">
        <v>85</v>
      </c>
      <c r="AA315" s="472" t="s">
        <v>547</v>
      </c>
      <c r="AB315" s="463" t="s">
        <v>539</v>
      </c>
      <c r="AC315" s="463" t="s">
        <v>539</v>
      </c>
      <c r="AD315" s="472" t="s">
        <v>1140</v>
      </c>
      <c r="AE315" s="463" t="s">
        <v>1141</v>
      </c>
      <c r="AF315" s="463">
        <v>85</v>
      </c>
      <c r="AG315" s="463" t="s">
        <v>376</v>
      </c>
      <c r="AH315" s="476"/>
      <c r="AI315" s="472">
        <v>848402742</v>
      </c>
      <c r="AJ315" s="464"/>
    </row>
    <row r="316" spans="2:36" ht="24" hidden="1" customHeight="1">
      <c r="B316" s="463">
        <v>245</v>
      </c>
      <c r="C316" s="464" t="s">
        <v>165</v>
      </c>
      <c r="D316" s="464" t="s">
        <v>544</v>
      </c>
      <c r="E316" s="464" t="s">
        <v>535</v>
      </c>
      <c r="F316" s="464"/>
      <c r="G316" s="464" t="s">
        <v>272</v>
      </c>
      <c r="H316" s="464" t="s">
        <v>1188</v>
      </c>
      <c r="I316" s="465" t="s">
        <v>537</v>
      </c>
      <c r="J316" s="466">
        <v>38620</v>
      </c>
      <c r="K316" s="465" t="s">
        <v>537</v>
      </c>
      <c r="L316" s="465" t="s">
        <v>537</v>
      </c>
      <c r="M316" s="466">
        <v>38620</v>
      </c>
      <c r="N316" s="465" t="s">
        <v>537</v>
      </c>
      <c r="O316" s="463" t="s">
        <v>537</v>
      </c>
      <c r="P316" s="463" t="s">
        <v>537</v>
      </c>
      <c r="Q316" s="465">
        <v>0</v>
      </c>
      <c r="R316" s="463" t="s">
        <v>984</v>
      </c>
      <c r="S316" s="463" t="s">
        <v>1189</v>
      </c>
      <c r="T316" s="463">
        <v>207</v>
      </c>
      <c r="U316" s="463">
        <v>7</v>
      </c>
      <c r="V316" s="463">
        <v>0</v>
      </c>
      <c r="W316" s="463">
        <v>207</v>
      </c>
      <c r="X316" s="463">
        <v>7</v>
      </c>
      <c r="Y316" s="463">
        <v>0</v>
      </c>
      <c r="Z316" s="463">
        <v>83.23</v>
      </c>
      <c r="AA316" s="472" t="s">
        <v>547</v>
      </c>
      <c r="AB316" s="463" t="s">
        <v>539</v>
      </c>
      <c r="AC316" s="463" t="s">
        <v>539</v>
      </c>
      <c r="AD316" s="472" t="s">
        <v>1140</v>
      </c>
      <c r="AE316" s="463" t="s">
        <v>1141</v>
      </c>
      <c r="AF316" s="463">
        <v>83.23</v>
      </c>
      <c r="AG316" s="463" t="s">
        <v>376</v>
      </c>
      <c r="AH316" s="476"/>
      <c r="AI316" s="472" t="s">
        <v>1190</v>
      </c>
      <c r="AJ316" s="464"/>
    </row>
    <row r="317" spans="2:36" ht="24" hidden="1" customHeight="1">
      <c r="B317" s="463">
        <v>246</v>
      </c>
      <c r="C317" s="464" t="s">
        <v>534</v>
      </c>
      <c r="D317" s="464"/>
      <c r="E317" s="464" t="s">
        <v>535</v>
      </c>
      <c r="F317" s="464"/>
      <c r="G317" s="464" t="s">
        <v>272</v>
      </c>
      <c r="H317" s="464" t="s">
        <v>1191</v>
      </c>
      <c r="I317" s="465" t="s">
        <v>537</v>
      </c>
      <c r="J317" s="465" t="s">
        <v>537</v>
      </c>
      <c r="K317" s="466">
        <v>200000</v>
      </c>
      <c r="L317" s="465" t="s">
        <v>537</v>
      </c>
      <c r="M317" s="465" t="s">
        <v>537</v>
      </c>
      <c r="N317" s="466">
        <v>189275</v>
      </c>
      <c r="O317" s="463" t="s">
        <v>537</v>
      </c>
      <c r="P317" s="463" t="s">
        <v>537</v>
      </c>
      <c r="Q317" s="468">
        <v>10725</v>
      </c>
      <c r="R317" s="470">
        <v>241428</v>
      </c>
      <c r="S317" s="463" t="s">
        <v>623</v>
      </c>
      <c r="T317" s="463">
        <v>300</v>
      </c>
      <c r="U317" s="463">
        <v>0</v>
      </c>
      <c r="V317" s="463">
        <v>200</v>
      </c>
      <c r="W317" s="463">
        <v>500</v>
      </c>
      <c r="X317" s="464"/>
      <c r="Y317" s="464"/>
      <c r="Z317" s="463">
        <v>96.48</v>
      </c>
      <c r="AA317" s="472" t="s">
        <v>797</v>
      </c>
      <c r="AB317" s="463">
        <v>80</v>
      </c>
      <c r="AC317" s="463">
        <v>96.48</v>
      </c>
      <c r="AD317" s="472" t="s">
        <v>571</v>
      </c>
      <c r="AE317" s="463">
        <v>80</v>
      </c>
      <c r="AF317" s="463">
        <v>96.48</v>
      </c>
      <c r="AG317" s="463" t="s">
        <v>375</v>
      </c>
      <c r="AH317" s="476"/>
      <c r="AI317" s="472">
        <v>848402742</v>
      </c>
      <c r="AJ317" s="472" t="s">
        <v>543</v>
      </c>
    </row>
    <row r="318" spans="2:36" ht="24" hidden="1" customHeight="1">
      <c r="B318" s="463">
        <v>247</v>
      </c>
      <c r="C318" s="464" t="s">
        <v>165</v>
      </c>
      <c r="D318" s="464"/>
      <c r="E318" s="464" t="s">
        <v>535</v>
      </c>
      <c r="F318" s="464"/>
      <c r="G318" s="464" t="s">
        <v>272</v>
      </c>
      <c r="H318" s="464" t="s">
        <v>1192</v>
      </c>
      <c r="I318" s="465" t="s">
        <v>537</v>
      </c>
      <c r="J318" s="465" t="s">
        <v>537</v>
      </c>
      <c r="K318" s="466">
        <v>32040</v>
      </c>
      <c r="L318" s="465" t="s">
        <v>537</v>
      </c>
      <c r="M318" s="465" t="s">
        <v>537</v>
      </c>
      <c r="N318" s="466">
        <v>28440</v>
      </c>
      <c r="O318" s="463" t="s">
        <v>537</v>
      </c>
      <c r="P318" s="463" t="s">
        <v>537</v>
      </c>
      <c r="Q318" s="468">
        <v>3600</v>
      </c>
      <c r="R318" s="463" t="s">
        <v>646</v>
      </c>
      <c r="S318" s="463" t="s">
        <v>1193</v>
      </c>
      <c r="T318" s="463">
        <v>388</v>
      </c>
      <c r="U318" s="463">
        <v>12</v>
      </c>
      <c r="V318" s="463">
        <v>0</v>
      </c>
      <c r="W318" s="463">
        <v>388</v>
      </c>
      <c r="X318" s="463">
        <v>12</v>
      </c>
      <c r="Y318" s="463">
        <v>0</v>
      </c>
      <c r="Z318" s="463">
        <v>94</v>
      </c>
      <c r="AA318" s="472" t="s">
        <v>1194</v>
      </c>
      <c r="AB318" s="463">
        <v>80</v>
      </c>
      <c r="AC318" s="463">
        <v>94</v>
      </c>
      <c r="AD318" s="472" t="s">
        <v>1195</v>
      </c>
      <c r="AE318" s="463">
        <v>80</v>
      </c>
      <c r="AF318" s="463">
        <v>94</v>
      </c>
      <c r="AG318" s="463" t="s">
        <v>375</v>
      </c>
      <c r="AH318" s="476"/>
      <c r="AI318" s="472">
        <v>835395141</v>
      </c>
      <c r="AJ318" s="472" t="s">
        <v>543</v>
      </c>
    </row>
    <row r="319" spans="2:36" ht="24" hidden="1" customHeight="1">
      <c r="B319" s="463">
        <v>248</v>
      </c>
      <c r="C319" s="464" t="s">
        <v>165</v>
      </c>
      <c r="D319" s="464"/>
      <c r="E319" s="464" t="s">
        <v>535</v>
      </c>
      <c r="F319" s="464"/>
      <c r="G319" s="464" t="s">
        <v>272</v>
      </c>
      <c r="H319" s="464" t="s">
        <v>1196</v>
      </c>
      <c r="I319" s="465" t="s">
        <v>537</v>
      </c>
      <c r="J319" s="465" t="s">
        <v>537</v>
      </c>
      <c r="K319" s="466">
        <v>9450</v>
      </c>
      <c r="L319" s="465" t="s">
        <v>537</v>
      </c>
      <c r="M319" s="465" t="s">
        <v>537</v>
      </c>
      <c r="N319" s="466">
        <v>9450</v>
      </c>
      <c r="O319" s="463" t="s">
        <v>537</v>
      </c>
      <c r="P319" s="463" t="s">
        <v>537</v>
      </c>
      <c r="Q319" s="465">
        <v>0</v>
      </c>
      <c r="R319" s="463" t="s">
        <v>771</v>
      </c>
      <c r="S319" s="463" t="s">
        <v>1197</v>
      </c>
      <c r="T319" s="463">
        <v>100</v>
      </c>
      <c r="U319" s="463">
        <v>5</v>
      </c>
      <c r="V319" s="463">
        <v>0</v>
      </c>
      <c r="W319" s="463">
        <v>43</v>
      </c>
      <c r="X319" s="463">
        <v>5</v>
      </c>
      <c r="Y319" s="464"/>
      <c r="Z319" s="464"/>
      <c r="AA319" s="472" t="s">
        <v>1198</v>
      </c>
      <c r="AB319" s="463" t="s">
        <v>539</v>
      </c>
      <c r="AC319" s="463" t="s">
        <v>539</v>
      </c>
      <c r="AD319" s="472" t="s">
        <v>1199</v>
      </c>
      <c r="AE319" s="463">
        <v>80</v>
      </c>
      <c r="AF319" s="463">
        <v>86.49</v>
      </c>
      <c r="AG319" s="463" t="s">
        <v>375</v>
      </c>
      <c r="AH319" s="476"/>
      <c r="AI319" s="472">
        <v>848402742</v>
      </c>
      <c r="AJ319" s="472" t="s">
        <v>543</v>
      </c>
    </row>
    <row r="320" spans="2:36" ht="24" hidden="1" customHeight="1">
      <c r="B320" s="463">
        <v>249</v>
      </c>
      <c r="C320" s="464" t="s">
        <v>165</v>
      </c>
      <c r="D320" s="464"/>
      <c r="E320" s="464" t="s">
        <v>535</v>
      </c>
      <c r="F320" s="464"/>
      <c r="G320" s="464" t="s">
        <v>272</v>
      </c>
      <c r="H320" s="464" t="s">
        <v>1200</v>
      </c>
      <c r="I320" s="465" t="s">
        <v>537</v>
      </c>
      <c r="J320" s="465" t="s">
        <v>537</v>
      </c>
      <c r="K320" s="466">
        <v>12900</v>
      </c>
      <c r="L320" s="465" t="s">
        <v>537</v>
      </c>
      <c r="M320" s="465" t="s">
        <v>537</v>
      </c>
      <c r="N320" s="466">
        <v>12900</v>
      </c>
      <c r="O320" s="463" t="s">
        <v>537</v>
      </c>
      <c r="P320" s="463" t="s">
        <v>537</v>
      </c>
      <c r="Q320" s="465">
        <v>0</v>
      </c>
      <c r="R320" s="470">
        <v>241487</v>
      </c>
      <c r="S320" s="463" t="s">
        <v>1201</v>
      </c>
      <c r="T320" s="463">
        <v>167</v>
      </c>
      <c r="U320" s="463">
        <v>10</v>
      </c>
      <c r="V320" s="463">
        <v>10</v>
      </c>
      <c r="W320" s="463">
        <v>187</v>
      </c>
      <c r="X320" s="464"/>
      <c r="Y320" s="464"/>
      <c r="Z320" s="463">
        <v>91.75</v>
      </c>
      <c r="AA320" s="472" t="s">
        <v>1202</v>
      </c>
      <c r="AB320" s="463" t="s">
        <v>539</v>
      </c>
      <c r="AC320" s="463" t="s">
        <v>539</v>
      </c>
      <c r="AD320" s="472" t="s">
        <v>1203</v>
      </c>
      <c r="AE320" s="463">
        <v>80</v>
      </c>
      <c r="AF320" s="463">
        <v>91.75</v>
      </c>
      <c r="AG320" s="463" t="s">
        <v>375</v>
      </c>
      <c r="AH320" s="476"/>
      <c r="AI320" s="472">
        <v>848402742</v>
      </c>
      <c r="AJ320" s="472" t="s">
        <v>543</v>
      </c>
    </row>
    <row r="321" spans="2:36" ht="24" hidden="1" customHeight="1">
      <c r="B321" s="463">
        <v>250</v>
      </c>
      <c r="C321" s="464" t="s">
        <v>165</v>
      </c>
      <c r="D321" s="464" t="s">
        <v>544</v>
      </c>
      <c r="E321" s="464" t="s">
        <v>535</v>
      </c>
      <c r="F321" s="464"/>
      <c r="G321" s="464" t="s">
        <v>272</v>
      </c>
      <c r="H321" s="464" t="s">
        <v>1204</v>
      </c>
      <c r="I321" s="466">
        <v>21500</v>
      </c>
      <c r="J321" s="465" t="s">
        <v>537</v>
      </c>
      <c r="K321" s="465" t="s">
        <v>537</v>
      </c>
      <c r="L321" s="465">
        <v>0</v>
      </c>
      <c r="M321" s="465" t="s">
        <v>537</v>
      </c>
      <c r="N321" s="465" t="s">
        <v>537</v>
      </c>
      <c r="O321" s="463" t="s">
        <v>537</v>
      </c>
      <c r="P321" s="463" t="s">
        <v>537</v>
      </c>
      <c r="Q321" s="468">
        <v>21500</v>
      </c>
      <c r="R321" s="463" t="s">
        <v>552</v>
      </c>
      <c r="S321" s="464"/>
      <c r="T321" s="463">
        <v>4</v>
      </c>
      <c r="U321" s="463">
        <v>1</v>
      </c>
      <c r="V321" s="463">
        <v>0</v>
      </c>
      <c r="W321" s="463">
        <v>0</v>
      </c>
      <c r="X321" s="463">
        <v>0</v>
      </c>
      <c r="Y321" s="463">
        <v>0</v>
      </c>
      <c r="Z321" s="464"/>
      <c r="AA321" s="472" t="s">
        <v>633</v>
      </c>
      <c r="AB321" s="463" t="s">
        <v>539</v>
      </c>
      <c r="AC321" s="463" t="s">
        <v>539</v>
      </c>
      <c r="AD321" s="472" t="s">
        <v>1016</v>
      </c>
      <c r="AE321" s="463" t="s">
        <v>620</v>
      </c>
      <c r="AF321" s="463">
        <v>87</v>
      </c>
      <c r="AG321" s="463" t="s">
        <v>376</v>
      </c>
      <c r="AH321" s="476"/>
      <c r="AI321" s="464"/>
      <c r="AJ321" s="464"/>
    </row>
    <row r="322" spans="2:36" ht="24" hidden="1" customHeight="1">
      <c r="B322" s="463">
        <v>251</v>
      </c>
      <c r="C322" s="464" t="s">
        <v>165</v>
      </c>
      <c r="D322" s="464" t="s">
        <v>544</v>
      </c>
      <c r="E322" s="464" t="s">
        <v>535</v>
      </c>
      <c r="F322" s="464"/>
      <c r="G322" s="464" t="s">
        <v>272</v>
      </c>
      <c r="H322" s="464" t="s">
        <v>1205</v>
      </c>
      <c r="I322" s="466">
        <v>21500</v>
      </c>
      <c r="J322" s="465" t="s">
        <v>537</v>
      </c>
      <c r="K322" s="465" t="s">
        <v>537</v>
      </c>
      <c r="L322" s="466">
        <v>21400</v>
      </c>
      <c r="M322" s="465" t="s">
        <v>537</v>
      </c>
      <c r="N322" s="465" t="s">
        <v>537</v>
      </c>
      <c r="O322" s="463" t="s">
        <v>537</v>
      </c>
      <c r="P322" s="463" t="s">
        <v>537</v>
      </c>
      <c r="Q322" s="465">
        <v>100</v>
      </c>
      <c r="R322" s="463" t="s">
        <v>552</v>
      </c>
      <c r="S322" s="463" t="s">
        <v>743</v>
      </c>
      <c r="T322" s="463">
        <v>3</v>
      </c>
      <c r="U322" s="463">
        <v>2</v>
      </c>
      <c r="V322" s="463">
        <v>0</v>
      </c>
      <c r="W322" s="463">
        <v>3</v>
      </c>
      <c r="X322" s="463">
        <v>2</v>
      </c>
      <c r="Y322" s="464"/>
      <c r="Z322" s="463">
        <v>92</v>
      </c>
      <c r="AA322" s="472" t="s">
        <v>633</v>
      </c>
      <c r="AB322" s="463" t="s">
        <v>539</v>
      </c>
      <c r="AC322" s="463" t="s">
        <v>539</v>
      </c>
      <c r="AD322" s="472" t="s">
        <v>1016</v>
      </c>
      <c r="AE322" s="463" t="s">
        <v>620</v>
      </c>
      <c r="AF322" s="463">
        <v>92</v>
      </c>
      <c r="AG322" s="463" t="s">
        <v>376</v>
      </c>
      <c r="AH322" s="476"/>
      <c r="AI322" s="472">
        <v>848402742</v>
      </c>
      <c r="AJ322" s="464"/>
    </row>
    <row r="323" spans="2:36" ht="24" hidden="1" customHeight="1">
      <c r="B323" s="463">
        <v>252</v>
      </c>
      <c r="C323" s="464" t="s">
        <v>165</v>
      </c>
      <c r="D323" s="464" t="s">
        <v>544</v>
      </c>
      <c r="E323" s="464" t="s">
        <v>535</v>
      </c>
      <c r="F323" s="464"/>
      <c r="G323" s="464" t="s">
        <v>272</v>
      </c>
      <c r="H323" s="464" t="s">
        <v>1206</v>
      </c>
      <c r="I323" s="466">
        <v>21500</v>
      </c>
      <c r="J323" s="465" t="s">
        <v>537</v>
      </c>
      <c r="K323" s="465" t="s">
        <v>537</v>
      </c>
      <c r="L323" s="466">
        <v>18112</v>
      </c>
      <c r="M323" s="465" t="s">
        <v>537</v>
      </c>
      <c r="N323" s="465" t="s">
        <v>537</v>
      </c>
      <c r="O323" s="463" t="s">
        <v>537</v>
      </c>
      <c r="P323" s="463" t="s">
        <v>537</v>
      </c>
      <c r="Q323" s="468">
        <v>3388</v>
      </c>
      <c r="R323" s="463" t="s">
        <v>552</v>
      </c>
      <c r="S323" s="463" t="s">
        <v>1207</v>
      </c>
      <c r="T323" s="463">
        <v>4</v>
      </c>
      <c r="U323" s="463">
        <v>1</v>
      </c>
      <c r="V323" s="463">
        <v>0</v>
      </c>
      <c r="W323" s="463">
        <v>2</v>
      </c>
      <c r="X323" s="463">
        <v>1</v>
      </c>
      <c r="Y323" s="464"/>
      <c r="Z323" s="463">
        <v>93</v>
      </c>
      <c r="AA323" s="472" t="s">
        <v>633</v>
      </c>
      <c r="AB323" s="463" t="s">
        <v>539</v>
      </c>
      <c r="AC323" s="463" t="s">
        <v>539</v>
      </c>
      <c r="AD323" s="472" t="s">
        <v>1016</v>
      </c>
      <c r="AE323" s="463" t="s">
        <v>620</v>
      </c>
      <c r="AF323" s="463">
        <v>93</v>
      </c>
      <c r="AG323" s="463" t="s">
        <v>376</v>
      </c>
      <c r="AH323" s="476"/>
      <c r="AI323" s="472">
        <v>848402742</v>
      </c>
      <c r="AJ323" s="464"/>
    </row>
    <row r="324" spans="2:36" ht="24" hidden="1" customHeight="1">
      <c r="B324" s="463">
        <v>253</v>
      </c>
      <c r="C324" s="464" t="s">
        <v>165</v>
      </c>
      <c r="D324" s="464" t="s">
        <v>544</v>
      </c>
      <c r="E324" s="464" t="s">
        <v>535</v>
      </c>
      <c r="F324" s="464"/>
      <c r="G324" s="464" t="s">
        <v>272</v>
      </c>
      <c r="H324" s="464" t="s">
        <v>1208</v>
      </c>
      <c r="I324" s="466">
        <v>21500</v>
      </c>
      <c r="J324" s="465" t="s">
        <v>537</v>
      </c>
      <c r="K324" s="465" t="s">
        <v>537</v>
      </c>
      <c r="L324" s="466">
        <v>16132</v>
      </c>
      <c r="M324" s="465" t="s">
        <v>537</v>
      </c>
      <c r="N324" s="465" t="s">
        <v>537</v>
      </c>
      <c r="O324" s="463" t="s">
        <v>537</v>
      </c>
      <c r="P324" s="463" t="s">
        <v>537</v>
      </c>
      <c r="Q324" s="468">
        <v>5368</v>
      </c>
      <c r="R324" s="463" t="s">
        <v>552</v>
      </c>
      <c r="S324" s="463" t="s">
        <v>1207</v>
      </c>
      <c r="T324" s="463">
        <v>2</v>
      </c>
      <c r="U324" s="463">
        <v>1</v>
      </c>
      <c r="V324" s="463">
        <v>0</v>
      </c>
      <c r="W324" s="463">
        <v>4</v>
      </c>
      <c r="X324" s="463">
        <v>1</v>
      </c>
      <c r="Y324" s="464"/>
      <c r="Z324" s="463">
        <v>90</v>
      </c>
      <c r="AA324" s="472" t="s">
        <v>633</v>
      </c>
      <c r="AB324" s="463" t="s">
        <v>539</v>
      </c>
      <c r="AC324" s="463" t="s">
        <v>539</v>
      </c>
      <c r="AD324" s="472" t="s">
        <v>1016</v>
      </c>
      <c r="AE324" s="463" t="s">
        <v>620</v>
      </c>
      <c r="AF324" s="463">
        <v>90</v>
      </c>
      <c r="AG324" s="463" t="s">
        <v>376</v>
      </c>
      <c r="AH324" s="476"/>
      <c r="AI324" s="464"/>
      <c r="AJ324" s="464"/>
    </row>
    <row r="325" spans="2:36" ht="24" hidden="1" customHeight="1">
      <c r="B325" s="463">
        <v>254</v>
      </c>
      <c r="C325" s="464" t="s">
        <v>165</v>
      </c>
      <c r="D325" s="464" t="s">
        <v>544</v>
      </c>
      <c r="E325" s="464" t="s">
        <v>535</v>
      </c>
      <c r="F325" s="464"/>
      <c r="G325" s="464" t="s">
        <v>272</v>
      </c>
      <c r="H325" s="464" t="s">
        <v>1209</v>
      </c>
      <c r="I325" s="466">
        <v>21500</v>
      </c>
      <c r="J325" s="465" t="s">
        <v>537</v>
      </c>
      <c r="K325" s="465" t="s">
        <v>537</v>
      </c>
      <c r="L325" s="466">
        <v>20300</v>
      </c>
      <c r="M325" s="465" t="s">
        <v>537</v>
      </c>
      <c r="N325" s="465" t="s">
        <v>537</v>
      </c>
      <c r="O325" s="463" t="s">
        <v>537</v>
      </c>
      <c r="P325" s="463" t="s">
        <v>537</v>
      </c>
      <c r="Q325" s="468">
        <v>1200</v>
      </c>
      <c r="R325" s="463" t="s">
        <v>552</v>
      </c>
      <c r="S325" s="471">
        <v>22300</v>
      </c>
      <c r="T325" s="463">
        <v>4</v>
      </c>
      <c r="U325" s="463">
        <v>1</v>
      </c>
      <c r="V325" s="463">
        <v>0</v>
      </c>
      <c r="W325" s="463">
        <v>4</v>
      </c>
      <c r="X325" s="463">
        <v>1</v>
      </c>
      <c r="Y325" s="464"/>
      <c r="Z325" s="463">
        <v>94</v>
      </c>
      <c r="AA325" s="472" t="s">
        <v>633</v>
      </c>
      <c r="AB325" s="463" t="s">
        <v>539</v>
      </c>
      <c r="AC325" s="463" t="s">
        <v>539</v>
      </c>
      <c r="AD325" s="472" t="s">
        <v>1016</v>
      </c>
      <c r="AE325" s="463" t="s">
        <v>620</v>
      </c>
      <c r="AF325" s="463">
        <v>94</v>
      </c>
      <c r="AG325" s="463" t="s">
        <v>376</v>
      </c>
      <c r="AH325" s="476"/>
      <c r="AI325" s="472">
        <v>848402742</v>
      </c>
      <c r="AJ325" s="464"/>
    </row>
    <row r="326" spans="2:36" ht="24" hidden="1" customHeight="1">
      <c r="B326" s="463">
        <v>255</v>
      </c>
      <c r="C326" s="464" t="s">
        <v>165</v>
      </c>
      <c r="D326" s="464" t="s">
        <v>544</v>
      </c>
      <c r="E326" s="464" t="s">
        <v>535</v>
      </c>
      <c r="F326" s="464"/>
      <c r="G326" s="464" t="s">
        <v>272</v>
      </c>
      <c r="H326" s="464" t="s">
        <v>1210</v>
      </c>
      <c r="I326" s="466">
        <v>21000</v>
      </c>
      <c r="J326" s="465" t="s">
        <v>537</v>
      </c>
      <c r="K326" s="465" t="s">
        <v>537</v>
      </c>
      <c r="L326" s="466">
        <v>16920</v>
      </c>
      <c r="M326" s="465" t="s">
        <v>537</v>
      </c>
      <c r="N326" s="465" t="s">
        <v>537</v>
      </c>
      <c r="O326" s="463" t="s">
        <v>537</v>
      </c>
      <c r="P326" s="463" t="s">
        <v>537</v>
      </c>
      <c r="Q326" s="468">
        <v>4080</v>
      </c>
      <c r="R326" s="463" t="s">
        <v>552</v>
      </c>
      <c r="S326" s="463" t="s">
        <v>1211</v>
      </c>
      <c r="T326" s="463">
        <v>3</v>
      </c>
      <c r="U326" s="463">
        <v>2</v>
      </c>
      <c r="V326" s="463">
        <v>0</v>
      </c>
      <c r="W326" s="463">
        <v>2</v>
      </c>
      <c r="X326" s="463">
        <v>2</v>
      </c>
      <c r="Y326" s="464"/>
      <c r="Z326" s="463">
        <v>92</v>
      </c>
      <c r="AA326" s="472" t="s">
        <v>633</v>
      </c>
      <c r="AB326" s="463" t="s">
        <v>539</v>
      </c>
      <c r="AC326" s="463" t="s">
        <v>539</v>
      </c>
      <c r="AD326" s="472" t="s">
        <v>1016</v>
      </c>
      <c r="AE326" s="463" t="s">
        <v>620</v>
      </c>
      <c r="AF326" s="463">
        <v>92</v>
      </c>
      <c r="AG326" s="463" t="s">
        <v>376</v>
      </c>
      <c r="AH326" s="476"/>
      <c r="AI326" s="472">
        <v>848402742</v>
      </c>
      <c r="AJ326" s="464"/>
    </row>
    <row r="327" spans="2:36" ht="24" hidden="1" customHeight="1">
      <c r="B327" s="463">
        <v>256</v>
      </c>
      <c r="C327" s="464" t="s">
        <v>165</v>
      </c>
      <c r="D327" s="464" t="s">
        <v>544</v>
      </c>
      <c r="E327" s="464" t="s">
        <v>535</v>
      </c>
      <c r="F327" s="464"/>
      <c r="G327" s="464" t="s">
        <v>272</v>
      </c>
      <c r="H327" s="464" t="s">
        <v>1212</v>
      </c>
      <c r="I327" s="466">
        <v>19200</v>
      </c>
      <c r="J327" s="465" t="s">
        <v>537</v>
      </c>
      <c r="K327" s="465" t="s">
        <v>537</v>
      </c>
      <c r="L327" s="466">
        <v>19200</v>
      </c>
      <c r="M327" s="465" t="s">
        <v>537</v>
      </c>
      <c r="N327" s="465" t="s">
        <v>537</v>
      </c>
      <c r="O327" s="463" t="s">
        <v>537</v>
      </c>
      <c r="P327" s="463" t="s">
        <v>537</v>
      </c>
      <c r="Q327" s="465">
        <v>0</v>
      </c>
      <c r="R327" s="470">
        <v>241459</v>
      </c>
      <c r="S327" s="463" t="s">
        <v>1213</v>
      </c>
      <c r="T327" s="463">
        <v>100</v>
      </c>
      <c r="U327" s="463">
        <v>20</v>
      </c>
      <c r="V327" s="463">
        <v>0</v>
      </c>
      <c r="W327" s="463">
        <v>120</v>
      </c>
      <c r="X327" s="464"/>
      <c r="Y327" s="464"/>
      <c r="Z327" s="463">
        <v>93</v>
      </c>
      <c r="AA327" s="472" t="s">
        <v>547</v>
      </c>
      <c r="AB327" s="463" t="s">
        <v>539</v>
      </c>
      <c r="AC327" s="463" t="s">
        <v>539</v>
      </c>
      <c r="AD327" s="472" t="s">
        <v>1140</v>
      </c>
      <c r="AE327" s="463" t="s">
        <v>1141</v>
      </c>
      <c r="AF327" s="463">
        <v>93</v>
      </c>
      <c r="AG327" s="463" t="s">
        <v>376</v>
      </c>
      <c r="AH327" s="476"/>
      <c r="AI327" s="472">
        <v>848402742</v>
      </c>
      <c r="AJ327" s="464"/>
    </row>
    <row r="328" spans="2:36" ht="24" hidden="1" customHeight="1">
      <c r="B328" s="463">
        <v>257</v>
      </c>
      <c r="C328" s="464" t="s">
        <v>165</v>
      </c>
      <c r="D328" s="464" t="s">
        <v>544</v>
      </c>
      <c r="E328" s="464" t="s">
        <v>535</v>
      </c>
      <c r="F328" s="464"/>
      <c r="G328" s="464" t="s">
        <v>272</v>
      </c>
      <c r="H328" s="464" t="s">
        <v>642</v>
      </c>
      <c r="I328" s="466">
        <v>60000</v>
      </c>
      <c r="J328" s="465" t="s">
        <v>537</v>
      </c>
      <c r="K328" s="465" t="s">
        <v>537</v>
      </c>
      <c r="L328" s="466">
        <v>60000</v>
      </c>
      <c r="M328" s="465" t="s">
        <v>537</v>
      </c>
      <c r="N328" s="465" t="s">
        <v>537</v>
      </c>
      <c r="O328" s="463" t="s">
        <v>537</v>
      </c>
      <c r="P328" s="463" t="s">
        <v>537</v>
      </c>
      <c r="Q328" s="465">
        <v>0</v>
      </c>
      <c r="R328" s="463" t="s">
        <v>1214</v>
      </c>
      <c r="S328" s="463" t="s">
        <v>1215</v>
      </c>
      <c r="T328" s="463">
        <v>0</v>
      </c>
      <c r="U328" s="463">
        <v>2</v>
      </c>
      <c r="V328" s="463">
        <v>0</v>
      </c>
      <c r="W328" s="464"/>
      <c r="X328" s="463">
        <v>7</v>
      </c>
      <c r="Y328" s="464"/>
      <c r="Z328" s="463">
        <v>92</v>
      </c>
      <c r="AA328" s="472" t="s">
        <v>633</v>
      </c>
      <c r="AB328" s="463" t="s">
        <v>539</v>
      </c>
      <c r="AC328" s="463" t="s">
        <v>539</v>
      </c>
      <c r="AD328" s="472" t="s">
        <v>635</v>
      </c>
      <c r="AE328" s="463" t="s">
        <v>539</v>
      </c>
      <c r="AF328" s="463" t="s">
        <v>539</v>
      </c>
      <c r="AG328" s="463" t="s">
        <v>375</v>
      </c>
      <c r="AH328" s="476"/>
      <c r="AI328" s="472">
        <v>848402742</v>
      </c>
      <c r="AJ328" s="464"/>
    </row>
    <row r="329" spans="2:36" ht="24" hidden="1" customHeight="1">
      <c r="B329" s="701">
        <v>258</v>
      </c>
      <c r="C329" s="699" t="s">
        <v>165</v>
      </c>
      <c r="D329" s="699" t="s">
        <v>544</v>
      </c>
      <c r="E329" s="699" t="s">
        <v>535</v>
      </c>
      <c r="F329" s="699"/>
      <c r="G329" s="699" t="s">
        <v>272</v>
      </c>
      <c r="H329" s="699" t="s">
        <v>1216</v>
      </c>
      <c r="I329" s="712">
        <v>300000</v>
      </c>
      <c r="J329" s="709" t="s">
        <v>537</v>
      </c>
      <c r="K329" s="709" t="s">
        <v>537</v>
      </c>
      <c r="L329" s="712">
        <v>271540</v>
      </c>
      <c r="M329" s="709" t="s">
        <v>537</v>
      </c>
      <c r="N329" s="709" t="s">
        <v>537</v>
      </c>
      <c r="O329" s="701" t="s">
        <v>537</v>
      </c>
      <c r="P329" s="701" t="s">
        <v>537</v>
      </c>
      <c r="Q329" s="705">
        <v>28460</v>
      </c>
      <c r="R329" s="701" t="s">
        <v>552</v>
      </c>
      <c r="S329" s="701" t="s">
        <v>1217</v>
      </c>
      <c r="T329" s="701">
        <v>34</v>
      </c>
      <c r="U329" s="701">
        <v>16</v>
      </c>
      <c r="V329" s="701">
        <v>0</v>
      </c>
      <c r="W329" s="701">
        <v>46</v>
      </c>
      <c r="X329" s="699"/>
      <c r="Y329" s="699"/>
      <c r="Z329" s="701">
        <v>99.28</v>
      </c>
      <c r="AA329" s="697" t="s">
        <v>1218</v>
      </c>
      <c r="AB329" s="701" t="s">
        <v>539</v>
      </c>
      <c r="AC329" s="701" t="s">
        <v>539</v>
      </c>
      <c r="AD329" s="458" t="s">
        <v>651</v>
      </c>
      <c r="AE329" s="459" t="s">
        <v>641</v>
      </c>
      <c r="AF329" s="459">
        <v>2</v>
      </c>
      <c r="AG329" s="701" t="s">
        <v>375</v>
      </c>
      <c r="AH329" s="728"/>
      <c r="AI329" s="697">
        <v>848402742</v>
      </c>
      <c r="AJ329" s="699"/>
    </row>
    <row r="330" spans="2:36" ht="24" hidden="1" customHeight="1">
      <c r="B330" s="702"/>
      <c r="C330" s="700"/>
      <c r="D330" s="700"/>
      <c r="E330" s="700"/>
      <c r="F330" s="700"/>
      <c r="G330" s="700"/>
      <c r="H330" s="700"/>
      <c r="I330" s="713"/>
      <c r="J330" s="710"/>
      <c r="K330" s="710"/>
      <c r="L330" s="713"/>
      <c r="M330" s="710"/>
      <c r="N330" s="710"/>
      <c r="O330" s="702"/>
      <c r="P330" s="702"/>
      <c r="Q330" s="706"/>
      <c r="R330" s="702"/>
      <c r="S330" s="702"/>
      <c r="T330" s="702"/>
      <c r="U330" s="702"/>
      <c r="V330" s="702"/>
      <c r="W330" s="702"/>
      <c r="X330" s="700"/>
      <c r="Y330" s="700"/>
      <c r="Z330" s="702"/>
      <c r="AA330" s="698"/>
      <c r="AB330" s="702"/>
      <c r="AC330" s="702"/>
      <c r="AD330" s="473" t="s">
        <v>1219</v>
      </c>
      <c r="AE330" s="474" t="s">
        <v>539</v>
      </c>
      <c r="AF330" s="474" t="s">
        <v>539</v>
      </c>
      <c r="AG330" s="702"/>
      <c r="AH330" s="729"/>
      <c r="AI330" s="698"/>
      <c r="AJ330" s="700"/>
    </row>
    <row r="331" spans="2:36" ht="24" hidden="1" customHeight="1">
      <c r="B331" s="463">
        <v>259</v>
      </c>
      <c r="C331" s="464" t="s">
        <v>165</v>
      </c>
      <c r="D331" s="464" t="s">
        <v>544</v>
      </c>
      <c r="E331" s="464" t="s">
        <v>535</v>
      </c>
      <c r="F331" s="464"/>
      <c r="G331" s="464" t="s">
        <v>272</v>
      </c>
      <c r="H331" s="464" t="s">
        <v>1220</v>
      </c>
      <c r="I331" s="466">
        <v>21500</v>
      </c>
      <c r="J331" s="465" t="s">
        <v>537</v>
      </c>
      <c r="K331" s="465" t="s">
        <v>537</v>
      </c>
      <c r="L331" s="466">
        <v>11132</v>
      </c>
      <c r="M331" s="465" t="s">
        <v>537</v>
      </c>
      <c r="N331" s="465" t="s">
        <v>537</v>
      </c>
      <c r="O331" s="463" t="s">
        <v>537</v>
      </c>
      <c r="P331" s="463" t="s">
        <v>537</v>
      </c>
      <c r="Q331" s="468">
        <v>10368</v>
      </c>
      <c r="R331" s="463" t="s">
        <v>552</v>
      </c>
      <c r="S331" s="463" t="s">
        <v>1221</v>
      </c>
      <c r="T331" s="463">
        <v>4</v>
      </c>
      <c r="U331" s="463">
        <v>1</v>
      </c>
      <c r="V331" s="463">
        <v>0</v>
      </c>
      <c r="W331" s="463">
        <v>6</v>
      </c>
      <c r="X331" s="463">
        <v>3</v>
      </c>
      <c r="Y331" s="464"/>
      <c r="Z331" s="463">
        <v>94</v>
      </c>
      <c r="AA331" s="472" t="s">
        <v>633</v>
      </c>
      <c r="AB331" s="463" t="s">
        <v>539</v>
      </c>
      <c r="AC331" s="463" t="s">
        <v>539</v>
      </c>
      <c r="AD331" s="472" t="s">
        <v>1016</v>
      </c>
      <c r="AE331" s="463" t="s">
        <v>620</v>
      </c>
      <c r="AF331" s="463">
        <v>94</v>
      </c>
      <c r="AG331" s="463" t="s">
        <v>376</v>
      </c>
      <c r="AH331" s="476"/>
      <c r="AI331" s="472">
        <v>848402742</v>
      </c>
      <c r="AJ331" s="464"/>
    </row>
    <row r="332" spans="2:36" ht="24" hidden="1" customHeight="1">
      <c r="B332" s="463">
        <v>260</v>
      </c>
      <c r="C332" s="464" t="s">
        <v>165</v>
      </c>
      <c r="D332" s="464" t="s">
        <v>544</v>
      </c>
      <c r="E332" s="464" t="s">
        <v>535</v>
      </c>
      <c r="F332" s="464"/>
      <c r="G332" s="464" t="s">
        <v>272</v>
      </c>
      <c r="H332" s="464" t="s">
        <v>636</v>
      </c>
      <c r="I332" s="466">
        <v>200000</v>
      </c>
      <c r="J332" s="465" t="s">
        <v>537</v>
      </c>
      <c r="K332" s="465" t="s">
        <v>537</v>
      </c>
      <c r="L332" s="466">
        <v>200000</v>
      </c>
      <c r="M332" s="465" t="s">
        <v>537</v>
      </c>
      <c r="N332" s="465" t="s">
        <v>537</v>
      </c>
      <c r="O332" s="463" t="s">
        <v>537</v>
      </c>
      <c r="P332" s="463" t="s">
        <v>537</v>
      </c>
      <c r="Q332" s="465">
        <v>0</v>
      </c>
      <c r="R332" s="470">
        <v>241609</v>
      </c>
      <c r="S332" s="463" t="s">
        <v>637</v>
      </c>
      <c r="T332" s="463">
        <v>121</v>
      </c>
      <c r="U332" s="463">
        <v>19</v>
      </c>
      <c r="V332" s="463">
        <v>140</v>
      </c>
      <c r="W332" s="463">
        <v>85</v>
      </c>
      <c r="X332" s="463">
        <v>0</v>
      </c>
      <c r="Y332" s="463">
        <v>0</v>
      </c>
      <c r="Z332" s="463">
        <v>92</v>
      </c>
      <c r="AA332" s="472" t="s">
        <v>547</v>
      </c>
      <c r="AB332" s="463" t="s">
        <v>539</v>
      </c>
      <c r="AC332" s="463" t="s">
        <v>539</v>
      </c>
      <c r="AD332" s="472" t="s">
        <v>699</v>
      </c>
      <c r="AE332" s="463" t="s">
        <v>1172</v>
      </c>
      <c r="AF332" s="463">
        <v>1</v>
      </c>
      <c r="AG332" s="463" t="s">
        <v>376</v>
      </c>
      <c r="AH332" s="476"/>
      <c r="AI332" s="472">
        <v>848402742</v>
      </c>
      <c r="AJ332" s="464"/>
    </row>
    <row r="333" spans="2:36" ht="24" hidden="1" customHeight="1">
      <c r="B333" s="463">
        <v>261</v>
      </c>
      <c r="C333" s="464" t="s">
        <v>165</v>
      </c>
      <c r="D333" s="464" t="s">
        <v>544</v>
      </c>
      <c r="E333" s="464" t="s">
        <v>535</v>
      </c>
      <c r="F333" s="464"/>
      <c r="G333" s="464" t="s">
        <v>272</v>
      </c>
      <c r="H333" s="464" t="s">
        <v>1222</v>
      </c>
      <c r="I333" s="466">
        <v>10800</v>
      </c>
      <c r="J333" s="465" t="s">
        <v>537</v>
      </c>
      <c r="K333" s="465" t="s">
        <v>537</v>
      </c>
      <c r="L333" s="466">
        <v>10800</v>
      </c>
      <c r="M333" s="465" t="s">
        <v>537</v>
      </c>
      <c r="N333" s="465" t="s">
        <v>537</v>
      </c>
      <c r="O333" s="463" t="s">
        <v>537</v>
      </c>
      <c r="P333" s="463" t="s">
        <v>537</v>
      </c>
      <c r="Q333" s="465">
        <v>0</v>
      </c>
      <c r="R333" s="470">
        <v>241459</v>
      </c>
      <c r="S333" s="471">
        <v>22339</v>
      </c>
      <c r="T333" s="463">
        <v>0</v>
      </c>
      <c r="U333" s="463">
        <v>40</v>
      </c>
      <c r="V333" s="463">
        <v>0</v>
      </c>
      <c r="W333" s="464"/>
      <c r="X333" s="463">
        <v>40</v>
      </c>
      <c r="Y333" s="464"/>
      <c r="Z333" s="463">
        <v>94</v>
      </c>
      <c r="AA333" s="472" t="s">
        <v>547</v>
      </c>
      <c r="AB333" s="463" t="s">
        <v>539</v>
      </c>
      <c r="AC333" s="463" t="s">
        <v>539</v>
      </c>
      <c r="AD333" s="472" t="s">
        <v>1140</v>
      </c>
      <c r="AE333" s="463" t="s">
        <v>1141</v>
      </c>
      <c r="AF333" s="463">
        <v>94</v>
      </c>
      <c r="AG333" s="463" t="s">
        <v>376</v>
      </c>
      <c r="AH333" s="476"/>
      <c r="AI333" s="472">
        <v>848402742</v>
      </c>
      <c r="AJ333" s="464"/>
    </row>
    <row r="334" spans="2:36" ht="24" hidden="1" customHeight="1">
      <c r="B334" s="463">
        <v>262</v>
      </c>
      <c r="C334" s="464" t="s">
        <v>337</v>
      </c>
      <c r="D334" s="464"/>
      <c r="E334" s="464" t="s">
        <v>1070</v>
      </c>
      <c r="F334" s="464"/>
      <c r="G334" s="464" t="s">
        <v>272</v>
      </c>
      <c r="H334" s="464" t="s">
        <v>1223</v>
      </c>
      <c r="I334" s="465" t="s">
        <v>537</v>
      </c>
      <c r="J334" s="465" t="s">
        <v>537</v>
      </c>
      <c r="K334" s="466">
        <v>18000</v>
      </c>
      <c r="L334" s="465" t="s">
        <v>537</v>
      </c>
      <c r="M334" s="465" t="s">
        <v>537</v>
      </c>
      <c r="N334" s="466">
        <v>16990</v>
      </c>
      <c r="O334" s="463" t="s">
        <v>537</v>
      </c>
      <c r="P334" s="463" t="s">
        <v>537</v>
      </c>
      <c r="Q334" s="468">
        <v>1010</v>
      </c>
      <c r="R334" s="470">
        <v>241579</v>
      </c>
      <c r="S334" s="471">
        <v>22433</v>
      </c>
      <c r="T334" s="463">
        <v>0</v>
      </c>
      <c r="U334" s="463">
        <v>30</v>
      </c>
      <c r="V334" s="463">
        <v>0</v>
      </c>
      <c r="W334" s="464"/>
      <c r="X334" s="463">
        <v>30</v>
      </c>
      <c r="Y334" s="464"/>
      <c r="Z334" s="463">
        <v>92.4</v>
      </c>
      <c r="AA334" s="472" t="s">
        <v>1224</v>
      </c>
      <c r="AB334" s="463">
        <v>80</v>
      </c>
      <c r="AC334" s="463">
        <v>92.4</v>
      </c>
      <c r="AD334" s="472" t="s">
        <v>548</v>
      </c>
      <c r="AE334" s="463">
        <v>80</v>
      </c>
      <c r="AF334" s="463">
        <v>92.4</v>
      </c>
      <c r="AG334" s="463" t="s">
        <v>375</v>
      </c>
      <c r="AH334" s="476"/>
      <c r="AI334" s="472">
        <v>848402742</v>
      </c>
      <c r="AJ334" s="472" t="s">
        <v>543</v>
      </c>
    </row>
    <row r="335" spans="2:36" ht="24" hidden="1" customHeight="1">
      <c r="B335" s="463">
        <v>263</v>
      </c>
      <c r="C335" s="464" t="s">
        <v>337</v>
      </c>
      <c r="D335" s="464"/>
      <c r="E335" s="464" t="s">
        <v>1070</v>
      </c>
      <c r="F335" s="464"/>
      <c r="G335" s="464" t="s">
        <v>272</v>
      </c>
      <c r="H335" s="464" t="s">
        <v>1225</v>
      </c>
      <c r="I335" s="465" t="s">
        <v>537</v>
      </c>
      <c r="J335" s="465" t="s">
        <v>537</v>
      </c>
      <c r="K335" s="466">
        <v>107820</v>
      </c>
      <c r="L335" s="465" t="s">
        <v>537</v>
      </c>
      <c r="M335" s="465" t="s">
        <v>537</v>
      </c>
      <c r="N335" s="466">
        <v>97352</v>
      </c>
      <c r="O335" s="463" t="s">
        <v>537</v>
      </c>
      <c r="P335" s="463" t="s">
        <v>537</v>
      </c>
      <c r="Q335" s="468">
        <v>10468</v>
      </c>
      <c r="R335" s="470">
        <v>241609</v>
      </c>
      <c r="S335" s="463" t="s">
        <v>1226</v>
      </c>
      <c r="T335" s="463">
        <v>0</v>
      </c>
      <c r="U335" s="463">
        <v>27</v>
      </c>
      <c r="V335" s="463">
        <v>0</v>
      </c>
      <c r="W335" s="464"/>
      <c r="X335" s="463">
        <v>28</v>
      </c>
      <c r="Y335" s="464"/>
      <c r="Z335" s="463">
        <v>94</v>
      </c>
      <c r="AA335" s="472" t="s">
        <v>1227</v>
      </c>
      <c r="AB335" s="463" t="s">
        <v>539</v>
      </c>
      <c r="AC335" s="463" t="s">
        <v>1040</v>
      </c>
      <c r="AD335" s="472" t="s">
        <v>635</v>
      </c>
      <c r="AE335" s="463" t="s">
        <v>539</v>
      </c>
      <c r="AF335" s="463" t="s">
        <v>1040</v>
      </c>
      <c r="AG335" s="463" t="s">
        <v>376</v>
      </c>
      <c r="AH335" s="476"/>
      <c r="AI335" s="472">
        <v>848402742</v>
      </c>
      <c r="AJ335" s="472" t="s">
        <v>543</v>
      </c>
    </row>
    <row r="336" spans="2:36" ht="24" hidden="1" customHeight="1">
      <c r="B336" s="463">
        <v>264</v>
      </c>
      <c r="C336" s="464" t="s">
        <v>10</v>
      </c>
      <c r="D336" s="464"/>
      <c r="E336" s="464" t="s">
        <v>558</v>
      </c>
      <c r="F336" s="464"/>
      <c r="G336" s="464" t="s">
        <v>272</v>
      </c>
      <c r="H336" s="464" t="s">
        <v>1228</v>
      </c>
      <c r="I336" s="465" t="s">
        <v>537</v>
      </c>
      <c r="J336" s="465" t="s">
        <v>537</v>
      </c>
      <c r="K336" s="466">
        <v>57600</v>
      </c>
      <c r="L336" s="465" t="s">
        <v>537</v>
      </c>
      <c r="M336" s="465" t="s">
        <v>537</v>
      </c>
      <c r="N336" s="466">
        <v>97418.02</v>
      </c>
      <c r="O336" s="463" t="s">
        <v>537</v>
      </c>
      <c r="P336" s="463" t="s">
        <v>537</v>
      </c>
      <c r="Q336" s="468">
        <v>-39818</v>
      </c>
      <c r="R336" s="470">
        <v>241609</v>
      </c>
      <c r="S336" s="471">
        <v>22471</v>
      </c>
      <c r="T336" s="463">
        <v>0</v>
      </c>
      <c r="U336" s="463">
        <v>30</v>
      </c>
      <c r="V336" s="463">
        <v>0</v>
      </c>
      <c r="W336" s="463">
        <v>0</v>
      </c>
      <c r="X336" s="463">
        <v>30</v>
      </c>
      <c r="Y336" s="463">
        <v>0</v>
      </c>
      <c r="Z336" s="463">
        <v>92</v>
      </c>
      <c r="AA336" s="472" t="s">
        <v>560</v>
      </c>
      <c r="AB336" s="463" t="s">
        <v>539</v>
      </c>
      <c r="AC336" s="463" t="s">
        <v>539</v>
      </c>
      <c r="AD336" s="472" t="s">
        <v>561</v>
      </c>
      <c r="AE336" s="463">
        <v>80</v>
      </c>
      <c r="AF336" s="463">
        <v>92</v>
      </c>
      <c r="AG336" s="463" t="s">
        <v>375</v>
      </c>
      <c r="AH336" s="476"/>
      <c r="AI336" s="472">
        <v>848402742</v>
      </c>
      <c r="AJ336" s="472" t="s">
        <v>562</v>
      </c>
    </row>
    <row r="337" spans="1:36" ht="24" customHeight="1">
      <c r="A337" s="452">
        <v>17</v>
      </c>
      <c r="B337" s="463">
        <v>265</v>
      </c>
      <c r="C337" s="464" t="s">
        <v>377</v>
      </c>
      <c r="D337" s="464"/>
      <c r="E337" s="464" t="s">
        <v>602</v>
      </c>
      <c r="F337" s="464"/>
      <c r="G337" s="464" t="s">
        <v>59</v>
      </c>
      <c r="H337" s="464" t="s">
        <v>1229</v>
      </c>
      <c r="I337" s="465" t="s">
        <v>537</v>
      </c>
      <c r="J337" s="466">
        <v>40000</v>
      </c>
      <c r="K337" s="465" t="s">
        <v>537</v>
      </c>
      <c r="L337" s="465" t="s">
        <v>537</v>
      </c>
      <c r="M337" s="466">
        <v>38440</v>
      </c>
      <c r="N337" s="465" t="s">
        <v>537</v>
      </c>
      <c r="O337" s="463" t="s">
        <v>537</v>
      </c>
      <c r="P337" s="463" t="s">
        <v>537</v>
      </c>
      <c r="Q337" s="468">
        <v>1560</v>
      </c>
      <c r="R337" s="470">
        <v>241579</v>
      </c>
      <c r="S337" s="463" t="s">
        <v>1230</v>
      </c>
      <c r="T337" s="463">
        <v>100</v>
      </c>
      <c r="U337" s="463">
        <v>11</v>
      </c>
      <c r="V337" s="463">
        <v>0</v>
      </c>
      <c r="W337" s="463">
        <v>172</v>
      </c>
      <c r="X337" s="463">
        <v>54</v>
      </c>
      <c r="Y337" s="463">
        <v>0</v>
      </c>
      <c r="Z337" s="463">
        <v>87.43</v>
      </c>
      <c r="AA337" s="472" t="s">
        <v>619</v>
      </c>
      <c r="AB337" s="463" t="s">
        <v>539</v>
      </c>
      <c r="AC337" s="463" t="s">
        <v>539</v>
      </c>
      <c r="AD337" s="472" t="s">
        <v>565</v>
      </c>
      <c r="AE337" s="463">
        <v>80</v>
      </c>
      <c r="AF337" s="463">
        <v>87.43</v>
      </c>
      <c r="AG337" s="463" t="s">
        <v>375</v>
      </c>
      <c r="AH337" s="476"/>
      <c r="AI337" s="472" t="s">
        <v>1231</v>
      </c>
      <c r="AJ337" s="464"/>
    </row>
    <row r="338" spans="1:36" ht="24" customHeight="1">
      <c r="A338" s="452">
        <v>18</v>
      </c>
      <c r="B338" s="463">
        <v>266</v>
      </c>
      <c r="C338" s="464" t="s">
        <v>377</v>
      </c>
      <c r="D338" s="464"/>
      <c r="E338" s="464" t="s">
        <v>602</v>
      </c>
      <c r="F338" s="464"/>
      <c r="G338" s="464" t="s">
        <v>59</v>
      </c>
      <c r="H338" s="464" t="s">
        <v>1232</v>
      </c>
      <c r="I338" s="466">
        <v>7040</v>
      </c>
      <c r="J338" s="465" t="s">
        <v>537</v>
      </c>
      <c r="K338" s="465" t="s">
        <v>537</v>
      </c>
      <c r="L338" s="466">
        <v>5215</v>
      </c>
      <c r="M338" s="465" t="s">
        <v>537</v>
      </c>
      <c r="N338" s="465" t="s">
        <v>537</v>
      </c>
      <c r="O338" s="463" t="s">
        <v>537</v>
      </c>
      <c r="P338" s="463" t="s">
        <v>537</v>
      </c>
      <c r="Q338" s="468">
        <v>1825</v>
      </c>
      <c r="R338" s="470">
        <v>241487</v>
      </c>
      <c r="S338" s="471">
        <v>22341</v>
      </c>
      <c r="T338" s="463">
        <v>20</v>
      </c>
      <c r="U338" s="463">
        <v>15</v>
      </c>
      <c r="V338" s="463">
        <v>0</v>
      </c>
      <c r="W338" s="463">
        <v>23</v>
      </c>
      <c r="X338" s="463">
        <v>22</v>
      </c>
      <c r="Y338" s="463">
        <v>0</v>
      </c>
      <c r="Z338" s="463">
        <v>94.5</v>
      </c>
      <c r="AA338" s="472" t="s">
        <v>619</v>
      </c>
      <c r="AB338" s="463" t="s">
        <v>539</v>
      </c>
      <c r="AC338" s="463" t="s">
        <v>539</v>
      </c>
      <c r="AD338" s="472" t="s">
        <v>565</v>
      </c>
      <c r="AE338" s="463">
        <v>80</v>
      </c>
      <c r="AF338" s="463">
        <v>94.5</v>
      </c>
      <c r="AG338" s="463" t="s">
        <v>375</v>
      </c>
      <c r="AH338" s="476"/>
      <c r="AI338" s="472" t="s">
        <v>1233</v>
      </c>
      <c r="AJ338" s="464"/>
    </row>
    <row r="339" spans="1:36" ht="24" customHeight="1">
      <c r="A339" s="452">
        <v>19</v>
      </c>
      <c r="B339" s="463">
        <v>267</v>
      </c>
      <c r="C339" s="464" t="s">
        <v>377</v>
      </c>
      <c r="D339" s="464"/>
      <c r="E339" s="464" t="s">
        <v>602</v>
      </c>
      <c r="F339" s="464"/>
      <c r="G339" s="464" t="s">
        <v>59</v>
      </c>
      <c r="H339" s="464" t="s">
        <v>1234</v>
      </c>
      <c r="I339" s="466">
        <v>11300</v>
      </c>
      <c r="J339" s="465" t="s">
        <v>537</v>
      </c>
      <c r="K339" s="465" t="s">
        <v>537</v>
      </c>
      <c r="L339" s="466">
        <v>11300</v>
      </c>
      <c r="M339" s="465" t="s">
        <v>537</v>
      </c>
      <c r="N339" s="465" t="s">
        <v>537</v>
      </c>
      <c r="O339" s="463" t="s">
        <v>537</v>
      </c>
      <c r="P339" s="463" t="s">
        <v>537</v>
      </c>
      <c r="Q339" s="465">
        <v>0</v>
      </c>
      <c r="R339" s="470">
        <v>241579</v>
      </c>
      <c r="S339" s="471">
        <v>22443</v>
      </c>
      <c r="T339" s="463">
        <v>10</v>
      </c>
      <c r="U339" s="463">
        <v>10</v>
      </c>
      <c r="V339" s="463">
        <v>40</v>
      </c>
      <c r="W339" s="463">
        <v>10</v>
      </c>
      <c r="X339" s="463">
        <v>11</v>
      </c>
      <c r="Y339" s="463">
        <v>60</v>
      </c>
      <c r="Z339" s="463">
        <v>93.8</v>
      </c>
      <c r="AA339" s="472" t="s">
        <v>619</v>
      </c>
      <c r="AB339" s="463" t="s">
        <v>539</v>
      </c>
      <c r="AC339" s="463" t="s">
        <v>539</v>
      </c>
      <c r="AD339" s="472" t="s">
        <v>565</v>
      </c>
      <c r="AE339" s="463">
        <v>80</v>
      </c>
      <c r="AF339" s="463">
        <v>93.8</v>
      </c>
      <c r="AG339" s="463" t="s">
        <v>375</v>
      </c>
      <c r="AH339" s="476"/>
      <c r="AI339" s="472" t="s">
        <v>1233</v>
      </c>
      <c r="AJ339" s="464"/>
    </row>
    <row r="340" spans="1:36" ht="24" customHeight="1">
      <c r="A340" s="452">
        <v>20</v>
      </c>
      <c r="B340" s="463">
        <v>268</v>
      </c>
      <c r="C340" s="464" t="s">
        <v>377</v>
      </c>
      <c r="D340" s="464"/>
      <c r="E340" s="464" t="s">
        <v>602</v>
      </c>
      <c r="F340" s="464"/>
      <c r="G340" s="464" t="s">
        <v>59</v>
      </c>
      <c r="H340" s="464" t="s">
        <v>1235</v>
      </c>
      <c r="I340" s="466">
        <v>31660</v>
      </c>
      <c r="J340" s="465" t="s">
        <v>537</v>
      </c>
      <c r="K340" s="465" t="s">
        <v>537</v>
      </c>
      <c r="L340" s="466">
        <v>24972</v>
      </c>
      <c r="M340" s="465" t="s">
        <v>537</v>
      </c>
      <c r="N340" s="465" t="s">
        <v>537</v>
      </c>
      <c r="O340" s="463" t="s">
        <v>537</v>
      </c>
      <c r="P340" s="463" t="s">
        <v>537</v>
      </c>
      <c r="Q340" s="468">
        <v>6688</v>
      </c>
      <c r="R340" s="470">
        <v>241609</v>
      </c>
      <c r="S340" s="463" t="s">
        <v>1236</v>
      </c>
      <c r="T340" s="463">
        <v>60</v>
      </c>
      <c r="U340" s="463">
        <v>24</v>
      </c>
      <c r="V340" s="463">
        <v>0</v>
      </c>
      <c r="W340" s="463">
        <v>308</v>
      </c>
      <c r="X340" s="463">
        <v>77</v>
      </c>
      <c r="Y340" s="463">
        <v>0</v>
      </c>
      <c r="Z340" s="463">
        <v>88</v>
      </c>
      <c r="AA340" s="472" t="s">
        <v>619</v>
      </c>
      <c r="AB340" s="463" t="s">
        <v>539</v>
      </c>
      <c r="AC340" s="463" t="s">
        <v>539</v>
      </c>
      <c r="AD340" s="472" t="s">
        <v>565</v>
      </c>
      <c r="AE340" s="463">
        <v>80</v>
      </c>
      <c r="AF340" s="463">
        <v>88</v>
      </c>
      <c r="AG340" s="463" t="s">
        <v>375</v>
      </c>
      <c r="AH340" s="476"/>
      <c r="AI340" s="472" t="s">
        <v>1233</v>
      </c>
      <c r="AJ340" s="464"/>
    </row>
    <row r="341" spans="1:36" ht="24" customHeight="1">
      <c r="A341" s="452">
        <v>21</v>
      </c>
      <c r="B341" s="463">
        <v>269</v>
      </c>
      <c r="C341" s="464" t="s">
        <v>377</v>
      </c>
      <c r="D341" s="464"/>
      <c r="E341" s="464" t="s">
        <v>602</v>
      </c>
      <c r="F341" s="464"/>
      <c r="G341" s="464" t="s">
        <v>59</v>
      </c>
      <c r="H341" s="464" t="s">
        <v>1237</v>
      </c>
      <c r="I341" s="466">
        <v>70000</v>
      </c>
      <c r="J341" s="465" t="s">
        <v>537</v>
      </c>
      <c r="K341" s="465" t="s">
        <v>537</v>
      </c>
      <c r="L341" s="466">
        <v>56560</v>
      </c>
      <c r="M341" s="465" t="s">
        <v>537</v>
      </c>
      <c r="N341" s="465" t="s">
        <v>537</v>
      </c>
      <c r="O341" s="463" t="s">
        <v>537</v>
      </c>
      <c r="P341" s="463" t="s">
        <v>537</v>
      </c>
      <c r="Q341" s="468">
        <v>13440</v>
      </c>
      <c r="R341" s="470">
        <v>241518</v>
      </c>
      <c r="S341" s="463" t="s">
        <v>1238</v>
      </c>
      <c r="T341" s="463">
        <v>0</v>
      </c>
      <c r="U341" s="463">
        <v>11</v>
      </c>
      <c r="V341" s="463">
        <v>20</v>
      </c>
      <c r="W341" s="463">
        <v>0</v>
      </c>
      <c r="X341" s="463">
        <v>15</v>
      </c>
      <c r="Y341" s="463">
        <v>23</v>
      </c>
      <c r="Z341" s="463">
        <v>92.6</v>
      </c>
      <c r="AA341" s="472" t="s">
        <v>619</v>
      </c>
      <c r="AB341" s="463" t="s">
        <v>539</v>
      </c>
      <c r="AC341" s="463" t="s">
        <v>539</v>
      </c>
      <c r="AD341" s="472" t="s">
        <v>565</v>
      </c>
      <c r="AE341" s="463">
        <v>80</v>
      </c>
      <c r="AF341" s="463">
        <v>92.6</v>
      </c>
      <c r="AG341" s="463" t="s">
        <v>375</v>
      </c>
      <c r="AH341" s="476"/>
      <c r="AI341" s="472" t="s">
        <v>1239</v>
      </c>
      <c r="AJ341" s="464"/>
    </row>
    <row r="342" spans="1:36" ht="24" customHeight="1">
      <c r="A342" s="452">
        <v>22</v>
      </c>
      <c r="B342" s="463">
        <v>270</v>
      </c>
      <c r="C342" s="464" t="s">
        <v>377</v>
      </c>
      <c r="D342" s="464"/>
      <c r="E342" s="464" t="s">
        <v>602</v>
      </c>
      <c r="F342" s="464"/>
      <c r="G342" s="464" t="s">
        <v>59</v>
      </c>
      <c r="H342" s="464" t="s">
        <v>1240</v>
      </c>
      <c r="I342" s="466">
        <v>50000</v>
      </c>
      <c r="J342" s="465" t="s">
        <v>537</v>
      </c>
      <c r="K342" s="465" t="s">
        <v>537</v>
      </c>
      <c r="L342" s="466">
        <v>33720</v>
      </c>
      <c r="M342" s="465" t="s">
        <v>537</v>
      </c>
      <c r="N342" s="465" t="s">
        <v>537</v>
      </c>
      <c r="O342" s="463" t="s">
        <v>537</v>
      </c>
      <c r="P342" s="463" t="s">
        <v>537</v>
      </c>
      <c r="Q342" s="468">
        <v>16280</v>
      </c>
      <c r="R342" s="463" t="s">
        <v>643</v>
      </c>
      <c r="S342" s="463" t="s">
        <v>1241</v>
      </c>
      <c r="T342" s="463">
        <v>60</v>
      </c>
      <c r="U342" s="463">
        <v>24</v>
      </c>
      <c r="V342" s="463">
        <v>50</v>
      </c>
      <c r="W342" s="463">
        <v>40</v>
      </c>
      <c r="X342" s="463">
        <v>54</v>
      </c>
      <c r="Y342" s="463">
        <v>150</v>
      </c>
      <c r="Z342" s="463">
        <v>90.3</v>
      </c>
      <c r="AA342" s="472" t="s">
        <v>619</v>
      </c>
      <c r="AB342" s="463" t="s">
        <v>539</v>
      </c>
      <c r="AC342" s="463" t="s">
        <v>539</v>
      </c>
      <c r="AD342" s="472" t="s">
        <v>565</v>
      </c>
      <c r="AE342" s="463">
        <v>80</v>
      </c>
      <c r="AF342" s="463">
        <v>90.3</v>
      </c>
      <c r="AG342" s="463" t="s">
        <v>375</v>
      </c>
      <c r="AH342" s="476"/>
      <c r="AI342" s="472" t="s">
        <v>1239</v>
      </c>
      <c r="AJ342" s="464"/>
    </row>
    <row r="343" spans="1:36" ht="24" hidden="1" customHeight="1">
      <c r="B343" s="463">
        <v>271</v>
      </c>
      <c r="C343" s="464" t="s">
        <v>337</v>
      </c>
      <c r="D343" s="464"/>
      <c r="E343" s="464" t="s">
        <v>545</v>
      </c>
      <c r="F343" s="464"/>
      <c r="G343" s="464" t="s">
        <v>59</v>
      </c>
      <c r="H343" s="464" t="s">
        <v>1242</v>
      </c>
      <c r="I343" s="465" t="s">
        <v>537</v>
      </c>
      <c r="J343" s="465" t="s">
        <v>537</v>
      </c>
      <c r="K343" s="466">
        <v>15000</v>
      </c>
      <c r="L343" s="465" t="s">
        <v>537</v>
      </c>
      <c r="M343" s="465" t="s">
        <v>537</v>
      </c>
      <c r="N343" s="466">
        <v>14700</v>
      </c>
      <c r="O343" s="463" t="s">
        <v>537</v>
      </c>
      <c r="P343" s="463" t="s">
        <v>537</v>
      </c>
      <c r="Q343" s="465">
        <v>300</v>
      </c>
      <c r="R343" s="470">
        <v>241487</v>
      </c>
      <c r="S343" s="463" t="s">
        <v>1243</v>
      </c>
      <c r="T343" s="463">
        <v>0</v>
      </c>
      <c r="U343" s="463">
        <v>3</v>
      </c>
      <c r="V343" s="463">
        <v>22</v>
      </c>
      <c r="W343" s="463">
        <v>1</v>
      </c>
      <c r="X343" s="463">
        <v>24</v>
      </c>
      <c r="Y343" s="463">
        <v>22</v>
      </c>
      <c r="Z343" s="463">
        <v>88.27</v>
      </c>
      <c r="AA343" s="472" t="s">
        <v>1244</v>
      </c>
      <c r="AB343" s="463" t="s">
        <v>539</v>
      </c>
      <c r="AC343" s="463" t="s">
        <v>539</v>
      </c>
      <c r="AD343" s="472" t="s">
        <v>1245</v>
      </c>
      <c r="AE343" s="463">
        <v>25</v>
      </c>
      <c r="AF343" s="463">
        <v>47</v>
      </c>
      <c r="AG343" s="463" t="s">
        <v>375</v>
      </c>
      <c r="AH343" s="476"/>
      <c r="AI343" s="472" t="s">
        <v>1246</v>
      </c>
      <c r="AJ343" s="472" t="s">
        <v>543</v>
      </c>
    </row>
    <row r="344" spans="1:36" ht="24" hidden="1" customHeight="1">
      <c r="B344" s="463">
        <v>272</v>
      </c>
      <c r="C344" s="464" t="s">
        <v>337</v>
      </c>
      <c r="D344" s="464"/>
      <c r="E344" s="464" t="s">
        <v>545</v>
      </c>
      <c r="F344" s="464"/>
      <c r="G344" s="464" t="s">
        <v>59</v>
      </c>
      <c r="H344" s="464" t="s">
        <v>1247</v>
      </c>
      <c r="I344" s="465" t="s">
        <v>537</v>
      </c>
      <c r="J344" s="465" t="s">
        <v>537</v>
      </c>
      <c r="K344" s="466">
        <v>18000</v>
      </c>
      <c r="L344" s="465" t="s">
        <v>537</v>
      </c>
      <c r="M344" s="465" t="s">
        <v>537</v>
      </c>
      <c r="N344" s="466">
        <v>15967</v>
      </c>
      <c r="O344" s="463" t="s">
        <v>537</v>
      </c>
      <c r="P344" s="463" t="s">
        <v>537</v>
      </c>
      <c r="Q344" s="468">
        <v>2033</v>
      </c>
      <c r="R344" s="470">
        <v>241518</v>
      </c>
      <c r="S344" s="463" t="s">
        <v>1248</v>
      </c>
      <c r="T344" s="463">
        <v>0</v>
      </c>
      <c r="U344" s="463">
        <v>2</v>
      </c>
      <c r="V344" s="463">
        <v>13</v>
      </c>
      <c r="W344" s="463">
        <v>0</v>
      </c>
      <c r="X344" s="463">
        <v>23</v>
      </c>
      <c r="Y344" s="463">
        <v>8</v>
      </c>
      <c r="Z344" s="463">
        <v>88.89</v>
      </c>
      <c r="AA344" s="472" t="s">
        <v>1249</v>
      </c>
      <c r="AB344" s="463" t="s">
        <v>539</v>
      </c>
      <c r="AC344" s="463" t="s">
        <v>539</v>
      </c>
      <c r="AD344" s="472" t="s">
        <v>1250</v>
      </c>
      <c r="AE344" s="463">
        <v>15</v>
      </c>
      <c r="AF344" s="463">
        <v>31</v>
      </c>
      <c r="AG344" s="463" t="s">
        <v>375</v>
      </c>
      <c r="AH344" s="476"/>
      <c r="AI344" s="472" t="s">
        <v>1251</v>
      </c>
      <c r="AJ344" s="472" t="s">
        <v>543</v>
      </c>
    </row>
    <row r="345" spans="1:36" ht="24" hidden="1" customHeight="1">
      <c r="B345" s="463">
        <v>273</v>
      </c>
      <c r="C345" s="464" t="s">
        <v>337</v>
      </c>
      <c r="D345" s="464"/>
      <c r="E345" s="464" t="s">
        <v>545</v>
      </c>
      <c r="F345" s="464"/>
      <c r="G345" s="464" t="s">
        <v>59</v>
      </c>
      <c r="H345" s="464" t="s">
        <v>1252</v>
      </c>
      <c r="I345" s="465" t="s">
        <v>537</v>
      </c>
      <c r="J345" s="465" t="s">
        <v>537</v>
      </c>
      <c r="K345" s="466">
        <v>45000</v>
      </c>
      <c r="L345" s="465" t="s">
        <v>537</v>
      </c>
      <c r="M345" s="465" t="s">
        <v>537</v>
      </c>
      <c r="N345" s="466">
        <v>42259</v>
      </c>
      <c r="O345" s="463" t="s">
        <v>537</v>
      </c>
      <c r="P345" s="463" t="s">
        <v>537</v>
      </c>
      <c r="Q345" s="468">
        <v>2741</v>
      </c>
      <c r="R345" s="463" t="s">
        <v>643</v>
      </c>
      <c r="S345" s="463" t="s">
        <v>1253</v>
      </c>
      <c r="T345" s="463">
        <v>0</v>
      </c>
      <c r="U345" s="463">
        <v>7</v>
      </c>
      <c r="V345" s="463">
        <v>13</v>
      </c>
      <c r="W345" s="463">
        <v>0</v>
      </c>
      <c r="X345" s="463">
        <v>5</v>
      </c>
      <c r="Y345" s="463">
        <v>16</v>
      </c>
      <c r="Z345" s="463">
        <v>86.5</v>
      </c>
      <c r="AA345" s="472" t="s">
        <v>1254</v>
      </c>
      <c r="AB345" s="463" t="s">
        <v>539</v>
      </c>
      <c r="AC345" s="463" t="s">
        <v>539</v>
      </c>
      <c r="AD345" s="472" t="s">
        <v>548</v>
      </c>
      <c r="AE345" s="463" t="s">
        <v>539</v>
      </c>
      <c r="AF345" s="463" t="s">
        <v>539</v>
      </c>
      <c r="AG345" s="463" t="s">
        <v>375</v>
      </c>
      <c r="AH345" s="476"/>
      <c r="AI345" s="472" t="s">
        <v>1255</v>
      </c>
      <c r="AJ345" s="472" t="s">
        <v>543</v>
      </c>
    </row>
    <row r="346" spans="1:36" ht="24" hidden="1" customHeight="1">
      <c r="B346" s="463">
        <v>274</v>
      </c>
      <c r="C346" s="464" t="s">
        <v>337</v>
      </c>
      <c r="D346" s="464"/>
      <c r="E346" s="464" t="s">
        <v>545</v>
      </c>
      <c r="F346" s="464"/>
      <c r="G346" s="464" t="s">
        <v>59</v>
      </c>
      <c r="H346" s="464" t="s">
        <v>1256</v>
      </c>
      <c r="I346" s="465" t="s">
        <v>537</v>
      </c>
      <c r="J346" s="465" t="s">
        <v>537</v>
      </c>
      <c r="K346" s="466">
        <v>14000</v>
      </c>
      <c r="L346" s="465" t="s">
        <v>537</v>
      </c>
      <c r="M346" s="465" t="s">
        <v>537</v>
      </c>
      <c r="N346" s="466">
        <v>14000</v>
      </c>
      <c r="O346" s="463" t="s">
        <v>537</v>
      </c>
      <c r="P346" s="463" t="s">
        <v>537</v>
      </c>
      <c r="Q346" s="465">
        <v>0</v>
      </c>
      <c r="R346" s="463" t="s">
        <v>643</v>
      </c>
      <c r="S346" s="463" t="s">
        <v>1257</v>
      </c>
      <c r="T346" s="463">
        <v>1</v>
      </c>
      <c r="U346" s="463">
        <v>2</v>
      </c>
      <c r="V346" s="463">
        <v>27</v>
      </c>
      <c r="W346" s="463">
        <v>3</v>
      </c>
      <c r="X346" s="463">
        <v>12</v>
      </c>
      <c r="Y346" s="463">
        <v>33</v>
      </c>
      <c r="Z346" s="463">
        <v>92.07</v>
      </c>
      <c r="AA346" s="472" t="s">
        <v>1258</v>
      </c>
      <c r="AB346" s="463" t="s">
        <v>539</v>
      </c>
      <c r="AC346" s="463" t="s">
        <v>539</v>
      </c>
      <c r="AD346" s="472" t="s">
        <v>1259</v>
      </c>
      <c r="AE346" s="463">
        <v>85</v>
      </c>
      <c r="AF346" s="463">
        <v>92.07</v>
      </c>
      <c r="AG346" s="463" t="s">
        <v>375</v>
      </c>
      <c r="AH346" s="476"/>
      <c r="AI346" s="472" t="s">
        <v>1260</v>
      </c>
      <c r="AJ346" s="472" t="s">
        <v>543</v>
      </c>
    </row>
    <row r="347" spans="1:36" ht="24" hidden="1" customHeight="1">
      <c r="B347" s="701">
        <v>275</v>
      </c>
      <c r="C347" s="699" t="s">
        <v>337</v>
      </c>
      <c r="D347" s="699"/>
      <c r="E347" s="699" t="s">
        <v>545</v>
      </c>
      <c r="F347" s="699"/>
      <c r="G347" s="699" t="s">
        <v>59</v>
      </c>
      <c r="H347" s="699" t="s">
        <v>1261</v>
      </c>
      <c r="I347" s="712">
        <v>25000</v>
      </c>
      <c r="J347" s="709" t="s">
        <v>537</v>
      </c>
      <c r="K347" s="709" t="s">
        <v>537</v>
      </c>
      <c r="L347" s="712">
        <v>24467</v>
      </c>
      <c r="M347" s="709" t="s">
        <v>537</v>
      </c>
      <c r="N347" s="709" t="s">
        <v>537</v>
      </c>
      <c r="O347" s="701" t="s">
        <v>537</v>
      </c>
      <c r="P347" s="701" t="s">
        <v>537</v>
      </c>
      <c r="Q347" s="709">
        <v>533</v>
      </c>
      <c r="R347" s="707">
        <v>241487</v>
      </c>
      <c r="S347" s="701" t="s">
        <v>1262</v>
      </c>
      <c r="T347" s="701">
        <v>8</v>
      </c>
      <c r="U347" s="701">
        <v>5</v>
      </c>
      <c r="V347" s="701">
        <v>20</v>
      </c>
      <c r="W347" s="701">
        <v>3</v>
      </c>
      <c r="X347" s="701">
        <v>9</v>
      </c>
      <c r="Y347" s="701">
        <v>32</v>
      </c>
      <c r="Z347" s="701">
        <v>90</v>
      </c>
      <c r="AA347" s="458" t="s">
        <v>547</v>
      </c>
      <c r="AB347" s="459" t="s">
        <v>539</v>
      </c>
      <c r="AC347" s="459" t="s">
        <v>539</v>
      </c>
      <c r="AD347" s="697" t="s">
        <v>548</v>
      </c>
      <c r="AE347" s="701">
        <v>80</v>
      </c>
      <c r="AF347" s="701">
        <v>90</v>
      </c>
      <c r="AG347" s="701" t="s">
        <v>375</v>
      </c>
      <c r="AH347" s="728"/>
      <c r="AI347" s="697" t="s">
        <v>1263</v>
      </c>
      <c r="AJ347" s="699"/>
    </row>
    <row r="348" spans="1:36" ht="24" hidden="1" customHeight="1">
      <c r="B348" s="702"/>
      <c r="C348" s="700"/>
      <c r="D348" s="700"/>
      <c r="E348" s="700"/>
      <c r="F348" s="700"/>
      <c r="G348" s="700"/>
      <c r="H348" s="700"/>
      <c r="I348" s="713"/>
      <c r="J348" s="710"/>
      <c r="K348" s="710"/>
      <c r="L348" s="713"/>
      <c r="M348" s="710"/>
      <c r="N348" s="710"/>
      <c r="O348" s="702"/>
      <c r="P348" s="702"/>
      <c r="Q348" s="710"/>
      <c r="R348" s="708"/>
      <c r="S348" s="702"/>
      <c r="T348" s="702"/>
      <c r="U348" s="702"/>
      <c r="V348" s="702"/>
      <c r="W348" s="702"/>
      <c r="X348" s="702"/>
      <c r="Y348" s="702"/>
      <c r="Z348" s="702"/>
      <c r="AA348" s="473" t="s">
        <v>1264</v>
      </c>
      <c r="AB348" s="474" t="s">
        <v>539</v>
      </c>
      <c r="AC348" s="474" t="s">
        <v>539</v>
      </c>
      <c r="AD348" s="698"/>
      <c r="AE348" s="702"/>
      <c r="AF348" s="702"/>
      <c r="AG348" s="702"/>
      <c r="AH348" s="729"/>
      <c r="AI348" s="698"/>
      <c r="AJ348" s="700"/>
    </row>
    <row r="349" spans="1:36" ht="24" hidden="1" customHeight="1">
      <c r="B349" s="701">
        <v>276</v>
      </c>
      <c r="C349" s="699" t="s">
        <v>337</v>
      </c>
      <c r="D349" s="699"/>
      <c r="E349" s="699" t="s">
        <v>545</v>
      </c>
      <c r="F349" s="699"/>
      <c r="G349" s="699" t="s">
        <v>59</v>
      </c>
      <c r="H349" s="699" t="s">
        <v>1265</v>
      </c>
      <c r="I349" s="712">
        <v>15000</v>
      </c>
      <c r="J349" s="709" t="s">
        <v>537</v>
      </c>
      <c r="K349" s="709" t="s">
        <v>537</v>
      </c>
      <c r="L349" s="712">
        <v>13065</v>
      </c>
      <c r="M349" s="709" t="s">
        <v>537</v>
      </c>
      <c r="N349" s="709" t="s">
        <v>537</v>
      </c>
      <c r="O349" s="701" t="s">
        <v>537</v>
      </c>
      <c r="P349" s="701" t="s">
        <v>537</v>
      </c>
      <c r="Q349" s="705">
        <v>1935</v>
      </c>
      <c r="R349" s="707">
        <v>241428</v>
      </c>
      <c r="S349" s="721">
        <v>22304</v>
      </c>
      <c r="T349" s="701">
        <v>10</v>
      </c>
      <c r="U349" s="701">
        <v>6</v>
      </c>
      <c r="V349" s="701">
        <v>20</v>
      </c>
      <c r="W349" s="701">
        <v>15</v>
      </c>
      <c r="X349" s="701">
        <v>32</v>
      </c>
      <c r="Y349" s="701">
        <v>18</v>
      </c>
      <c r="Z349" s="701">
        <v>92</v>
      </c>
      <c r="AA349" s="458" t="s">
        <v>547</v>
      </c>
      <c r="AB349" s="459" t="s">
        <v>539</v>
      </c>
      <c r="AC349" s="459" t="s">
        <v>539</v>
      </c>
      <c r="AD349" s="458" t="s">
        <v>733</v>
      </c>
      <c r="AE349" s="459">
        <v>1</v>
      </c>
      <c r="AF349" s="459">
        <v>1</v>
      </c>
      <c r="AG349" s="701" t="s">
        <v>375</v>
      </c>
      <c r="AH349" s="728"/>
      <c r="AI349" s="697" t="s">
        <v>1266</v>
      </c>
      <c r="AJ349" s="699"/>
    </row>
    <row r="350" spans="1:36" ht="24" hidden="1" customHeight="1">
      <c r="B350" s="702"/>
      <c r="C350" s="700"/>
      <c r="D350" s="700"/>
      <c r="E350" s="700"/>
      <c r="F350" s="700"/>
      <c r="G350" s="700"/>
      <c r="H350" s="700"/>
      <c r="I350" s="713"/>
      <c r="J350" s="710"/>
      <c r="K350" s="710"/>
      <c r="L350" s="713"/>
      <c r="M350" s="710"/>
      <c r="N350" s="710"/>
      <c r="O350" s="702"/>
      <c r="P350" s="702"/>
      <c r="Q350" s="706"/>
      <c r="R350" s="708"/>
      <c r="S350" s="722"/>
      <c r="T350" s="702"/>
      <c r="U350" s="702"/>
      <c r="V350" s="702"/>
      <c r="W350" s="702"/>
      <c r="X350" s="702"/>
      <c r="Y350" s="702"/>
      <c r="Z350" s="702"/>
      <c r="AA350" s="473" t="s">
        <v>1267</v>
      </c>
      <c r="AB350" s="474" t="s">
        <v>539</v>
      </c>
      <c r="AC350" s="474" t="s">
        <v>539</v>
      </c>
      <c r="AD350" s="473" t="s">
        <v>1268</v>
      </c>
      <c r="AE350" s="474">
        <v>10</v>
      </c>
      <c r="AF350" s="474">
        <v>15</v>
      </c>
      <c r="AG350" s="702"/>
      <c r="AH350" s="729"/>
      <c r="AI350" s="698"/>
      <c r="AJ350" s="700"/>
    </row>
    <row r="351" spans="1:36" ht="24" hidden="1" customHeight="1">
      <c r="B351" s="463">
        <v>277</v>
      </c>
      <c r="C351" s="464" t="s">
        <v>337</v>
      </c>
      <c r="D351" s="464"/>
      <c r="E351" s="464" t="s">
        <v>545</v>
      </c>
      <c r="F351" s="464"/>
      <c r="G351" s="464" t="s">
        <v>59</v>
      </c>
      <c r="H351" s="464" t="s">
        <v>1269</v>
      </c>
      <c r="I351" s="466">
        <v>15000</v>
      </c>
      <c r="J351" s="465" t="s">
        <v>537</v>
      </c>
      <c r="K351" s="465" t="s">
        <v>537</v>
      </c>
      <c r="L351" s="466">
        <v>14650</v>
      </c>
      <c r="M351" s="465" t="s">
        <v>537</v>
      </c>
      <c r="N351" s="465" t="s">
        <v>537</v>
      </c>
      <c r="O351" s="463" t="s">
        <v>537</v>
      </c>
      <c r="P351" s="463" t="s">
        <v>537</v>
      </c>
      <c r="Q351" s="465">
        <v>350</v>
      </c>
      <c r="R351" s="470">
        <v>241428</v>
      </c>
      <c r="S351" s="471">
        <v>22301</v>
      </c>
      <c r="T351" s="463">
        <v>1</v>
      </c>
      <c r="U351" s="463">
        <v>9</v>
      </c>
      <c r="V351" s="463">
        <v>20</v>
      </c>
      <c r="W351" s="463">
        <v>10</v>
      </c>
      <c r="X351" s="463">
        <v>5</v>
      </c>
      <c r="Y351" s="463">
        <v>30</v>
      </c>
      <c r="Z351" s="463">
        <v>85.5</v>
      </c>
      <c r="AA351" s="472" t="s">
        <v>547</v>
      </c>
      <c r="AB351" s="463" t="s">
        <v>539</v>
      </c>
      <c r="AC351" s="463" t="s">
        <v>539</v>
      </c>
      <c r="AD351" s="472" t="s">
        <v>733</v>
      </c>
      <c r="AE351" s="463">
        <v>1</v>
      </c>
      <c r="AF351" s="463">
        <v>1</v>
      </c>
      <c r="AG351" s="463" t="s">
        <v>375</v>
      </c>
      <c r="AH351" s="476"/>
      <c r="AI351" s="472" t="s">
        <v>1270</v>
      </c>
      <c r="AJ351" s="464"/>
    </row>
    <row r="352" spans="1:36" ht="24" hidden="1" customHeight="1">
      <c r="B352" s="701">
        <v>278</v>
      </c>
      <c r="C352" s="699" t="s">
        <v>337</v>
      </c>
      <c r="D352" s="699"/>
      <c r="E352" s="699" t="s">
        <v>545</v>
      </c>
      <c r="F352" s="699"/>
      <c r="G352" s="699" t="s">
        <v>59</v>
      </c>
      <c r="H352" s="699" t="s">
        <v>1271</v>
      </c>
      <c r="I352" s="712">
        <v>40000</v>
      </c>
      <c r="J352" s="709" t="s">
        <v>537</v>
      </c>
      <c r="K352" s="709" t="s">
        <v>537</v>
      </c>
      <c r="L352" s="712">
        <v>40000</v>
      </c>
      <c r="M352" s="709" t="s">
        <v>537</v>
      </c>
      <c r="N352" s="709" t="s">
        <v>537</v>
      </c>
      <c r="O352" s="701" t="s">
        <v>537</v>
      </c>
      <c r="P352" s="701" t="s">
        <v>537</v>
      </c>
      <c r="Q352" s="709">
        <v>0</v>
      </c>
      <c r="R352" s="707">
        <v>241428</v>
      </c>
      <c r="S352" s="701" t="s">
        <v>1272</v>
      </c>
      <c r="T352" s="701">
        <v>4</v>
      </c>
      <c r="U352" s="701">
        <v>4</v>
      </c>
      <c r="V352" s="701">
        <v>12</v>
      </c>
      <c r="W352" s="701">
        <v>11</v>
      </c>
      <c r="X352" s="701">
        <v>33</v>
      </c>
      <c r="Y352" s="701">
        <v>16</v>
      </c>
      <c r="Z352" s="701">
        <v>87.86</v>
      </c>
      <c r="AA352" s="458" t="s">
        <v>547</v>
      </c>
      <c r="AB352" s="459" t="s">
        <v>539</v>
      </c>
      <c r="AC352" s="459" t="s">
        <v>539</v>
      </c>
      <c r="AD352" s="697" t="s">
        <v>733</v>
      </c>
      <c r="AE352" s="701">
        <v>1</v>
      </c>
      <c r="AF352" s="701">
        <v>1</v>
      </c>
      <c r="AG352" s="701" t="s">
        <v>375</v>
      </c>
      <c r="AH352" s="728"/>
      <c r="AI352" s="697" t="s">
        <v>1273</v>
      </c>
      <c r="AJ352" s="699"/>
    </row>
    <row r="353" spans="2:36" ht="24" hidden="1" customHeight="1">
      <c r="B353" s="702"/>
      <c r="C353" s="700"/>
      <c r="D353" s="700"/>
      <c r="E353" s="700"/>
      <c r="F353" s="700"/>
      <c r="G353" s="700"/>
      <c r="H353" s="700"/>
      <c r="I353" s="713"/>
      <c r="J353" s="710"/>
      <c r="K353" s="710"/>
      <c r="L353" s="713"/>
      <c r="M353" s="710"/>
      <c r="N353" s="710"/>
      <c r="O353" s="702"/>
      <c r="P353" s="702"/>
      <c r="Q353" s="710"/>
      <c r="R353" s="708"/>
      <c r="S353" s="702"/>
      <c r="T353" s="702"/>
      <c r="U353" s="702"/>
      <c r="V353" s="702"/>
      <c r="W353" s="702"/>
      <c r="X353" s="702"/>
      <c r="Y353" s="702"/>
      <c r="Z353" s="702"/>
      <c r="AA353" s="473" t="s">
        <v>1274</v>
      </c>
      <c r="AB353" s="474" t="s">
        <v>539</v>
      </c>
      <c r="AC353" s="474" t="s">
        <v>539</v>
      </c>
      <c r="AD353" s="698"/>
      <c r="AE353" s="702"/>
      <c r="AF353" s="702"/>
      <c r="AG353" s="702"/>
      <c r="AH353" s="729"/>
      <c r="AI353" s="698"/>
      <c r="AJ353" s="700"/>
    </row>
    <row r="354" spans="2:36" ht="24" hidden="1" customHeight="1">
      <c r="B354" s="701">
        <v>279</v>
      </c>
      <c r="C354" s="699" t="s">
        <v>337</v>
      </c>
      <c r="D354" s="699"/>
      <c r="E354" s="699" t="s">
        <v>545</v>
      </c>
      <c r="F354" s="699"/>
      <c r="G354" s="699" t="s">
        <v>59</v>
      </c>
      <c r="H354" s="699" t="s">
        <v>1275</v>
      </c>
      <c r="I354" s="712">
        <v>15000</v>
      </c>
      <c r="J354" s="709" t="s">
        <v>537</v>
      </c>
      <c r="K354" s="709" t="s">
        <v>537</v>
      </c>
      <c r="L354" s="712">
        <v>14999</v>
      </c>
      <c r="M354" s="709" t="s">
        <v>537</v>
      </c>
      <c r="N354" s="709" t="s">
        <v>537</v>
      </c>
      <c r="O354" s="701" t="s">
        <v>537</v>
      </c>
      <c r="P354" s="701" t="s">
        <v>537</v>
      </c>
      <c r="Q354" s="709">
        <v>1</v>
      </c>
      <c r="R354" s="707">
        <v>241518</v>
      </c>
      <c r="S354" s="701" t="s">
        <v>1276</v>
      </c>
      <c r="T354" s="701">
        <v>5</v>
      </c>
      <c r="U354" s="701">
        <v>5</v>
      </c>
      <c r="V354" s="701">
        <v>20</v>
      </c>
      <c r="W354" s="701">
        <v>6</v>
      </c>
      <c r="X354" s="701">
        <v>7</v>
      </c>
      <c r="Y354" s="701">
        <v>22</v>
      </c>
      <c r="Z354" s="701">
        <v>88</v>
      </c>
      <c r="AA354" s="458" t="s">
        <v>1277</v>
      </c>
      <c r="AB354" s="459" t="s">
        <v>539</v>
      </c>
      <c r="AC354" s="459" t="s">
        <v>539</v>
      </c>
      <c r="AD354" s="697" t="s">
        <v>548</v>
      </c>
      <c r="AE354" s="701">
        <v>80</v>
      </c>
      <c r="AF354" s="701">
        <v>88</v>
      </c>
      <c r="AG354" s="701" t="s">
        <v>375</v>
      </c>
      <c r="AH354" s="728"/>
      <c r="AI354" s="697" t="s">
        <v>1278</v>
      </c>
      <c r="AJ354" s="699"/>
    </row>
    <row r="355" spans="2:36" ht="24" hidden="1" customHeight="1">
      <c r="B355" s="715"/>
      <c r="C355" s="714"/>
      <c r="D355" s="714"/>
      <c r="E355" s="714"/>
      <c r="F355" s="714"/>
      <c r="G355" s="714"/>
      <c r="H355" s="714"/>
      <c r="I355" s="720"/>
      <c r="J355" s="717"/>
      <c r="K355" s="717"/>
      <c r="L355" s="720"/>
      <c r="M355" s="717"/>
      <c r="N355" s="717"/>
      <c r="O355" s="715"/>
      <c r="P355" s="715"/>
      <c r="Q355" s="717"/>
      <c r="R355" s="719"/>
      <c r="S355" s="715"/>
      <c r="T355" s="715"/>
      <c r="U355" s="715"/>
      <c r="V355" s="715"/>
      <c r="W355" s="715"/>
      <c r="X355" s="715"/>
      <c r="Y355" s="715"/>
      <c r="Z355" s="715"/>
      <c r="AA355" s="460" t="s">
        <v>1279</v>
      </c>
      <c r="AB355" s="461" t="s">
        <v>539</v>
      </c>
      <c r="AC355" s="461" t="s">
        <v>539</v>
      </c>
      <c r="AD355" s="711"/>
      <c r="AE355" s="715"/>
      <c r="AF355" s="715"/>
      <c r="AG355" s="715"/>
      <c r="AH355" s="730"/>
      <c r="AI355" s="711"/>
      <c r="AJ355" s="714"/>
    </row>
    <row r="356" spans="2:36" ht="24" hidden="1" customHeight="1">
      <c r="B356" s="702"/>
      <c r="C356" s="700"/>
      <c r="D356" s="700"/>
      <c r="E356" s="700"/>
      <c r="F356" s="700"/>
      <c r="G356" s="700"/>
      <c r="H356" s="700"/>
      <c r="I356" s="713"/>
      <c r="J356" s="710"/>
      <c r="K356" s="710"/>
      <c r="L356" s="713"/>
      <c r="M356" s="710"/>
      <c r="N356" s="710"/>
      <c r="O356" s="702"/>
      <c r="P356" s="702"/>
      <c r="Q356" s="710"/>
      <c r="R356" s="708"/>
      <c r="S356" s="702"/>
      <c r="T356" s="702"/>
      <c r="U356" s="702"/>
      <c r="V356" s="702"/>
      <c r="W356" s="702"/>
      <c r="X356" s="702"/>
      <c r="Y356" s="702"/>
      <c r="Z356" s="702"/>
      <c r="AA356" s="473" t="s">
        <v>1280</v>
      </c>
      <c r="AB356" s="474" t="s">
        <v>539</v>
      </c>
      <c r="AC356" s="474" t="s">
        <v>539</v>
      </c>
      <c r="AD356" s="698"/>
      <c r="AE356" s="702"/>
      <c r="AF356" s="702"/>
      <c r="AG356" s="702"/>
      <c r="AH356" s="729"/>
      <c r="AI356" s="698"/>
      <c r="AJ356" s="700"/>
    </row>
    <row r="357" spans="2:36" ht="24" hidden="1" customHeight="1">
      <c r="B357" s="463">
        <v>280</v>
      </c>
      <c r="C357" s="464" t="s">
        <v>337</v>
      </c>
      <c r="D357" s="464"/>
      <c r="E357" s="464" t="s">
        <v>545</v>
      </c>
      <c r="F357" s="464"/>
      <c r="G357" s="464" t="s">
        <v>59</v>
      </c>
      <c r="H357" s="464" t="s">
        <v>1281</v>
      </c>
      <c r="I357" s="466">
        <v>50000</v>
      </c>
      <c r="J357" s="465" t="s">
        <v>537</v>
      </c>
      <c r="K357" s="465" t="s">
        <v>537</v>
      </c>
      <c r="L357" s="466">
        <v>49787</v>
      </c>
      <c r="M357" s="465" t="s">
        <v>537</v>
      </c>
      <c r="N357" s="465" t="s">
        <v>537</v>
      </c>
      <c r="O357" s="463" t="s">
        <v>537</v>
      </c>
      <c r="P357" s="463" t="s">
        <v>537</v>
      </c>
      <c r="Q357" s="465">
        <v>213</v>
      </c>
      <c r="R357" s="470">
        <v>241459</v>
      </c>
      <c r="S357" s="471">
        <v>22333</v>
      </c>
      <c r="T357" s="463">
        <v>4</v>
      </c>
      <c r="U357" s="463">
        <v>6</v>
      </c>
      <c r="V357" s="463">
        <v>20</v>
      </c>
      <c r="W357" s="463">
        <v>9</v>
      </c>
      <c r="X357" s="463">
        <v>46</v>
      </c>
      <c r="Y357" s="463">
        <v>23</v>
      </c>
      <c r="Z357" s="463">
        <v>94.6</v>
      </c>
      <c r="AA357" s="472" t="s">
        <v>547</v>
      </c>
      <c r="AB357" s="463" t="s">
        <v>539</v>
      </c>
      <c r="AC357" s="463" t="s">
        <v>539</v>
      </c>
      <c r="AD357" s="472" t="s">
        <v>733</v>
      </c>
      <c r="AE357" s="463">
        <v>1</v>
      </c>
      <c r="AF357" s="463">
        <v>3</v>
      </c>
      <c r="AG357" s="463" t="s">
        <v>375</v>
      </c>
      <c r="AH357" s="476"/>
      <c r="AI357" s="472" t="s">
        <v>1282</v>
      </c>
      <c r="AJ357" s="464"/>
    </row>
    <row r="358" spans="2:36" ht="24" hidden="1" customHeight="1">
      <c r="B358" s="701">
        <v>281</v>
      </c>
      <c r="C358" s="699" t="s">
        <v>337</v>
      </c>
      <c r="D358" s="699"/>
      <c r="E358" s="699" t="s">
        <v>545</v>
      </c>
      <c r="F358" s="699"/>
      <c r="G358" s="699" t="s">
        <v>59</v>
      </c>
      <c r="H358" s="699" t="s">
        <v>1283</v>
      </c>
      <c r="I358" s="712">
        <v>15000</v>
      </c>
      <c r="J358" s="709" t="s">
        <v>537</v>
      </c>
      <c r="K358" s="709" t="s">
        <v>537</v>
      </c>
      <c r="L358" s="712">
        <v>14875</v>
      </c>
      <c r="M358" s="709" t="s">
        <v>537</v>
      </c>
      <c r="N358" s="709" t="s">
        <v>537</v>
      </c>
      <c r="O358" s="701" t="s">
        <v>537</v>
      </c>
      <c r="P358" s="701" t="s">
        <v>537</v>
      </c>
      <c r="Q358" s="709">
        <v>125</v>
      </c>
      <c r="R358" s="701" t="s">
        <v>643</v>
      </c>
      <c r="S358" s="701" t="s">
        <v>959</v>
      </c>
      <c r="T358" s="701">
        <v>1</v>
      </c>
      <c r="U358" s="701">
        <v>1</v>
      </c>
      <c r="V358" s="701">
        <v>20</v>
      </c>
      <c r="W358" s="701">
        <v>4</v>
      </c>
      <c r="X358" s="701">
        <v>40</v>
      </c>
      <c r="Y358" s="701">
        <v>23</v>
      </c>
      <c r="Z358" s="701">
        <v>90</v>
      </c>
      <c r="AA358" s="458" t="s">
        <v>547</v>
      </c>
      <c r="AB358" s="459" t="s">
        <v>539</v>
      </c>
      <c r="AC358" s="459" t="s">
        <v>539</v>
      </c>
      <c r="AD358" s="697" t="s">
        <v>733</v>
      </c>
      <c r="AE358" s="701">
        <v>1</v>
      </c>
      <c r="AF358" s="701">
        <v>1</v>
      </c>
      <c r="AG358" s="701" t="s">
        <v>375</v>
      </c>
      <c r="AH358" s="728"/>
      <c r="AI358" s="697" t="s">
        <v>1284</v>
      </c>
      <c r="AJ358" s="699"/>
    </row>
    <row r="359" spans="2:36" ht="24" hidden="1" customHeight="1">
      <c r="B359" s="702"/>
      <c r="C359" s="700"/>
      <c r="D359" s="700"/>
      <c r="E359" s="700"/>
      <c r="F359" s="700"/>
      <c r="G359" s="700"/>
      <c r="H359" s="700"/>
      <c r="I359" s="713"/>
      <c r="J359" s="710"/>
      <c r="K359" s="710"/>
      <c r="L359" s="713"/>
      <c r="M359" s="710"/>
      <c r="N359" s="710"/>
      <c r="O359" s="702"/>
      <c r="P359" s="702"/>
      <c r="Q359" s="710"/>
      <c r="R359" s="702"/>
      <c r="S359" s="702"/>
      <c r="T359" s="702"/>
      <c r="U359" s="702"/>
      <c r="V359" s="702"/>
      <c r="W359" s="702"/>
      <c r="X359" s="702"/>
      <c r="Y359" s="702"/>
      <c r="Z359" s="702"/>
      <c r="AA359" s="473" t="s">
        <v>1285</v>
      </c>
      <c r="AB359" s="474" t="s">
        <v>539</v>
      </c>
      <c r="AC359" s="474" t="s">
        <v>539</v>
      </c>
      <c r="AD359" s="698"/>
      <c r="AE359" s="702"/>
      <c r="AF359" s="702"/>
      <c r="AG359" s="702"/>
      <c r="AH359" s="729"/>
      <c r="AI359" s="698"/>
      <c r="AJ359" s="700"/>
    </row>
    <row r="360" spans="2:36" ht="24" hidden="1" customHeight="1">
      <c r="B360" s="701">
        <v>282</v>
      </c>
      <c r="C360" s="699" t="s">
        <v>337</v>
      </c>
      <c r="D360" s="699"/>
      <c r="E360" s="699" t="s">
        <v>545</v>
      </c>
      <c r="F360" s="699"/>
      <c r="G360" s="699" t="s">
        <v>59</v>
      </c>
      <c r="H360" s="699" t="s">
        <v>1286</v>
      </c>
      <c r="I360" s="709">
        <v>0</v>
      </c>
      <c r="J360" s="709" t="s">
        <v>537</v>
      </c>
      <c r="K360" s="709" t="s">
        <v>537</v>
      </c>
      <c r="L360" s="709">
        <v>0</v>
      </c>
      <c r="M360" s="709" t="s">
        <v>537</v>
      </c>
      <c r="N360" s="709" t="s">
        <v>537</v>
      </c>
      <c r="O360" s="701" t="s">
        <v>537</v>
      </c>
      <c r="P360" s="701" t="s">
        <v>537</v>
      </c>
      <c r="Q360" s="709">
        <v>0</v>
      </c>
      <c r="R360" s="707">
        <v>241640</v>
      </c>
      <c r="S360" s="721">
        <v>22542</v>
      </c>
      <c r="T360" s="701">
        <v>0</v>
      </c>
      <c r="U360" s="701">
        <v>5</v>
      </c>
      <c r="V360" s="701">
        <v>15</v>
      </c>
      <c r="W360" s="701">
        <v>0</v>
      </c>
      <c r="X360" s="701">
        <v>24</v>
      </c>
      <c r="Y360" s="701">
        <v>12</v>
      </c>
      <c r="Z360" s="701">
        <v>91.33</v>
      </c>
      <c r="AA360" s="458" t="s">
        <v>547</v>
      </c>
      <c r="AB360" s="459" t="s">
        <v>539</v>
      </c>
      <c r="AC360" s="459" t="s">
        <v>539</v>
      </c>
      <c r="AD360" s="458" t="s">
        <v>1031</v>
      </c>
      <c r="AE360" s="459">
        <v>1</v>
      </c>
      <c r="AF360" s="459">
        <v>1</v>
      </c>
      <c r="AG360" s="701" t="s">
        <v>375</v>
      </c>
      <c r="AH360" s="728"/>
      <c r="AI360" s="697" t="s">
        <v>1287</v>
      </c>
      <c r="AJ360" s="699"/>
    </row>
    <row r="361" spans="2:36" ht="24" hidden="1" customHeight="1">
      <c r="B361" s="702"/>
      <c r="C361" s="700"/>
      <c r="D361" s="700"/>
      <c r="E361" s="700"/>
      <c r="F361" s="700"/>
      <c r="G361" s="700"/>
      <c r="H361" s="700"/>
      <c r="I361" s="710"/>
      <c r="J361" s="710"/>
      <c r="K361" s="710"/>
      <c r="L361" s="710"/>
      <c r="M361" s="710"/>
      <c r="N361" s="710"/>
      <c r="O361" s="702"/>
      <c r="P361" s="702"/>
      <c r="Q361" s="710"/>
      <c r="R361" s="708"/>
      <c r="S361" s="722"/>
      <c r="T361" s="702"/>
      <c r="U361" s="702"/>
      <c r="V361" s="702"/>
      <c r="W361" s="702"/>
      <c r="X361" s="702"/>
      <c r="Y361" s="702"/>
      <c r="Z361" s="702"/>
      <c r="AA361" s="473" t="s">
        <v>1288</v>
      </c>
      <c r="AB361" s="474" t="s">
        <v>539</v>
      </c>
      <c r="AC361" s="474" t="s">
        <v>539</v>
      </c>
      <c r="AD361" s="473" t="s">
        <v>1289</v>
      </c>
      <c r="AE361" s="474" t="s">
        <v>539</v>
      </c>
      <c r="AF361" s="474" t="s">
        <v>539</v>
      </c>
      <c r="AG361" s="702"/>
      <c r="AH361" s="729"/>
      <c r="AI361" s="698"/>
      <c r="AJ361" s="700"/>
    </row>
    <row r="362" spans="2:36" ht="24" hidden="1" customHeight="1">
      <c r="B362" s="463">
        <v>283</v>
      </c>
      <c r="C362" s="464" t="s">
        <v>337</v>
      </c>
      <c r="D362" s="464"/>
      <c r="E362" s="464" t="s">
        <v>545</v>
      </c>
      <c r="F362" s="464"/>
      <c r="G362" s="464" t="s">
        <v>59</v>
      </c>
      <c r="H362" s="464" t="s">
        <v>1290</v>
      </c>
      <c r="I362" s="465" t="s">
        <v>537</v>
      </c>
      <c r="J362" s="465" t="s">
        <v>537</v>
      </c>
      <c r="K362" s="466">
        <v>16000</v>
      </c>
      <c r="L362" s="465" t="s">
        <v>537</v>
      </c>
      <c r="M362" s="465" t="s">
        <v>537</v>
      </c>
      <c r="N362" s="466">
        <v>1175</v>
      </c>
      <c r="O362" s="463" t="s">
        <v>537</v>
      </c>
      <c r="P362" s="463" t="s">
        <v>537</v>
      </c>
      <c r="Q362" s="468">
        <v>14825</v>
      </c>
      <c r="R362" s="470">
        <v>241487</v>
      </c>
      <c r="S362" s="463" t="s">
        <v>1291</v>
      </c>
      <c r="T362" s="463">
        <v>2</v>
      </c>
      <c r="U362" s="463">
        <v>1</v>
      </c>
      <c r="V362" s="463">
        <v>15</v>
      </c>
      <c r="W362" s="463">
        <v>2</v>
      </c>
      <c r="X362" s="463">
        <v>1</v>
      </c>
      <c r="Y362" s="463">
        <v>10</v>
      </c>
      <c r="Z362" s="463">
        <v>90</v>
      </c>
      <c r="AA362" s="472" t="s">
        <v>1292</v>
      </c>
      <c r="AB362" s="463" t="s">
        <v>539</v>
      </c>
      <c r="AC362" s="463" t="s">
        <v>539</v>
      </c>
      <c r="AD362" s="472" t="s">
        <v>1293</v>
      </c>
      <c r="AE362" s="463">
        <v>18</v>
      </c>
      <c r="AF362" s="463">
        <v>13</v>
      </c>
      <c r="AG362" s="463" t="s">
        <v>376</v>
      </c>
      <c r="AH362" s="476"/>
      <c r="AI362" s="472" t="s">
        <v>1294</v>
      </c>
      <c r="AJ362" s="472" t="s">
        <v>543</v>
      </c>
    </row>
    <row r="363" spans="2:36" ht="24" hidden="1" customHeight="1">
      <c r="B363" s="463">
        <v>284</v>
      </c>
      <c r="C363" s="464" t="s">
        <v>534</v>
      </c>
      <c r="D363" s="464"/>
      <c r="E363" s="464" t="s">
        <v>535</v>
      </c>
      <c r="F363" s="464"/>
      <c r="G363" s="464" t="s">
        <v>59</v>
      </c>
      <c r="H363" s="464" t="s">
        <v>668</v>
      </c>
      <c r="I363" s="465" t="s">
        <v>537</v>
      </c>
      <c r="J363" s="466">
        <v>25000</v>
      </c>
      <c r="K363" s="465" t="s">
        <v>537</v>
      </c>
      <c r="L363" s="465" t="s">
        <v>537</v>
      </c>
      <c r="M363" s="466">
        <v>21380</v>
      </c>
      <c r="N363" s="465" t="s">
        <v>537</v>
      </c>
      <c r="O363" s="463" t="s">
        <v>537</v>
      </c>
      <c r="P363" s="463" t="s">
        <v>537</v>
      </c>
      <c r="Q363" s="468">
        <v>3620</v>
      </c>
      <c r="R363" s="470">
        <v>241487</v>
      </c>
      <c r="S363" s="471">
        <v>22361</v>
      </c>
      <c r="T363" s="463">
        <v>70</v>
      </c>
      <c r="U363" s="463">
        <v>20</v>
      </c>
      <c r="V363" s="463">
        <v>0</v>
      </c>
      <c r="W363" s="463">
        <v>92</v>
      </c>
      <c r="X363" s="463">
        <v>56</v>
      </c>
      <c r="Y363" s="463">
        <v>0</v>
      </c>
      <c r="Z363" s="463">
        <v>85.74</v>
      </c>
      <c r="AA363" s="472" t="s">
        <v>547</v>
      </c>
      <c r="AB363" s="463" t="s">
        <v>539</v>
      </c>
      <c r="AC363" s="463" t="s">
        <v>539</v>
      </c>
      <c r="AD363" s="472" t="s">
        <v>548</v>
      </c>
      <c r="AE363" s="463">
        <v>80</v>
      </c>
      <c r="AF363" s="463">
        <v>87.18</v>
      </c>
      <c r="AG363" s="463" t="s">
        <v>375</v>
      </c>
      <c r="AH363" s="476"/>
      <c r="AI363" s="472" t="s">
        <v>1295</v>
      </c>
      <c r="AJ363" s="464"/>
    </row>
    <row r="364" spans="2:36" ht="24" hidden="1" customHeight="1">
      <c r="B364" s="463">
        <v>285</v>
      </c>
      <c r="C364" s="464" t="s">
        <v>534</v>
      </c>
      <c r="D364" s="464"/>
      <c r="E364" s="464" t="s">
        <v>535</v>
      </c>
      <c r="F364" s="464"/>
      <c r="G364" s="464" t="s">
        <v>59</v>
      </c>
      <c r="H364" s="464" t="s">
        <v>667</v>
      </c>
      <c r="I364" s="465" t="s">
        <v>537</v>
      </c>
      <c r="J364" s="466">
        <v>30000</v>
      </c>
      <c r="K364" s="465" t="s">
        <v>537</v>
      </c>
      <c r="L364" s="465" t="s">
        <v>537</v>
      </c>
      <c r="M364" s="466">
        <v>27473</v>
      </c>
      <c r="N364" s="465" t="s">
        <v>537</v>
      </c>
      <c r="O364" s="463" t="s">
        <v>537</v>
      </c>
      <c r="P364" s="463" t="s">
        <v>537</v>
      </c>
      <c r="Q364" s="468">
        <v>2527</v>
      </c>
      <c r="R364" s="470">
        <v>241579</v>
      </c>
      <c r="S364" s="471">
        <v>22453</v>
      </c>
      <c r="T364" s="463">
        <v>100</v>
      </c>
      <c r="U364" s="463">
        <v>50</v>
      </c>
      <c r="V364" s="463">
        <v>0</v>
      </c>
      <c r="W364" s="463">
        <v>184</v>
      </c>
      <c r="X364" s="463">
        <v>60</v>
      </c>
      <c r="Y364" s="464"/>
      <c r="Z364" s="463">
        <v>87.25</v>
      </c>
      <c r="AA364" s="472" t="s">
        <v>547</v>
      </c>
      <c r="AB364" s="463" t="s">
        <v>539</v>
      </c>
      <c r="AC364" s="463" t="s">
        <v>539</v>
      </c>
      <c r="AD364" s="472" t="s">
        <v>548</v>
      </c>
      <c r="AE364" s="463">
        <v>80</v>
      </c>
      <c r="AF364" s="463">
        <v>87.25</v>
      </c>
      <c r="AG364" s="463" t="s">
        <v>375</v>
      </c>
      <c r="AH364" s="476"/>
      <c r="AI364" s="472" t="s">
        <v>1295</v>
      </c>
      <c r="AJ364" s="464"/>
    </row>
    <row r="365" spans="2:36" ht="24" hidden="1" customHeight="1">
      <c r="B365" s="463">
        <v>286</v>
      </c>
      <c r="C365" s="464" t="s">
        <v>534</v>
      </c>
      <c r="D365" s="464"/>
      <c r="E365" s="464" t="s">
        <v>535</v>
      </c>
      <c r="F365" s="464"/>
      <c r="G365" s="464" t="s">
        <v>59</v>
      </c>
      <c r="H365" s="464" t="s">
        <v>669</v>
      </c>
      <c r="I365" s="465" t="s">
        <v>537</v>
      </c>
      <c r="J365" s="466">
        <v>150000</v>
      </c>
      <c r="K365" s="465" t="s">
        <v>537</v>
      </c>
      <c r="L365" s="465" t="s">
        <v>537</v>
      </c>
      <c r="M365" s="466">
        <v>141217</v>
      </c>
      <c r="N365" s="465" t="s">
        <v>537</v>
      </c>
      <c r="O365" s="463" t="s">
        <v>537</v>
      </c>
      <c r="P365" s="463" t="s">
        <v>537</v>
      </c>
      <c r="Q365" s="468">
        <v>8783</v>
      </c>
      <c r="R365" s="463" t="s">
        <v>727</v>
      </c>
      <c r="S365" s="463" t="s">
        <v>583</v>
      </c>
      <c r="T365" s="463">
        <v>95</v>
      </c>
      <c r="U365" s="463">
        <v>8</v>
      </c>
      <c r="V365" s="463">
        <v>0</v>
      </c>
      <c r="W365" s="463">
        <v>139</v>
      </c>
      <c r="X365" s="463">
        <v>6</v>
      </c>
      <c r="Y365" s="463">
        <v>0</v>
      </c>
      <c r="Z365" s="463">
        <v>87.77</v>
      </c>
      <c r="AA365" s="472" t="s">
        <v>1296</v>
      </c>
      <c r="AB365" s="463">
        <v>1</v>
      </c>
      <c r="AC365" s="463">
        <v>2</v>
      </c>
      <c r="AD365" s="472" t="s">
        <v>651</v>
      </c>
      <c r="AE365" s="463">
        <v>1</v>
      </c>
      <c r="AF365" s="463">
        <v>1</v>
      </c>
      <c r="AG365" s="463" t="s">
        <v>375</v>
      </c>
      <c r="AH365" s="476"/>
      <c r="AI365" s="472" t="s">
        <v>1297</v>
      </c>
      <c r="AJ365" s="464"/>
    </row>
    <row r="366" spans="2:36" ht="24" hidden="1" customHeight="1">
      <c r="B366" s="463">
        <v>287</v>
      </c>
      <c r="C366" s="464" t="s">
        <v>534</v>
      </c>
      <c r="D366" s="464"/>
      <c r="E366" s="464" t="s">
        <v>535</v>
      </c>
      <c r="F366" s="464"/>
      <c r="G366" s="464" t="s">
        <v>59</v>
      </c>
      <c r="H366" s="464" t="s">
        <v>1298</v>
      </c>
      <c r="I366" s="465" t="s">
        <v>537</v>
      </c>
      <c r="J366" s="466">
        <v>30000</v>
      </c>
      <c r="K366" s="465" t="s">
        <v>537</v>
      </c>
      <c r="L366" s="465" t="s">
        <v>537</v>
      </c>
      <c r="M366" s="466">
        <v>30000</v>
      </c>
      <c r="N366" s="465" t="s">
        <v>537</v>
      </c>
      <c r="O366" s="463" t="s">
        <v>537</v>
      </c>
      <c r="P366" s="463" t="s">
        <v>537</v>
      </c>
      <c r="Q366" s="465">
        <v>0</v>
      </c>
      <c r="R366" s="470">
        <v>241671</v>
      </c>
      <c r="S366" s="463" t="s">
        <v>1299</v>
      </c>
      <c r="T366" s="463">
        <v>10</v>
      </c>
      <c r="U366" s="463">
        <v>50</v>
      </c>
      <c r="V366" s="463">
        <v>0</v>
      </c>
      <c r="W366" s="463">
        <v>10</v>
      </c>
      <c r="X366" s="463">
        <v>50</v>
      </c>
      <c r="Y366" s="463">
        <v>0</v>
      </c>
      <c r="Z366" s="463">
        <v>93.4</v>
      </c>
      <c r="AA366" s="472" t="s">
        <v>1119</v>
      </c>
      <c r="AB366" s="463" t="s">
        <v>539</v>
      </c>
      <c r="AC366" s="463" t="s">
        <v>539</v>
      </c>
      <c r="AD366" s="472" t="s">
        <v>1016</v>
      </c>
      <c r="AE366" s="463">
        <v>80</v>
      </c>
      <c r="AF366" s="463">
        <v>88</v>
      </c>
      <c r="AG366" s="463" t="s">
        <v>375</v>
      </c>
      <c r="AH366" s="476"/>
      <c r="AI366" s="472" t="s">
        <v>1300</v>
      </c>
      <c r="AJ366" s="464"/>
    </row>
    <row r="367" spans="2:36" ht="24" hidden="1" customHeight="1">
      <c r="B367" s="463">
        <v>288</v>
      </c>
      <c r="C367" s="464" t="s">
        <v>534</v>
      </c>
      <c r="D367" s="464"/>
      <c r="E367" s="464" t="s">
        <v>535</v>
      </c>
      <c r="F367" s="464"/>
      <c r="G367" s="464" t="s">
        <v>59</v>
      </c>
      <c r="H367" s="464" t="s">
        <v>1301</v>
      </c>
      <c r="I367" s="465" t="s">
        <v>537</v>
      </c>
      <c r="J367" s="465" t="s">
        <v>537</v>
      </c>
      <c r="K367" s="466">
        <v>10260</v>
      </c>
      <c r="L367" s="465" t="s">
        <v>537</v>
      </c>
      <c r="M367" s="465" t="s">
        <v>537</v>
      </c>
      <c r="N367" s="466">
        <v>9686</v>
      </c>
      <c r="O367" s="463" t="s">
        <v>537</v>
      </c>
      <c r="P367" s="463" t="s">
        <v>537</v>
      </c>
      <c r="Q367" s="465">
        <v>574</v>
      </c>
      <c r="R367" s="470">
        <v>241671</v>
      </c>
      <c r="S367" s="471">
        <v>22538</v>
      </c>
      <c r="T367" s="463">
        <v>25</v>
      </c>
      <c r="U367" s="463">
        <v>4</v>
      </c>
      <c r="V367" s="463">
        <v>0</v>
      </c>
      <c r="W367" s="463">
        <v>25</v>
      </c>
      <c r="X367" s="463">
        <v>7</v>
      </c>
      <c r="Y367" s="463">
        <v>0</v>
      </c>
      <c r="Z367" s="463">
        <v>86</v>
      </c>
      <c r="AA367" s="472" t="s">
        <v>633</v>
      </c>
      <c r="AB367" s="463" t="s">
        <v>539</v>
      </c>
      <c r="AC367" s="463" t="s">
        <v>539</v>
      </c>
      <c r="AD367" s="472" t="s">
        <v>635</v>
      </c>
      <c r="AE367" s="463" t="s">
        <v>539</v>
      </c>
      <c r="AF367" s="463" t="s">
        <v>539</v>
      </c>
      <c r="AG367" s="463" t="s">
        <v>375</v>
      </c>
      <c r="AH367" s="476"/>
      <c r="AI367" s="472" t="s">
        <v>1302</v>
      </c>
      <c r="AJ367" s="472" t="s">
        <v>792</v>
      </c>
    </row>
    <row r="368" spans="2:36" ht="24" hidden="1" customHeight="1">
      <c r="B368" s="463">
        <v>289</v>
      </c>
      <c r="C368" s="464" t="s">
        <v>534</v>
      </c>
      <c r="D368" s="464"/>
      <c r="E368" s="464" t="s">
        <v>535</v>
      </c>
      <c r="F368" s="464"/>
      <c r="G368" s="464" t="s">
        <v>59</v>
      </c>
      <c r="H368" s="464" t="s">
        <v>1303</v>
      </c>
      <c r="I368" s="465" t="s">
        <v>537</v>
      </c>
      <c r="J368" s="465" t="s">
        <v>537</v>
      </c>
      <c r="K368" s="466">
        <v>60000</v>
      </c>
      <c r="L368" s="465" t="s">
        <v>537</v>
      </c>
      <c r="M368" s="465" t="s">
        <v>537</v>
      </c>
      <c r="N368" s="466">
        <v>43049</v>
      </c>
      <c r="O368" s="463" t="s">
        <v>537</v>
      </c>
      <c r="P368" s="463" t="s">
        <v>537</v>
      </c>
      <c r="Q368" s="468">
        <v>16951</v>
      </c>
      <c r="R368" s="463" t="s">
        <v>643</v>
      </c>
      <c r="S368" s="463" t="s">
        <v>1276</v>
      </c>
      <c r="T368" s="463">
        <v>0</v>
      </c>
      <c r="U368" s="463">
        <v>120</v>
      </c>
      <c r="V368" s="463">
        <v>0</v>
      </c>
      <c r="W368" s="464"/>
      <c r="X368" s="463">
        <v>179</v>
      </c>
      <c r="Y368" s="464"/>
      <c r="Z368" s="463">
        <v>95.9</v>
      </c>
      <c r="AA368" s="472" t="s">
        <v>1304</v>
      </c>
      <c r="AB368" s="463" t="s">
        <v>539</v>
      </c>
      <c r="AC368" s="463" t="s">
        <v>1040</v>
      </c>
      <c r="AD368" s="472" t="s">
        <v>565</v>
      </c>
      <c r="AE368" s="463">
        <v>80</v>
      </c>
      <c r="AF368" s="463">
        <v>95.9</v>
      </c>
      <c r="AG368" s="463" t="s">
        <v>375</v>
      </c>
      <c r="AH368" s="476"/>
      <c r="AI368" s="464"/>
      <c r="AJ368" s="472" t="s">
        <v>792</v>
      </c>
    </row>
    <row r="369" spans="2:36" ht="24" hidden="1" customHeight="1">
      <c r="B369" s="463">
        <v>290</v>
      </c>
      <c r="C369" s="464" t="s">
        <v>534</v>
      </c>
      <c r="D369" s="464"/>
      <c r="E369" s="464" t="s">
        <v>535</v>
      </c>
      <c r="F369" s="464"/>
      <c r="G369" s="464" t="s">
        <v>59</v>
      </c>
      <c r="H369" s="464" t="s">
        <v>1305</v>
      </c>
      <c r="I369" s="465" t="s">
        <v>537</v>
      </c>
      <c r="J369" s="465" t="s">
        <v>537</v>
      </c>
      <c r="K369" s="466">
        <v>21500</v>
      </c>
      <c r="L369" s="465" t="s">
        <v>537</v>
      </c>
      <c r="M369" s="465" t="s">
        <v>537</v>
      </c>
      <c r="N369" s="466">
        <v>13867</v>
      </c>
      <c r="O369" s="463" t="s">
        <v>537</v>
      </c>
      <c r="P369" s="463" t="s">
        <v>537</v>
      </c>
      <c r="Q369" s="468">
        <v>7633</v>
      </c>
      <c r="R369" s="470">
        <v>241579</v>
      </c>
      <c r="S369" s="471">
        <v>22451</v>
      </c>
      <c r="T369" s="463">
        <v>0</v>
      </c>
      <c r="U369" s="463">
        <v>27</v>
      </c>
      <c r="V369" s="463">
        <v>3</v>
      </c>
      <c r="W369" s="463">
        <v>0</v>
      </c>
      <c r="X369" s="463">
        <v>23</v>
      </c>
      <c r="Y369" s="463">
        <v>3</v>
      </c>
      <c r="Z369" s="463">
        <v>90.6</v>
      </c>
      <c r="AA369" s="472" t="s">
        <v>547</v>
      </c>
      <c r="AB369" s="463" t="s">
        <v>539</v>
      </c>
      <c r="AC369" s="463" t="s">
        <v>539</v>
      </c>
      <c r="AD369" s="472" t="s">
        <v>548</v>
      </c>
      <c r="AE369" s="463">
        <v>80</v>
      </c>
      <c r="AF369" s="463">
        <v>90.2</v>
      </c>
      <c r="AG369" s="463" t="s">
        <v>375</v>
      </c>
      <c r="AH369" s="476"/>
      <c r="AI369" s="472" t="s">
        <v>1306</v>
      </c>
      <c r="AJ369" s="472" t="s">
        <v>792</v>
      </c>
    </row>
    <row r="370" spans="2:36" ht="24" hidden="1" customHeight="1">
      <c r="B370" s="463">
        <v>291</v>
      </c>
      <c r="C370" s="464" t="s">
        <v>534</v>
      </c>
      <c r="D370" s="464"/>
      <c r="E370" s="464" t="s">
        <v>535</v>
      </c>
      <c r="F370" s="464"/>
      <c r="G370" s="464" t="s">
        <v>59</v>
      </c>
      <c r="H370" s="464" t="s">
        <v>1307</v>
      </c>
      <c r="I370" s="465" t="s">
        <v>537</v>
      </c>
      <c r="J370" s="465" t="s">
        <v>537</v>
      </c>
      <c r="K370" s="466">
        <v>21500</v>
      </c>
      <c r="L370" s="465" t="s">
        <v>537</v>
      </c>
      <c r="M370" s="465" t="s">
        <v>537</v>
      </c>
      <c r="N370" s="466">
        <v>14979</v>
      </c>
      <c r="O370" s="463" t="s">
        <v>537</v>
      </c>
      <c r="P370" s="463" t="s">
        <v>537</v>
      </c>
      <c r="Q370" s="468">
        <v>6521</v>
      </c>
      <c r="R370" s="470">
        <v>241579</v>
      </c>
      <c r="S370" s="471">
        <v>22459</v>
      </c>
      <c r="T370" s="463">
        <v>0</v>
      </c>
      <c r="U370" s="463">
        <v>27</v>
      </c>
      <c r="V370" s="463">
        <v>3</v>
      </c>
      <c r="W370" s="463">
        <v>0</v>
      </c>
      <c r="X370" s="463">
        <v>30</v>
      </c>
      <c r="Y370" s="463">
        <v>3</v>
      </c>
      <c r="Z370" s="463">
        <v>89.3</v>
      </c>
      <c r="AA370" s="472" t="s">
        <v>547</v>
      </c>
      <c r="AB370" s="463" t="s">
        <v>539</v>
      </c>
      <c r="AC370" s="463" t="s">
        <v>539</v>
      </c>
      <c r="AD370" s="472" t="s">
        <v>548</v>
      </c>
      <c r="AE370" s="463">
        <v>80</v>
      </c>
      <c r="AF370" s="463">
        <v>89.1</v>
      </c>
      <c r="AG370" s="463" t="s">
        <v>375</v>
      </c>
      <c r="AH370" s="476"/>
      <c r="AI370" s="472" t="s">
        <v>1306</v>
      </c>
      <c r="AJ370" s="472" t="s">
        <v>792</v>
      </c>
    </row>
    <row r="371" spans="2:36" ht="24" hidden="1" customHeight="1">
      <c r="B371" s="463">
        <v>292</v>
      </c>
      <c r="C371" s="464" t="s">
        <v>534</v>
      </c>
      <c r="D371" s="464"/>
      <c r="E371" s="464" t="s">
        <v>535</v>
      </c>
      <c r="F371" s="464"/>
      <c r="G371" s="464" t="s">
        <v>59</v>
      </c>
      <c r="H371" s="464" t="s">
        <v>1308</v>
      </c>
      <c r="I371" s="465" t="s">
        <v>537</v>
      </c>
      <c r="J371" s="465" t="s">
        <v>537</v>
      </c>
      <c r="K371" s="466">
        <v>21500</v>
      </c>
      <c r="L371" s="465" t="s">
        <v>537</v>
      </c>
      <c r="M371" s="465" t="s">
        <v>537</v>
      </c>
      <c r="N371" s="466">
        <v>14960</v>
      </c>
      <c r="O371" s="463" t="s">
        <v>537</v>
      </c>
      <c r="P371" s="463" t="s">
        <v>537</v>
      </c>
      <c r="Q371" s="468">
        <v>6540</v>
      </c>
      <c r="R371" s="470">
        <v>241579</v>
      </c>
      <c r="S371" s="471">
        <v>22444</v>
      </c>
      <c r="T371" s="463">
        <v>0</v>
      </c>
      <c r="U371" s="463">
        <v>27</v>
      </c>
      <c r="V371" s="463">
        <v>3</v>
      </c>
      <c r="W371" s="463">
        <v>0</v>
      </c>
      <c r="X371" s="463">
        <v>32</v>
      </c>
      <c r="Y371" s="463">
        <v>3</v>
      </c>
      <c r="Z371" s="463">
        <v>85.6</v>
      </c>
      <c r="AA371" s="472" t="s">
        <v>547</v>
      </c>
      <c r="AB371" s="463" t="s">
        <v>539</v>
      </c>
      <c r="AC371" s="463" t="s">
        <v>539</v>
      </c>
      <c r="AD371" s="472" t="s">
        <v>548</v>
      </c>
      <c r="AE371" s="463">
        <v>80</v>
      </c>
      <c r="AF371" s="463">
        <v>84.8</v>
      </c>
      <c r="AG371" s="463" t="s">
        <v>375</v>
      </c>
      <c r="AH371" s="476"/>
      <c r="AI371" s="472" t="s">
        <v>1306</v>
      </c>
      <c r="AJ371" s="472" t="s">
        <v>792</v>
      </c>
    </row>
    <row r="372" spans="2:36" ht="24" hidden="1" customHeight="1">
      <c r="B372" s="463">
        <v>293</v>
      </c>
      <c r="C372" s="464" t="s">
        <v>534</v>
      </c>
      <c r="D372" s="464"/>
      <c r="E372" s="464" t="s">
        <v>535</v>
      </c>
      <c r="F372" s="464"/>
      <c r="G372" s="464" t="s">
        <v>59</v>
      </c>
      <c r="H372" s="464" t="s">
        <v>1309</v>
      </c>
      <c r="I372" s="465" t="s">
        <v>537</v>
      </c>
      <c r="J372" s="465" t="s">
        <v>537</v>
      </c>
      <c r="K372" s="466">
        <v>21500</v>
      </c>
      <c r="L372" s="465" t="s">
        <v>537</v>
      </c>
      <c r="M372" s="465" t="s">
        <v>537</v>
      </c>
      <c r="N372" s="466">
        <v>16484</v>
      </c>
      <c r="O372" s="463" t="s">
        <v>537</v>
      </c>
      <c r="P372" s="463" t="s">
        <v>537</v>
      </c>
      <c r="Q372" s="468">
        <v>5016</v>
      </c>
      <c r="R372" s="470">
        <v>241579</v>
      </c>
      <c r="S372" s="471">
        <v>22446</v>
      </c>
      <c r="T372" s="463">
        <v>0</v>
      </c>
      <c r="U372" s="463">
        <v>27</v>
      </c>
      <c r="V372" s="463">
        <v>3</v>
      </c>
      <c r="W372" s="463">
        <v>0</v>
      </c>
      <c r="X372" s="463">
        <v>26</v>
      </c>
      <c r="Y372" s="463">
        <v>3</v>
      </c>
      <c r="Z372" s="463">
        <v>87.4</v>
      </c>
      <c r="AA372" s="472" t="s">
        <v>547</v>
      </c>
      <c r="AB372" s="463" t="s">
        <v>539</v>
      </c>
      <c r="AC372" s="463" t="s">
        <v>539</v>
      </c>
      <c r="AD372" s="472" t="s">
        <v>548</v>
      </c>
      <c r="AE372" s="463">
        <v>80</v>
      </c>
      <c r="AF372" s="463">
        <v>85.7</v>
      </c>
      <c r="AG372" s="463" t="s">
        <v>375</v>
      </c>
      <c r="AH372" s="476"/>
      <c r="AI372" s="472" t="s">
        <v>1306</v>
      </c>
      <c r="AJ372" s="472" t="s">
        <v>792</v>
      </c>
    </row>
    <row r="373" spans="2:36" ht="24" hidden="1" customHeight="1">
      <c r="B373" s="463">
        <v>294</v>
      </c>
      <c r="C373" s="464" t="s">
        <v>534</v>
      </c>
      <c r="D373" s="464"/>
      <c r="E373" s="464" t="s">
        <v>535</v>
      </c>
      <c r="F373" s="464"/>
      <c r="G373" s="464" t="s">
        <v>59</v>
      </c>
      <c r="H373" s="464" t="s">
        <v>1310</v>
      </c>
      <c r="I373" s="465" t="s">
        <v>537</v>
      </c>
      <c r="J373" s="465" t="s">
        <v>537</v>
      </c>
      <c r="K373" s="466">
        <v>21500</v>
      </c>
      <c r="L373" s="465" t="s">
        <v>537</v>
      </c>
      <c r="M373" s="465" t="s">
        <v>537</v>
      </c>
      <c r="N373" s="466">
        <v>14032</v>
      </c>
      <c r="O373" s="463" t="s">
        <v>537</v>
      </c>
      <c r="P373" s="463" t="s">
        <v>537</v>
      </c>
      <c r="Q373" s="468">
        <v>7468</v>
      </c>
      <c r="R373" s="470">
        <v>241579</v>
      </c>
      <c r="S373" s="471">
        <v>22445</v>
      </c>
      <c r="T373" s="463">
        <v>0</v>
      </c>
      <c r="U373" s="463">
        <v>27</v>
      </c>
      <c r="V373" s="463">
        <v>3</v>
      </c>
      <c r="W373" s="463">
        <v>0</v>
      </c>
      <c r="X373" s="463">
        <v>25</v>
      </c>
      <c r="Y373" s="463">
        <v>3</v>
      </c>
      <c r="Z373" s="463">
        <v>90.7</v>
      </c>
      <c r="AA373" s="472" t="s">
        <v>547</v>
      </c>
      <c r="AB373" s="463" t="s">
        <v>539</v>
      </c>
      <c r="AC373" s="463" t="s">
        <v>539</v>
      </c>
      <c r="AD373" s="472" t="s">
        <v>548</v>
      </c>
      <c r="AE373" s="463">
        <v>80</v>
      </c>
      <c r="AF373" s="463">
        <v>89.8</v>
      </c>
      <c r="AG373" s="463" t="s">
        <v>375</v>
      </c>
      <c r="AH373" s="476"/>
      <c r="AI373" s="472" t="s">
        <v>1306</v>
      </c>
      <c r="AJ373" s="472" t="s">
        <v>792</v>
      </c>
    </row>
    <row r="374" spans="2:36" ht="24" hidden="1" customHeight="1">
      <c r="B374" s="463">
        <v>295</v>
      </c>
      <c r="C374" s="464" t="s">
        <v>534</v>
      </c>
      <c r="D374" s="464"/>
      <c r="E374" s="464" t="s">
        <v>535</v>
      </c>
      <c r="F374" s="464"/>
      <c r="G374" s="464" t="s">
        <v>59</v>
      </c>
      <c r="H374" s="464" t="s">
        <v>1311</v>
      </c>
      <c r="I374" s="465" t="s">
        <v>537</v>
      </c>
      <c r="J374" s="465" t="s">
        <v>537</v>
      </c>
      <c r="K374" s="466">
        <v>21500</v>
      </c>
      <c r="L374" s="465" t="s">
        <v>537</v>
      </c>
      <c r="M374" s="465" t="s">
        <v>537</v>
      </c>
      <c r="N374" s="466">
        <v>14284</v>
      </c>
      <c r="O374" s="463" t="s">
        <v>537</v>
      </c>
      <c r="P374" s="463" t="s">
        <v>537</v>
      </c>
      <c r="Q374" s="468">
        <v>7216</v>
      </c>
      <c r="R374" s="470">
        <v>241579</v>
      </c>
      <c r="S374" s="471">
        <v>22447</v>
      </c>
      <c r="T374" s="463">
        <v>0</v>
      </c>
      <c r="U374" s="463">
        <v>27</v>
      </c>
      <c r="V374" s="463">
        <v>3</v>
      </c>
      <c r="W374" s="463">
        <v>0</v>
      </c>
      <c r="X374" s="463">
        <v>26</v>
      </c>
      <c r="Y374" s="463">
        <v>3</v>
      </c>
      <c r="Z374" s="463">
        <v>88.7</v>
      </c>
      <c r="AA374" s="472" t="s">
        <v>547</v>
      </c>
      <c r="AB374" s="463" t="s">
        <v>539</v>
      </c>
      <c r="AC374" s="463" t="s">
        <v>539</v>
      </c>
      <c r="AD374" s="472" t="s">
        <v>548</v>
      </c>
      <c r="AE374" s="463">
        <v>80</v>
      </c>
      <c r="AF374" s="463">
        <v>88.8</v>
      </c>
      <c r="AG374" s="463" t="s">
        <v>375</v>
      </c>
      <c r="AH374" s="476"/>
      <c r="AI374" s="472" t="s">
        <v>1306</v>
      </c>
      <c r="AJ374" s="472" t="s">
        <v>792</v>
      </c>
    </row>
    <row r="375" spans="2:36" ht="24" hidden="1" customHeight="1">
      <c r="B375" s="463">
        <v>296</v>
      </c>
      <c r="C375" s="464" t="s">
        <v>534</v>
      </c>
      <c r="D375" s="464"/>
      <c r="E375" s="464" t="s">
        <v>535</v>
      </c>
      <c r="F375" s="464"/>
      <c r="G375" s="464" t="s">
        <v>59</v>
      </c>
      <c r="H375" s="464" t="s">
        <v>1312</v>
      </c>
      <c r="I375" s="465" t="s">
        <v>537</v>
      </c>
      <c r="J375" s="465" t="s">
        <v>537</v>
      </c>
      <c r="K375" s="466">
        <v>25500</v>
      </c>
      <c r="L375" s="465" t="s">
        <v>537</v>
      </c>
      <c r="M375" s="465" t="s">
        <v>537</v>
      </c>
      <c r="N375" s="466">
        <v>21176</v>
      </c>
      <c r="O375" s="463" t="s">
        <v>537</v>
      </c>
      <c r="P375" s="463" t="s">
        <v>537</v>
      </c>
      <c r="Q375" s="468">
        <v>4324</v>
      </c>
      <c r="R375" s="470">
        <v>241609</v>
      </c>
      <c r="S375" s="471">
        <v>22480</v>
      </c>
      <c r="T375" s="463">
        <v>0</v>
      </c>
      <c r="U375" s="463">
        <v>35</v>
      </c>
      <c r="V375" s="463">
        <v>5</v>
      </c>
      <c r="W375" s="463">
        <v>0</v>
      </c>
      <c r="X375" s="463">
        <v>47</v>
      </c>
      <c r="Y375" s="463">
        <v>4</v>
      </c>
      <c r="Z375" s="463">
        <v>87.6</v>
      </c>
      <c r="AA375" s="472" t="s">
        <v>547</v>
      </c>
      <c r="AB375" s="463" t="s">
        <v>539</v>
      </c>
      <c r="AC375" s="463" t="s">
        <v>539</v>
      </c>
      <c r="AD375" s="472" t="s">
        <v>548</v>
      </c>
      <c r="AE375" s="463">
        <v>80</v>
      </c>
      <c r="AF375" s="463">
        <v>87.6</v>
      </c>
      <c r="AG375" s="463" t="s">
        <v>375</v>
      </c>
      <c r="AH375" s="476"/>
      <c r="AI375" s="472" t="s">
        <v>1306</v>
      </c>
      <c r="AJ375" s="472" t="s">
        <v>792</v>
      </c>
    </row>
    <row r="376" spans="2:36" ht="24" hidden="1" customHeight="1">
      <c r="B376" s="463">
        <v>297</v>
      </c>
      <c r="C376" s="464" t="s">
        <v>534</v>
      </c>
      <c r="D376" s="464"/>
      <c r="E376" s="464" t="s">
        <v>535</v>
      </c>
      <c r="F376" s="464"/>
      <c r="G376" s="464" t="s">
        <v>59</v>
      </c>
      <c r="H376" s="464" t="s">
        <v>1313</v>
      </c>
      <c r="I376" s="465" t="s">
        <v>537</v>
      </c>
      <c r="J376" s="466">
        <v>24500</v>
      </c>
      <c r="K376" s="465" t="s">
        <v>537</v>
      </c>
      <c r="L376" s="465" t="s">
        <v>537</v>
      </c>
      <c r="M376" s="466">
        <v>24500</v>
      </c>
      <c r="N376" s="465" t="s">
        <v>537</v>
      </c>
      <c r="O376" s="463" t="s">
        <v>537</v>
      </c>
      <c r="P376" s="463" t="s">
        <v>537</v>
      </c>
      <c r="Q376" s="465">
        <v>0</v>
      </c>
      <c r="R376" s="470">
        <v>241487</v>
      </c>
      <c r="S376" s="463" t="s">
        <v>1314</v>
      </c>
      <c r="T376" s="463">
        <v>4</v>
      </c>
      <c r="U376" s="463">
        <v>36</v>
      </c>
      <c r="V376" s="463">
        <v>0</v>
      </c>
      <c r="W376" s="463">
        <v>0</v>
      </c>
      <c r="X376" s="463">
        <v>10</v>
      </c>
      <c r="Y376" s="463">
        <v>0</v>
      </c>
      <c r="Z376" s="463">
        <v>86.52</v>
      </c>
      <c r="AA376" s="472" t="s">
        <v>1296</v>
      </c>
      <c r="AB376" s="463">
        <v>1</v>
      </c>
      <c r="AC376" s="463">
        <v>1</v>
      </c>
      <c r="AD376" s="472" t="s">
        <v>651</v>
      </c>
      <c r="AE376" s="463">
        <v>1</v>
      </c>
      <c r="AF376" s="463">
        <v>1</v>
      </c>
      <c r="AG376" s="463" t="s">
        <v>375</v>
      </c>
      <c r="AH376" s="476"/>
      <c r="AI376" s="472" t="s">
        <v>1260</v>
      </c>
      <c r="AJ376" s="464"/>
    </row>
    <row r="377" spans="2:36" ht="24" hidden="1" customHeight="1">
      <c r="B377" s="463">
        <v>298</v>
      </c>
      <c r="C377" s="464" t="s">
        <v>534</v>
      </c>
      <c r="D377" s="464"/>
      <c r="E377" s="464" t="s">
        <v>535</v>
      </c>
      <c r="F377" s="464"/>
      <c r="G377" s="464" t="s">
        <v>59</v>
      </c>
      <c r="H377" s="464" t="s">
        <v>1315</v>
      </c>
      <c r="I377" s="465" t="s">
        <v>537</v>
      </c>
      <c r="J377" s="466">
        <v>3500</v>
      </c>
      <c r="K377" s="465" t="s">
        <v>537</v>
      </c>
      <c r="L377" s="465" t="s">
        <v>537</v>
      </c>
      <c r="M377" s="465">
        <v>0</v>
      </c>
      <c r="N377" s="465" t="s">
        <v>537</v>
      </c>
      <c r="O377" s="463" t="s">
        <v>537</v>
      </c>
      <c r="P377" s="463" t="s">
        <v>537</v>
      </c>
      <c r="Q377" s="468">
        <v>3500</v>
      </c>
      <c r="R377" s="470">
        <v>241579</v>
      </c>
      <c r="S377" s="463" t="s">
        <v>1316</v>
      </c>
      <c r="T377" s="463">
        <v>4</v>
      </c>
      <c r="U377" s="463">
        <v>36</v>
      </c>
      <c r="V377" s="463">
        <v>0</v>
      </c>
      <c r="W377" s="463">
        <v>3</v>
      </c>
      <c r="X377" s="463">
        <v>21</v>
      </c>
      <c r="Y377" s="463">
        <v>0</v>
      </c>
      <c r="Z377" s="463">
        <v>85</v>
      </c>
      <c r="AA377" s="472" t="s">
        <v>1296</v>
      </c>
      <c r="AB377" s="463">
        <v>1</v>
      </c>
      <c r="AC377" s="463">
        <v>1</v>
      </c>
      <c r="AD377" s="472" t="s">
        <v>651</v>
      </c>
      <c r="AE377" s="463">
        <v>1</v>
      </c>
      <c r="AF377" s="463">
        <v>1</v>
      </c>
      <c r="AG377" s="463" t="s">
        <v>375</v>
      </c>
      <c r="AH377" s="476"/>
      <c r="AI377" s="472" t="s">
        <v>1260</v>
      </c>
      <c r="AJ377" s="464"/>
    </row>
    <row r="378" spans="2:36" ht="24" hidden="1" customHeight="1">
      <c r="B378" s="463">
        <v>299</v>
      </c>
      <c r="C378" s="464" t="s">
        <v>534</v>
      </c>
      <c r="D378" s="464"/>
      <c r="E378" s="464" t="s">
        <v>535</v>
      </c>
      <c r="F378" s="464"/>
      <c r="G378" s="464" t="s">
        <v>59</v>
      </c>
      <c r="H378" s="464" t="s">
        <v>1317</v>
      </c>
      <c r="I378" s="465" t="s">
        <v>537</v>
      </c>
      <c r="J378" s="465" t="s">
        <v>537</v>
      </c>
      <c r="K378" s="466">
        <v>50000</v>
      </c>
      <c r="L378" s="465" t="s">
        <v>537</v>
      </c>
      <c r="M378" s="465" t="s">
        <v>537</v>
      </c>
      <c r="N378" s="466">
        <v>50000</v>
      </c>
      <c r="O378" s="463" t="s">
        <v>537</v>
      </c>
      <c r="P378" s="463" t="s">
        <v>537</v>
      </c>
      <c r="Q378" s="465">
        <v>0</v>
      </c>
      <c r="R378" s="470">
        <v>241397</v>
      </c>
      <c r="S378" s="471">
        <v>22276</v>
      </c>
      <c r="T378" s="463">
        <v>0</v>
      </c>
      <c r="U378" s="463">
        <v>113</v>
      </c>
      <c r="V378" s="463">
        <v>0</v>
      </c>
      <c r="W378" s="463">
        <v>0</v>
      </c>
      <c r="X378" s="463">
        <v>109</v>
      </c>
      <c r="Y378" s="463">
        <v>0</v>
      </c>
      <c r="Z378" s="463">
        <v>98.5</v>
      </c>
      <c r="AA378" s="472" t="s">
        <v>1318</v>
      </c>
      <c r="AB378" s="463" t="s">
        <v>539</v>
      </c>
      <c r="AC378" s="463" t="s">
        <v>539</v>
      </c>
      <c r="AD378" s="472" t="s">
        <v>1319</v>
      </c>
      <c r="AE378" s="463">
        <v>80</v>
      </c>
      <c r="AF378" s="463">
        <v>98.5</v>
      </c>
      <c r="AG378" s="463" t="s">
        <v>375</v>
      </c>
      <c r="AH378" s="476"/>
      <c r="AI378" s="472" t="s">
        <v>1320</v>
      </c>
      <c r="AJ378" s="472" t="s">
        <v>543</v>
      </c>
    </row>
    <row r="379" spans="2:36" ht="24" hidden="1" customHeight="1">
      <c r="B379" s="463">
        <v>300</v>
      </c>
      <c r="C379" s="464" t="s">
        <v>534</v>
      </c>
      <c r="D379" s="464"/>
      <c r="E379" s="464" t="s">
        <v>535</v>
      </c>
      <c r="F379" s="464"/>
      <c r="G379" s="464" t="s">
        <v>59</v>
      </c>
      <c r="H379" s="464" t="s">
        <v>1321</v>
      </c>
      <c r="I379" s="466">
        <v>33700</v>
      </c>
      <c r="J379" s="465" t="s">
        <v>537</v>
      </c>
      <c r="K379" s="465" t="s">
        <v>537</v>
      </c>
      <c r="L379" s="466">
        <v>29818.799999999999</v>
      </c>
      <c r="M379" s="465" t="s">
        <v>537</v>
      </c>
      <c r="N379" s="465" t="s">
        <v>537</v>
      </c>
      <c r="O379" s="463" t="s">
        <v>537</v>
      </c>
      <c r="P379" s="463" t="s">
        <v>537</v>
      </c>
      <c r="Q379" s="468">
        <v>3881</v>
      </c>
      <c r="R379" s="463" t="s">
        <v>725</v>
      </c>
      <c r="S379" s="463" t="s">
        <v>1322</v>
      </c>
      <c r="T379" s="463">
        <v>5</v>
      </c>
      <c r="U379" s="463">
        <v>5</v>
      </c>
      <c r="V379" s="463">
        <v>0</v>
      </c>
      <c r="W379" s="463">
        <v>40</v>
      </c>
      <c r="X379" s="463">
        <v>34</v>
      </c>
      <c r="Y379" s="463">
        <v>0</v>
      </c>
      <c r="Z379" s="463">
        <v>85.16</v>
      </c>
      <c r="AA379" s="472" t="s">
        <v>1304</v>
      </c>
      <c r="AB379" s="463" t="s">
        <v>539</v>
      </c>
      <c r="AC379" s="463" t="s">
        <v>539</v>
      </c>
      <c r="AD379" s="472" t="s">
        <v>606</v>
      </c>
      <c r="AE379" s="463">
        <v>80</v>
      </c>
      <c r="AF379" s="463">
        <v>89.36</v>
      </c>
      <c r="AG379" s="463" t="s">
        <v>375</v>
      </c>
      <c r="AH379" s="476"/>
      <c r="AI379" s="472" t="s">
        <v>1323</v>
      </c>
      <c r="AJ379" s="464"/>
    </row>
    <row r="380" spans="2:36" ht="24" hidden="1" customHeight="1">
      <c r="B380" s="463">
        <v>301</v>
      </c>
      <c r="C380" s="464" t="s">
        <v>534</v>
      </c>
      <c r="D380" s="464"/>
      <c r="E380" s="464" t="s">
        <v>535</v>
      </c>
      <c r="F380" s="464"/>
      <c r="G380" s="464" t="s">
        <v>59</v>
      </c>
      <c r="H380" s="464" t="s">
        <v>1324</v>
      </c>
      <c r="I380" s="466">
        <v>58000</v>
      </c>
      <c r="J380" s="465" t="s">
        <v>537</v>
      </c>
      <c r="K380" s="465" t="s">
        <v>537</v>
      </c>
      <c r="L380" s="466">
        <v>58000</v>
      </c>
      <c r="M380" s="465" t="s">
        <v>537</v>
      </c>
      <c r="N380" s="465" t="s">
        <v>537</v>
      </c>
      <c r="O380" s="463" t="s">
        <v>537</v>
      </c>
      <c r="P380" s="463" t="s">
        <v>537</v>
      </c>
      <c r="Q380" s="465">
        <v>0</v>
      </c>
      <c r="R380" s="463" t="s">
        <v>805</v>
      </c>
      <c r="S380" s="463" t="s">
        <v>1325</v>
      </c>
      <c r="T380" s="463">
        <v>80</v>
      </c>
      <c r="U380" s="463">
        <v>0</v>
      </c>
      <c r="V380" s="463">
        <v>0</v>
      </c>
      <c r="W380" s="463">
        <v>83</v>
      </c>
      <c r="X380" s="463">
        <v>0</v>
      </c>
      <c r="Y380" s="463">
        <v>0</v>
      </c>
      <c r="Z380" s="463">
        <v>85.36</v>
      </c>
      <c r="AA380" s="472" t="s">
        <v>1304</v>
      </c>
      <c r="AB380" s="463" t="s">
        <v>539</v>
      </c>
      <c r="AC380" s="463" t="s">
        <v>539</v>
      </c>
      <c r="AD380" s="472" t="s">
        <v>565</v>
      </c>
      <c r="AE380" s="463">
        <v>80</v>
      </c>
      <c r="AF380" s="463">
        <v>83.59</v>
      </c>
      <c r="AG380" s="463" t="s">
        <v>375</v>
      </c>
      <c r="AH380" s="476"/>
      <c r="AI380" s="472" t="s">
        <v>1326</v>
      </c>
      <c r="AJ380" s="464"/>
    </row>
    <row r="381" spans="2:36" ht="24" hidden="1" customHeight="1">
      <c r="B381" s="463">
        <v>302</v>
      </c>
      <c r="C381" s="464" t="s">
        <v>534</v>
      </c>
      <c r="D381" s="464"/>
      <c r="E381" s="464" t="s">
        <v>535</v>
      </c>
      <c r="F381" s="464"/>
      <c r="G381" s="464" t="s">
        <v>59</v>
      </c>
      <c r="H381" s="464" t="s">
        <v>1327</v>
      </c>
      <c r="I381" s="466">
        <v>31530</v>
      </c>
      <c r="J381" s="465" t="s">
        <v>537</v>
      </c>
      <c r="K381" s="465" t="s">
        <v>537</v>
      </c>
      <c r="L381" s="466">
        <v>29130</v>
      </c>
      <c r="M381" s="465" t="s">
        <v>537</v>
      </c>
      <c r="N381" s="465" t="s">
        <v>537</v>
      </c>
      <c r="O381" s="463" t="s">
        <v>537</v>
      </c>
      <c r="P381" s="463" t="s">
        <v>537</v>
      </c>
      <c r="Q381" s="468">
        <v>2400</v>
      </c>
      <c r="R381" s="470">
        <v>241459</v>
      </c>
      <c r="S381" s="463" t="s">
        <v>1328</v>
      </c>
      <c r="T381" s="463">
        <v>5</v>
      </c>
      <c r="U381" s="463">
        <v>5</v>
      </c>
      <c r="V381" s="463">
        <v>0</v>
      </c>
      <c r="W381" s="463">
        <v>5</v>
      </c>
      <c r="X381" s="463">
        <v>9</v>
      </c>
      <c r="Y381" s="463">
        <v>0</v>
      </c>
      <c r="Z381" s="463">
        <v>87</v>
      </c>
      <c r="AA381" s="472" t="s">
        <v>1329</v>
      </c>
      <c r="AB381" s="463" t="s">
        <v>539</v>
      </c>
      <c r="AC381" s="463" t="s">
        <v>539</v>
      </c>
      <c r="AD381" s="472" t="s">
        <v>565</v>
      </c>
      <c r="AE381" s="463">
        <v>80</v>
      </c>
      <c r="AF381" s="463">
        <v>87.2</v>
      </c>
      <c r="AG381" s="463" t="s">
        <v>375</v>
      </c>
      <c r="AH381" s="476"/>
      <c r="AI381" s="472" t="s">
        <v>1330</v>
      </c>
      <c r="AJ381" s="464"/>
    </row>
    <row r="382" spans="2:36" ht="24" hidden="1" customHeight="1">
      <c r="B382" s="463">
        <v>303</v>
      </c>
      <c r="C382" s="464" t="s">
        <v>534</v>
      </c>
      <c r="D382" s="464"/>
      <c r="E382" s="464" t="s">
        <v>535</v>
      </c>
      <c r="F382" s="464"/>
      <c r="G382" s="464" t="s">
        <v>59</v>
      </c>
      <c r="H382" s="464" t="s">
        <v>1331</v>
      </c>
      <c r="I382" s="465" t="s">
        <v>537</v>
      </c>
      <c r="J382" s="465" t="s">
        <v>537</v>
      </c>
      <c r="K382" s="466">
        <v>120000</v>
      </c>
      <c r="L382" s="465" t="s">
        <v>537</v>
      </c>
      <c r="M382" s="465" t="s">
        <v>537</v>
      </c>
      <c r="N382" s="466">
        <v>66391</v>
      </c>
      <c r="O382" s="463" t="s">
        <v>537</v>
      </c>
      <c r="P382" s="463" t="s">
        <v>537</v>
      </c>
      <c r="Q382" s="468">
        <v>53609</v>
      </c>
      <c r="R382" s="470">
        <v>241428</v>
      </c>
      <c r="S382" s="463" t="s">
        <v>1332</v>
      </c>
      <c r="T382" s="463">
        <v>30</v>
      </c>
      <c r="U382" s="463">
        <v>6</v>
      </c>
      <c r="V382" s="463">
        <v>0</v>
      </c>
      <c r="W382" s="463">
        <v>28</v>
      </c>
      <c r="X382" s="463">
        <v>14</v>
      </c>
      <c r="Y382" s="463">
        <v>0</v>
      </c>
      <c r="Z382" s="463">
        <v>86</v>
      </c>
      <c r="AA382" s="472" t="s">
        <v>624</v>
      </c>
      <c r="AB382" s="463" t="s">
        <v>539</v>
      </c>
      <c r="AC382" s="463" t="s">
        <v>539</v>
      </c>
      <c r="AD382" s="472" t="s">
        <v>571</v>
      </c>
      <c r="AE382" s="463">
        <v>80</v>
      </c>
      <c r="AF382" s="463">
        <v>86</v>
      </c>
      <c r="AG382" s="463" t="s">
        <v>375</v>
      </c>
      <c r="AH382" s="476"/>
      <c r="AI382" s="472" t="s">
        <v>1300</v>
      </c>
      <c r="AJ382" s="472" t="s">
        <v>543</v>
      </c>
    </row>
    <row r="383" spans="2:36" ht="24" hidden="1" customHeight="1">
      <c r="B383" s="463">
        <v>304</v>
      </c>
      <c r="C383" s="464" t="s">
        <v>534</v>
      </c>
      <c r="D383" s="464"/>
      <c r="E383" s="464" t="s">
        <v>535</v>
      </c>
      <c r="F383" s="464"/>
      <c r="G383" s="464" t="s">
        <v>59</v>
      </c>
      <c r="H383" s="464" t="s">
        <v>1333</v>
      </c>
      <c r="I383" s="465" t="s">
        <v>537</v>
      </c>
      <c r="J383" s="465" t="s">
        <v>537</v>
      </c>
      <c r="K383" s="466">
        <v>200000</v>
      </c>
      <c r="L383" s="465" t="s">
        <v>537</v>
      </c>
      <c r="M383" s="465" t="s">
        <v>537</v>
      </c>
      <c r="N383" s="466">
        <v>190888.5</v>
      </c>
      <c r="O383" s="463" t="s">
        <v>537</v>
      </c>
      <c r="P383" s="463" t="s">
        <v>537</v>
      </c>
      <c r="Q383" s="468">
        <v>9112</v>
      </c>
      <c r="R383" s="470">
        <v>241459</v>
      </c>
      <c r="S383" s="463" t="s">
        <v>870</v>
      </c>
      <c r="T383" s="463">
        <v>0</v>
      </c>
      <c r="U383" s="463">
        <v>0</v>
      </c>
      <c r="V383" s="463">
        <v>0</v>
      </c>
      <c r="W383" s="463">
        <v>255</v>
      </c>
      <c r="X383" s="463">
        <v>56</v>
      </c>
      <c r="Y383" s="463">
        <v>233</v>
      </c>
      <c r="Z383" s="463">
        <v>83.81</v>
      </c>
      <c r="AA383" s="472" t="s">
        <v>1181</v>
      </c>
      <c r="AB383" s="463" t="s">
        <v>539</v>
      </c>
      <c r="AC383" s="463" t="s">
        <v>539</v>
      </c>
      <c r="AD383" s="472" t="s">
        <v>1334</v>
      </c>
      <c r="AE383" s="463">
        <v>80</v>
      </c>
      <c r="AF383" s="463">
        <v>84.12</v>
      </c>
      <c r="AG383" s="463" t="s">
        <v>375</v>
      </c>
      <c r="AH383" s="476"/>
      <c r="AI383" s="472" t="s">
        <v>1335</v>
      </c>
      <c r="AJ383" s="472" t="s">
        <v>543</v>
      </c>
    </row>
    <row r="384" spans="2:36" ht="24" hidden="1" customHeight="1">
      <c r="B384" s="463">
        <v>305</v>
      </c>
      <c r="C384" s="464" t="s">
        <v>534</v>
      </c>
      <c r="D384" s="464"/>
      <c r="E384" s="464" t="s">
        <v>535</v>
      </c>
      <c r="F384" s="464"/>
      <c r="G384" s="464" t="s">
        <v>59</v>
      </c>
      <c r="H384" s="464" t="s">
        <v>1336</v>
      </c>
      <c r="I384" s="466">
        <v>8940</v>
      </c>
      <c r="J384" s="465" t="s">
        <v>537</v>
      </c>
      <c r="K384" s="465" t="s">
        <v>537</v>
      </c>
      <c r="L384" s="466">
        <v>8460</v>
      </c>
      <c r="M384" s="465" t="s">
        <v>537</v>
      </c>
      <c r="N384" s="465" t="s">
        <v>537</v>
      </c>
      <c r="O384" s="463" t="s">
        <v>537</v>
      </c>
      <c r="P384" s="463" t="s">
        <v>537</v>
      </c>
      <c r="Q384" s="465">
        <v>480</v>
      </c>
      <c r="R384" s="470">
        <v>241487</v>
      </c>
      <c r="S384" s="463" t="s">
        <v>1337</v>
      </c>
      <c r="T384" s="463">
        <v>60</v>
      </c>
      <c r="U384" s="463">
        <v>5</v>
      </c>
      <c r="V384" s="463">
        <v>0</v>
      </c>
      <c r="W384" s="463">
        <v>0</v>
      </c>
      <c r="X384" s="463">
        <v>10</v>
      </c>
      <c r="Y384" s="463">
        <v>60</v>
      </c>
      <c r="Z384" s="463">
        <v>93.6</v>
      </c>
      <c r="AA384" s="472" t="s">
        <v>1304</v>
      </c>
      <c r="AB384" s="463" t="s">
        <v>539</v>
      </c>
      <c r="AC384" s="463" t="s">
        <v>539</v>
      </c>
      <c r="AD384" s="472" t="s">
        <v>565</v>
      </c>
      <c r="AE384" s="463">
        <v>80</v>
      </c>
      <c r="AF384" s="463">
        <v>93</v>
      </c>
      <c r="AG384" s="463" t="s">
        <v>375</v>
      </c>
      <c r="AH384" s="476"/>
      <c r="AI384" s="472" t="s">
        <v>1326</v>
      </c>
      <c r="AJ384" s="464"/>
    </row>
    <row r="385" spans="2:36" ht="24" hidden="1" customHeight="1">
      <c r="B385" s="463">
        <v>306</v>
      </c>
      <c r="C385" s="464" t="s">
        <v>534</v>
      </c>
      <c r="D385" s="464"/>
      <c r="E385" s="464" t="s">
        <v>535</v>
      </c>
      <c r="F385" s="464"/>
      <c r="G385" s="464" t="s">
        <v>59</v>
      </c>
      <c r="H385" s="464" t="s">
        <v>1338</v>
      </c>
      <c r="I385" s="466">
        <v>5000</v>
      </c>
      <c r="J385" s="465" t="s">
        <v>537</v>
      </c>
      <c r="K385" s="465" t="s">
        <v>537</v>
      </c>
      <c r="L385" s="466">
        <v>5000</v>
      </c>
      <c r="M385" s="465" t="s">
        <v>537</v>
      </c>
      <c r="N385" s="465" t="s">
        <v>537</v>
      </c>
      <c r="O385" s="463" t="s">
        <v>537</v>
      </c>
      <c r="P385" s="463" t="s">
        <v>537</v>
      </c>
      <c r="Q385" s="465">
        <v>0</v>
      </c>
      <c r="R385" s="470">
        <v>241397</v>
      </c>
      <c r="S385" s="471">
        <v>22277</v>
      </c>
      <c r="T385" s="463">
        <v>20</v>
      </c>
      <c r="U385" s="463">
        <v>5</v>
      </c>
      <c r="V385" s="463">
        <v>0</v>
      </c>
      <c r="W385" s="463">
        <v>177</v>
      </c>
      <c r="X385" s="463">
        <v>30</v>
      </c>
      <c r="Y385" s="463">
        <v>0</v>
      </c>
      <c r="Z385" s="463">
        <v>90.24</v>
      </c>
      <c r="AA385" s="472" t="s">
        <v>1304</v>
      </c>
      <c r="AB385" s="463" t="s">
        <v>539</v>
      </c>
      <c r="AC385" s="463" t="s">
        <v>539</v>
      </c>
      <c r="AD385" s="472" t="s">
        <v>565</v>
      </c>
      <c r="AE385" s="463">
        <v>80</v>
      </c>
      <c r="AF385" s="463">
        <v>88.92</v>
      </c>
      <c r="AG385" s="463" t="s">
        <v>375</v>
      </c>
      <c r="AH385" s="476"/>
      <c r="AI385" s="472" t="s">
        <v>1339</v>
      </c>
      <c r="AJ385" s="464"/>
    </row>
    <row r="386" spans="2:36" ht="24" hidden="1" customHeight="1">
      <c r="B386" s="463">
        <v>307</v>
      </c>
      <c r="C386" s="464" t="s">
        <v>534</v>
      </c>
      <c r="D386" s="464"/>
      <c r="E386" s="464" t="s">
        <v>535</v>
      </c>
      <c r="F386" s="464"/>
      <c r="G386" s="464" t="s">
        <v>59</v>
      </c>
      <c r="H386" s="464" t="s">
        <v>1340</v>
      </c>
      <c r="I386" s="466">
        <v>14530</v>
      </c>
      <c r="J386" s="465" t="s">
        <v>537</v>
      </c>
      <c r="K386" s="465" t="s">
        <v>537</v>
      </c>
      <c r="L386" s="466">
        <v>14530</v>
      </c>
      <c r="M386" s="465" t="s">
        <v>537</v>
      </c>
      <c r="N386" s="465" t="s">
        <v>537</v>
      </c>
      <c r="O386" s="463" t="s">
        <v>537</v>
      </c>
      <c r="P386" s="463" t="s">
        <v>537</v>
      </c>
      <c r="Q386" s="465">
        <v>0</v>
      </c>
      <c r="R386" s="470">
        <v>241609</v>
      </c>
      <c r="S386" s="471">
        <v>22485</v>
      </c>
      <c r="T386" s="463">
        <v>25</v>
      </c>
      <c r="U386" s="463">
        <v>5</v>
      </c>
      <c r="V386" s="463">
        <v>0</v>
      </c>
      <c r="W386" s="463">
        <v>49</v>
      </c>
      <c r="X386" s="463">
        <v>10</v>
      </c>
      <c r="Y386" s="463">
        <v>0</v>
      </c>
      <c r="Z386" s="463">
        <v>91.9</v>
      </c>
      <c r="AA386" s="472" t="s">
        <v>1304</v>
      </c>
      <c r="AB386" s="463" t="s">
        <v>539</v>
      </c>
      <c r="AC386" s="463" t="s">
        <v>539</v>
      </c>
      <c r="AD386" s="472" t="s">
        <v>565</v>
      </c>
      <c r="AE386" s="463">
        <v>80</v>
      </c>
      <c r="AF386" s="463">
        <v>89.16</v>
      </c>
      <c r="AG386" s="463" t="s">
        <v>375</v>
      </c>
      <c r="AH386" s="476"/>
      <c r="AI386" s="472" t="s">
        <v>1326</v>
      </c>
      <c r="AJ386" s="464"/>
    </row>
    <row r="387" spans="2:36" ht="24" hidden="1" customHeight="1">
      <c r="B387" s="463">
        <v>308</v>
      </c>
      <c r="C387" s="464" t="s">
        <v>534</v>
      </c>
      <c r="D387" s="464"/>
      <c r="E387" s="464" t="s">
        <v>535</v>
      </c>
      <c r="F387" s="464"/>
      <c r="G387" s="464" t="s">
        <v>59</v>
      </c>
      <c r="H387" s="464" t="s">
        <v>1341</v>
      </c>
      <c r="I387" s="466">
        <v>32300</v>
      </c>
      <c r="J387" s="465" t="s">
        <v>537</v>
      </c>
      <c r="K387" s="465" t="s">
        <v>537</v>
      </c>
      <c r="L387" s="466">
        <v>22570.5</v>
      </c>
      <c r="M387" s="465" t="s">
        <v>537</v>
      </c>
      <c r="N387" s="465" t="s">
        <v>537</v>
      </c>
      <c r="O387" s="463" t="s">
        <v>537</v>
      </c>
      <c r="P387" s="463" t="s">
        <v>537</v>
      </c>
      <c r="Q387" s="468">
        <v>9730</v>
      </c>
      <c r="R387" s="463" t="s">
        <v>1342</v>
      </c>
      <c r="S387" s="471">
        <v>22360</v>
      </c>
      <c r="T387" s="463">
        <v>85</v>
      </c>
      <c r="U387" s="463">
        <v>15</v>
      </c>
      <c r="V387" s="463">
        <v>0</v>
      </c>
      <c r="W387" s="463">
        <v>85</v>
      </c>
      <c r="X387" s="463">
        <v>26</v>
      </c>
      <c r="Y387" s="463">
        <v>2</v>
      </c>
      <c r="Z387" s="463">
        <v>84.1</v>
      </c>
      <c r="AA387" s="472" t="s">
        <v>1304</v>
      </c>
      <c r="AB387" s="463" t="s">
        <v>539</v>
      </c>
      <c r="AC387" s="463" t="s">
        <v>539</v>
      </c>
      <c r="AD387" s="472" t="s">
        <v>565</v>
      </c>
      <c r="AE387" s="463">
        <v>80</v>
      </c>
      <c r="AF387" s="463">
        <v>86.64</v>
      </c>
      <c r="AG387" s="463" t="s">
        <v>375</v>
      </c>
      <c r="AH387" s="476"/>
      <c r="AI387" s="472" t="s">
        <v>1326</v>
      </c>
      <c r="AJ387" s="464"/>
    </row>
    <row r="388" spans="2:36" ht="24" hidden="1" customHeight="1">
      <c r="B388" s="463">
        <v>309</v>
      </c>
      <c r="C388" s="464" t="s">
        <v>534</v>
      </c>
      <c r="D388" s="464"/>
      <c r="E388" s="464" t="s">
        <v>535</v>
      </c>
      <c r="F388" s="464"/>
      <c r="G388" s="464" t="s">
        <v>59</v>
      </c>
      <c r="H388" s="464" t="s">
        <v>1343</v>
      </c>
      <c r="I388" s="466">
        <v>30000</v>
      </c>
      <c r="J388" s="465" t="s">
        <v>537</v>
      </c>
      <c r="K388" s="465" t="s">
        <v>537</v>
      </c>
      <c r="L388" s="466">
        <v>30000</v>
      </c>
      <c r="M388" s="465" t="s">
        <v>537</v>
      </c>
      <c r="N388" s="465" t="s">
        <v>537</v>
      </c>
      <c r="O388" s="463" t="s">
        <v>537</v>
      </c>
      <c r="P388" s="463" t="s">
        <v>537</v>
      </c>
      <c r="Q388" s="465">
        <v>0</v>
      </c>
      <c r="R388" s="463" t="s">
        <v>1342</v>
      </c>
      <c r="S388" s="463" t="s">
        <v>732</v>
      </c>
      <c r="T388" s="463">
        <v>85</v>
      </c>
      <c r="U388" s="463">
        <v>15</v>
      </c>
      <c r="V388" s="463">
        <v>0</v>
      </c>
      <c r="W388" s="463">
        <v>85</v>
      </c>
      <c r="X388" s="463">
        <v>25</v>
      </c>
      <c r="Y388" s="463">
        <v>0</v>
      </c>
      <c r="Z388" s="463">
        <v>82.12</v>
      </c>
      <c r="AA388" s="472" t="s">
        <v>1304</v>
      </c>
      <c r="AB388" s="463" t="s">
        <v>539</v>
      </c>
      <c r="AC388" s="463" t="s">
        <v>539</v>
      </c>
      <c r="AD388" s="472" t="s">
        <v>565</v>
      </c>
      <c r="AE388" s="463">
        <v>80</v>
      </c>
      <c r="AF388" s="463">
        <v>83.84</v>
      </c>
      <c r="AG388" s="463" t="s">
        <v>375</v>
      </c>
      <c r="AH388" s="476"/>
      <c r="AI388" s="472" t="s">
        <v>1326</v>
      </c>
      <c r="AJ388" s="464"/>
    </row>
    <row r="389" spans="2:36" ht="24" hidden="1" customHeight="1">
      <c r="B389" s="463">
        <v>310</v>
      </c>
      <c r="C389" s="464" t="s">
        <v>534</v>
      </c>
      <c r="D389" s="464"/>
      <c r="E389" s="464" t="s">
        <v>535</v>
      </c>
      <c r="F389" s="464"/>
      <c r="G389" s="464" t="s">
        <v>59</v>
      </c>
      <c r="H389" s="464" t="s">
        <v>1344</v>
      </c>
      <c r="I389" s="466">
        <v>286000</v>
      </c>
      <c r="J389" s="465" t="s">
        <v>537</v>
      </c>
      <c r="K389" s="465" t="s">
        <v>537</v>
      </c>
      <c r="L389" s="466">
        <v>283750</v>
      </c>
      <c r="M389" s="465" t="s">
        <v>537</v>
      </c>
      <c r="N389" s="465" t="s">
        <v>537</v>
      </c>
      <c r="O389" s="463" t="s">
        <v>537</v>
      </c>
      <c r="P389" s="463" t="s">
        <v>537</v>
      </c>
      <c r="Q389" s="468">
        <v>2250</v>
      </c>
      <c r="R389" s="463" t="s">
        <v>1022</v>
      </c>
      <c r="S389" s="463" t="s">
        <v>1118</v>
      </c>
      <c r="T389" s="463">
        <v>0</v>
      </c>
      <c r="U389" s="463">
        <v>1</v>
      </c>
      <c r="V389" s="463">
        <v>0</v>
      </c>
      <c r="W389" s="463">
        <v>0</v>
      </c>
      <c r="X389" s="463">
        <v>1</v>
      </c>
      <c r="Y389" s="463">
        <v>0</v>
      </c>
      <c r="Z389" s="463">
        <v>85</v>
      </c>
      <c r="AA389" s="472" t="s">
        <v>1304</v>
      </c>
      <c r="AB389" s="463" t="s">
        <v>539</v>
      </c>
      <c r="AC389" s="463" t="s">
        <v>539</v>
      </c>
      <c r="AD389" s="472" t="s">
        <v>565</v>
      </c>
      <c r="AE389" s="463">
        <v>80</v>
      </c>
      <c r="AF389" s="463">
        <v>85</v>
      </c>
      <c r="AG389" s="463" t="s">
        <v>375</v>
      </c>
      <c r="AH389" s="476"/>
      <c r="AI389" s="472" t="s">
        <v>1326</v>
      </c>
      <c r="AJ389" s="464"/>
    </row>
    <row r="390" spans="2:36" ht="24" hidden="1" customHeight="1">
      <c r="B390" s="463">
        <v>311</v>
      </c>
      <c r="C390" s="464" t="s">
        <v>534</v>
      </c>
      <c r="D390" s="464"/>
      <c r="E390" s="464" t="s">
        <v>535</v>
      </c>
      <c r="F390" s="464"/>
      <c r="G390" s="464" t="s">
        <v>59</v>
      </c>
      <c r="H390" s="464" t="s">
        <v>1345</v>
      </c>
      <c r="I390" s="466">
        <v>95000</v>
      </c>
      <c r="J390" s="465" t="s">
        <v>537</v>
      </c>
      <c r="K390" s="465" t="s">
        <v>537</v>
      </c>
      <c r="L390" s="466">
        <v>85649</v>
      </c>
      <c r="M390" s="465" t="s">
        <v>537</v>
      </c>
      <c r="N390" s="465" t="s">
        <v>537</v>
      </c>
      <c r="O390" s="463" t="s">
        <v>537</v>
      </c>
      <c r="P390" s="463" t="s">
        <v>537</v>
      </c>
      <c r="Q390" s="468">
        <v>9351</v>
      </c>
      <c r="R390" s="463" t="s">
        <v>1346</v>
      </c>
      <c r="S390" s="463" t="s">
        <v>1347</v>
      </c>
      <c r="T390" s="463">
        <v>5</v>
      </c>
      <c r="U390" s="463">
        <v>20</v>
      </c>
      <c r="V390" s="463">
        <v>100</v>
      </c>
      <c r="W390" s="463">
        <v>5</v>
      </c>
      <c r="X390" s="463">
        <v>20</v>
      </c>
      <c r="Y390" s="463">
        <v>100</v>
      </c>
      <c r="Z390" s="463">
        <v>85.74</v>
      </c>
      <c r="AA390" s="472" t="s">
        <v>1119</v>
      </c>
      <c r="AB390" s="463" t="s">
        <v>539</v>
      </c>
      <c r="AC390" s="463" t="s">
        <v>539</v>
      </c>
      <c r="AD390" s="472" t="s">
        <v>565</v>
      </c>
      <c r="AE390" s="463">
        <v>80</v>
      </c>
      <c r="AF390" s="463">
        <v>85.74</v>
      </c>
      <c r="AG390" s="463" t="s">
        <v>375</v>
      </c>
      <c r="AH390" s="476"/>
      <c r="AI390" s="472" t="s">
        <v>1348</v>
      </c>
      <c r="AJ390" s="464"/>
    </row>
    <row r="391" spans="2:36" ht="24" hidden="1" customHeight="1">
      <c r="B391" s="463">
        <v>312</v>
      </c>
      <c r="C391" s="464" t="s">
        <v>534</v>
      </c>
      <c r="D391" s="464"/>
      <c r="E391" s="464" t="s">
        <v>535</v>
      </c>
      <c r="F391" s="464"/>
      <c r="G391" s="464" t="s">
        <v>59</v>
      </c>
      <c r="H391" s="464" t="s">
        <v>1349</v>
      </c>
      <c r="I391" s="466">
        <v>25000</v>
      </c>
      <c r="J391" s="465" t="s">
        <v>537</v>
      </c>
      <c r="K391" s="465" t="s">
        <v>537</v>
      </c>
      <c r="L391" s="466">
        <v>5500</v>
      </c>
      <c r="M391" s="465" t="s">
        <v>537</v>
      </c>
      <c r="N391" s="465" t="s">
        <v>537</v>
      </c>
      <c r="O391" s="463" t="s">
        <v>537</v>
      </c>
      <c r="P391" s="463" t="s">
        <v>537</v>
      </c>
      <c r="Q391" s="468">
        <v>19500</v>
      </c>
      <c r="R391" s="463" t="s">
        <v>1346</v>
      </c>
      <c r="S391" s="463" t="s">
        <v>1350</v>
      </c>
      <c r="T391" s="463">
        <v>5</v>
      </c>
      <c r="U391" s="463">
        <v>20</v>
      </c>
      <c r="V391" s="463">
        <v>100</v>
      </c>
      <c r="W391" s="463">
        <v>0</v>
      </c>
      <c r="X391" s="463">
        <v>10</v>
      </c>
      <c r="Y391" s="463">
        <v>80</v>
      </c>
      <c r="Z391" s="463">
        <v>86.5</v>
      </c>
      <c r="AA391" s="472" t="s">
        <v>1119</v>
      </c>
      <c r="AB391" s="463" t="s">
        <v>539</v>
      </c>
      <c r="AC391" s="463" t="s">
        <v>539</v>
      </c>
      <c r="AD391" s="472" t="s">
        <v>565</v>
      </c>
      <c r="AE391" s="463">
        <v>80</v>
      </c>
      <c r="AF391" s="463">
        <v>86.5</v>
      </c>
      <c r="AG391" s="463" t="s">
        <v>375</v>
      </c>
      <c r="AH391" s="476"/>
      <c r="AI391" s="472" t="s">
        <v>1348</v>
      </c>
      <c r="AJ391" s="464"/>
    </row>
    <row r="392" spans="2:36" ht="24" hidden="1" customHeight="1">
      <c r="B392" s="463">
        <v>313</v>
      </c>
      <c r="C392" s="464" t="s">
        <v>534</v>
      </c>
      <c r="D392" s="464"/>
      <c r="E392" s="464" t="s">
        <v>535</v>
      </c>
      <c r="F392" s="464"/>
      <c r="G392" s="464" t="s">
        <v>59</v>
      </c>
      <c r="H392" s="464" t="s">
        <v>1351</v>
      </c>
      <c r="I392" s="466">
        <v>73500</v>
      </c>
      <c r="J392" s="465" t="s">
        <v>537</v>
      </c>
      <c r="K392" s="465" t="s">
        <v>537</v>
      </c>
      <c r="L392" s="466">
        <v>72156</v>
      </c>
      <c r="M392" s="465" t="s">
        <v>537</v>
      </c>
      <c r="N392" s="465" t="s">
        <v>537</v>
      </c>
      <c r="O392" s="463" t="s">
        <v>537</v>
      </c>
      <c r="P392" s="463" t="s">
        <v>537</v>
      </c>
      <c r="Q392" s="468">
        <v>1344</v>
      </c>
      <c r="R392" s="463" t="s">
        <v>552</v>
      </c>
      <c r="S392" s="463" t="s">
        <v>1352</v>
      </c>
      <c r="T392" s="463">
        <v>10</v>
      </c>
      <c r="U392" s="463">
        <v>10</v>
      </c>
      <c r="V392" s="463">
        <v>80</v>
      </c>
      <c r="W392" s="463">
        <v>10</v>
      </c>
      <c r="X392" s="463">
        <v>10</v>
      </c>
      <c r="Y392" s="463">
        <v>80</v>
      </c>
      <c r="Z392" s="463">
        <v>85</v>
      </c>
      <c r="AA392" s="472" t="s">
        <v>1119</v>
      </c>
      <c r="AB392" s="463" t="s">
        <v>539</v>
      </c>
      <c r="AC392" s="463" t="s">
        <v>539</v>
      </c>
      <c r="AD392" s="472" t="s">
        <v>1353</v>
      </c>
      <c r="AE392" s="463">
        <v>80</v>
      </c>
      <c r="AF392" s="463">
        <v>80</v>
      </c>
      <c r="AG392" s="463" t="s">
        <v>375</v>
      </c>
      <c r="AH392" s="476"/>
      <c r="AI392" s="472" t="s">
        <v>1354</v>
      </c>
      <c r="AJ392" s="464"/>
    </row>
    <row r="393" spans="2:36" ht="24" hidden="1" customHeight="1">
      <c r="B393" s="463">
        <v>314</v>
      </c>
      <c r="C393" s="464" t="s">
        <v>534</v>
      </c>
      <c r="D393" s="464"/>
      <c r="E393" s="464" t="s">
        <v>535</v>
      </c>
      <c r="F393" s="464"/>
      <c r="G393" s="464" t="s">
        <v>59</v>
      </c>
      <c r="H393" s="464" t="s">
        <v>1355</v>
      </c>
      <c r="I393" s="466">
        <v>26500</v>
      </c>
      <c r="J393" s="465" t="s">
        <v>537</v>
      </c>
      <c r="K393" s="465" t="s">
        <v>537</v>
      </c>
      <c r="L393" s="465">
        <v>0</v>
      </c>
      <c r="M393" s="465" t="s">
        <v>537</v>
      </c>
      <c r="N393" s="465" t="s">
        <v>537</v>
      </c>
      <c r="O393" s="463" t="s">
        <v>537</v>
      </c>
      <c r="P393" s="463" t="s">
        <v>537</v>
      </c>
      <c r="Q393" s="468">
        <v>26500</v>
      </c>
      <c r="R393" s="463" t="s">
        <v>552</v>
      </c>
      <c r="S393" s="463" t="s">
        <v>1352</v>
      </c>
      <c r="T393" s="463">
        <v>10</v>
      </c>
      <c r="U393" s="463">
        <v>10</v>
      </c>
      <c r="V393" s="463">
        <v>80</v>
      </c>
      <c r="W393" s="463">
        <v>10</v>
      </c>
      <c r="X393" s="463">
        <v>10</v>
      </c>
      <c r="Y393" s="463">
        <v>80</v>
      </c>
      <c r="Z393" s="463">
        <v>86</v>
      </c>
      <c r="AA393" s="472" t="s">
        <v>1181</v>
      </c>
      <c r="AB393" s="463" t="s">
        <v>539</v>
      </c>
      <c r="AC393" s="463" t="s">
        <v>539</v>
      </c>
      <c r="AD393" s="472" t="s">
        <v>1353</v>
      </c>
      <c r="AE393" s="463">
        <v>80</v>
      </c>
      <c r="AF393" s="463">
        <v>86</v>
      </c>
      <c r="AG393" s="463" t="s">
        <v>375</v>
      </c>
      <c r="AH393" s="476"/>
      <c r="AI393" s="472" t="s">
        <v>1354</v>
      </c>
      <c r="AJ393" s="464"/>
    </row>
    <row r="394" spans="2:36" ht="24" hidden="1" customHeight="1">
      <c r="B394" s="463">
        <v>315</v>
      </c>
      <c r="C394" s="464" t="s">
        <v>534</v>
      </c>
      <c r="D394" s="464"/>
      <c r="E394" s="464" t="s">
        <v>535</v>
      </c>
      <c r="F394" s="464"/>
      <c r="G394" s="464" t="s">
        <v>59</v>
      </c>
      <c r="H394" s="464" t="s">
        <v>1356</v>
      </c>
      <c r="I394" s="466">
        <v>140000</v>
      </c>
      <c r="J394" s="465" t="s">
        <v>537</v>
      </c>
      <c r="K394" s="465" t="s">
        <v>537</v>
      </c>
      <c r="L394" s="466">
        <v>127250</v>
      </c>
      <c r="M394" s="465" t="s">
        <v>537</v>
      </c>
      <c r="N394" s="465" t="s">
        <v>537</v>
      </c>
      <c r="O394" s="463" t="s">
        <v>537</v>
      </c>
      <c r="P394" s="463" t="s">
        <v>537</v>
      </c>
      <c r="Q394" s="468">
        <v>12750</v>
      </c>
      <c r="R394" s="470">
        <v>241487</v>
      </c>
      <c r="S394" s="463" t="s">
        <v>1207</v>
      </c>
      <c r="T394" s="463">
        <v>15</v>
      </c>
      <c r="U394" s="463">
        <v>5</v>
      </c>
      <c r="V394" s="463">
        <v>0</v>
      </c>
      <c r="W394" s="463">
        <v>14</v>
      </c>
      <c r="X394" s="463">
        <v>5</v>
      </c>
      <c r="Y394" s="463">
        <v>0</v>
      </c>
      <c r="Z394" s="463">
        <v>90</v>
      </c>
      <c r="AA394" s="472" t="s">
        <v>547</v>
      </c>
      <c r="AB394" s="463" t="s">
        <v>539</v>
      </c>
      <c r="AC394" s="463" t="s">
        <v>539</v>
      </c>
      <c r="AD394" s="472" t="s">
        <v>1357</v>
      </c>
      <c r="AE394" s="463">
        <v>1</v>
      </c>
      <c r="AF394" s="463">
        <v>3</v>
      </c>
      <c r="AG394" s="463" t="s">
        <v>375</v>
      </c>
      <c r="AH394" s="476"/>
      <c r="AI394" s="472" t="s">
        <v>1284</v>
      </c>
      <c r="AJ394" s="464"/>
    </row>
    <row r="395" spans="2:36" ht="24" hidden="1" customHeight="1">
      <c r="B395" s="463">
        <v>316</v>
      </c>
      <c r="C395" s="464" t="s">
        <v>534</v>
      </c>
      <c r="D395" s="464"/>
      <c r="E395" s="464" t="s">
        <v>535</v>
      </c>
      <c r="F395" s="464"/>
      <c r="G395" s="464" t="s">
        <v>59</v>
      </c>
      <c r="H395" s="464" t="s">
        <v>1358</v>
      </c>
      <c r="I395" s="466">
        <v>200000</v>
      </c>
      <c r="J395" s="465" t="s">
        <v>537</v>
      </c>
      <c r="K395" s="465" t="s">
        <v>537</v>
      </c>
      <c r="L395" s="466">
        <v>186380</v>
      </c>
      <c r="M395" s="465" t="s">
        <v>537</v>
      </c>
      <c r="N395" s="465" t="s">
        <v>537</v>
      </c>
      <c r="O395" s="463" t="s">
        <v>537</v>
      </c>
      <c r="P395" s="463" t="s">
        <v>537</v>
      </c>
      <c r="Q395" s="468">
        <v>13620</v>
      </c>
      <c r="R395" s="463" t="s">
        <v>863</v>
      </c>
      <c r="S395" s="463" t="s">
        <v>649</v>
      </c>
      <c r="T395" s="463">
        <v>29</v>
      </c>
      <c r="U395" s="463">
        <v>6</v>
      </c>
      <c r="V395" s="463">
        <v>0</v>
      </c>
      <c r="W395" s="463">
        <v>26</v>
      </c>
      <c r="X395" s="463">
        <v>6</v>
      </c>
      <c r="Y395" s="463">
        <v>0</v>
      </c>
      <c r="Z395" s="463">
        <v>89</v>
      </c>
      <c r="AA395" s="472" t="s">
        <v>1359</v>
      </c>
      <c r="AB395" s="463" t="s">
        <v>539</v>
      </c>
      <c r="AC395" s="463" t="s">
        <v>539</v>
      </c>
      <c r="AD395" s="472" t="s">
        <v>728</v>
      </c>
      <c r="AE395" s="463">
        <v>1</v>
      </c>
      <c r="AF395" s="463">
        <v>11</v>
      </c>
      <c r="AG395" s="463" t="s">
        <v>375</v>
      </c>
      <c r="AH395" s="476"/>
      <c r="AI395" s="472" t="s">
        <v>1278</v>
      </c>
      <c r="AJ395" s="464"/>
    </row>
    <row r="396" spans="2:36" ht="24" hidden="1" customHeight="1">
      <c r="B396" s="463">
        <v>317</v>
      </c>
      <c r="C396" s="464" t="s">
        <v>534</v>
      </c>
      <c r="D396" s="464"/>
      <c r="E396" s="464" t="s">
        <v>535</v>
      </c>
      <c r="F396" s="464"/>
      <c r="G396" s="464" t="s">
        <v>59</v>
      </c>
      <c r="H396" s="464" t="s">
        <v>1360</v>
      </c>
      <c r="I396" s="466">
        <v>100000</v>
      </c>
      <c r="J396" s="465" t="s">
        <v>537</v>
      </c>
      <c r="K396" s="465" t="s">
        <v>537</v>
      </c>
      <c r="L396" s="466">
        <v>97501</v>
      </c>
      <c r="M396" s="465" t="s">
        <v>537</v>
      </c>
      <c r="N396" s="465" t="s">
        <v>537</v>
      </c>
      <c r="O396" s="463" t="s">
        <v>537</v>
      </c>
      <c r="P396" s="463" t="s">
        <v>537</v>
      </c>
      <c r="Q396" s="468">
        <v>2499</v>
      </c>
      <c r="R396" s="470">
        <v>241518</v>
      </c>
      <c r="S396" s="463" t="s">
        <v>1361</v>
      </c>
      <c r="T396" s="463">
        <v>25</v>
      </c>
      <c r="U396" s="463">
        <v>11</v>
      </c>
      <c r="V396" s="463">
        <v>0</v>
      </c>
      <c r="W396" s="463">
        <v>27</v>
      </c>
      <c r="X396" s="463">
        <v>10</v>
      </c>
      <c r="Y396" s="463">
        <v>0</v>
      </c>
      <c r="Z396" s="463">
        <v>85.6</v>
      </c>
      <c r="AA396" s="472" t="s">
        <v>899</v>
      </c>
      <c r="AB396" s="463" t="s">
        <v>539</v>
      </c>
      <c r="AC396" s="463" t="s">
        <v>539</v>
      </c>
      <c r="AD396" s="472" t="s">
        <v>1362</v>
      </c>
      <c r="AE396" s="463">
        <v>80</v>
      </c>
      <c r="AF396" s="463">
        <v>83.5</v>
      </c>
      <c r="AG396" s="463" t="s">
        <v>375</v>
      </c>
      <c r="AH396" s="476"/>
      <c r="AI396" s="472" t="s">
        <v>1294</v>
      </c>
      <c r="AJ396" s="464"/>
    </row>
    <row r="397" spans="2:36" ht="24" hidden="1" customHeight="1">
      <c r="B397" s="463">
        <v>318</v>
      </c>
      <c r="C397" s="464" t="s">
        <v>534</v>
      </c>
      <c r="D397" s="464"/>
      <c r="E397" s="464" t="s">
        <v>535</v>
      </c>
      <c r="F397" s="464"/>
      <c r="G397" s="464" t="s">
        <v>59</v>
      </c>
      <c r="H397" s="464" t="s">
        <v>1363</v>
      </c>
      <c r="I397" s="466">
        <v>30400</v>
      </c>
      <c r="J397" s="465" t="s">
        <v>537</v>
      </c>
      <c r="K397" s="465" t="s">
        <v>537</v>
      </c>
      <c r="L397" s="466">
        <v>29200</v>
      </c>
      <c r="M397" s="465" t="s">
        <v>537</v>
      </c>
      <c r="N397" s="465" t="s">
        <v>537</v>
      </c>
      <c r="O397" s="463" t="s">
        <v>537</v>
      </c>
      <c r="P397" s="463" t="s">
        <v>537</v>
      </c>
      <c r="Q397" s="468">
        <v>1200</v>
      </c>
      <c r="R397" s="470">
        <v>241428</v>
      </c>
      <c r="S397" s="463" t="s">
        <v>1364</v>
      </c>
      <c r="T397" s="463">
        <v>30</v>
      </c>
      <c r="U397" s="463">
        <v>10</v>
      </c>
      <c r="V397" s="463">
        <v>0</v>
      </c>
      <c r="W397" s="463">
        <v>30</v>
      </c>
      <c r="X397" s="463">
        <v>20</v>
      </c>
      <c r="Y397" s="463">
        <v>0</v>
      </c>
      <c r="Z397" s="463">
        <v>85.66</v>
      </c>
      <c r="AA397" s="472" t="s">
        <v>1365</v>
      </c>
      <c r="AB397" s="463" t="s">
        <v>539</v>
      </c>
      <c r="AC397" s="463" t="s">
        <v>539</v>
      </c>
      <c r="AD397" s="472" t="s">
        <v>1366</v>
      </c>
      <c r="AE397" s="463">
        <v>100</v>
      </c>
      <c r="AF397" s="463">
        <v>100</v>
      </c>
      <c r="AG397" s="463" t="s">
        <v>375</v>
      </c>
      <c r="AH397" s="476"/>
      <c r="AI397" s="472" t="s">
        <v>1302</v>
      </c>
      <c r="AJ397" s="464"/>
    </row>
    <row r="398" spans="2:36" ht="24" hidden="1" customHeight="1">
      <c r="B398" s="463">
        <v>319</v>
      </c>
      <c r="C398" s="464" t="s">
        <v>534</v>
      </c>
      <c r="D398" s="464"/>
      <c r="E398" s="464" t="s">
        <v>535</v>
      </c>
      <c r="F398" s="464"/>
      <c r="G398" s="464" t="s">
        <v>59</v>
      </c>
      <c r="H398" s="464" t="s">
        <v>1367</v>
      </c>
      <c r="I398" s="466">
        <v>19600</v>
      </c>
      <c r="J398" s="465" t="s">
        <v>537</v>
      </c>
      <c r="K398" s="465" t="s">
        <v>537</v>
      </c>
      <c r="L398" s="466">
        <v>19600</v>
      </c>
      <c r="M398" s="465" t="s">
        <v>537</v>
      </c>
      <c r="N398" s="465" t="s">
        <v>537</v>
      </c>
      <c r="O398" s="463" t="s">
        <v>537</v>
      </c>
      <c r="P398" s="463" t="s">
        <v>537</v>
      </c>
      <c r="Q398" s="465">
        <v>0</v>
      </c>
      <c r="R398" s="470">
        <v>241428</v>
      </c>
      <c r="S398" s="463" t="s">
        <v>1368</v>
      </c>
      <c r="T398" s="463">
        <v>5</v>
      </c>
      <c r="U398" s="463">
        <v>3</v>
      </c>
      <c r="V398" s="463">
        <v>0</v>
      </c>
      <c r="W398" s="463">
        <v>5</v>
      </c>
      <c r="X398" s="463">
        <v>3</v>
      </c>
      <c r="Y398" s="463">
        <v>0</v>
      </c>
      <c r="Z398" s="463">
        <v>85.61</v>
      </c>
      <c r="AA398" s="472" t="s">
        <v>1369</v>
      </c>
      <c r="AB398" s="463" t="s">
        <v>539</v>
      </c>
      <c r="AC398" s="463" t="s">
        <v>539</v>
      </c>
      <c r="AD398" s="472" t="s">
        <v>728</v>
      </c>
      <c r="AE398" s="463">
        <v>1</v>
      </c>
      <c r="AF398" s="463">
        <v>1</v>
      </c>
      <c r="AG398" s="463" t="s">
        <v>375</v>
      </c>
      <c r="AH398" s="476"/>
      <c r="AI398" s="472" t="s">
        <v>1302</v>
      </c>
      <c r="AJ398" s="464"/>
    </row>
    <row r="399" spans="2:36" ht="24" hidden="1" customHeight="1">
      <c r="B399" s="463">
        <v>320</v>
      </c>
      <c r="C399" s="464" t="s">
        <v>534</v>
      </c>
      <c r="D399" s="464"/>
      <c r="E399" s="464" t="s">
        <v>535</v>
      </c>
      <c r="F399" s="464"/>
      <c r="G399" s="464" t="s">
        <v>59</v>
      </c>
      <c r="H399" s="464" t="s">
        <v>636</v>
      </c>
      <c r="I399" s="466">
        <v>300000</v>
      </c>
      <c r="J399" s="465" t="s">
        <v>537</v>
      </c>
      <c r="K399" s="465" t="s">
        <v>537</v>
      </c>
      <c r="L399" s="466">
        <v>240059</v>
      </c>
      <c r="M399" s="465" t="s">
        <v>537</v>
      </c>
      <c r="N399" s="465" t="s">
        <v>537</v>
      </c>
      <c r="O399" s="463" t="s">
        <v>537</v>
      </c>
      <c r="P399" s="463" t="s">
        <v>537</v>
      </c>
      <c r="Q399" s="468">
        <v>59941</v>
      </c>
      <c r="R399" s="463" t="s">
        <v>727</v>
      </c>
      <c r="S399" s="463" t="s">
        <v>637</v>
      </c>
      <c r="T399" s="463">
        <v>70</v>
      </c>
      <c r="U399" s="463">
        <v>12</v>
      </c>
      <c r="V399" s="463">
        <v>0</v>
      </c>
      <c r="W399" s="463">
        <v>44</v>
      </c>
      <c r="X399" s="463">
        <v>16</v>
      </c>
      <c r="Y399" s="463">
        <v>0</v>
      </c>
      <c r="Z399" s="463">
        <v>87</v>
      </c>
      <c r="AA399" s="472" t="s">
        <v>1296</v>
      </c>
      <c r="AB399" s="463">
        <v>1</v>
      </c>
      <c r="AC399" s="463">
        <v>1</v>
      </c>
      <c r="AD399" s="472" t="s">
        <v>651</v>
      </c>
      <c r="AE399" s="463">
        <v>1</v>
      </c>
      <c r="AF399" s="463">
        <v>1</v>
      </c>
      <c r="AG399" s="463" t="s">
        <v>375</v>
      </c>
      <c r="AH399" s="476"/>
      <c r="AI399" s="472" t="s">
        <v>1260</v>
      </c>
      <c r="AJ399" s="464"/>
    </row>
    <row r="400" spans="2:36" ht="24" hidden="1" customHeight="1">
      <c r="B400" s="463">
        <v>321</v>
      </c>
      <c r="C400" s="464" t="s">
        <v>534</v>
      </c>
      <c r="D400" s="464"/>
      <c r="E400" s="464" t="s">
        <v>535</v>
      </c>
      <c r="F400" s="464"/>
      <c r="G400" s="464" t="s">
        <v>59</v>
      </c>
      <c r="H400" s="464" t="s">
        <v>642</v>
      </c>
      <c r="I400" s="466">
        <v>60000</v>
      </c>
      <c r="J400" s="465" t="s">
        <v>537</v>
      </c>
      <c r="K400" s="465" t="s">
        <v>537</v>
      </c>
      <c r="L400" s="466">
        <v>10000</v>
      </c>
      <c r="M400" s="465" t="s">
        <v>537</v>
      </c>
      <c r="N400" s="465" t="s">
        <v>537</v>
      </c>
      <c r="O400" s="463" t="s">
        <v>537</v>
      </c>
      <c r="P400" s="463" t="s">
        <v>537</v>
      </c>
      <c r="Q400" s="468">
        <v>50000</v>
      </c>
      <c r="R400" s="463" t="s">
        <v>643</v>
      </c>
      <c r="S400" s="463" t="s">
        <v>1370</v>
      </c>
      <c r="T400" s="463">
        <v>0</v>
      </c>
      <c r="U400" s="463">
        <v>6</v>
      </c>
      <c r="V400" s="463">
        <v>0</v>
      </c>
      <c r="W400" s="463">
        <v>0</v>
      </c>
      <c r="X400" s="463">
        <v>1</v>
      </c>
      <c r="Y400" s="463">
        <v>0</v>
      </c>
      <c r="Z400" s="463">
        <v>85</v>
      </c>
      <c r="AA400" s="472" t="s">
        <v>633</v>
      </c>
      <c r="AB400" s="463" t="s">
        <v>539</v>
      </c>
      <c r="AC400" s="463" t="s">
        <v>539</v>
      </c>
      <c r="AD400" s="472" t="s">
        <v>635</v>
      </c>
      <c r="AE400" s="463" t="s">
        <v>539</v>
      </c>
      <c r="AF400" s="463" t="s">
        <v>539</v>
      </c>
      <c r="AG400" s="463" t="s">
        <v>375</v>
      </c>
      <c r="AH400" s="476"/>
      <c r="AI400" s="472" t="s">
        <v>1300</v>
      </c>
      <c r="AJ400" s="464"/>
    </row>
    <row r="401" spans="2:36" ht="24" hidden="1" customHeight="1">
      <c r="B401" s="463">
        <v>322</v>
      </c>
      <c r="C401" s="464" t="s">
        <v>534</v>
      </c>
      <c r="D401" s="464"/>
      <c r="E401" s="464" t="s">
        <v>535</v>
      </c>
      <c r="F401" s="464"/>
      <c r="G401" s="464" t="s">
        <v>59</v>
      </c>
      <c r="H401" s="464" t="s">
        <v>1371</v>
      </c>
      <c r="I401" s="465" t="s">
        <v>537</v>
      </c>
      <c r="J401" s="465" t="s">
        <v>537</v>
      </c>
      <c r="K401" s="466">
        <v>10000</v>
      </c>
      <c r="L401" s="465" t="s">
        <v>537</v>
      </c>
      <c r="M401" s="465" t="s">
        <v>537</v>
      </c>
      <c r="N401" s="466">
        <v>5742</v>
      </c>
      <c r="O401" s="463" t="s">
        <v>537</v>
      </c>
      <c r="P401" s="463" t="s">
        <v>537</v>
      </c>
      <c r="Q401" s="468">
        <v>4258</v>
      </c>
      <c r="R401" s="470">
        <v>241518</v>
      </c>
      <c r="S401" s="471">
        <v>22398</v>
      </c>
      <c r="T401" s="463">
        <v>0</v>
      </c>
      <c r="U401" s="463">
        <v>45</v>
      </c>
      <c r="V401" s="463">
        <v>0</v>
      </c>
      <c r="W401" s="463">
        <v>0</v>
      </c>
      <c r="X401" s="463">
        <v>15</v>
      </c>
      <c r="Y401" s="463">
        <v>0</v>
      </c>
      <c r="Z401" s="463">
        <v>86.06</v>
      </c>
      <c r="AA401" s="472" t="s">
        <v>547</v>
      </c>
      <c r="AB401" s="463" t="s">
        <v>539</v>
      </c>
      <c r="AC401" s="463" t="s">
        <v>539</v>
      </c>
      <c r="AD401" s="472" t="s">
        <v>1372</v>
      </c>
      <c r="AE401" s="463" t="s">
        <v>539</v>
      </c>
      <c r="AF401" s="463" t="s">
        <v>539</v>
      </c>
      <c r="AG401" s="463" t="s">
        <v>375</v>
      </c>
      <c r="AH401" s="476"/>
      <c r="AI401" s="472" t="s">
        <v>1300</v>
      </c>
      <c r="AJ401" s="472" t="s">
        <v>543</v>
      </c>
    </row>
    <row r="402" spans="2:36" ht="24" hidden="1" customHeight="1">
      <c r="B402" s="463">
        <v>323</v>
      </c>
      <c r="C402" s="464" t="s">
        <v>165</v>
      </c>
      <c r="D402" s="464"/>
      <c r="E402" s="464" t="s">
        <v>535</v>
      </c>
      <c r="F402" s="464"/>
      <c r="G402" s="464" t="s">
        <v>59</v>
      </c>
      <c r="H402" s="464" t="s">
        <v>1373</v>
      </c>
      <c r="I402" s="465" t="s">
        <v>537</v>
      </c>
      <c r="J402" s="465" t="s">
        <v>537</v>
      </c>
      <c r="K402" s="466">
        <v>5000</v>
      </c>
      <c r="L402" s="465" t="s">
        <v>537</v>
      </c>
      <c r="M402" s="465" t="s">
        <v>537</v>
      </c>
      <c r="N402" s="466">
        <v>4999</v>
      </c>
      <c r="O402" s="463" t="s">
        <v>537</v>
      </c>
      <c r="P402" s="463" t="s">
        <v>537</v>
      </c>
      <c r="Q402" s="465">
        <v>1</v>
      </c>
      <c r="R402" s="470">
        <v>241487</v>
      </c>
      <c r="S402" s="471">
        <v>22359</v>
      </c>
      <c r="T402" s="463">
        <v>0</v>
      </c>
      <c r="U402" s="463">
        <v>24</v>
      </c>
      <c r="V402" s="463">
        <v>0</v>
      </c>
      <c r="W402" s="463">
        <v>0</v>
      </c>
      <c r="X402" s="463">
        <v>25</v>
      </c>
      <c r="Y402" s="463">
        <v>0</v>
      </c>
      <c r="Z402" s="463">
        <v>85</v>
      </c>
      <c r="AA402" s="472" t="s">
        <v>547</v>
      </c>
      <c r="AB402" s="463" t="s">
        <v>539</v>
      </c>
      <c r="AC402" s="463" t="s">
        <v>539</v>
      </c>
      <c r="AD402" s="472" t="s">
        <v>548</v>
      </c>
      <c r="AE402" s="463">
        <v>80</v>
      </c>
      <c r="AF402" s="463">
        <v>85</v>
      </c>
      <c r="AG402" s="463" t="s">
        <v>375</v>
      </c>
      <c r="AH402" s="476"/>
      <c r="AI402" s="472" t="s">
        <v>1374</v>
      </c>
      <c r="AJ402" s="472" t="s">
        <v>543</v>
      </c>
    </row>
    <row r="403" spans="2:36" ht="24" hidden="1" customHeight="1">
      <c r="B403" s="463">
        <v>324</v>
      </c>
      <c r="C403" s="464" t="s">
        <v>165</v>
      </c>
      <c r="D403" s="464"/>
      <c r="E403" s="464" t="s">
        <v>535</v>
      </c>
      <c r="F403" s="464"/>
      <c r="G403" s="464" t="s">
        <v>59</v>
      </c>
      <c r="H403" s="464" t="s">
        <v>1375</v>
      </c>
      <c r="I403" s="465" t="s">
        <v>537</v>
      </c>
      <c r="J403" s="465" t="s">
        <v>537</v>
      </c>
      <c r="K403" s="466">
        <v>5000</v>
      </c>
      <c r="L403" s="465" t="s">
        <v>537</v>
      </c>
      <c r="M403" s="465" t="s">
        <v>537</v>
      </c>
      <c r="N403" s="466">
        <v>4985</v>
      </c>
      <c r="O403" s="463" t="s">
        <v>537</v>
      </c>
      <c r="P403" s="463" t="s">
        <v>537</v>
      </c>
      <c r="Q403" s="465">
        <v>15</v>
      </c>
      <c r="R403" s="470">
        <v>241518</v>
      </c>
      <c r="S403" s="463" t="s">
        <v>1376</v>
      </c>
      <c r="T403" s="463">
        <v>0</v>
      </c>
      <c r="U403" s="463">
        <v>24</v>
      </c>
      <c r="V403" s="463">
        <v>0</v>
      </c>
      <c r="W403" s="463">
        <v>0</v>
      </c>
      <c r="X403" s="463">
        <v>24</v>
      </c>
      <c r="Y403" s="463">
        <v>0</v>
      </c>
      <c r="Z403" s="463">
        <v>86</v>
      </c>
      <c r="AA403" s="472" t="s">
        <v>547</v>
      </c>
      <c r="AB403" s="463" t="s">
        <v>539</v>
      </c>
      <c r="AC403" s="463" t="s">
        <v>539</v>
      </c>
      <c r="AD403" s="472" t="s">
        <v>1075</v>
      </c>
      <c r="AE403" s="463">
        <v>80</v>
      </c>
      <c r="AF403" s="463">
        <v>86</v>
      </c>
      <c r="AG403" s="463" t="s">
        <v>375</v>
      </c>
      <c r="AH403" s="476"/>
      <c r="AI403" s="472" t="s">
        <v>1377</v>
      </c>
      <c r="AJ403" s="472" t="s">
        <v>543</v>
      </c>
    </row>
    <row r="404" spans="2:36" ht="24" hidden="1" customHeight="1">
      <c r="B404" s="463">
        <v>325</v>
      </c>
      <c r="C404" s="464" t="s">
        <v>165</v>
      </c>
      <c r="D404" s="464"/>
      <c r="E404" s="464" t="s">
        <v>535</v>
      </c>
      <c r="F404" s="464"/>
      <c r="G404" s="464" t="s">
        <v>59</v>
      </c>
      <c r="H404" s="464" t="s">
        <v>1378</v>
      </c>
      <c r="I404" s="466">
        <v>37000</v>
      </c>
      <c r="J404" s="465" t="s">
        <v>537</v>
      </c>
      <c r="K404" s="465" t="s">
        <v>537</v>
      </c>
      <c r="L404" s="466">
        <v>36997.5</v>
      </c>
      <c r="M404" s="465" t="s">
        <v>537</v>
      </c>
      <c r="N404" s="465" t="s">
        <v>537</v>
      </c>
      <c r="O404" s="463" t="s">
        <v>537</v>
      </c>
      <c r="P404" s="463" t="s">
        <v>537</v>
      </c>
      <c r="Q404" s="465">
        <v>3</v>
      </c>
      <c r="R404" s="470">
        <v>241397</v>
      </c>
      <c r="S404" s="471">
        <v>22276</v>
      </c>
      <c r="T404" s="463">
        <v>30</v>
      </c>
      <c r="U404" s="463">
        <v>6</v>
      </c>
      <c r="V404" s="463">
        <v>0</v>
      </c>
      <c r="W404" s="463">
        <v>30</v>
      </c>
      <c r="X404" s="463">
        <v>17</v>
      </c>
      <c r="Y404" s="463">
        <v>0</v>
      </c>
      <c r="Z404" s="463">
        <v>85</v>
      </c>
      <c r="AA404" s="472" t="s">
        <v>633</v>
      </c>
      <c r="AB404" s="463" t="s">
        <v>539</v>
      </c>
      <c r="AC404" s="463" t="s">
        <v>539</v>
      </c>
      <c r="AD404" s="472" t="s">
        <v>635</v>
      </c>
      <c r="AE404" s="463" t="s">
        <v>539</v>
      </c>
      <c r="AF404" s="463" t="s">
        <v>539</v>
      </c>
      <c r="AG404" s="463" t="s">
        <v>375</v>
      </c>
      <c r="AH404" s="476"/>
      <c r="AI404" s="472" t="s">
        <v>1379</v>
      </c>
      <c r="AJ404" s="464"/>
    </row>
    <row r="405" spans="2:36" ht="24" hidden="1" customHeight="1">
      <c r="B405" s="463">
        <v>326</v>
      </c>
      <c r="C405" s="464" t="s">
        <v>165</v>
      </c>
      <c r="D405" s="464"/>
      <c r="E405" s="464" t="s">
        <v>535</v>
      </c>
      <c r="F405" s="464"/>
      <c r="G405" s="464" t="s">
        <v>59</v>
      </c>
      <c r="H405" s="464" t="s">
        <v>1380</v>
      </c>
      <c r="I405" s="466">
        <v>18300</v>
      </c>
      <c r="J405" s="465" t="s">
        <v>537</v>
      </c>
      <c r="K405" s="465" t="s">
        <v>537</v>
      </c>
      <c r="L405" s="466">
        <v>16066</v>
      </c>
      <c r="M405" s="465" t="s">
        <v>537</v>
      </c>
      <c r="N405" s="465" t="s">
        <v>537</v>
      </c>
      <c r="O405" s="463" t="s">
        <v>537</v>
      </c>
      <c r="P405" s="463" t="s">
        <v>537</v>
      </c>
      <c r="Q405" s="468">
        <v>2234</v>
      </c>
      <c r="R405" s="470">
        <v>241397</v>
      </c>
      <c r="S405" s="471">
        <v>22277</v>
      </c>
      <c r="T405" s="463">
        <v>30</v>
      </c>
      <c r="U405" s="463">
        <v>6</v>
      </c>
      <c r="V405" s="463">
        <v>0</v>
      </c>
      <c r="W405" s="463">
        <v>31</v>
      </c>
      <c r="X405" s="463">
        <v>19</v>
      </c>
      <c r="Y405" s="463">
        <v>0</v>
      </c>
      <c r="Z405" s="463">
        <v>89</v>
      </c>
      <c r="AA405" s="472" t="s">
        <v>633</v>
      </c>
      <c r="AB405" s="463" t="s">
        <v>539</v>
      </c>
      <c r="AC405" s="463" t="s">
        <v>539</v>
      </c>
      <c r="AD405" s="472" t="s">
        <v>635</v>
      </c>
      <c r="AE405" s="463" t="s">
        <v>539</v>
      </c>
      <c r="AF405" s="463" t="s">
        <v>539</v>
      </c>
      <c r="AG405" s="463" t="s">
        <v>375</v>
      </c>
      <c r="AH405" s="476"/>
      <c r="AI405" s="472" t="s">
        <v>1266</v>
      </c>
      <c r="AJ405" s="464"/>
    </row>
    <row r="406" spans="2:36" ht="24" hidden="1" customHeight="1">
      <c r="B406" s="463">
        <v>327</v>
      </c>
      <c r="C406" s="464" t="s">
        <v>165</v>
      </c>
      <c r="D406" s="464"/>
      <c r="E406" s="464" t="s">
        <v>535</v>
      </c>
      <c r="F406" s="464"/>
      <c r="G406" s="464" t="s">
        <v>59</v>
      </c>
      <c r="H406" s="464" t="s">
        <v>1381</v>
      </c>
      <c r="I406" s="466">
        <v>55200</v>
      </c>
      <c r="J406" s="465" t="s">
        <v>537</v>
      </c>
      <c r="K406" s="465" t="s">
        <v>537</v>
      </c>
      <c r="L406" s="466">
        <v>54958</v>
      </c>
      <c r="M406" s="465" t="s">
        <v>537</v>
      </c>
      <c r="N406" s="465" t="s">
        <v>537</v>
      </c>
      <c r="O406" s="463" t="s">
        <v>537</v>
      </c>
      <c r="P406" s="463" t="s">
        <v>537</v>
      </c>
      <c r="Q406" s="465">
        <v>242</v>
      </c>
      <c r="R406" s="470">
        <v>241428</v>
      </c>
      <c r="S406" s="463" t="s">
        <v>783</v>
      </c>
      <c r="T406" s="463">
        <v>30</v>
      </c>
      <c r="U406" s="463">
        <v>6</v>
      </c>
      <c r="V406" s="463">
        <v>0</v>
      </c>
      <c r="W406" s="463">
        <v>31</v>
      </c>
      <c r="X406" s="463">
        <v>5</v>
      </c>
      <c r="Y406" s="463">
        <v>0</v>
      </c>
      <c r="Z406" s="463">
        <v>91.5</v>
      </c>
      <c r="AA406" s="472" t="s">
        <v>633</v>
      </c>
      <c r="AB406" s="463" t="s">
        <v>539</v>
      </c>
      <c r="AC406" s="463" t="s">
        <v>539</v>
      </c>
      <c r="AD406" s="472" t="s">
        <v>635</v>
      </c>
      <c r="AE406" s="463" t="s">
        <v>539</v>
      </c>
      <c r="AF406" s="463" t="s">
        <v>539</v>
      </c>
      <c r="AG406" s="463" t="s">
        <v>375</v>
      </c>
      <c r="AH406" s="476"/>
      <c r="AI406" s="472" t="s">
        <v>1287</v>
      </c>
      <c r="AJ406" s="464"/>
    </row>
    <row r="407" spans="2:36" ht="24" hidden="1" customHeight="1">
      <c r="B407" s="463">
        <v>328</v>
      </c>
      <c r="C407" s="464" t="s">
        <v>165</v>
      </c>
      <c r="D407" s="464"/>
      <c r="E407" s="464" t="s">
        <v>535</v>
      </c>
      <c r="F407" s="464"/>
      <c r="G407" s="464" t="s">
        <v>59</v>
      </c>
      <c r="H407" s="464" t="s">
        <v>1382</v>
      </c>
      <c r="I407" s="466">
        <v>117040</v>
      </c>
      <c r="J407" s="465" t="s">
        <v>537</v>
      </c>
      <c r="K407" s="465" t="s">
        <v>537</v>
      </c>
      <c r="L407" s="466">
        <v>111374</v>
      </c>
      <c r="M407" s="465" t="s">
        <v>537</v>
      </c>
      <c r="N407" s="465" t="s">
        <v>537</v>
      </c>
      <c r="O407" s="463" t="s">
        <v>537</v>
      </c>
      <c r="P407" s="463" t="s">
        <v>537</v>
      </c>
      <c r="Q407" s="468">
        <v>5666</v>
      </c>
      <c r="R407" s="470">
        <v>241459</v>
      </c>
      <c r="S407" s="463" t="s">
        <v>1383</v>
      </c>
      <c r="T407" s="463">
        <v>29</v>
      </c>
      <c r="U407" s="463">
        <v>3</v>
      </c>
      <c r="V407" s="463">
        <v>0</v>
      </c>
      <c r="W407" s="463">
        <v>28</v>
      </c>
      <c r="X407" s="463">
        <v>3</v>
      </c>
      <c r="Y407" s="463">
        <v>0</v>
      </c>
      <c r="Z407" s="463">
        <v>85</v>
      </c>
      <c r="AA407" s="472" t="s">
        <v>633</v>
      </c>
      <c r="AB407" s="463" t="s">
        <v>539</v>
      </c>
      <c r="AC407" s="463" t="s">
        <v>539</v>
      </c>
      <c r="AD407" s="472" t="s">
        <v>635</v>
      </c>
      <c r="AE407" s="463" t="s">
        <v>539</v>
      </c>
      <c r="AF407" s="463" t="s">
        <v>539</v>
      </c>
      <c r="AG407" s="463" t="s">
        <v>375</v>
      </c>
      <c r="AH407" s="476"/>
      <c r="AI407" s="472" t="s">
        <v>1266</v>
      </c>
      <c r="AJ407" s="464"/>
    </row>
    <row r="408" spans="2:36" ht="24" hidden="1" customHeight="1">
      <c r="B408" s="463">
        <v>329</v>
      </c>
      <c r="C408" s="464" t="s">
        <v>165</v>
      </c>
      <c r="D408" s="464"/>
      <c r="E408" s="464" t="s">
        <v>535</v>
      </c>
      <c r="F408" s="464"/>
      <c r="G408" s="464" t="s">
        <v>59</v>
      </c>
      <c r="H408" s="464" t="s">
        <v>1384</v>
      </c>
      <c r="I408" s="466">
        <v>11200</v>
      </c>
      <c r="J408" s="465" t="s">
        <v>537</v>
      </c>
      <c r="K408" s="465" t="s">
        <v>537</v>
      </c>
      <c r="L408" s="466">
        <v>9950</v>
      </c>
      <c r="M408" s="465" t="s">
        <v>537</v>
      </c>
      <c r="N408" s="465" t="s">
        <v>537</v>
      </c>
      <c r="O408" s="463" t="s">
        <v>537</v>
      </c>
      <c r="P408" s="463" t="s">
        <v>537</v>
      </c>
      <c r="Q408" s="468">
        <v>1250</v>
      </c>
      <c r="R408" s="463" t="s">
        <v>646</v>
      </c>
      <c r="S408" s="463" t="s">
        <v>1385</v>
      </c>
      <c r="T408" s="463">
        <v>28</v>
      </c>
      <c r="U408" s="463">
        <v>4</v>
      </c>
      <c r="V408" s="463">
        <v>0</v>
      </c>
      <c r="W408" s="463">
        <v>28</v>
      </c>
      <c r="X408" s="463">
        <v>4</v>
      </c>
      <c r="Y408" s="463">
        <v>0</v>
      </c>
      <c r="Z408" s="463">
        <v>86</v>
      </c>
      <c r="AA408" s="472" t="s">
        <v>633</v>
      </c>
      <c r="AB408" s="463" t="s">
        <v>539</v>
      </c>
      <c r="AC408" s="463" t="s">
        <v>539</v>
      </c>
      <c r="AD408" s="472" t="s">
        <v>635</v>
      </c>
      <c r="AE408" s="463" t="s">
        <v>539</v>
      </c>
      <c r="AF408" s="463" t="s">
        <v>539</v>
      </c>
      <c r="AG408" s="463" t="s">
        <v>375</v>
      </c>
      <c r="AH408" s="476"/>
      <c r="AI408" s="472" t="s">
        <v>1263</v>
      </c>
      <c r="AJ408" s="464"/>
    </row>
    <row r="409" spans="2:36" ht="24" hidden="1" customHeight="1">
      <c r="B409" s="463">
        <v>330</v>
      </c>
      <c r="C409" s="464" t="s">
        <v>165</v>
      </c>
      <c r="D409" s="464"/>
      <c r="E409" s="464" t="s">
        <v>535</v>
      </c>
      <c r="F409" s="464"/>
      <c r="G409" s="464" t="s">
        <v>59</v>
      </c>
      <c r="H409" s="464" t="s">
        <v>1386</v>
      </c>
      <c r="I409" s="466">
        <v>38900</v>
      </c>
      <c r="J409" s="465" t="s">
        <v>537</v>
      </c>
      <c r="K409" s="465" t="s">
        <v>537</v>
      </c>
      <c r="L409" s="466">
        <v>36629</v>
      </c>
      <c r="M409" s="465" t="s">
        <v>537</v>
      </c>
      <c r="N409" s="465" t="s">
        <v>537</v>
      </c>
      <c r="O409" s="463" t="s">
        <v>537</v>
      </c>
      <c r="P409" s="463" t="s">
        <v>537</v>
      </c>
      <c r="Q409" s="468">
        <v>2271</v>
      </c>
      <c r="R409" s="470">
        <v>241640</v>
      </c>
      <c r="S409" s="463" t="s">
        <v>1387</v>
      </c>
      <c r="T409" s="463">
        <v>28</v>
      </c>
      <c r="U409" s="463">
        <v>4</v>
      </c>
      <c r="V409" s="463">
        <v>0</v>
      </c>
      <c r="W409" s="463">
        <v>26</v>
      </c>
      <c r="X409" s="463">
        <v>4</v>
      </c>
      <c r="Y409" s="463">
        <v>0</v>
      </c>
      <c r="Z409" s="463">
        <v>98</v>
      </c>
      <c r="AA409" s="472" t="s">
        <v>633</v>
      </c>
      <c r="AB409" s="463" t="s">
        <v>539</v>
      </c>
      <c r="AC409" s="463" t="s">
        <v>539</v>
      </c>
      <c r="AD409" s="472" t="s">
        <v>635</v>
      </c>
      <c r="AE409" s="463" t="s">
        <v>539</v>
      </c>
      <c r="AF409" s="463" t="s">
        <v>539</v>
      </c>
      <c r="AG409" s="463" t="s">
        <v>375</v>
      </c>
      <c r="AH409" s="476"/>
      <c r="AI409" s="472" t="s">
        <v>1255</v>
      </c>
      <c r="AJ409" s="464"/>
    </row>
    <row r="410" spans="2:36" ht="24" hidden="1" customHeight="1">
      <c r="B410" s="463">
        <v>331</v>
      </c>
      <c r="C410" s="464" t="s">
        <v>165</v>
      </c>
      <c r="D410" s="464"/>
      <c r="E410" s="464" t="s">
        <v>535</v>
      </c>
      <c r="F410" s="464"/>
      <c r="G410" s="464" t="s">
        <v>59</v>
      </c>
      <c r="H410" s="464" t="s">
        <v>1388</v>
      </c>
      <c r="I410" s="466">
        <v>22360</v>
      </c>
      <c r="J410" s="465" t="s">
        <v>537</v>
      </c>
      <c r="K410" s="465" t="s">
        <v>537</v>
      </c>
      <c r="L410" s="466">
        <v>22320</v>
      </c>
      <c r="M410" s="465" t="s">
        <v>537</v>
      </c>
      <c r="N410" s="465" t="s">
        <v>537</v>
      </c>
      <c r="O410" s="463" t="s">
        <v>537</v>
      </c>
      <c r="P410" s="463" t="s">
        <v>537</v>
      </c>
      <c r="Q410" s="465">
        <v>40</v>
      </c>
      <c r="R410" s="470">
        <v>241671</v>
      </c>
      <c r="S410" s="463" t="s">
        <v>1389</v>
      </c>
      <c r="T410" s="463">
        <v>28</v>
      </c>
      <c r="U410" s="463">
        <v>4</v>
      </c>
      <c r="V410" s="463">
        <v>0</v>
      </c>
      <c r="W410" s="463">
        <v>28</v>
      </c>
      <c r="X410" s="463">
        <v>4</v>
      </c>
      <c r="Y410" s="463">
        <v>0</v>
      </c>
      <c r="Z410" s="463">
        <v>87</v>
      </c>
      <c r="AA410" s="472" t="s">
        <v>633</v>
      </c>
      <c r="AB410" s="463" t="s">
        <v>539</v>
      </c>
      <c r="AC410" s="463" t="s">
        <v>539</v>
      </c>
      <c r="AD410" s="472" t="s">
        <v>635</v>
      </c>
      <c r="AE410" s="463" t="s">
        <v>539</v>
      </c>
      <c r="AF410" s="463" t="s">
        <v>539</v>
      </c>
      <c r="AG410" s="463" t="s">
        <v>375</v>
      </c>
      <c r="AH410" s="476"/>
      <c r="AI410" s="472" t="s">
        <v>1266</v>
      </c>
      <c r="AJ410" s="464"/>
    </row>
    <row r="411" spans="2:36" ht="24" hidden="1" customHeight="1">
      <c r="B411" s="463">
        <v>332</v>
      </c>
      <c r="C411" s="464" t="s">
        <v>165</v>
      </c>
      <c r="D411" s="464"/>
      <c r="E411" s="464" t="s">
        <v>535</v>
      </c>
      <c r="F411" s="464"/>
      <c r="G411" s="464" t="s">
        <v>59</v>
      </c>
      <c r="H411" s="464" t="s">
        <v>1390</v>
      </c>
      <c r="I411" s="466">
        <v>70000</v>
      </c>
      <c r="J411" s="465" t="s">
        <v>537</v>
      </c>
      <c r="K411" s="465" t="s">
        <v>537</v>
      </c>
      <c r="L411" s="466">
        <v>68993</v>
      </c>
      <c r="M411" s="465" t="s">
        <v>537</v>
      </c>
      <c r="N411" s="465" t="s">
        <v>537</v>
      </c>
      <c r="O411" s="463" t="s">
        <v>537</v>
      </c>
      <c r="P411" s="463" t="s">
        <v>537</v>
      </c>
      <c r="Q411" s="468">
        <v>1007</v>
      </c>
      <c r="R411" s="470">
        <v>241428</v>
      </c>
      <c r="S411" s="471">
        <v>22306</v>
      </c>
      <c r="T411" s="463">
        <v>40</v>
      </c>
      <c r="U411" s="463">
        <v>30</v>
      </c>
      <c r="V411" s="463">
        <v>60</v>
      </c>
      <c r="W411" s="463">
        <v>44</v>
      </c>
      <c r="X411" s="463">
        <v>35</v>
      </c>
      <c r="Y411" s="463">
        <v>79</v>
      </c>
      <c r="Z411" s="463">
        <v>85</v>
      </c>
      <c r="AA411" s="472" t="s">
        <v>1391</v>
      </c>
      <c r="AB411" s="463" t="s">
        <v>539</v>
      </c>
      <c r="AC411" s="463" t="s">
        <v>539</v>
      </c>
      <c r="AD411" s="472" t="s">
        <v>565</v>
      </c>
      <c r="AE411" s="463">
        <v>80</v>
      </c>
      <c r="AF411" s="463">
        <v>85</v>
      </c>
      <c r="AG411" s="463" t="s">
        <v>375</v>
      </c>
      <c r="AH411" s="476"/>
      <c r="AI411" s="472" t="s">
        <v>1392</v>
      </c>
      <c r="AJ411" s="464"/>
    </row>
    <row r="412" spans="2:36" ht="24" hidden="1" customHeight="1">
      <c r="B412" s="463">
        <v>333</v>
      </c>
      <c r="C412" s="464" t="s">
        <v>534</v>
      </c>
      <c r="D412" s="464"/>
      <c r="E412" s="464" t="s">
        <v>577</v>
      </c>
      <c r="F412" s="464"/>
      <c r="G412" s="464" t="s">
        <v>59</v>
      </c>
      <c r="H412" s="464" t="s">
        <v>1393</v>
      </c>
      <c r="I412" s="465" t="s">
        <v>537</v>
      </c>
      <c r="J412" s="465" t="s">
        <v>537</v>
      </c>
      <c r="K412" s="466">
        <v>40000</v>
      </c>
      <c r="L412" s="465" t="s">
        <v>537</v>
      </c>
      <c r="M412" s="465" t="s">
        <v>537</v>
      </c>
      <c r="N412" s="466">
        <v>28049</v>
      </c>
      <c r="O412" s="463" t="s">
        <v>537</v>
      </c>
      <c r="P412" s="463" t="s">
        <v>537</v>
      </c>
      <c r="Q412" s="468">
        <v>11951</v>
      </c>
      <c r="R412" s="463" t="s">
        <v>976</v>
      </c>
      <c r="S412" s="463" t="s">
        <v>1394</v>
      </c>
      <c r="T412" s="463">
        <v>0</v>
      </c>
      <c r="U412" s="463">
        <v>0</v>
      </c>
      <c r="V412" s="463">
        <v>0</v>
      </c>
      <c r="W412" s="463">
        <v>0</v>
      </c>
      <c r="X412" s="463">
        <v>0</v>
      </c>
      <c r="Y412" s="463">
        <v>0</v>
      </c>
      <c r="Z412" s="463">
        <v>0</v>
      </c>
      <c r="AA412" s="472" t="s">
        <v>1395</v>
      </c>
      <c r="AB412" s="463" t="s">
        <v>539</v>
      </c>
      <c r="AC412" s="463" t="s">
        <v>539</v>
      </c>
      <c r="AD412" s="472" t="s">
        <v>1396</v>
      </c>
      <c r="AE412" s="463" t="s">
        <v>539</v>
      </c>
      <c r="AF412" s="463" t="s">
        <v>539</v>
      </c>
      <c r="AG412" s="463" t="s">
        <v>375</v>
      </c>
      <c r="AH412" s="476"/>
      <c r="AI412" s="472" t="s">
        <v>1287</v>
      </c>
      <c r="AJ412" s="472" t="s">
        <v>543</v>
      </c>
    </row>
    <row r="413" spans="2:36" ht="24" hidden="1" customHeight="1">
      <c r="B413" s="463">
        <v>334</v>
      </c>
      <c r="C413" s="464" t="s">
        <v>534</v>
      </c>
      <c r="D413" s="464"/>
      <c r="E413" s="464" t="s">
        <v>577</v>
      </c>
      <c r="F413" s="464"/>
      <c r="G413" s="464" t="s">
        <v>59</v>
      </c>
      <c r="H413" s="464" t="s">
        <v>1397</v>
      </c>
      <c r="I413" s="465" t="s">
        <v>537</v>
      </c>
      <c r="J413" s="465" t="s">
        <v>537</v>
      </c>
      <c r="K413" s="466">
        <v>40000</v>
      </c>
      <c r="L413" s="465" t="s">
        <v>537</v>
      </c>
      <c r="M413" s="465" t="s">
        <v>537</v>
      </c>
      <c r="N413" s="466">
        <v>28710</v>
      </c>
      <c r="O413" s="463" t="s">
        <v>537</v>
      </c>
      <c r="P413" s="463" t="s">
        <v>537</v>
      </c>
      <c r="Q413" s="468">
        <v>11290</v>
      </c>
      <c r="R413" s="463" t="s">
        <v>976</v>
      </c>
      <c r="S413" s="463" t="s">
        <v>1398</v>
      </c>
      <c r="T413" s="463">
        <v>0</v>
      </c>
      <c r="U413" s="463">
        <v>0</v>
      </c>
      <c r="V413" s="463">
        <v>0</v>
      </c>
      <c r="W413" s="463">
        <v>0</v>
      </c>
      <c r="X413" s="463">
        <v>0</v>
      </c>
      <c r="Y413" s="463">
        <v>0</v>
      </c>
      <c r="Z413" s="463">
        <v>0</v>
      </c>
      <c r="AA413" s="472" t="s">
        <v>1395</v>
      </c>
      <c r="AB413" s="463" t="s">
        <v>539</v>
      </c>
      <c r="AC413" s="463" t="s">
        <v>539</v>
      </c>
      <c r="AD413" s="472" t="s">
        <v>1399</v>
      </c>
      <c r="AE413" s="463" t="s">
        <v>539</v>
      </c>
      <c r="AF413" s="463" t="s">
        <v>539</v>
      </c>
      <c r="AG413" s="463" t="s">
        <v>375</v>
      </c>
      <c r="AH413" s="476"/>
      <c r="AI413" s="472" t="s">
        <v>1287</v>
      </c>
      <c r="AJ413" s="472" t="s">
        <v>543</v>
      </c>
    </row>
    <row r="414" spans="2:36" ht="24" hidden="1" customHeight="1">
      <c r="B414" s="463">
        <v>335</v>
      </c>
      <c r="C414" s="464" t="s">
        <v>534</v>
      </c>
      <c r="D414" s="464"/>
      <c r="E414" s="464" t="s">
        <v>535</v>
      </c>
      <c r="F414" s="464"/>
      <c r="G414" s="464" t="s">
        <v>267</v>
      </c>
      <c r="H414" s="464" t="s">
        <v>1400</v>
      </c>
      <c r="I414" s="466">
        <v>100000</v>
      </c>
      <c r="J414" s="465" t="s">
        <v>537</v>
      </c>
      <c r="K414" s="465" t="s">
        <v>537</v>
      </c>
      <c r="L414" s="466">
        <v>98000</v>
      </c>
      <c r="M414" s="465" t="s">
        <v>537</v>
      </c>
      <c r="N414" s="465" t="s">
        <v>537</v>
      </c>
      <c r="O414" s="463" t="s">
        <v>537</v>
      </c>
      <c r="P414" s="463" t="s">
        <v>537</v>
      </c>
      <c r="Q414" s="468">
        <v>2000</v>
      </c>
      <c r="R414" s="463" t="s">
        <v>643</v>
      </c>
      <c r="S414" s="463" t="s">
        <v>1401</v>
      </c>
      <c r="T414" s="463">
        <v>0</v>
      </c>
      <c r="U414" s="463">
        <v>0</v>
      </c>
      <c r="V414" s="463">
        <v>0</v>
      </c>
      <c r="W414" s="463">
        <v>0</v>
      </c>
      <c r="X414" s="463">
        <v>0</v>
      </c>
      <c r="Y414" s="463">
        <v>0</v>
      </c>
      <c r="Z414" s="463">
        <v>98.88</v>
      </c>
      <c r="AA414" s="472" t="s">
        <v>1402</v>
      </c>
      <c r="AB414" s="463" t="s">
        <v>539</v>
      </c>
      <c r="AC414" s="463" t="s">
        <v>539</v>
      </c>
      <c r="AD414" s="472" t="s">
        <v>1403</v>
      </c>
      <c r="AE414" s="463">
        <v>80</v>
      </c>
      <c r="AF414" s="463">
        <v>98.88</v>
      </c>
      <c r="AG414" s="463" t="s">
        <v>375</v>
      </c>
      <c r="AH414" s="476"/>
      <c r="AI414" s="472" t="s">
        <v>537</v>
      </c>
      <c r="AJ414" s="472" t="s">
        <v>537</v>
      </c>
    </row>
    <row r="415" spans="2:36" ht="24" hidden="1" customHeight="1">
      <c r="B415" s="463">
        <v>336</v>
      </c>
      <c r="C415" s="464" t="s">
        <v>534</v>
      </c>
      <c r="D415" s="464"/>
      <c r="E415" s="464" t="s">
        <v>535</v>
      </c>
      <c r="F415" s="464"/>
      <c r="G415" s="464" t="s">
        <v>267</v>
      </c>
      <c r="H415" s="464" t="s">
        <v>1404</v>
      </c>
      <c r="I415" s="466">
        <v>430000</v>
      </c>
      <c r="J415" s="465" t="s">
        <v>537</v>
      </c>
      <c r="K415" s="465" t="s">
        <v>537</v>
      </c>
      <c r="L415" s="466">
        <v>321940</v>
      </c>
      <c r="M415" s="465" t="s">
        <v>537</v>
      </c>
      <c r="N415" s="465" t="s">
        <v>537</v>
      </c>
      <c r="O415" s="463" t="s">
        <v>537</v>
      </c>
      <c r="P415" s="463" t="s">
        <v>537</v>
      </c>
      <c r="Q415" s="468">
        <v>108060</v>
      </c>
      <c r="R415" s="463" t="s">
        <v>646</v>
      </c>
      <c r="S415" s="463" t="s">
        <v>1405</v>
      </c>
      <c r="T415" s="463">
        <v>0</v>
      </c>
      <c r="U415" s="463">
        <v>63</v>
      </c>
      <c r="V415" s="463">
        <v>0</v>
      </c>
      <c r="W415" s="463">
        <v>0</v>
      </c>
      <c r="X415" s="463">
        <v>53</v>
      </c>
      <c r="Y415" s="463">
        <v>5</v>
      </c>
      <c r="Z415" s="463">
        <v>87.5</v>
      </c>
      <c r="AA415" s="472" t="s">
        <v>547</v>
      </c>
      <c r="AB415" s="463" t="s">
        <v>539</v>
      </c>
      <c r="AC415" s="463" t="s">
        <v>539</v>
      </c>
      <c r="AD415" s="472" t="s">
        <v>548</v>
      </c>
      <c r="AE415" s="463">
        <v>80</v>
      </c>
      <c r="AF415" s="463">
        <v>80</v>
      </c>
      <c r="AG415" s="463" t="s">
        <v>375</v>
      </c>
      <c r="AH415" s="476"/>
      <c r="AI415" s="472" t="s">
        <v>1406</v>
      </c>
      <c r="AJ415" s="464"/>
    </row>
    <row r="416" spans="2:36" ht="24" hidden="1" customHeight="1">
      <c r="B416" s="463">
        <v>337</v>
      </c>
      <c r="C416" s="464" t="s">
        <v>534</v>
      </c>
      <c r="D416" s="464"/>
      <c r="E416" s="464" t="s">
        <v>535</v>
      </c>
      <c r="F416" s="464"/>
      <c r="G416" s="464" t="s">
        <v>267</v>
      </c>
      <c r="H416" s="464" t="s">
        <v>1407</v>
      </c>
      <c r="I416" s="466">
        <v>200000</v>
      </c>
      <c r="J416" s="465" t="s">
        <v>537</v>
      </c>
      <c r="K416" s="465" t="s">
        <v>537</v>
      </c>
      <c r="L416" s="466">
        <v>169080</v>
      </c>
      <c r="M416" s="465" t="s">
        <v>537</v>
      </c>
      <c r="N416" s="465" t="s">
        <v>537</v>
      </c>
      <c r="O416" s="463" t="s">
        <v>537</v>
      </c>
      <c r="P416" s="463" t="s">
        <v>537</v>
      </c>
      <c r="Q416" s="468">
        <v>30920</v>
      </c>
      <c r="R416" s="463" t="s">
        <v>646</v>
      </c>
      <c r="S416" s="463" t="s">
        <v>1408</v>
      </c>
      <c r="T416" s="463">
        <v>0</v>
      </c>
      <c r="U416" s="463">
        <v>80</v>
      </c>
      <c r="V416" s="463">
        <v>0</v>
      </c>
      <c r="W416" s="463">
        <v>0</v>
      </c>
      <c r="X416" s="463">
        <v>76</v>
      </c>
      <c r="Y416" s="463">
        <v>0</v>
      </c>
      <c r="Z416" s="464"/>
      <c r="AA416" s="472" t="s">
        <v>547</v>
      </c>
      <c r="AB416" s="463" t="s">
        <v>539</v>
      </c>
      <c r="AC416" s="463" t="s">
        <v>539</v>
      </c>
      <c r="AD416" s="472" t="s">
        <v>548</v>
      </c>
      <c r="AE416" s="463">
        <v>80</v>
      </c>
      <c r="AF416" s="463">
        <v>89.62</v>
      </c>
      <c r="AG416" s="463" t="s">
        <v>375</v>
      </c>
      <c r="AH416" s="476"/>
      <c r="AI416" s="472">
        <v>887913774</v>
      </c>
      <c r="AJ416" s="464"/>
    </row>
    <row r="417" spans="2:36" ht="24" hidden="1" customHeight="1">
      <c r="B417" s="701">
        <v>338</v>
      </c>
      <c r="C417" s="699" t="s">
        <v>534</v>
      </c>
      <c r="D417" s="699"/>
      <c r="E417" s="699" t="s">
        <v>535</v>
      </c>
      <c r="F417" s="699"/>
      <c r="G417" s="699" t="s">
        <v>189</v>
      </c>
      <c r="H417" s="699" t="s">
        <v>1409</v>
      </c>
      <c r="I417" s="709" t="s">
        <v>537</v>
      </c>
      <c r="J417" s="712">
        <v>60000</v>
      </c>
      <c r="K417" s="709" t="s">
        <v>537</v>
      </c>
      <c r="L417" s="709" t="s">
        <v>537</v>
      </c>
      <c r="M417" s="712">
        <v>60000</v>
      </c>
      <c r="N417" s="709" t="s">
        <v>537</v>
      </c>
      <c r="O417" s="701" t="s">
        <v>537</v>
      </c>
      <c r="P417" s="701" t="s">
        <v>537</v>
      </c>
      <c r="Q417" s="709">
        <v>0</v>
      </c>
      <c r="R417" s="707">
        <v>241671</v>
      </c>
      <c r="S417" s="721">
        <v>22545</v>
      </c>
      <c r="T417" s="701">
        <v>0</v>
      </c>
      <c r="U417" s="701">
        <v>15</v>
      </c>
      <c r="V417" s="701">
        <v>0</v>
      </c>
      <c r="W417" s="699"/>
      <c r="X417" s="701">
        <v>15</v>
      </c>
      <c r="Y417" s="699"/>
      <c r="Z417" s="701">
        <v>90</v>
      </c>
      <c r="AA417" s="458" t="s">
        <v>547</v>
      </c>
      <c r="AB417" s="459" t="s">
        <v>539</v>
      </c>
      <c r="AC417" s="459" t="s">
        <v>1040</v>
      </c>
      <c r="AD417" s="458" t="s">
        <v>548</v>
      </c>
      <c r="AE417" s="459">
        <v>80</v>
      </c>
      <c r="AF417" s="459">
        <v>90</v>
      </c>
      <c r="AG417" s="701" t="s">
        <v>375</v>
      </c>
      <c r="AH417" s="728"/>
      <c r="AI417" s="697">
        <v>74317126</v>
      </c>
      <c r="AJ417" s="699"/>
    </row>
    <row r="418" spans="2:36" ht="24" hidden="1" customHeight="1">
      <c r="B418" s="702"/>
      <c r="C418" s="700"/>
      <c r="D418" s="700"/>
      <c r="E418" s="700"/>
      <c r="F418" s="700"/>
      <c r="G418" s="700"/>
      <c r="H418" s="700"/>
      <c r="I418" s="710"/>
      <c r="J418" s="713"/>
      <c r="K418" s="710"/>
      <c r="L418" s="710"/>
      <c r="M418" s="713"/>
      <c r="N418" s="710"/>
      <c r="O418" s="702"/>
      <c r="P418" s="702"/>
      <c r="Q418" s="710"/>
      <c r="R418" s="708"/>
      <c r="S418" s="722"/>
      <c r="T418" s="702"/>
      <c r="U418" s="702"/>
      <c r="V418" s="702"/>
      <c r="W418" s="700"/>
      <c r="X418" s="702"/>
      <c r="Y418" s="700"/>
      <c r="Z418" s="702"/>
      <c r="AA418" s="473" t="s">
        <v>1410</v>
      </c>
      <c r="AB418" s="474" t="s">
        <v>539</v>
      </c>
      <c r="AC418" s="474" t="s">
        <v>1040</v>
      </c>
      <c r="AD418" s="473" t="s">
        <v>1411</v>
      </c>
      <c r="AE418" s="474">
        <v>15</v>
      </c>
      <c r="AF418" s="474">
        <v>15</v>
      </c>
      <c r="AG418" s="702"/>
      <c r="AH418" s="729"/>
      <c r="AI418" s="698"/>
      <c r="AJ418" s="700"/>
    </row>
    <row r="419" spans="2:36" ht="24" hidden="1" customHeight="1">
      <c r="B419" s="463">
        <v>339</v>
      </c>
      <c r="C419" s="464" t="s">
        <v>534</v>
      </c>
      <c r="D419" s="464"/>
      <c r="E419" s="464" t="s">
        <v>535</v>
      </c>
      <c r="F419" s="464"/>
      <c r="G419" s="464" t="s">
        <v>189</v>
      </c>
      <c r="H419" s="464" t="s">
        <v>1412</v>
      </c>
      <c r="I419" s="465" t="s">
        <v>537</v>
      </c>
      <c r="J419" s="466">
        <v>150000</v>
      </c>
      <c r="K419" s="465" t="s">
        <v>537</v>
      </c>
      <c r="L419" s="465" t="s">
        <v>537</v>
      </c>
      <c r="M419" s="466">
        <v>149800</v>
      </c>
      <c r="N419" s="465" t="s">
        <v>537</v>
      </c>
      <c r="O419" s="463" t="s">
        <v>537</v>
      </c>
      <c r="P419" s="463" t="s">
        <v>537</v>
      </c>
      <c r="Q419" s="465">
        <v>200</v>
      </c>
      <c r="R419" s="470">
        <v>241671</v>
      </c>
      <c r="S419" s="471">
        <v>22545</v>
      </c>
      <c r="T419" s="463">
        <v>0</v>
      </c>
      <c r="U419" s="463">
        <v>264</v>
      </c>
      <c r="V419" s="463">
        <v>0</v>
      </c>
      <c r="W419" s="464"/>
      <c r="X419" s="463">
        <v>318</v>
      </c>
      <c r="Y419" s="464"/>
      <c r="Z419" s="463">
        <v>90</v>
      </c>
      <c r="AA419" s="472" t="s">
        <v>1413</v>
      </c>
      <c r="AB419" s="463" t="s">
        <v>539</v>
      </c>
      <c r="AC419" s="463" t="s">
        <v>539</v>
      </c>
      <c r="AD419" s="472" t="s">
        <v>548</v>
      </c>
      <c r="AE419" s="463">
        <v>80</v>
      </c>
      <c r="AF419" s="463">
        <v>90</v>
      </c>
      <c r="AG419" s="463" t="s">
        <v>375</v>
      </c>
      <c r="AH419" s="476"/>
      <c r="AI419" s="472">
        <v>74317126</v>
      </c>
      <c r="AJ419" s="464"/>
    </row>
    <row r="420" spans="2:36" ht="24" hidden="1" customHeight="1">
      <c r="B420" s="701">
        <v>340</v>
      </c>
      <c r="C420" s="699" t="s">
        <v>534</v>
      </c>
      <c r="D420" s="699"/>
      <c r="E420" s="699" t="s">
        <v>535</v>
      </c>
      <c r="F420" s="699"/>
      <c r="G420" s="699" t="s">
        <v>189</v>
      </c>
      <c r="H420" s="699" t="s">
        <v>1414</v>
      </c>
      <c r="I420" s="712">
        <v>70000</v>
      </c>
      <c r="J420" s="709" t="s">
        <v>537</v>
      </c>
      <c r="K420" s="709" t="s">
        <v>537</v>
      </c>
      <c r="L420" s="712">
        <v>69950</v>
      </c>
      <c r="M420" s="709" t="s">
        <v>537</v>
      </c>
      <c r="N420" s="709" t="s">
        <v>537</v>
      </c>
      <c r="O420" s="701" t="s">
        <v>537</v>
      </c>
      <c r="P420" s="701" t="s">
        <v>537</v>
      </c>
      <c r="Q420" s="709">
        <v>50</v>
      </c>
      <c r="R420" s="701" t="s">
        <v>643</v>
      </c>
      <c r="S420" s="701" t="s">
        <v>969</v>
      </c>
      <c r="T420" s="701">
        <v>0</v>
      </c>
      <c r="U420" s="701">
        <v>100</v>
      </c>
      <c r="V420" s="701">
        <v>0</v>
      </c>
      <c r="W420" s="699"/>
      <c r="X420" s="701">
        <v>105</v>
      </c>
      <c r="Y420" s="699"/>
      <c r="Z420" s="701">
        <v>90</v>
      </c>
      <c r="AA420" s="458" t="s">
        <v>547</v>
      </c>
      <c r="AB420" s="459" t="s">
        <v>539</v>
      </c>
      <c r="AC420" s="459" t="s">
        <v>1040</v>
      </c>
      <c r="AD420" s="458" t="s">
        <v>1075</v>
      </c>
      <c r="AE420" s="459" t="s">
        <v>539</v>
      </c>
      <c r="AF420" s="459" t="s">
        <v>1040</v>
      </c>
      <c r="AG420" s="701" t="s">
        <v>376</v>
      </c>
      <c r="AH420" s="728"/>
      <c r="AI420" s="697" t="s">
        <v>1415</v>
      </c>
      <c r="AJ420" s="699"/>
    </row>
    <row r="421" spans="2:36" ht="24" hidden="1" customHeight="1">
      <c r="B421" s="702"/>
      <c r="C421" s="700"/>
      <c r="D421" s="700"/>
      <c r="E421" s="700"/>
      <c r="F421" s="700"/>
      <c r="G421" s="700"/>
      <c r="H421" s="700"/>
      <c r="I421" s="713"/>
      <c r="J421" s="710"/>
      <c r="K421" s="710"/>
      <c r="L421" s="713"/>
      <c r="M421" s="710"/>
      <c r="N421" s="710"/>
      <c r="O421" s="702"/>
      <c r="P421" s="702"/>
      <c r="Q421" s="710"/>
      <c r="R421" s="702"/>
      <c r="S421" s="702"/>
      <c r="T421" s="702"/>
      <c r="U421" s="702"/>
      <c r="V421" s="702"/>
      <c r="W421" s="700"/>
      <c r="X421" s="702"/>
      <c r="Y421" s="700"/>
      <c r="Z421" s="702"/>
      <c r="AA421" s="473" t="s">
        <v>1416</v>
      </c>
      <c r="AB421" s="474">
        <v>80</v>
      </c>
      <c r="AC421" s="474">
        <v>90</v>
      </c>
      <c r="AD421" s="473" t="s">
        <v>1417</v>
      </c>
      <c r="AE421" s="474">
        <v>85</v>
      </c>
      <c r="AF421" s="474">
        <v>100</v>
      </c>
      <c r="AG421" s="702"/>
      <c r="AH421" s="729"/>
      <c r="AI421" s="698"/>
      <c r="AJ421" s="700"/>
    </row>
    <row r="422" spans="2:36" ht="24" hidden="1" customHeight="1">
      <c r="B422" s="701">
        <v>341</v>
      </c>
      <c r="C422" s="699" t="s">
        <v>534</v>
      </c>
      <c r="D422" s="699"/>
      <c r="E422" s="699" t="s">
        <v>535</v>
      </c>
      <c r="F422" s="699"/>
      <c r="G422" s="699" t="s">
        <v>189</v>
      </c>
      <c r="H422" s="699" t="s">
        <v>1418</v>
      </c>
      <c r="I422" s="712">
        <v>50000</v>
      </c>
      <c r="J422" s="709" t="s">
        <v>537</v>
      </c>
      <c r="K422" s="709" t="s">
        <v>537</v>
      </c>
      <c r="L422" s="712">
        <v>50000</v>
      </c>
      <c r="M422" s="709" t="s">
        <v>537</v>
      </c>
      <c r="N422" s="709" t="s">
        <v>537</v>
      </c>
      <c r="O422" s="701" t="s">
        <v>537</v>
      </c>
      <c r="P422" s="701" t="s">
        <v>537</v>
      </c>
      <c r="Q422" s="709">
        <v>0</v>
      </c>
      <c r="R422" s="707">
        <v>241609</v>
      </c>
      <c r="S422" s="701" t="s">
        <v>1387</v>
      </c>
      <c r="T422" s="701">
        <v>0</v>
      </c>
      <c r="U422" s="701">
        <v>48</v>
      </c>
      <c r="V422" s="701">
        <v>0</v>
      </c>
      <c r="W422" s="699"/>
      <c r="X422" s="701">
        <v>48</v>
      </c>
      <c r="Y422" s="699"/>
      <c r="Z422" s="701">
        <v>90</v>
      </c>
      <c r="AA422" s="458" t="s">
        <v>547</v>
      </c>
      <c r="AB422" s="459" t="s">
        <v>539</v>
      </c>
      <c r="AC422" s="459" t="s">
        <v>1040</v>
      </c>
      <c r="AD422" s="697" t="s">
        <v>548</v>
      </c>
      <c r="AE422" s="701">
        <v>80</v>
      </c>
      <c r="AF422" s="701">
        <v>90</v>
      </c>
      <c r="AG422" s="701" t="s">
        <v>375</v>
      </c>
      <c r="AH422" s="728"/>
      <c r="AI422" s="697">
        <v>887916173</v>
      </c>
      <c r="AJ422" s="699"/>
    </row>
    <row r="423" spans="2:36" ht="24" hidden="1" customHeight="1">
      <c r="B423" s="702"/>
      <c r="C423" s="700"/>
      <c r="D423" s="700"/>
      <c r="E423" s="700"/>
      <c r="F423" s="700"/>
      <c r="G423" s="700"/>
      <c r="H423" s="700"/>
      <c r="I423" s="713"/>
      <c r="J423" s="710"/>
      <c r="K423" s="710"/>
      <c r="L423" s="713"/>
      <c r="M423" s="710"/>
      <c r="N423" s="710"/>
      <c r="O423" s="702"/>
      <c r="P423" s="702"/>
      <c r="Q423" s="710"/>
      <c r="R423" s="708"/>
      <c r="S423" s="702"/>
      <c r="T423" s="702"/>
      <c r="U423" s="702"/>
      <c r="V423" s="702"/>
      <c r="W423" s="700"/>
      <c r="X423" s="702"/>
      <c r="Y423" s="700"/>
      <c r="Z423" s="702"/>
      <c r="AA423" s="473" t="s">
        <v>1419</v>
      </c>
      <c r="AB423" s="474" t="s">
        <v>539</v>
      </c>
      <c r="AC423" s="474" t="s">
        <v>1040</v>
      </c>
      <c r="AD423" s="698"/>
      <c r="AE423" s="702"/>
      <c r="AF423" s="702"/>
      <c r="AG423" s="702"/>
      <c r="AH423" s="729"/>
      <c r="AI423" s="698"/>
      <c r="AJ423" s="700"/>
    </row>
    <row r="424" spans="2:36" ht="24" hidden="1" customHeight="1">
      <c r="B424" s="463">
        <v>342</v>
      </c>
      <c r="C424" s="464" t="s">
        <v>534</v>
      </c>
      <c r="D424" s="464"/>
      <c r="E424" s="464" t="s">
        <v>535</v>
      </c>
      <c r="F424" s="464"/>
      <c r="G424" s="464" t="s">
        <v>189</v>
      </c>
      <c r="H424" s="464" t="s">
        <v>1420</v>
      </c>
      <c r="I424" s="466">
        <v>200000</v>
      </c>
      <c r="J424" s="465" t="s">
        <v>537</v>
      </c>
      <c r="K424" s="465" t="s">
        <v>537</v>
      </c>
      <c r="L424" s="466">
        <v>200000</v>
      </c>
      <c r="M424" s="465" t="s">
        <v>537</v>
      </c>
      <c r="N424" s="465" t="s">
        <v>537</v>
      </c>
      <c r="O424" s="463" t="s">
        <v>537</v>
      </c>
      <c r="P424" s="463" t="s">
        <v>537</v>
      </c>
      <c r="Q424" s="465">
        <v>0</v>
      </c>
      <c r="R424" s="470">
        <v>241609</v>
      </c>
      <c r="S424" s="463" t="s">
        <v>1421</v>
      </c>
      <c r="T424" s="463">
        <v>0</v>
      </c>
      <c r="U424" s="463">
        <v>135</v>
      </c>
      <c r="V424" s="463">
        <v>0</v>
      </c>
      <c r="W424" s="464"/>
      <c r="X424" s="463">
        <v>145</v>
      </c>
      <c r="Y424" s="464"/>
      <c r="Z424" s="463">
        <v>95</v>
      </c>
      <c r="AA424" s="472" t="s">
        <v>547</v>
      </c>
      <c r="AB424" s="463" t="s">
        <v>539</v>
      </c>
      <c r="AC424" s="463" t="s">
        <v>1040</v>
      </c>
      <c r="AD424" s="472" t="s">
        <v>548</v>
      </c>
      <c r="AE424" s="463">
        <v>80</v>
      </c>
      <c r="AF424" s="463">
        <v>90</v>
      </c>
      <c r="AG424" s="463" t="s">
        <v>375</v>
      </c>
      <c r="AH424" s="476"/>
      <c r="AI424" s="472" t="s">
        <v>1415</v>
      </c>
      <c r="AJ424" s="464"/>
    </row>
    <row r="425" spans="2:36" ht="24" hidden="1" customHeight="1">
      <c r="B425" s="463">
        <v>343</v>
      </c>
      <c r="C425" s="464" t="s">
        <v>534</v>
      </c>
      <c r="D425" s="464"/>
      <c r="E425" s="464" t="s">
        <v>535</v>
      </c>
      <c r="F425" s="464"/>
      <c r="G425" s="464" t="s">
        <v>189</v>
      </c>
      <c r="H425" s="464" t="s">
        <v>1422</v>
      </c>
      <c r="I425" s="466">
        <v>100000</v>
      </c>
      <c r="J425" s="465" t="s">
        <v>537</v>
      </c>
      <c r="K425" s="465" t="s">
        <v>537</v>
      </c>
      <c r="L425" s="466">
        <v>155000</v>
      </c>
      <c r="M425" s="465" t="s">
        <v>537</v>
      </c>
      <c r="N425" s="465" t="s">
        <v>537</v>
      </c>
      <c r="O425" s="463" t="s">
        <v>537</v>
      </c>
      <c r="P425" s="467">
        <v>55000</v>
      </c>
      <c r="Q425" s="465">
        <v>0</v>
      </c>
      <c r="R425" s="470">
        <v>241640</v>
      </c>
      <c r="S425" s="463" t="s">
        <v>1423</v>
      </c>
      <c r="T425" s="463">
        <v>0</v>
      </c>
      <c r="U425" s="463">
        <v>50</v>
      </c>
      <c r="V425" s="463">
        <v>7</v>
      </c>
      <c r="W425" s="464"/>
      <c r="X425" s="463">
        <v>40</v>
      </c>
      <c r="Y425" s="464"/>
      <c r="Z425" s="463">
        <v>90</v>
      </c>
      <c r="AA425" s="472" t="s">
        <v>547</v>
      </c>
      <c r="AB425" s="463" t="s">
        <v>539</v>
      </c>
      <c r="AC425" s="463" t="s">
        <v>1040</v>
      </c>
      <c r="AD425" s="472" t="s">
        <v>548</v>
      </c>
      <c r="AE425" s="463">
        <v>80</v>
      </c>
      <c r="AF425" s="463">
        <v>90</v>
      </c>
      <c r="AG425" s="463" t="s">
        <v>375</v>
      </c>
      <c r="AH425" s="476"/>
      <c r="AI425" s="472">
        <v>74317126</v>
      </c>
      <c r="AJ425" s="464"/>
    </row>
    <row r="426" spans="2:36" ht="24" hidden="1" customHeight="1">
      <c r="B426" s="463">
        <v>344</v>
      </c>
      <c r="C426" s="464" t="s">
        <v>534</v>
      </c>
      <c r="D426" s="464"/>
      <c r="E426" s="464" t="s">
        <v>535</v>
      </c>
      <c r="F426" s="464"/>
      <c r="G426" s="464" t="s">
        <v>189</v>
      </c>
      <c r="H426" s="464" t="s">
        <v>1424</v>
      </c>
      <c r="I426" s="466">
        <v>200000</v>
      </c>
      <c r="J426" s="465" t="s">
        <v>537</v>
      </c>
      <c r="K426" s="465" t="s">
        <v>537</v>
      </c>
      <c r="L426" s="466">
        <v>177360</v>
      </c>
      <c r="M426" s="465" t="s">
        <v>537</v>
      </c>
      <c r="N426" s="465" t="s">
        <v>537</v>
      </c>
      <c r="O426" s="463" t="s">
        <v>537</v>
      </c>
      <c r="P426" s="463" t="s">
        <v>537</v>
      </c>
      <c r="Q426" s="468">
        <v>22640</v>
      </c>
      <c r="R426" s="470">
        <v>241640</v>
      </c>
      <c r="S426" s="463" t="s">
        <v>1425</v>
      </c>
      <c r="T426" s="463">
        <v>0</v>
      </c>
      <c r="U426" s="463">
        <v>60</v>
      </c>
      <c r="V426" s="463">
        <v>0</v>
      </c>
      <c r="W426" s="463">
        <v>0</v>
      </c>
      <c r="X426" s="463">
        <v>54</v>
      </c>
      <c r="Y426" s="463">
        <v>0</v>
      </c>
      <c r="Z426" s="463">
        <v>90</v>
      </c>
      <c r="AA426" s="472" t="s">
        <v>547</v>
      </c>
      <c r="AB426" s="463" t="s">
        <v>539</v>
      </c>
      <c r="AC426" s="463" t="s">
        <v>539</v>
      </c>
      <c r="AD426" s="472" t="s">
        <v>548</v>
      </c>
      <c r="AE426" s="463" t="s">
        <v>539</v>
      </c>
      <c r="AF426" s="463" t="s">
        <v>539</v>
      </c>
      <c r="AG426" s="463" t="s">
        <v>375</v>
      </c>
      <c r="AH426" s="476"/>
      <c r="AI426" s="472">
        <v>74317126</v>
      </c>
      <c r="AJ426" s="464"/>
    </row>
    <row r="427" spans="2:36" ht="24" hidden="1" customHeight="1">
      <c r="B427" s="463">
        <v>345</v>
      </c>
      <c r="C427" s="464" t="s">
        <v>534</v>
      </c>
      <c r="D427" s="464"/>
      <c r="E427" s="464" t="s">
        <v>535</v>
      </c>
      <c r="F427" s="464"/>
      <c r="G427" s="464" t="s">
        <v>189</v>
      </c>
      <c r="H427" s="464" t="s">
        <v>1426</v>
      </c>
      <c r="I427" s="465" t="s">
        <v>537</v>
      </c>
      <c r="J427" s="465" t="s">
        <v>537</v>
      </c>
      <c r="K427" s="466">
        <v>150000</v>
      </c>
      <c r="L427" s="465" t="s">
        <v>537</v>
      </c>
      <c r="M427" s="465" t="s">
        <v>537</v>
      </c>
      <c r="N427" s="466">
        <v>270274</v>
      </c>
      <c r="O427" s="463" t="s">
        <v>537</v>
      </c>
      <c r="P427" s="463" t="s">
        <v>537</v>
      </c>
      <c r="Q427" s="468">
        <v>-120274</v>
      </c>
      <c r="R427" s="470">
        <v>241579</v>
      </c>
      <c r="S427" s="463" t="s">
        <v>1427</v>
      </c>
      <c r="T427" s="463">
        <v>0</v>
      </c>
      <c r="U427" s="463">
        <v>10</v>
      </c>
      <c r="V427" s="463">
        <v>0</v>
      </c>
      <c r="W427" s="464"/>
      <c r="X427" s="463">
        <v>10</v>
      </c>
      <c r="Y427" s="464"/>
      <c r="Z427" s="463">
        <v>90</v>
      </c>
      <c r="AA427" s="472" t="s">
        <v>1428</v>
      </c>
      <c r="AB427" s="463">
        <v>80</v>
      </c>
      <c r="AC427" s="463">
        <v>90</v>
      </c>
      <c r="AD427" s="472" t="s">
        <v>1429</v>
      </c>
      <c r="AE427" s="463">
        <v>80</v>
      </c>
      <c r="AF427" s="463">
        <v>90</v>
      </c>
      <c r="AG427" s="463" t="s">
        <v>375</v>
      </c>
      <c r="AH427" s="476"/>
      <c r="AI427" s="472">
        <v>74317126</v>
      </c>
      <c r="AJ427" s="472" t="s">
        <v>543</v>
      </c>
    </row>
    <row r="428" spans="2:36" ht="24" hidden="1" customHeight="1">
      <c r="B428" s="463">
        <v>346</v>
      </c>
      <c r="C428" s="464" t="s">
        <v>534</v>
      </c>
      <c r="D428" s="464"/>
      <c r="E428" s="464" t="s">
        <v>535</v>
      </c>
      <c r="F428" s="464"/>
      <c r="G428" s="464" t="s">
        <v>189</v>
      </c>
      <c r="H428" s="464" t="s">
        <v>1430</v>
      </c>
      <c r="I428" s="465" t="s">
        <v>537</v>
      </c>
      <c r="J428" s="465" t="s">
        <v>537</v>
      </c>
      <c r="K428" s="466">
        <v>150000</v>
      </c>
      <c r="L428" s="465" t="s">
        <v>537</v>
      </c>
      <c r="M428" s="465" t="s">
        <v>537</v>
      </c>
      <c r="N428" s="466">
        <v>135925</v>
      </c>
      <c r="O428" s="463" t="s">
        <v>537</v>
      </c>
      <c r="P428" s="463" t="s">
        <v>537</v>
      </c>
      <c r="Q428" s="468">
        <v>14075</v>
      </c>
      <c r="R428" s="463" t="s">
        <v>1431</v>
      </c>
      <c r="S428" s="463" t="s">
        <v>1432</v>
      </c>
      <c r="T428" s="463">
        <v>0</v>
      </c>
      <c r="U428" s="463">
        <v>10</v>
      </c>
      <c r="V428" s="463">
        <v>0</v>
      </c>
      <c r="W428" s="464"/>
      <c r="X428" s="463">
        <v>14</v>
      </c>
      <c r="Y428" s="464"/>
      <c r="Z428" s="463">
        <v>90</v>
      </c>
      <c r="AA428" s="472" t="s">
        <v>1428</v>
      </c>
      <c r="AB428" s="463">
        <v>80</v>
      </c>
      <c r="AC428" s="463">
        <v>90</v>
      </c>
      <c r="AD428" s="472" t="s">
        <v>1429</v>
      </c>
      <c r="AE428" s="463">
        <v>80</v>
      </c>
      <c r="AF428" s="463">
        <v>90</v>
      </c>
      <c r="AG428" s="463" t="s">
        <v>375</v>
      </c>
      <c r="AH428" s="476"/>
      <c r="AI428" s="472">
        <v>74317126</v>
      </c>
      <c r="AJ428" s="472" t="s">
        <v>543</v>
      </c>
    </row>
    <row r="429" spans="2:36" ht="24" hidden="1" customHeight="1">
      <c r="B429" s="463">
        <v>347</v>
      </c>
      <c r="C429" s="464" t="s">
        <v>534</v>
      </c>
      <c r="D429" s="464"/>
      <c r="E429" s="464" t="s">
        <v>535</v>
      </c>
      <c r="F429" s="464"/>
      <c r="G429" s="464" t="s">
        <v>189</v>
      </c>
      <c r="H429" s="464" t="s">
        <v>1433</v>
      </c>
      <c r="I429" s="465" t="s">
        <v>537</v>
      </c>
      <c r="J429" s="465" t="s">
        <v>537</v>
      </c>
      <c r="K429" s="466">
        <v>131400</v>
      </c>
      <c r="L429" s="465" t="s">
        <v>537</v>
      </c>
      <c r="M429" s="465" t="s">
        <v>537</v>
      </c>
      <c r="N429" s="465">
        <v>0</v>
      </c>
      <c r="O429" s="463" t="s">
        <v>537</v>
      </c>
      <c r="P429" s="463" t="s">
        <v>537</v>
      </c>
      <c r="Q429" s="468">
        <v>131400</v>
      </c>
      <c r="R429" s="470">
        <v>241609</v>
      </c>
      <c r="S429" s="463" t="s">
        <v>1434</v>
      </c>
      <c r="T429" s="463">
        <v>0</v>
      </c>
      <c r="U429" s="463">
        <v>90</v>
      </c>
      <c r="V429" s="463">
        <v>0</v>
      </c>
      <c r="W429" s="464"/>
      <c r="X429" s="463">
        <v>90</v>
      </c>
      <c r="Y429" s="464"/>
      <c r="Z429" s="463">
        <v>90</v>
      </c>
      <c r="AA429" s="472" t="s">
        <v>1435</v>
      </c>
      <c r="AB429" s="463">
        <v>80</v>
      </c>
      <c r="AC429" s="463">
        <v>90</v>
      </c>
      <c r="AD429" s="472" t="s">
        <v>1436</v>
      </c>
      <c r="AE429" s="463">
        <v>85</v>
      </c>
      <c r="AF429" s="463">
        <v>100</v>
      </c>
      <c r="AG429" s="463" t="s">
        <v>375</v>
      </c>
      <c r="AH429" s="476"/>
      <c r="AI429" s="472" t="s">
        <v>1415</v>
      </c>
      <c r="AJ429" s="472" t="s">
        <v>543</v>
      </c>
    </row>
    <row r="430" spans="2:36" ht="24" hidden="1" customHeight="1">
      <c r="B430" s="463">
        <v>348</v>
      </c>
      <c r="C430" s="464" t="s">
        <v>165</v>
      </c>
      <c r="D430" s="464"/>
      <c r="E430" s="464" t="s">
        <v>535</v>
      </c>
      <c r="F430" s="464"/>
      <c r="G430" s="464" t="s">
        <v>189</v>
      </c>
      <c r="H430" s="464" t="s">
        <v>1437</v>
      </c>
      <c r="I430" s="465" t="s">
        <v>537</v>
      </c>
      <c r="J430" s="465" t="s">
        <v>537</v>
      </c>
      <c r="K430" s="466">
        <v>55400</v>
      </c>
      <c r="L430" s="465" t="s">
        <v>537</v>
      </c>
      <c r="M430" s="465" t="s">
        <v>537</v>
      </c>
      <c r="N430" s="466">
        <v>35950</v>
      </c>
      <c r="O430" s="463" t="s">
        <v>537</v>
      </c>
      <c r="P430" s="463" t="s">
        <v>537</v>
      </c>
      <c r="Q430" s="468">
        <v>19450</v>
      </c>
      <c r="R430" s="470">
        <v>241459</v>
      </c>
      <c r="S430" s="471">
        <v>22321</v>
      </c>
      <c r="T430" s="463">
        <v>180</v>
      </c>
      <c r="U430" s="463">
        <v>59</v>
      </c>
      <c r="V430" s="463">
        <v>15</v>
      </c>
      <c r="W430" s="464"/>
      <c r="X430" s="463">
        <v>131</v>
      </c>
      <c r="Y430" s="464"/>
      <c r="Z430" s="463">
        <v>90</v>
      </c>
      <c r="AA430" s="472" t="s">
        <v>1438</v>
      </c>
      <c r="AB430" s="463">
        <v>80</v>
      </c>
      <c r="AC430" s="463">
        <v>90</v>
      </c>
      <c r="AD430" s="472" t="s">
        <v>1439</v>
      </c>
      <c r="AE430" s="463">
        <v>254</v>
      </c>
      <c r="AF430" s="463">
        <v>131</v>
      </c>
      <c r="AG430" s="463" t="s">
        <v>376</v>
      </c>
      <c r="AH430" s="476"/>
      <c r="AI430" s="472">
        <v>74317126</v>
      </c>
      <c r="AJ430" s="472" t="s">
        <v>543</v>
      </c>
    </row>
    <row r="431" spans="2:36" ht="24" hidden="1" customHeight="1">
      <c r="B431" s="463">
        <v>349</v>
      </c>
      <c r="C431" s="464" t="s">
        <v>165</v>
      </c>
      <c r="D431" s="464"/>
      <c r="E431" s="464" t="s">
        <v>535</v>
      </c>
      <c r="F431" s="464"/>
      <c r="G431" s="464" t="s">
        <v>44</v>
      </c>
      <c r="H431" s="464" t="s">
        <v>1440</v>
      </c>
      <c r="I431" s="465" t="s">
        <v>537</v>
      </c>
      <c r="J431" s="466">
        <v>5200</v>
      </c>
      <c r="K431" s="465" t="s">
        <v>537</v>
      </c>
      <c r="L431" s="465" t="s">
        <v>537</v>
      </c>
      <c r="M431" s="466">
        <v>5200</v>
      </c>
      <c r="N431" s="465" t="s">
        <v>537</v>
      </c>
      <c r="O431" s="463" t="s">
        <v>537</v>
      </c>
      <c r="P431" s="463" t="s">
        <v>537</v>
      </c>
      <c r="Q431" s="465">
        <v>0</v>
      </c>
      <c r="R431" s="470">
        <v>241609</v>
      </c>
      <c r="S431" s="471">
        <v>22483</v>
      </c>
      <c r="T431" s="463">
        <v>7</v>
      </c>
      <c r="U431" s="463">
        <v>4</v>
      </c>
      <c r="V431" s="463">
        <v>0</v>
      </c>
      <c r="W431" s="463">
        <v>7</v>
      </c>
      <c r="X431" s="463">
        <v>4</v>
      </c>
      <c r="Y431" s="464"/>
      <c r="Z431" s="463">
        <v>90.83</v>
      </c>
      <c r="AA431" s="472" t="s">
        <v>547</v>
      </c>
      <c r="AB431" s="463" t="s">
        <v>539</v>
      </c>
      <c r="AC431" s="463" t="s">
        <v>539</v>
      </c>
      <c r="AD431" s="472" t="s">
        <v>548</v>
      </c>
      <c r="AE431" s="463">
        <v>80</v>
      </c>
      <c r="AF431" s="463">
        <v>91.67</v>
      </c>
      <c r="AG431" s="463" t="s">
        <v>375</v>
      </c>
      <c r="AH431" s="476"/>
      <c r="AI431" s="472" t="s">
        <v>1441</v>
      </c>
      <c r="AJ431" s="464"/>
    </row>
    <row r="432" spans="2:36" ht="24" hidden="1" customHeight="1">
      <c r="B432" s="463">
        <v>350</v>
      </c>
      <c r="C432" s="464" t="s">
        <v>165</v>
      </c>
      <c r="D432" s="464"/>
      <c r="E432" s="464" t="s">
        <v>535</v>
      </c>
      <c r="F432" s="464"/>
      <c r="G432" s="464" t="s">
        <v>44</v>
      </c>
      <c r="H432" s="464" t="s">
        <v>1442</v>
      </c>
      <c r="I432" s="465" t="s">
        <v>537</v>
      </c>
      <c r="J432" s="466">
        <v>12000</v>
      </c>
      <c r="K432" s="465" t="s">
        <v>537</v>
      </c>
      <c r="L432" s="465" t="s">
        <v>537</v>
      </c>
      <c r="M432" s="466">
        <v>12000</v>
      </c>
      <c r="N432" s="465" t="s">
        <v>537</v>
      </c>
      <c r="O432" s="463" t="s">
        <v>537</v>
      </c>
      <c r="P432" s="463" t="s">
        <v>537</v>
      </c>
      <c r="Q432" s="465">
        <v>0</v>
      </c>
      <c r="R432" s="463" t="s">
        <v>1443</v>
      </c>
      <c r="S432" s="463" t="s">
        <v>1444</v>
      </c>
      <c r="T432" s="463">
        <v>20</v>
      </c>
      <c r="U432" s="463">
        <v>5</v>
      </c>
      <c r="V432" s="463">
        <v>0</v>
      </c>
      <c r="W432" s="463">
        <v>23</v>
      </c>
      <c r="X432" s="463">
        <v>7</v>
      </c>
      <c r="Y432" s="464"/>
      <c r="Z432" s="463">
        <v>85.13</v>
      </c>
      <c r="AA432" s="472" t="s">
        <v>547</v>
      </c>
      <c r="AB432" s="463" t="s">
        <v>539</v>
      </c>
      <c r="AC432" s="463" t="s">
        <v>539</v>
      </c>
      <c r="AD432" s="472" t="s">
        <v>548</v>
      </c>
      <c r="AE432" s="463">
        <v>80</v>
      </c>
      <c r="AF432" s="463">
        <v>90.5</v>
      </c>
      <c r="AG432" s="463" t="s">
        <v>375</v>
      </c>
      <c r="AH432" s="476"/>
      <c r="AI432" s="472" t="s">
        <v>1441</v>
      </c>
      <c r="AJ432" s="464"/>
    </row>
    <row r="433" spans="1:36" ht="24" customHeight="1">
      <c r="A433" s="452">
        <v>23</v>
      </c>
      <c r="B433" s="463">
        <v>351</v>
      </c>
      <c r="C433" s="464" t="s">
        <v>377</v>
      </c>
      <c r="D433" s="464"/>
      <c r="E433" s="464" t="s">
        <v>602</v>
      </c>
      <c r="F433" s="464"/>
      <c r="G433" s="464" t="s">
        <v>44</v>
      </c>
      <c r="H433" s="464" t="s">
        <v>1445</v>
      </c>
      <c r="I433" s="466">
        <v>75000</v>
      </c>
      <c r="J433" s="465" t="s">
        <v>537</v>
      </c>
      <c r="K433" s="465" t="s">
        <v>537</v>
      </c>
      <c r="L433" s="466">
        <v>62400</v>
      </c>
      <c r="M433" s="465" t="s">
        <v>537</v>
      </c>
      <c r="N433" s="465" t="s">
        <v>537</v>
      </c>
      <c r="O433" s="463" t="s">
        <v>537</v>
      </c>
      <c r="P433" s="463" t="s">
        <v>537</v>
      </c>
      <c r="Q433" s="468">
        <v>12600</v>
      </c>
      <c r="R433" s="470">
        <v>241487</v>
      </c>
      <c r="S433" s="463" t="s">
        <v>874</v>
      </c>
      <c r="T433" s="463">
        <v>50</v>
      </c>
      <c r="U433" s="463">
        <v>10</v>
      </c>
      <c r="V433" s="463">
        <v>1</v>
      </c>
      <c r="W433" s="463">
        <v>90</v>
      </c>
      <c r="X433" s="463">
        <v>10</v>
      </c>
      <c r="Y433" s="463">
        <v>0</v>
      </c>
      <c r="Z433" s="463">
        <v>86.5</v>
      </c>
      <c r="AA433" s="472" t="s">
        <v>612</v>
      </c>
      <c r="AB433" s="463" t="s">
        <v>539</v>
      </c>
      <c r="AC433" s="463" t="s">
        <v>539</v>
      </c>
      <c r="AD433" s="472" t="s">
        <v>565</v>
      </c>
      <c r="AE433" s="463">
        <v>80</v>
      </c>
      <c r="AF433" s="463">
        <v>86.5</v>
      </c>
      <c r="AG433" s="463" t="s">
        <v>375</v>
      </c>
      <c r="AH433" s="476"/>
      <c r="AI433" s="472" t="s">
        <v>1446</v>
      </c>
      <c r="AJ433" s="464"/>
    </row>
    <row r="434" spans="1:36" ht="24" customHeight="1">
      <c r="A434" s="452">
        <v>24</v>
      </c>
      <c r="B434" s="463">
        <v>352</v>
      </c>
      <c r="C434" s="464" t="s">
        <v>377</v>
      </c>
      <c r="D434" s="464"/>
      <c r="E434" s="464" t="s">
        <v>602</v>
      </c>
      <c r="F434" s="464"/>
      <c r="G434" s="464" t="s">
        <v>44</v>
      </c>
      <c r="H434" s="464" t="s">
        <v>1447</v>
      </c>
      <c r="I434" s="465" t="s">
        <v>537</v>
      </c>
      <c r="J434" s="465" t="s">
        <v>537</v>
      </c>
      <c r="K434" s="466">
        <v>97200</v>
      </c>
      <c r="L434" s="465" t="s">
        <v>537</v>
      </c>
      <c r="M434" s="465" t="s">
        <v>537</v>
      </c>
      <c r="N434" s="466">
        <v>61700</v>
      </c>
      <c r="O434" s="463" t="s">
        <v>537</v>
      </c>
      <c r="P434" s="463" t="s">
        <v>537</v>
      </c>
      <c r="Q434" s="468">
        <v>35500</v>
      </c>
      <c r="R434" s="470">
        <v>241640</v>
      </c>
      <c r="S434" s="471">
        <v>22522</v>
      </c>
      <c r="T434" s="463">
        <v>100</v>
      </c>
      <c r="U434" s="463">
        <v>55</v>
      </c>
      <c r="V434" s="463">
        <v>45</v>
      </c>
      <c r="W434" s="463">
        <v>184</v>
      </c>
      <c r="X434" s="463">
        <v>16</v>
      </c>
      <c r="Y434" s="464"/>
      <c r="Z434" s="463">
        <v>90.5</v>
      </c>
      <c r="AA434" s="472" t="s">
        <v>612</v>
      </c>
      <c r="AB434" s="463" t="s">
        <v>539</v>
      </c>
      <c r="AC434" s="463" t="s">
        <v>539</v>
      </c>
      <c r="AD434" s="472" t="s">
        <v>565</v>
      </c>
      <c r="AE434" s="463">
        <v>80</v>
      </c>
      <c r="AF434" s="463">
        <v>92.5</v>
      </c>
      <c r="AG434" s="463" t="s">
        <v>375</v>
      </c>
      <c r="AH434" s="476"/>
      <c r="AI434" s="472" t="s">
        <v>1448</v>
      </c>
      <c r="AJ434" s="472" t="s">
        <v>543</v>
      </c>
    </row>
    <row r="435" spans="1:36" ht="24" customHeight="1">
      <c r="A435" s="452">
        <v>25</v>
      </c>
      <c r="B435" s="463">
        <v>353</v>
      </c>
      <c r="C435" s="464" t="s">
        <v>377</v>
      </c>
      <c r="D435" s="464"/>
      <c r="E435" s="464" t="s">
        <v>602</v>
      </c>
      <c r="F435" s="464"/>
      <c r="G435" s="464" t="s">
        <v>44</v>
      </c>
      <c r="H435" s="464" t="s">
        <v>617</v>
      </c>
      <c r="I435" s="465" t="s">
        <v>537</v>
      </c>
      <c r="J435" s="466">
        <v>334800</v>
      </c>
      <c r="K435" s="465" t="s">
        <v>537</v>
      </c>
      <c r="L435" s="465" t="s">
        <v>537</v>
      </c>
      <c r="M435" s="466">
        <v>334800</v>
      </c>
      <c r="N435" s="465" t="s">
        <v>537</v>
      </c>
      <c r="O435" s="463" t="s">
        <v>537</v>
      </c>
      <c r="P435" s="463" t="s">
        <v>537</v>
      </c>
      <c r="Q435" s="465">
        <v>0</v>
      </c>
      <c r="R435" s="470">
        <v>241609</v>
      </c>
      <c r="S435" s="463" t="s">
        <v>1449</v>
      </c>
      <c r="T435" s="463">
        <v>800</v>
      </c>
      <c r="U435" s="463">
        <v>50</v>
      </c>
      <c r="V435" s="463">
        <v>0</v>
      </c>
      <c r="W435" s="463">
        <v>800</v>
      </c>
      <c r="X435" s="463">
        <v>50</v>
      </c>
      <c r="Y435" s="464"/>
      <c r="Z435" s="463">
        <v>86</v>
      </c>
      <c r="AA435" s="472" t="s">
        <v>612</v>
      </c>
      <c r="AB435" s="463" t="s">
        <v>539</v>
      </c>
      <c r="AC435" s="463" t="s">
        <v>539</v>
      </c>
      <c r="AD435" s="472" t="s">
        <v>1450</v>
      </c>
      <c r="AE435" s="463">
        <v>80</v>
      </c>
      <c r="AF435" s="463">
        <v>86</v>
      </c>
      <c r="AG435" s="463" t="s">
        <v>375</v>
      </c>
      <c r="AH435" s="476"/>
      <c r="AI435" s="472" t="s">
        <v>1451</v>
      </c>
      <c r="AJ435" s="464"/>
    </row>
    <row r="436" spans="1:36" ht="24" hidden="1" customHeight="1">
      <c r="B436" s="463">
        <v>354</v>
      </c>
      <c r="C436" s="464" t="s">
        <v>534</v>
      </c>
      <c r="D436" s="464"/>
      <c r="E436" s="464" t="s">
        <v>535</v>
      </c>
      <c r="F436" s="464"/>
      <c r="G436" s="464" t="s">
        <v>44</v>
      </c>
      <c r="H436" s="464" t="s">
        <v>1452</v>
      </c>
      <c r="I436" s="466">
        <v>100000</v>
      </c>
      <c r="J436" s="465" t="s">
        <v>537</v>
      </c>
      <c r="K436" s="465" t="s">
        <v>537</v>
      </c>
      <c r="L436" s="466">
        <v>52688</v>
      </c>
      <c r="M436" s="465" t="s">
        <v>537</v>
      </c>
      <c r="N436" s="465" t="s">
        <v>537</v>
      </c>
      <c r="O436" s="463" t="s">
        <v>537</v>
      </c>
      <c r="P436" s="463" t="s">
        <v>537</v>
      </c>
      <c r="Q436" s="468">
        <v>47312</v>
      </c>
      <c r="R436" s="463" t="s">
        <v>1453</v>
      </c>
      <c r="S436" s="463" t="s">
        <v>1454</v>
      </c>
      <c r="T436" s="463">
        <v>12</v>
      </c>
      <c r="U436" s="463">
        <v>6</v>
      </c>
      <c r="V436" s="463">
        <v>0</v>
      </c>
      <c r="W436" s="463">
        <v>6</v>
      </c>
      <c r="X436" s="463">
        <v>2</v>
      </c>
      <c r="Y436" s="463">
        <v>0</v>
      </c>
      <c r="Z436" s="463">
        <v>93</v>
      </c>
      <c r="AA436" s="472" t="s">
        <v>1455</v>
      </c>
      <c r="AB436" s="463">
        <v>1</v>
      </c>
      <c r="AC436" s="463">
        <v>1</v>
      </c>
      <c r="AD436" s="472" t="s">
        <v>729</v>
      </c>
      <c r="AE436" s="463">
        <v>1</v>
      </c>
      <c r="AF436" s="463">
        <v>1</v>
      </c>
      <c r="AG436" s="463" t="s">
        <v>375</v>
      </c>
      <c r="AH436" s="476"/>
      <c r="AI436" s="464"/>
      <c r="AJ436" s="464"/>
    </row>
    <row r="437" spans="1:36" ht="24" hidden="1" customHeight="1">
      <c r="B437" s="463">
        <v>355</v>
      </c>
      <c r="C437" s="464" t="s">
        <v>534</v>
      </c>
      <c r="D437" s="464"/>
      <c r="E437" s="464" t="s">
        <v>535</v>
      </c>
      <c r="F437" s="464"/>
      <c r="G437" s="464" t="s">
        <v>44</v>
      </c>
      <c r="H437" s="464" t="s">
        <v>1456</v>
      </c>
      <c r="I437" s="466">
        <v>50000</v>
      </c>
      <c r="J437" s="465" t="s">
        <v>537</v>
      </c>
      <c r="K437" s="465" t="s">
        <v>537</v>
      </c>
      <c r="L437" s="466">
        <v>48580</v>
      </c>
      <c r="M437" s="465" t="s">
        <v>537</v>
      </c>
      <c r="N437" s="465" t="s">
        <v>537</v>
      </c>
      <c r="O437" s="463" t="s">
        <v>537</v>
      </c>
      <c r="P437" s="463" t="s">
        <v>537</v>
      </c>
      <c r="Q437" s="468">
        <v>1420</v>
      </c>
      <c r="R437" s="463" t="s">
        <v>1457</v>
      </c>
      <c r="S437" s="463" t="s">
        <v>1458</v>
      </c>
      <c r="T437" s="463">
        <v>800</v>
      </c>
      <c r="U437" s="463">
        <v>80</v>
      </c>
      <c r="V437" s="463">
        <v>0</v>
      </c>
      <c r="W437" s="463">
        <v>326</v>
      </c>
      <c r="X437" s="463">
        <v>37</v>
      </c>
      <c r="Y437" s="464"/>
      <c r="Z437" s="463">
        <v>86.4</v>
      </c>
      <c r="AA437" s="472" t="s">
        <v>547</v>
      </c>
      <c r="AB437" s="463" t="s">
        <v>539</v>
      </c>
      <c r="AC437" s="463" t="s">
        <v>539</v>
      </c>
      <c r="AD437" s="472" t="s">
        <v>548</v>
      </c>
      <c r="AE437" s="463">
        <v>80</v>
      </c>
      <c r="AF437" s="463">
        <v>90.8</v>
      </c>
      <c r="AG437" s="463" t="s">
        <v>375</v>
      </c>
      <c r="AH437" s="476"/>
      <c r="AI437" s="464"/>
      <c r="AJ437" s="464"/>
    </row>
    <row r="438" spans="1:36" ht="24" hidden="1" customHeight="1">
      <c r="B438" s="463">
        <v>356</v>
      </c>
      <c r="C438" s="464" t="s">
        <v>534</v>
      </c>
      <c r="D438" s="464"/>
      <c r="E438" s="464" t="s">
        <v>535</v>
      </c>
      <c r="F438" s="464"/>
      <c r="G438" s="464" t="s">
        <v>44</v>
      </c>
      <c r="H438" s="464" t="s">
        <v>642</v>
      </c>
      <c r="I438" s="466">
        <v>60000</v>
      </c>
      <c r="J438" s="465" t="s">
        <v>537</v>
      </c>
      <c r="K438" s="465" t="s">
        <v>537</v>
      </c>
      <c r="L438" s="466">
        <v>40080</v>
      </c>
      <c r="M438" s="465" t="s">
        <v>537</v>
      </c>
      <c r="N438" s="465" t="s">
        <v>537</v>
      </c>
      <c r="O438" s="463" t="s">
        <v>537</v>
      </c>
      <c r="P438" s="463" t="s">
        <v>537</v>
      </c>
      <c r="Q438" s="468">
        <v>19920</v>
      </c>
      <c r="R438" s="470">
        <v>241518</v>
      </c>
      <c r="S438" s="463" t="s">
        <v>1459</v>
      </c>
      <c r="T438" s="463">
        <v>0</v>
      </c>
      <c r="U438" s="463">
        <v>2</v>
      </c>
      <c r="V438" s="463">
        <v>0</v>
      </c>
      <c r="W438" s="464"/>
      <c r="X438" s="463">
        <v>2</v>
      </c>
      <c r="Y438" s="464"/>
      <c r="Z438" s="463">
        <v>90</v>
      </c>
      <c r="AA438" s="472" t="s">
        <v>737</v>
      </c>
      <c r="AB438" s="463" t="s">
        <v>539</v>
      </c>
      <c r="AC438" s="463" t="s">
        <v>539</v>
      </c>
      <c r="AD438" s="472" t="s">
        <v>1460</v>
      </c>
      <c r="AE438" s="463" t="s">
        <v>539</v>
      </c>
      <c r="AF438" s="463" t="s">
        <v>539</v>
      </c>
      <c r="AG438" s="463" t="s">
        <v>375</v>
      </c>
      <c r="AH438" s="476"/>
      <c r="AI438" s="464"/>
      <c r="AJ438" s="464"/>
    </row>
    <row r="439" spans="1:36" ht="24" hidden="1" customHeight="1">
      <c r="B439" s="463">
        <v>357</v>
      </c>
      <c r="C439" s="464" t="s">
        <v>534</v>
      </c>
      <c r="D439" s="464"/>
      <c r="E439" s="464" t="s">
        <v>535</v>
      </c>
      <c r="F439" s="464"/>
      <c r="G439" s="464" t="s">
        <v>44</v>
      </c>
      <c r="H439" s="464" t="s">
        <v>1461</v>
      </c>
      <c r="I439" s="465" t="s">
        <v>537</v>
      </c>
      <c r="J439" s="465" t="s">
        <v>537</v>
      </c>
      <c r="K439" s="466">
        <v>130400</v>
      </c>
      <c r="L439" s="465" t="s">
        <v>537</v>
      </c>
      <c r="M439" s="465" t="s">
        <v>537</v>
      </c>
      <c r="N439" s="466">
        <v>128027.25</v>
      </c>
      <c r="O439" s="463" t="s">
        <v>537</v>
      </c>
      <c r="P439" s="463" t="s">
        <v>537</v>
      </c>
      <c r="Q439" s="468">
        <v>2373</v>
      </c>
      <c r="R439" s="470">
        <v>241428</v>
      </c>
      <c r="S439" s="463" t="s">
        <v>623</v>
      </c>
      <c r="T439" s="463">
        <v>10</v>
      </c>
      <c r="U439" s="463">
        <v>15</v>
      </c>
      <c r="V439" s="463">
        <v>0</v>
      </c>
      <c r="W439" s="463">
        <v>22</v>
      </c>
      <c r="X439" s="463">
        <v>11</v>
      </c>
      <c r="Y439" s="464"/>
      <c r="Z439" s="463">
        <v>88</v>
      </c>
      <c r="AA439" s="472" t="s">
        <v>624</v>
      </c>
      <c r="AB439" s="463" t="s">
        <v>539</v>
      </c>
      <c r="AC439" s="463" t="s">
        <v>539</v>
      </c>
      <c r="AD439" s="472" t="s">
        <v>571</v>
      </c>
      <c r="AE439" s="463">
        <v>80</v>
      </c>
      <c r="AF439" s="463">
        <v>87</v>
      </c>
      <c r="AG439" s="463" t="s">
        <v>375</v>
      </c>
      <c r="AH439" s="476"/>
      <c r="AI439" s="464"/>
      <c r="AJ439" s="472" t="s">
        <v>543</v>
      </c>
    </row>
    <row r="440" spans="1:36" ht="24" hidden="1" customHeight="1">
      <c r="B440" s="463">
        <v>358</v>
      </c>
      <c r="C440" s="464" t="s">
        <v>534</v>
      </c>
      <c r="D440" s="464"/>
      <c r="E440" s="464" t="s">
        <v>535</v>
      </c>
      <c r="F440" s="464"/>
      <c r="G440" s="464" t="s">
        <v>44</v>
      </c>
      <c r="H440" s="464" t="s">
        <v>1462</v>
      </c>
      <c r="I440" s="466">
        <v>50000</v>
      </c>
      <c r="J440" s="465" t="s">
        <v>537</v>
      </c>
      <c r="K440" s="465" t="s">
        <v>537</v>
      </c>
      <c r="L440" s="466">
        <v>50000</v>
      </c>
      <c r="M440" s="465" t="s">
        <v>537</v>
      </c>
      <c r="N440" s="465" t="s">
        <v>537</v>
      </c>
      <c r="O440" s="463" t="s">
        <v>537</v>
      </c>
      <c r="P440" s="463" t="s">
        <v>537</v>
      </c>
      <c r="Q440" s="465">
        <v>0</v>
      </c>
      <c r="R440" s="470">
        <v>241640</v>
      </c>
      <c r="S440" s="463" t="s">
        <v>1463</v>
      </c>
      <c r="T440" s="463">
        <v>400</v>
      </c>
      <c r="U440" s="463">
        <v>10</v>
      </c>
      <c r="V440" s="463">
        <v>0</v>
      </c>
      <c r="W440" s="463">
        <v>400</v>
      </c>
      <c r="X440" s="463">
        <v>10</v>
      </c>
      <c r="Y440" s="464"/>
      <c r="Z440" s="463">
        <v>85.8</v>
      </c>
      <c r="AA440" s="472" t="s">
        <v>547</v>
      </c>
      <c r="AB440" s="463" t="s">
        <v>539</v>
      </c>
      <c r="AC440" s="463" t="s">
        <v>539</v>
      </c>
      <c r="AD440" s="472" t="s">
        <v>548</v>
      </c>
      <c r="AE440" s="463" t="s">
        <v>539</v>
      </c>
      <c r="AF440" s="463" t="s">
        <v>539</v>
      </c>
      <c r="AG440" s="463" t="s">
        <v>375</v>
      </c>
      <c r="AH440" s="476"/>
      <c r="AI440" s="464"/>
      <c r="AJ440" s="464"/>
    </row>
    <row r="441" spans="1:36" ht="24" hidden="1" customHeight="1">
      <c r="B441" s="701">
        <v>359</v>
      </c>
      <c r="C441" s="699" t="s">
        <v>165</v>
      </c>
      <c r="D441" s="699"/>
      <c r="E441" s="699" t="s">
        <v>535</v>
      </c>
      <c r="F441" s="699"/>
      <c r="G441" s="699" t="s">
        <v>44</v>
      </c>
      <c r="H441" s="699" t="s">
        <v>636</v>
      </c>
      <c r="I441" s="712">
        <v>200000</v>
      </c>
      <c r="J441" s="709" t="s">
        <v>537</v>
      </c>
      <c r="K441" s="709" t="s">
        <v>537</v>
      </c>
      <c r="L441" s="712">
        <v>200000</v>
      </c>
      <c r="M441" s="709" t="s">
        <v>537</v>
      </c>
      <c r="N441" s="709" t="s">
        <v>537</v>
      </c>
      <c r="O441" s="701" t="s">
        <v>537</v>
      </c>
      <c r="P441" s="701" t="s">
        <v>537</v>
      </c>
      <c r="Q441" s="709">
        <v>0</v>
      </c>
      <c r="R441" s="707">
        <v>241609</v>
      </c>
      <c r="S441" s="701" t="s">
        <v>637</v>
      </c>
      <c r="T441" s="701">
        <v>195</v>
      </c>
      <c r="U441" s="701">
        <v>72</v>
      </c>
      <c r="V441" s="701">
        <v>0</v>
      </c>
      <c r="W441" s="701">
        <v>200</v>
      </c>
      <c r="X441" s="701">
        <v>67</v>
      </c>
      <c r="Y441" s="699"/>
      <c r="Z441" s="701">
        <v>90.5</v>
      </c>
      <c r="AA441" s="458" t="s">
        <v>1304</v>
      </c>
      <c r="AB441" s="459" t="s">
        <v>539</v>
      </c>
      <c r="AC441" s="459" t="s">
        <v>539</v>
      </c>
      <c r="AD441" s="697" t="s">
        <v>565</v>
      </c>
      <c r="AE441" s="701">
        <v>80</v>
      </c>
      <c r="AF441" s="701">
        <v>95.5</v>
      </c>
      <c r="AG441" s="701" t="s">
        <v>375</v>
      </c>
      <c r="AH441" s="728"/>
      <c r="AI441" s="697" t="s">
        <v>1446</v>
      </c>
      <c r="AJ441" s="699"/>
    </row>
    <row r="442" spans="1:36" ht="24" hidden="1" customHeight="1">
      <c r="B442" s="702"/>
      <c r="C442" s="700"/>
      <c r="D442" s="700"/>
      <c r="E442" s="700"/>
      <c r="F442" s="700"/>
      <c r="G442" s="700"/>
      <c r="H442" s="700"/>
      <c r="I442" s="713"/>
      <c r="J442" s="710"/>
      <c r="K442" s="710"/>
      <c r="L442" s="713"/>
      <c r="M442" s="710"/>
      <c r="N442" s="710"/>
      <c r="O442" s="702"/>
      <c r="P442" s="702"/>
      <c r="Q442" s="710"/>
      <c r="R442" s="708"/>
      <c r="S442" s="702"/>
      <c r="T442" s="702"/>
      <c r="U442" s="702"/>
      <c r="V442" s="702"/>
      <c r="W442" s="702"/>
      <c r="X442" s="702"/>
      <c r="Y442" s="700"/>
      <c r="Z442" s="702"/>
      <c r="AA442" s="473" t="s">
        <v>1464</v>
      </c>
      <c r="AB442" s="474">
        <v>10</v>
      </c>
      <c r="AC442" s="474">
        <v>48</v>
      </c>
      <c r="AD442" s="698"/>
      <c r="AE442" s="702"/>
      <c r="AF442" s="702"/>
      <c r="AG442" s="702"/>
      <c r="AH442" s="729"/>
      <c r="AI442" s="698"/>
      <c r="AJ442" s="700"/>
    </row>
    <row r="443" spans="1:36" ht="24" hidden="1" customHeight="1">
      <c r="B443" s="463">
        <v>360</v>
      </c>
      <c r="C443" s="464" t="s">
        <v>165</v>
      </c>
      <c r="D443" s="464"/>
      <c r="E443" s="464" t="s">
        <v>535</v>
      </c>
      <c r="F443" s="464"/>
      <c r="G443" s="464" t="s">
        <v>44</v>
      </c>
      <c r="H443" s="464" t="s">
        <v>1465</v>
      </c>
      <c r="I443" s="466">
        <v>20000</v>
      </c>
      <c r="J443" s="465" t="s">
        <v>537</v>
      </c>
      <c r="K443" s="465" t="s">
        <v>537</v>
      </c>
      <c r="L443" s="466">
        <v>20000</v>
      </c>
      <c r="M443" s="465" t="s">
        <v>537</v>
      </c>
      <c r="N443" s="465" t="s">
        <v>537</v>
      </c>
      <c r="O443" s="463" t="s">
        <v>537</v>
      </c>
      <c r="P443" s="463" t="s">
        <v>537</v>
      </c>
      <c r="Q443" s="465">
        <v>0</v>
      </c>
      <c r="R443" s="470">
        <v>241487</v>
      </c>
      <c r="S443" s="463" t="s">
        <v>1466</v>
      </c>
      <c r="T443" s="463">
        <v>50</v>
      </c>
      <c r="U443" s="463">
        <v>7</v>
      </c>
      <c r="V443" s="463">
        <v>3</v>
      </c>
      <c r="W443" s="463">
        <v>50</v>
      </c>
      <c r="X443" s="463">
        <v>7</v>
      </c>
      <c r="Y443" s="463">
        <v>3</v>
      </c>
      <c r="Z443" s="463">
        <v>85.87</v>
      </c>
      <c r="AA443" s="472" t="s">
        <v>1119</v>
      </c>
      <c r="AB443" s="463" t="s">
        <v>539</v>
      </c>
      <c r="AC443" s="463" t="s">
        <v>539</v>
      </c>
      <c r="AD443" s="472" t="s">
        <v>1016</v>
      </c>
      <c r="AE443" s="463">
        <v>80</v>
      </c>
      <c r="AF443" s="463">
        <v>92.5</v>
      </c>
      <c r="AG443" s="463" t="s">
        <v>375</v>
      </c>
      <c r="AH443" s="476"/>
      <c r="AI443" s="472" t="s">
        <v>1448</v>
      </c>
      <c r="AJ443" s="464"/>
    </row>
    <row r="444" spans="1:36" ht="24" hidden="1" customHeight="1">
      <c r="B444" s="701">
        <v>361</v>
      </c>
      <c r="C444" s="699" t="s">
        <v>165</v>
      </c>
      <c r="D444" s="699"/>
      <c r="E444" s="699" t="s">
        <v>535</v>
      </c>
      <c r="F444" s="699"/>
      <c r="G444" s="699" t="s">
        <v>44</v>
      </c>
      <c r="H444" s="699" t="s">
        <v>1467</v>
      </c>
      <c r="I444" s="712">
        <v>300000</v>
      </c>
      <c r="J444" s="709" t="s">
        <v>537</v>
      </c>
      <c r="K444" s="709" t="s">
        <v>537</v>
      </c>
      <c r="L444" s="712">
        <v>282792</v>
      </c>
      <c r="M444" s="709" t="s">
        <v>537</v>
      </c>
      <c r="N444" s="709" t="s">
        <v>537</v>
      </c>
      <c r="O444" s="701" t="s">
        <v>537</v>
      </c>
      <c r="P444" s="701" t="s">
        <v>537</v>
      </c>
      <c r="Q444" s="705">
        <v>17208</v>
      </c>
      <c r="R444" s="707">
        <v>241428</v>
      </c>
      <c r="S444" s="701" t="s">
        <v>649</v>
      </c>
      <c r="T444" s="701">
        <v>30</v>
      </c>
      <c r="U444" s="701">
        <v>15</v>
      </c>
      <c r="V444" s="701">
        <v>0</v>
      </c>
      <c r="W444" s="701">
        <v>32</v>
      </c>
      <c r="X444" s="701">
        <v>13</v>
      </c>
      <c r="Y444" s="699"/>
      <c r="Z444" s="701">
        <v>86.5</v>
      </c>
      <c r="AA444" s="458" t="s">
        <v>547</v>
      </c>
      <c r="AB444" s="459" t="s">
        <v>539</v>
      </c>
      <c r="AC444" s="459" t="s">
        <v>539</v>
      </c>
      <c r="AD444" s="458" t="s">
        <v>548</v>
      </c>
      <c r="AE444" s="459">
        <v>80</v>
      </c>
      <c r="AF444" s="459">
        <v>88</v>
      </c>
      <c r="AG444" s="701" t="s">
        <v>375</v>
      </c>
      <c r="AH444" s="728"/>
      <c r="AI444" s="699"/>
      <c r="AJ444" s="699"/>
    </row>
    <row r="445" spans="1:36" ht="24" hidden="1" customHeight="1">
      <c r="B445" s="702"/>
      <c r="C445" s="700"/>
      <c r="D445" s="700"/>
      <c r="E445" s="700"/>
      <c r="F445" s="700"/>
      <c r="G445" s="700"/>
      <c r="H445" s="700"/>
      <c r="I445" s="713"/>
      <c r="J445" s="710"/>
      <c r="K445" s="710"/>
      <c r="L445" s="713"/>
      <c r="M445" s="710"/>
      <c r="N445" s="710"/>
      <c r="O445" s="702"/>
      <c r="P445" s="702"/>
      <c r="Q445" s="706"/>
      <c r="R445" s="708"/>
      <c r="S445" s="702"/>
      <c r="T445" s="702"/>
      <c r="U445" s="702"/>
      <c r="V445" s="702"/>
      <c r="W445" s="702"/>
      <c r="X445" s="702"/>
      <c r="Y445" s="700"/>
      <c r="Z445" s="702"/>
      <c r="AA445" s="473" t="s">
        <v>1468</v>
      </c>
      <c r="AB445" s="474" t="s">
        <v>539</v>
      </c>
      <c r="AC445" s="474" t="s">
        <v>539</v>
      </c>
      <c r="AD445" s="473" t="s">
        <v>1469</v>
      </c>
      <c r="AE445" s="474">
        <v>1</v>
      </c>
      <c r="AF445" s="474">
        <v>1</v>
      </c>
      <c r="AG445" s="702"/>
      <c r="AH445" s="729"/>
      <c r="AI445" s="700"/>
      <c r="AJ445" s="700"/>
    </row>
    <row r="446" spans="1:36" ht="24" hidden="1" customHeight="1">
      <c r="B446" s="463">
        <v>362</v>
      </c>
      <c r="C446" s="464" t="s">
        <v>165</v>
      </c>
      <c r="D446" s="464"/>
      <c r="E446" s="464" t="s">
        <v>535</v>
      </c>
      <c r="F446" s="464"/>
      <c r="G446" s="464" t="s">
        <v>44</v>
      </c>
      <c r="H446" s="464" t="s">
        <v>1470</v>
      </c>
      <c r="I446" s="466">
        <v>50000</v>
      </c>
      <c r="J446" s="465" t="s">
        <v>537</v>
      </c>
      <c r="K446" s="465" t="s">
        <v>537</v>
      </c>
      <c r="L446" s="466">
        <v>44500</v>
      </c>
      <c r="M446" s="465" t="s">
        <v>537</v>
      </c>
      <c r="N446" s="465" t="s">
        <v>537</v>
      </c>
      <c r="O446" s="463" t="s">
        <v>537</v>
      </c>
      <c r="P446" s="463" t="s">
        <v>537</v>
      </c>
      <c r="Q446" s="468">
        <v>5500</v>
      </c>
      <c r="R446" s="470">
        <v>241459</v>
      </c>
      <c r="S446" s="471">
        <v>22322</v>
      </c>
      <c r="T446" s="463">
        <v>17</v>
      </c>
      <c r="U446" s="463">
        <v>13</v>
      </c>
      <c r="V446" s="463">
        <v>120</v>
      </c>
      <c r="W446" s="463">
        <v>17</v>
      </c>
      <c r="X446" s="463">
        <v>13</v>
      </c>
      <c r="Y446" s="463">
        <v>120</v>
      </c>
      <c r="Z446" s="463">
        <v>95</v>
      </c>
      <c r="AA446" s="472" t="s">
        <v>728</v>
      </c>
      <c r="AB446" s="463">
        <v>1</v>
      </c>
      <c r="AC446" s="463">
        <v>1</v>
      </c>
      <c r="AD446" s="472" t="s">
        <v>651</v>
      </c>
      <c r="AE446" s="463">
        <v>1</v>
      </c>
      <c r="AF446" s="463">
        <v>1</v>
      </c>
      <c r="AG446" s="463" t="s">
        <v>375</v>
      </c>
      <c r="AH446" s="476"/>
      <c r="AI446" s="472" t="s">
        <v>1471</v>
      </c>
      <c r="AJ446" s="464"/>
    </row>
    <row r="447" spans="1:36" ht="24" hidden="1" customHeight="1">
      <c r="B447" s="463">
        <v>363</v>
      </c>
      <c r="C447" s="464" t="s">
        <v>165</v>
      </c>
      <c r="D447" s="464"/>
      <c r="E447" s="464" t="s">
        <v>535</v>
      </c>
      <c r="F447" s="464"/>
      <c r="G447" s="464" t="s">
        <v>44</v>
      </c>
      <c r="H447" s="464" t="s">
        <v>1472</v>
      </c>
      <c r="I447" s="466">
        <v>100000</v>
      </c>
      <c r="J447" s="465" t="s">
        <v>537</v>
      </c>
      <c r="K447" s="465" t="s">
        <v>537</v>
      </c>
      <c r="L447" s="466">
        <v>98367</v>
      </c>
      <c r="M447" s="465" t="s">
        <v>537</v>
      </c>
      <c r="N447" s="465" t="s">
        <v>537</v>
      </c>
      <c r="O447" s="463" t="s">
        <v>537</v>
      </c>
      <c r="P447" s="463" t="s">
        <v>537</v>
      </c>
      <c r="Q447" s="468">
        <v>1633</v>
      </c>
      <c r="R447" s="470">
        <v>241579</v>
      </c>
      <c r="S447" s="463" t="s">
        <v>1473</v>
      </c>
      <c r="T447" s="463">
        <v>30</v>
      </c>
      <c r="U447" s="463">
        <v>15</v>
      </c>
      <c r="V447" s="463">
        <v>0</v>
      </c>
      <c r="W447" s="463">
        <v>200</v>
      </c>
      <c r="X447" s="463">
        <v>12</v>
      </c>
      <c r="Y447" s="463">
        <v>18</v>
      </c>
      <c r="Z447" s="463">
        <v>90</v>
      </c>
      <c r="AA447" s="472" t="s">
        <v>547</v>
      </c>
      <c r="AB447" s="463" t="s">
        <v>539</v>
      </c>
      <c r="AC447" s="463" t="s">
        <v>539</v>
      </c>
      <c r="AD447" s="472" t="s">
        <v>548</v>
      </c>
      <c r="AE447" s="463">
        <v>80</v>
      </c>
      <c r="AF447" s="463">
        <v>92</v>
      </c>
      <c r="AG447" s="463" t="s">
        <v>375</v>
      </c>
      <c r="AH447" s="476"/>
      <c r="AI447" s="472">
        <v>4030</v>
      </c>
      <c r="AJ447" s="464"/>
    </row>
    <row r="448" spans="1:36" ht="24" hidden="1" customHeight="1">
      <c r="B448" s="463">
        <v>364</v>
      </c>
      <c r="C448" s="464" t="s">
        <v>534</v>
      </c>
      <c r="D448" s="464"/>
      <c r="E448" s="464" t="s">
        <v>535</v>
      </c>
      <c r="F448" s="464"/>
      <c r="G448" s="464" t="s">
        <v>44</v>
      </c>
      <c r="H448" s="464" t="s">
        <v>1474</v>
      </c>
      <c r="I448" s="465" t="s">
        <v>537</v>
      </c>
      <c r="J448" s="466">
        <v>40000</v>
      </c>
      <c r="K448" s="465" t="s">
        <v>537</v>
      </c>
      <c r="L448" s="465" t="s">
        <v>537</v>
      </c>
      <c r="M448" s="466">
        <v>40000</v>
      </c>
      <c r="N448" s="465" t="s">
        <v>537</v>
      </c>
      <c r="O448" s="463" t="s">
        <v>537</v>
      </c>
      <c r="P448" s="463" t="s">
        <v>537</v>
      </c>
      <c r="Q448" s="465">
        <v>0</v>
      </c>
      <c r="R448" s="463" t="s">
        <v>1475</v>
      </c>
      <c r="S448" s="471">
        <v>22526</v>
      </c>
      <c r="T448" s="463">
        <v>320</v>
      </c>
      <c r="U448" s="463">
        <v>25</v>
      </c>
      <c r="V448" s="463">
        <v>0</v>
      </c>
      <c r="W448" s="463">
        <v>320</v>
      </c>
      <c r="X448" s="463">
        <v>25</v>
      </c>
      <c r="Y448" s="464"/>
      <c r="Z448" s="463">
        <v>88</v>
      </c>
      <c r="AA448" s="472" t="s">
        <v>547</v>
      </c>
      <c r="AB448" s="463" t="s">
        <v>539</v>
      </c>
      <c r="AC448" s="463" t="s">
        <v>539</v>
      </c>
      <c r="AD448" s="472" t="s">
        <v>548</v>
      </c>
      <c r="AE448" s="463">
        <v>80</v>
      </c>
      <c r="AF448" s="463">
        <v>86.6</v>
      </c>
      <c r="AG448" s="463" t="s">
        <v>375</v>
      </c>
      <c r="AH448" s="476"/>
      <c r="AI448" s="464"/>
      <c r="AJ448" s="464"/>
    </row>
    <row r="449" spans="2:36" ht="24" hidden="1" customHeight="1">
      <c r="B449" s="463">
        <v>365</v>
      </c>
      <c r="C449" s="464" t="s">
        <v>534</v>
      </c>
      <c r="D449" s="464"/>
      <c r="E449" s="464" t="s">
        <v>535</v>
      </c>
      <c r="F449" s="464"/>
      <c r="G449" s="464" t="s">
        <v>44</v>
      </c>
      <c r="H449" s="464" t="s">
        <v>1476</v>
      </c>
      <c r="I449" s="465" t="s">
        <v>537</v>
      </c>
      <c r="J449" s="466">
        <v>20000</v>
      </c>
      <c r="K449" s="465" t="s">
        <v>537</v>
      </c>
      <c r="L449" s="465" t="s">
        <v>537</v>
      </c>
      <c r="M449" s="466">
        <v>19009.72</v>
      </c>
      <c r="N449" s="465" t="s">
        <v>537</v>
      </c>
      <c r="O449" s="463" t="s">
        <v>537</v>
      </c>
      <c r="P449" s="463" t="s">
        <v>537</v>
      </c>
      <c r="Q449" s="465">
        <v>990</v>
      </c>
      <c r="R449" s="470">
        <v>241579</v>
      </c>
      <c r="S449" s="463" t="s">
        <v>1477</v>
      </c>
      <c r="T449" s="463">
        <v>1300</v>
      </c>
      <c r="U449" s="463">
        <v>2</v>
      </c>
      <c r="V449" s="463">
        <v>0</v>
      </c>
      <c r="W449" s="463">
        <v>1300</v>
      </c>
      <c r="X449" s="463">
        <v>2</v>
      </c>
      <c r="Y449" s="464"/>
      <c r="Z449" s="463">
        <v>92.2</v>
      </c>
      <c r="AA449" s="472" t="s">
        <v>547</v>
      </c>
      <c r="AB449" s="463" t="s">
        <v>539</v>
      </c>
      <c r="AC449" s="463" t="s">
        <v>539</v>
      </c>
      <c r="AD449" s="472" t="s">
        <v>548</v>
      </c>
      <c r="AE449" s="463">
        <v>80</v>
      </c>
      <c r="AF449" s="463">
        <v>92.2</v>
      </c>
      <c r="AG449" s="463" t="s">
        <v>375</v>
      </c>
      <c r="AH449" s="476"/>
      <c r="AI449" s="472" t="s">
        <v>1478</v>
      </c>
      <c r="AJ449" s="464"/>
    </row>
    <row r="450" spans="2:36" ht="24" hidden="1" customHeight="1">
      <c r="B450" s="463">
        <v>366</v>
      </c>
      <c r="C450" s="464" t="s">
        <v>534</v>
      </c>
      <c r="D450" s="464"/>
      <c r="E450" s="464" t="s">
        <v>535</v>
      </c>
      <c r="F450" s="464"/>
      <c r="G450" s="464" t="s">
        <v>44</v>
      </c>
      <c r="H450" s="464" t="s">
        <v>1479</v>
      </c>
      <c r="I450" s="465" t="s">
        <v>537</v>
      </c>
      <c r="J450" s="466">
        <v>72200</v>
      </c>
      <c r="K450" s="465" t="s">
        <v>537</v>
      </c>
      <c r="L450" s="465" t="s">
        <v>537</v>
      </c>
      <c r="M450" s="466">
        <v>11720</v>
      </c>
      <c r="N450" s="465" t="s">
        <v>537</v>
      </c>
      <c r="O450" s="463" t="s">
        <v>537</v>
      </c>
      <c r="P450" s="463" t="s">
        <v>537</v>
      </c>
      <c r="Q450" s="468">
        <v>60480</v>
      </c>
      <c r="R450" s="463" t="s">
        <v>643</v>
      </c>
      <c r="S450" s="463" t="s">
        <v>1480</v>
      </c>
      <c r="T450" s="463">
        <v>14</v>
      </c>
      <c r="U450" s="463">
        <v>32</v>
      </c>
      <c r="V450" s="463">
        <v>0</v>
      </c>
      <c r="W450" s="463">
        <v>14</v>
      </c>
      <c r="X450" s="463">
        <v>32</v>
      </c>
      <c r="Y450" s="464"/>
      <c r="Z450" s="463">
        <v>90.2</v>
      </c>
      <c r="AA450" s="472" t="s">
        <v>547</v>
      </c>
      <c r="AB450" s="463" t="s">
        <v>539</v>
      </c>
      <c r="AC450" s="463" t="s">
        <v>539</v>
      </c>
      <c r="AD450" s="472" t="s">
        <v>548</v>
      </c>
      <c r="AE450" s="463">
        <v>80</v>
      </c>
      <c r="AF450" s="463">
        <v>85.2</v>
      </c>
      <c r="AG450" s="463" t="s">
        <v>375</v>
      </c>
      <c r="AH450" s="476"/>
      <c r="AI450" s="472" t="s">
        <v>1481</v>
      </c>
      <c r="AJ450" s="464"/>
    </row>
    <row r="451" spans="2:36" ht="24" hidden="1" customHeight="1">
      <c r="B451" s="463">
        <v>367</v>
      </c>
      <c r="C451" s="464" t="s">
        <v>165</v>
      </c>
      <c r="D451" s="464"/>
      <c r="E451" s="464" t="s">
        <v>535</v>
      </c>
      <c r="F451" s="464"/>
      <c r="G451" s="464" t="s">
        <v>44</v>
      </c>
      <c r="H451" s="464" t="s">
        <v>1482</v>
      </c>
      <c r="I451" s="465" t="s">
        <v>537</v>
      </c>
      <c r="J451" s="466">
        <v>404000</v>
      </c>
      <c r="K451" s="465" t="s">
        <v>537</v>
      </c>
      <c r="L451" s="465" t="s">
        <v>537</v>
      </c>
      <c r="M451" s="466">
        <v>276850</v>
      </c>
      <c r="N451" s="465" t="s">
        <v>537</v>
      </c>
      <c r="O451" s="463" t="s">
        <v>537</v>
      </c>
      <c r="P451" s="463" t="s">
        <v>537</v>
      </c>
      <c r="Q451" s="468">
        <v>127150</v>
      </c>
      <c r="R451" s="463" t="s">
        <v>747</v>
      </c>
      <c r="S451" s="471">
        <v>22535</v>
      </c>
      <c r="T451" s="463">
        <v>20</v>
      </c>
      <c r="U451" s="463">
        <v>5</v>
      </c>
      <c r="V451" s="463">
        <v>0</v>
      </c>
      <c r="W451" s="463">
        <v>800</v>
      </c>
      <c r="X451" s="463">
        <v>10</v>
      </c>
      <c r="Y451" s="464"/>
      <c r="Z451" s="463">
        <v>92</v>
      </c>
      <c r="AA451" s="472" t="s">
        <v>547</v>
      </c>
      <c r="AB451" s="463" t="s">
        <v>539</v>
      </c>
      <c r="AC451" s="463" t="s">
        <v>539</v>
      </c>
      <c r="AD451" s="472" t="s">
        <v>548</v>
      </c>
      <c r="AE451" s="463">
        <v>80</v>
      </c>
      <c r="AF451" s="463">
        <v>95.5</v>
      </c>
      <c r="AG451" s="463" t="s">
        <v>375</v>
      </c>
      <c r="AH451" s="476"/>
      <c r="AI451" s="464"/>
      <c r="AJ451" s="464"/>
    </row>
    <row r="452" spans="2:36" ht="24" hidden="1" customHeight="1">
      <c r="B452" s="463">
        <v>368</v>
      </c>
      <c r="C452" s="464" t="s">
        <v>165</v>
      </c>
      <c r="D452" s="464"/>
      <c r="E452" s="464" t="s">
        <v>535</v>
      </c>
      <c r="F452" s="464"/>
      <c r="G452" s="464" t="s">
        <v>44</v>
      </c>
      <c r="H452" s="464" t="s">
        <v>1483</v>
      </c>
      <c r="I452" s="465" t="s">
        <v>537</v>
      </c>
      <c r="J452" s="466">
        <v>419700</v>
      </c>
      <c r="K452" s="465" t="s">
        <v>537</v>
      </c>
      <c r="L452" s="465" t="s">
        <v>537</v>
      </c>
      <c r="M452" s="466">
        <v>398560</v>
      </c>
      <c r="N452" s="465" t="s">
        <v>537</v>
      </c>
      <c r="O452" s="463" t="s">
        <v>537</v>
      </c>
      <c r="P452" s="463" t="s">
        <v>537</v>
      </c>
      <c r="Q452" s="468">
        <v>21140</v>
      </c>
      <c r="R452" s="463" t="s">
        <v>785</v>
      </c>
      <c r="S452" s="471">
        <v>22316</v>
      </c>
      <c r="T452" s="463">
        <v>160</v>
      </c>
      <c r="U452" s="463">
        <v>14</v>
      </c>
      <c r="V452" s="463">
        <v>0</v>
      </c>
      <c r="W452" s="463">
        <v>160</v>
      </c>
      <c r="X452" s="463">
        <v>12</v>
      </c>
      <c r="Y452" s="464"/>
      <c r="Z452" s="463">
        <v>94.8</v>
      </c>
      <c r="AA452" s="472" t="s">
        <v>633</v>
      </c>
      <c r="AB452" s="463" t="s">
        <v>539</v>
      </c>
      <c r="AC452" s="463" t="s">
        <v>539</v>
      </c>
      <c r="AD452" s="472" t="s">
        <v>635</v>
      </c>
      <c r="AE452" s="463" t="s">
        <v>539</v>
      </c>
      <c r="AF452" s="463" t="s">
        <v>539</v>
      </c>
      <c r="AG452" s="463" t="s">
        <v>375</v>
      </c>
      <c r="AH452" s="476"/>
      <c r="AI452" s="464"/>
      <c r="AJ452" s="464"/>
    </row>
    <row r="453" spans="2:36" ht="24" hidden="1" customHeight="1">
      <c r="B453" s="463">
        <v>369</v>
      </c>
      <c r="C453" s="464" t="s">
        <v>165</v>
      </c>
      <c r="D453" s="464"/>
      <c r="E453" s="464" t="s">
        <v>535</v>
      </c>
      <c r="F453" s="464"/>
      <c r="G453" s="464" t="s">
        <v>44</v>
      </c>
      <c r="H453" s="464" t="s">
        <v>1484</v>
      </c>
      <c r="I453" s="465" t="s">
        <v>537</v>
      </c>
      <c r="J453" s="466">
        <v>25400</v>
      </c>
      <c r="K453" s="465" t="s">
        <v>537</v>
      </c>
      <c r="L453" s="465" t="s">
        <v>537</v>
      </c>
      <c r="M453" s="466">
        <v>25400</v>
      </c>
      <c r="N453" s="465" t="s">
        <v>537</v>
      </c>
      <c r="O453" s="463" t="s">
        <v>537</v>
      </c>
      <c r="P453" s="463" t="s">
        <v>537</v>
      </c>
      <c r="Q453" s="465">
        <v>0</v>
      </c>
      <c r="R453" s="470">
        <v>241459</v>
      </c>
      <c r="S453" s="471">
        <v>22319</v>
      </c>
      <c r="T453" s="463">
        <v>500</v>
      </c>
      <c r="U453" s="463">
        <v>60</v>
      </c>
      <c r="V453" s="463">
        <v>0</v>
      </c>
      <c r="W453" s="463">
        <v>500</v>
      </c>
      <c r="X453" s="463">
        <v>60</v>
      </c>
      <c r="Y453" s="464"/>
      <c r="Z453" s="463">
        <v>90.5</v>
      </c>
      <c r="AA453" s="472" t="s">
        <v>547</v>
      </c>
      <c r="AB453" s="463" t="s">
        <v>539</v>
      </c>
      <c r="AC453" s="463" t="s">
        <v>539</v>
      </c>
      <c r="AD453" s="472" t="s">
        <v>548</v>
      </c>
      <c r="AE453" s="463">
        <v>80</v>
      </c>
      <c r="AF453" s="463">
        <v>92</v>
      </c>
      <c r="AG453" s="463" t="s">
        <v>375</v>
      </c>
      <c r="AH453" s="476"/>
      <c r="AI453" s="464"/>
      <c r="AJ453" s="464"/>
    </row>
    <row r="454" spans="2:36" ht="24" hidden="1" customHeight="1">
      <c r="B454" s="463">
        <v>370</v>
      </c>
      <c r="C454" s="464" t="s">
        <v>165</v>
      </c>
      <c r="D454" s="464"/>
      <c r="E454" s="464" t="s">
        <v>535</v>
      </c>
      <c r="F454" s="464"/>
      <c r="G454" s="464" t="s">
        <v>44</v>
      </c>
      <c r="H454" s="464" t="s">
        <v>1485</v>
      </c>
      <c r="I454" s="465" t="s">
        <v>537</v>
      </c>
      <c r="J454" s="466">
        <v>28700</v>
      </c>
      <c r="K454" s="465" t="s">
        <v>537</v>
      </c>
      <c r="L454" s="465" t="s">
        <v>537</v>
      </c>
      <c r="M454" s="466">
        <v>26700</v>
      </c>
      <c r="N454" s="465" t="s">
        <v>537</v>
      </c>
      <c r="O454" s="463" t="s">
        <v>537</v>
      </c>
      <c r="P454" s="463" t="s">
        <v>537</v>
      </c>
      <c r="Q454" s="468">
        <v>2000</v>
      </c>
      <c r="R454" s="470">
        <v>241487</v>
      </c>
      <c r="S454" s="463" t="s">
        <v>1486</v>
      </c>
      <c r="T454" s="463">
        <v>0</v>
      </c>
      <c r="U454" s="463">
        <v>13</v>
      </c>
      <c r="V454" s="463">
        <v>0</v>
      </c>
      <c r="W454" s="463">
        <v>13</v>
      </c>
      <c r="X454" s="463">
        <v>12</v>
      </c>
      <c r="Y454" s="463">
        <v>1</v>
      </c>
      <c r="Z454" s="463">
        <v>91.53</v>
      </c>
      <c r="AA454" s="472" t="s">
        <v>547</v>
      </c>
      <c r="AB454" s="463" t="s">
        <v>539</v>
      </c>
      <c r="AC454" s="463" t="s">
        <v>539</v>
      </c>
      <c r="AD454" s="472" t="s">
        <v>548</v>
      </c>
      <c r="AE454" s="463">
        <v>80</v>
      </c>
      <c r="AF454" s="463">
        <v>96.5</v>
      </c>
      <c r="AG454" s="463" t="s">
        <v>375</v>
      </c>
      <c r="AH454" s="476"/>
      <c r="AI454" s="464"/>
      <c r="AJ454" s="464"/>
    </row>
    <row r="455" spans="2:36" ht="24" hidden="1" customHeight="1">
      <c r="B455" s="463">
        <v>371</v>
      </c>
      <c r="C455" s="464" t="s">
        <v>165</v>
      </c>
      <c r="D455" s="464"/>
      <c r="E455" s="464" t="s">
        <v>535</v>
      </c>
      <c r="F455" s="464"/>
      <c r="G455" s="464" t="s">
        <v>44</v>
      </c>
      <c r="H455" s="464" t="s">
        <v>668</v>
      </c>
      <c r="I455" s="465" t="s">
        <v>537</v>
      </c>
      <c r="J455" s="466">
        <v>117700</v>
      </c>
      <c r="K455" s="465" t="s">
        <v>537</v>
      </c>
      <c r="L455" s="465" t="s">
        <v>537</v>
      </c>
      <c r="M455" s="466">
        <v>117700</v>
      </c>
      <c r="N455" s="465" t="s">
        <v>537</v>
      </c>
      <c r="O455" s="463" t="s">
        <v>537</v>
      </c>
      <c r="P455" s="463" t="s">
        <v>537</v>
      </c>
      <c r="Q455" s="465">
        <v>0</v>
      </c>
      <c r="R455" s="470">
        <v>241487</v>
      </c>
      <c r="S455" s="471">
        <v>22371</v>
      </c>
      <c r="T455" s="463">
        <v>850</v>
      </c>
      <c r="U455" s="463">
        <v>0</v>
      </c>
      <c r="V455" s="463">
        <v>0</v>
      </c>
      <c r="W455" s="463">
        <v>900</v>
      </c>
      <c r="X455" s="464"/>
      <c r="Y455" s="464"/>
      <c r="Z455" s="463">
        <v>86</v>
      </c>
      <c r="AA455" s="472" t="s">
        <v>547</v>
      </c>
      <c r="AB455" s="463" t="s">
        <v>539</v>
      </c>
      <c r="AC455" s="463" t="s">
        <v>539</v>
      </c>
      <c r="AD455" s="472" t="s">
        <v>548</v>
      </c>
      <c r="AE455" s="463">
        <v>80</v>
      </c>
      <c r="AF455" s="463">
        <v>87</v>
      </c>
      <c r="AG455" s="463" t="s">
        <v>375</v>
      </c>
      <c r="AH455" s="476"/>
      <c r="AI455" s="472" t="s">
        <v>1446</v>
      </c>
      <c r="AJ455" s="464"/>
    </row>
    <row r="456" spans="2:36" ht="24" hidden="1" customHeight="1">
      <c r="B456" s="463">
        <v>372</v>
      </c>
      <c r="C456" s="464" t="s">
        <v>165</v>
      </c>
      <c r="D456" s="464"/>
      <c r="E456" s="464" t="s">
        <v>535</v>
      </c>
      <c r="F456" s="464"/>
      <c r="G456" s="464" t="s">
        <v>44</v>
      </c>
      <c r="H456" s="464" t="s">
        <v>667</v>
      </c>
      <c r="I456" s="465" t="s">
        <v>537</v>
      </c>
      <c r="J456" s="466">
        <v>117000</v>
      </c>
      <c r="K456" s="465" t="s">
        <v>537</v>
      </c>
      <c r="L456" s="465" t="s">
        <v>537</v>
      </c>
      <c r="M456" s="466">
        <v>117000</v>
      </c>
      <c r="N456" s="465" t="s">
        <v>537</v>
      </c>
      <c r="O456" s="463" t="s">
        <v>537</v>
      </c>
      <c r="P456" s="463" t="s">
        <v>537</v>
      </c>
      <c r="Q456" s="465">
        <v>0</v>
      </c>
      <c r="R456" s="470">
        <v>241579</v>
      </c>
      <c r="S456" s="471">
        <v>22448</v>
      </c>
      <c r="T456" s="463">
        <v>1170</v>
      </c>
      <c r="U456" s="463">
        <v>0</v>
      </c>
      <c r="V456" s="463">
        <v>0</v>
      </c>
      <c r="W456" s="463">
        <v>1170</v>
      </c>
      <c r="X456" s="464"/>
      <c r="Y456" s="464"/>
      <c r="Z456" s="463">
        <v>90</v>
      </c>
      <c r="AA456" s="472" t="s">
        <v>547</v>
      </c>
      <c r="AB456" s="463" t="s">
        <v>539</v>
      </c>
      <c r="AC456" s="463" t="s">
        <v>539</v>
      </c>
      <c r="AD456" s="472" t="s">
        <v>548</v>
      </c>
      <c r="AE456" s="463">
        <v>80</v>
      </c>
      <c r="AF456" s="463">
        <v>90</v>
      </c>
      <c r="AG456" s="463" t="s">
        <v>375</v>
      </c>
      <c r="AH456" s="476"/>
      <c r="AI456" s="472" t="s">
        <v>1446</v>
      </c>
      <c r="AJ456" s="464"/>
    </row>
    <row r="457" spans="2:36" ht="24" hidden="1" customHeight="1">
      <c r="B457" s="463">
        <v>373</v>
      </c>
      <c r="C457" s="464" t="s">
        <v>165</v>
      </c>
      <c r="D457" s="464"/>
      <c r="E457" s="464" t="s">
        <v>535</v>
      </c>
      <c r="F457" s="464"/>
      <c r="G457" s="464" t="s">
        <v>44</v>
      </c>
      <c r="H457" s="464" t="s">
        <v>669</v>
      </c>
      <c r="I457" s="465" t="s">
        <v>537</v>
      </c>
      <c r="J457" s="466">
        <v>270000</v>
      </c>
      <c r="K457" s="465" t="s">
        <v>537</v>
      </c>
      <c r="L457" s="465" t="s">
        <v>537</v>
      </c>
      <c r="M457" s="466">
        <v>270000</v>
      </c>
      <c r="N457" s="465" t="s">
        <v>537</v>
      </c>
      <c r="O457" s="463" t="s">
        <v>537</v>
      </c>
      <c r="P457" s="463" t="s">
        <v>537</v>
      </c>
      <c r="Q457" s="465">
        <v>0</v>
      </c>
      <c r="R457" s="470">
        <v>241609</v>
      </c>
      <c r="S457" s="463" t="s">
        <v>637</v>
      </c>
      <c r="T457" s="463">
        <v>400</v>
      </c>
      <c r="U457" s="463">
        <v>50</v>
      </c>
      <c r="V457" s="463">
        <v>0</v>
      </c>
      <c r="W457" s="463">
        <v>500</v>
      </c>
      <c r="X457" s="463">
        <v>50</v>
      </c>
      <c r="Y457" s="464"/>
      <c r="Z457" s="463">
        <v>95</v>
      </c>
      <c r="AA457" s="472" t="s">
        <v>728</v>
      </c>
      <c r="AB457" s="463">
        <v>1</v>
      </c>
      <c r="AC457" s="463">
        <v>1</v>
      </c>
      <c r="AD457" s="472" t="s">
        <v>729</v>
      </c>
      <c r="AE457" s="463">
        <v>1</v>
      </c>
      <c r="AF457" s="463">
        <v>1</v>
      </c>
      <c r="AG457" s="463" t="s">
        <v>375</v>
      </c>
      <c r="AH457" s="476"/>
      <c r="AI457" s="472" t="s">
        <v>1446</v>
      </c>
      <c r="AJ457" s="464"/>
    </row>
    <row r="458" spans="2:36" ht="24" hidden="1" customHeight="1">
      <c r="B458" s="463">
        <v>374</v>
      </c>
      <c r="C458" s="464" t="s">
        <v>165</v>
      </c>
      <c r="D458" s="464"/>
      <c r="E458" s="464" t="s">
        <v>535</v>
      </c>
      <c r="F458" s="464"/>
      <c r="G458" s="464" t="s">
        <v>44</v>
      </c>
      <c r="H458" s="464" t="s">
        <v>1487</v>
      </c>
      <c r="I458" s="465" t="s">
        <v>537</v>
      </c>
      <c r="J458" s="466">
        <v>460000</v>
      </c>
      <c r="K458" s="465" t="s">
        <v>537</v>
      </c>
      <c r="L458" s="465" t="s">
        <v>537</v>
      </c>
      <c r="M458" s="466">
        <v>366081</v>
      </c>
      <c r="N458" s="465" t="s">
        <v>537</v>
      </c>
      <c r="O458" s="463" t="s">
        <v>537</v>
      </c>
      <c r="P458" s="463" t="s">
        <v>537</v>
      </c>
      <c r="Q458" s="468">
        <v>93919</v>
      </c>
      <c r="R458" s="463" t="s">
        <v>643</v>
      </c>
      <c r="S458" s="463" t="s">
        <v>1488</v>
      </c>
      <c r="T458" s="463">
        <v>0</v>
      </c>
      <c r="U458" s="463">
        <v>80</v>
      </c>
      <c r="V458" s="463">
        <v>0</v>
      </c>
      <c r="W458" s="464"/>
      <c r="X458" s="463">
        <v>48</v>
      </c>
      <c r="Y458" s="464"/>
      <c r="Z458" s="463">
        <v>84</v>
      </c>
      <c r="AA458" s="472" t="s">
        <v>547</v>
      </c>
      <c r="AB458" s="463" t="s">
        <v>539</v>
      </c>
      <c r="AC458" s="463" t="s">
        <v>539</v>
      </c>
      <c r="AD458" s="472" t="s">
        <v>548</v>
      </c>
      <c r="AE458" s="463">
        <v>80</v>
      </c>
      <c r="AF458" s="463">
        <v>89</v>
      </c>
      <c r="AG458" s="463" t="s">
        <v>375</v>
      </c>
      <c r="AH458" s="476"/>
      <c r="AI458" s="472" t="s">
        <v>1448</v>
      </c>
      <c r="AJ458" s="464"/>
    </row>
    <row r="459" spans="2:36" ht="24" hidden="1" customHeight="1">
      <c r="B459" s="463">
        <v>375</v>
      </c>
      <c r="C459" s="464" t="s">
        <v>165</v>
      </c>
      <c r="D459" s="464"/>
      <c r="E459" s="464" t="s">
        <v>535</v>
      </c>
      <c r="F459" s="464"/>
      <c r="G459" s="464" t="s">
        <v>44</v>
      </c>
      <c r="H459" s="464" t="s">
        <v>1489</v>
      </c>
      <c r="I459" s="465" t="s">
        <v>537</v>
      </c>
      <c r="J459" s="466">
        <v>60000</v>
      </c>
      <c r="K459" s="465" t="s">
        <v>537</v>
      </c>
      <c r="L459" s="465" t="s">
        <v>537</v>
      </c>
      <c r="M459" s="466">
        <v>59688</v>
      </c>
      <c r="N459" s="465" t="s">
        <v>537</v>
      </c>
      <c r="O459" s="463" t="s">
        <v>537</v>
      </c>
      <c r="P459" s="463" t="s">
        <v>537</v>
      </c>
      <c r="Q459" s="465">
        <v>312</v>
      </c>
      <c r="R459" s="463" t="s">
        <v>1490</v>
      </c>
      <c r="S459" s="463" t="s">
        <v>1064</v>
      </c>
      <c r="T459" s="463">
        <v>0</v>
      </c>
      <c r="U459" s="463">
        <v>0</v>
      </c>
      <c r="V459" s="463">
        <v>200</v>
      </c>
      <c r="W459" s="464"/>
      <c r="X459" s="464"/>
      <c r="Y459" s="463">
        <v>200</v>
      </c>
      <c r="Z459" s="463">
        <v>92</v>
      </c>
      <c r="AA459" s="472" t="s">
        <v>1491</v>
      </c>
      <c r="AB459" s="463" t="s">
        <v>539</v>
      </c>
      <c r="AC459" s="463" t="s">
        <v>539</v>
      </c>
      <c r="AD459" s="472" t="s">
        <v>1492</v>
      </c>
      <c r="AE459" s="463">
        <v>80</v>
      </c>
      <c r="AF459" s="463">
        <v>902</v>
      </c>
      <c r="AG459" s="463" t="s">
        <v>375</v>
      </c>
      <c r="AH459" s="476"/>
      <c r="AI459" s="472">
        <v>818985920</v>
      </c>
      <c r="AJ459" s="464"/>
    </row>
    <row r="460" spans="2:36" ht="24" hidden="1" customHeight="1">
      <c r="B460" s="463">
        <v>376</v>
      </c>
      <c r="C460" s="464" t="s">
        <v>165</v>
      </c>
      <c r="D460" s="464"/>
      <c r="E460" s="464" t="s">
        <v>535</v>
      </c>
      <c r="F460" s="464"/>
      <c r="G460" s="464" t="s">
        <v>44</v>
      </c>
      <c r="H460" s="464" t="s">
        <v>1493</v>
      </c>
      <c r="I460" s="465" t="s">
        <v>537</v>
      </c>
      <c r="J460" s="466">
        <v>31300</v>
      </c>
      <c r="K460" s="465" t="s">
        <v>537</v>
      </c>
      <c r="L460" s="465" t="s">
        <v>537</v>
      </c>
      <c r="M460" s="466">
        <v>31276</v>
      </c>
      <c r="N460" s="465" t="s">
        <v>537</v>
      </c>
      <c r="O460" s="463" t="s">
        <v>537</v>
      </c>
      <c r="P460" s="463" t="s">
        <v>537</v>
      </c>
      <c r="Q460" s="465">
        <v>24</v>
      </c>
      <c r="R460" s="470">
        <v>241579</v>
      </c>
      <c r="S460" s="471">
        <v>22460</v>
      </c>
      <c r="T460" s="463">
        <v>0</v>
      </c>
      <c r="U460" s="463">
        <v>19</v>
      </c>
      <c r="V460" s="463">
        <v>3</v>
      </c>
      <c r="W460" s="464"/>
      <c r="X460" s="463">
        <v>26</v>
      </c>
      <c r="Y460" s="464"/>
      <c r="Z460" s="463">
        <v>90.56</v>
      </c>
      <c r="AA460" s="472" t="s">
        <v>547</v>
      </c>
      <c r="AB460" s="463" t="s">
        <v>539</v>
      </c>
      <c r="AC460" s="463" t="s">
        <v>539</v>
      </c>
      <c r="AD460" s="472" t="s">
        <v>548</v>
      </c>
      <c r="AE460" s="463" t="s">
        <v>539</v>
      </c>
      <c r="AF460" s="463" t="s">
        <v>539</v>
      </c>
      <c r="AG460" s="463" t="s">
        <v>375</v>
      </c>
      <c r="AH460" s="476"/>
      <c r="AI460" s="464"/>
      <c r="AJ460" s="464"/>
    </row>
    <row r="461" spans="2:36" ht="24" hidden="1" customHeight="1">
      <c r="B461" s="463">
        <v>377</v>
      </c>
      <c r="C461" s="464" t="s">
        <v>534</v>
      </c>
      <c r="D461" s="464"/>
      <c r="E461" s="464" t="s">
        <v>577</v>
      </c>
      <c r="F461" s="464"/>
      <c r="G461" s="464" t="s">
        <v>44</v>
      </c>
      <c r="H461" s="464" t="s">
        <v>1494</v>
      </c>
      <c r="I461" s="465" t="s">
        <v>537</v>
      </c>
      <c r="J461" s="465" t="s">
        <v>537</v>
      </c>
      <c r="K461" s="466">
        <v>20000</v>
      </c>
      <c r="L461" s="465" t="s">
        <v>537</v>
      </c>
      <c r="M461" s="465" t="s">
        <v>537</v>
      </c>
      <c r="N461" s="466">
        <v>20000</v>
      </c>
      <c r="O461" s="463" t="s">
        <v>537</v>
      </c>
      <c r="P461" s="463" t="s">
        <v>537</v>
      </c>
      <c r="Q461" s="465">
        <v>0</v>
      </c>
      <c r="R461" s="470">
        <v>241487</v>
      </c>
      <c r="S461" s="463" t="s">
        <v>1495</v>
      </c>
      <c r="T461" s="463">
        <v>0</v>
      </c>
      <c r="U461" s="463">
        <v>0</v>
      </c>
      <c r="V461" s="463">
        <v>0</v>
      </c>
      <c r="W461" s="463">
        <v>2</v>
      </c>
      <c r="X461" s="463">
        <v>4</v>
      </c>
      <c r="Y461" s="463">
        <v>22</v>
      </c>
      <c r="Z461" s="463">
        <v>92.8</v>
      </c>
      <c r="AA461" s="472" t="s">
        <v>1496</v>
      </c>
      <c r="AB461" s="463" t="s">
        <v>539</v>
      </c>
      <c r="AC461" s="463" t="s">
        <v>539</v>
      </c>
      <c r="AD461" s="472" t="s">
        <v>1497</v>
      </c>
      <c r="AE461" s="463">
        <v>1</v>
      </c>
      <c r="AF461" s="463">
        <v>1</v>
      </c>
      <c r="AG461" s="463" t="s">
        <v>375</v>
      </c>
      <c r="AH461" s="476"/>
      <c r="AI461" s="464"/>
      <c r="AJ461" s="472" t="s">
        <v>543</v>
      </c>
    </row>
    <row r="462" spans="2:36" ht="24" hidden="1" customHeight="1">
      <c r="B462" s="463">
        <v>378</v>
      </c>
      <c r="C462" s="464" t="s">
        <v>534</v>
      </c>
      <c r="D462" s="464"/>
      <c r="E462" s="464" t="s">
        <v>577</v>
      </c>
      <c r="F462" s="464"/>
      <c r="G462" s="464" t="s">
        <v>44</v>
      </c>
      <c r="H462" s="464" t="s">
        <v>1498</v>
      </c>
      <c r="I462" s="465" t="s">
        <v>537</v>
      </c>
      <c r="J462" s="465" t="s">
        <v>537</v>
      </c>
      <c r="K462" s="466">
        <v>15000</v>
      </c>
      <c r="L462" s="465" t="s">
        <v>537</v>
      </c>
      <c r="M462" s="465" t="s">
        <v>537</v>
      </c>
      <c r="N462" s="466">
        <v>14600</v>
      </c>
      <c r="O462" s="463" t="s">
        <v>537</v>
      </c>
      <c r="P462" s="463" t="s">
        <v>537</v>
      </c>
      <c r="Q462" s="465">
        <v>400</v>
      </c>
      <c r="R462" s="470">
        <v>241487</v>
      </c>
      <c r="S462" s="471">
        <v>22364</v>
      </c>
      <c r="T462" s="463">
        <v>0</v>
      </c>
      <c r="U462" s="463">
        <v>0</v>
      </c>
      <c r="V462" s="463">
        <v>0</v>
      </c>
      <c r="W462" s="463">
        <v>13</v>
      </c>
      <c r="X462" s="463">
        <v>9</v>
      </c>
      <c r="Y462" s="463">
        <v>29</v>
      </c>
      <c r="Z462" s="463">
        <v>83.5</v>
      </c>
      <c r="AA462" s="472" t="s">
        <v>1499</v>
      </c>
      <c r="AB462" s="463" t="s">
        <v>539</v>
      </c>
      <c r="AC462" s="463" t="s">
        <v>539</v>
      </c>
      <c r="AD462" s="472" t="s">
        <v>1500</v>
      </c>
      <c r="AE462" s="463">
        <v>1</v>
      </c>
      <c r="AF462" s="463">
        <v>1</v>
      </c>
      <c r="AG462" s="463" t="s">
        <v>375</v>
      </c>
      <c r="AH462" s="476"/>
      <c r="AI462" s="464"/>
      <c r="AJ462" s="472" t="s">
        <v>543</v>
      </c>
    </row>
    <row r="463" spans="2:36" ht="24" hidden="1" customHeight="1">
      <c r="B463" s="701">
        <v>379</v>
      </c>
      <c r="C463" s="699" t="s">
        <v>337</v>
      </c>
      <c r="D463" s="699"/>
      <c r="E463" s="699" t="s">
        <v>545</v>
      </c>
      <c r="F463" s="699"/>
      <c r="G463" s="699" t="s">
        <v>44</v>
      </c>
      <c r="H463" s="699" t="s">
        <v>1501</v>
      </c>
      <c r="I463" s="712">
        <v>28000</v>
      </c>
      <c r="J463" s="709" t="s">
        <v>537</v>
      </c>
      <c r="K463" s="709" t="s">
        <v>537</v>
      </c>
      <c r="L463" s="712">
        <v>27992.9</v>
      </c>
      <c r="M463" s="709" t="s">
        <v>537</v>
      </c>
      <c r="N463" s="709" t="s">
        <v>537</v>
      </c>
      <c r="O463" s="701" t="s">
        <v>537</v>
      </c>
      <c r="P463" s="701" t="s">
        <v>537</v>
      </c>
      <c r="Q463" s="709">
        <v>7</v>
      </c>
      <c r="R463" s="707">
        <v>241428</v>
      </c>
      <c r="S463" s="701" t="s">
        <v>821</v>
      </c>
      <c r="T463" s="701">
        <v>2</v>
      </c>
      <c r="U463" s="701">
        <v>3</v>
      </c>
      <c r="V463" s="701">
        <v>35</v>
      </c>
      <c r="W463" s="701">
        <v>2</v>
      </c>
      <c r="X463" s="701">
        <v>3</v>
      </c>
      <c r="Y463" s="701">
        <v>35</v>
      </c>
      <c r="Z463" s="701">
        <v>87</v>
      </c>
      <c r="AA463" s="458" t="s">
        <v>547</v>
      </c>
      <c r="AB463" s="459" t="s">
        <v>539</v>
      </c>
      <c r="AC463" s="459" t="s">
        <v>539</v>
      </c>
      <c r="AD463" s="458" t="s">
        <v>548</v>
      </c>
      <c r="AE463" s="459">
        <v>80</v>
      </c>
      <c r="AF463" s="459">
        <v>91</v>
      </c>
      <c r="AG463" s="701" t="s">
        <v>375</v>
      </c>
      <c r="AH463" s="728"/>
      <c r="AI463" s="697">
        <v>4040</v>
      </c>
      <c r="AJ463" s="699"/>
    </row>
    <row r="464" spans="2:36" ht="24" hidden="1" customHeight="1">
      <c r="B464" s="702"/>
      <c r="C464" s="700"/>
      <c r="D464" s="700"/>
      <c r="E464" s="700"/>
      <c r="F464" s="700"/>
      <c r="G464" s="700"/>
      <c r="H464" s="700"/>
      <c r="I464" s="713"/>
      <c r="J464" s="710"/>
      <c r="K464" s="710"/>
      <c r="L464" s="713"/>
      <c r="M464" s="710"/>
      <c r="N464" s="710"/>
      <c r="O464" s="702"/>
      <c r="P464" s="702"/>
      <c r="Q464" s="710"/>
      <c r="R464" s="708"/>
      <c r="S464" s="702"/>
      <c r="T464" s="702"/>
      <c r="U464" s="702"/>
      <c r="V464" s="702"/>
      <c r="W464" s="702"/>
      <c r="X464" s="702"/>
      <c r="Y464" s="702"/>
      <c r="Z464" s="702"/>
      <c r="AA464" s="473" t="s">
        <v>1502</v>
      </c>
      <c r="AB464" s="474">
        <v>1</v>
      </c>
      <c r="AC464" s="474">
        <v>1</v>
      </c>
      <c r="AD464" s="473" t="s">
        <v>1503</v>
      </c>
      <c r="AE464" s="474">
        <v>1</v>
      </c>
      <c r="AF464" s="474">
        <v>1</v>
      </c>
      <c r="AG464" s="702"/>
      <c r="AH464" s="729"/>
      <c r="AI464" s="698"/>
      <c r="AJ464" s="700"/>
    </row>
    <row r="465" spans="2:36" ht="24" hidden="1" customHeight="1">
      <c r="B465" s="701">
        <v>380</v>
      </c>
      <c r="C465" s="699" t="s">
        <v>337</v>
      </c>
      <c r="D465" s="699"/>
      <c r="E465" s="699" t="s">
        <v>545</v>
      </c>
      <c r="F465" s="699"/>
      <c r="G465" s="699" t="s">
        <v>44</v>
      </c>
      <c r="H465" s="699" t="s">
        <v>1504</v>
      </c>
      <c r="I465" s="712">
        <v>26000</v>
      </c>
      <c r="J465" s="709" t="s">
        <v>537</v>
      </c>
      <c r="K465" s="709" t="s">
        <v>537</v>
      </c>
      <c r="L465" s="712">
        <v>10000</v>
      </c>
      <c r="M465" s="709" t="s">
        <v>537</v>
      </c>
      <c r="N465" s="709" t="s">
        <v>537</v>
      </c>
      <c r="O465" s="701" t="s">
        <v>537</v>
      </c>
      <c r="P465" s="701" t="s">
        <v>537</v>
      </c>
      <c r="Q465" s="705">
        <v>16000</v>
      </c>
      <c r="R465" s="707">
        <v>241518</v>
      </c>
      <c r="S465" s="721">
        <v>22398</v>
      </c>
      <c r="T465" s="701">
        <v>3</v>
      </c>
      <c r="U465" s="701">
        <v>7</v>
      </c>
      <c r="V465" s="701">
        <v>30</v>
      </c>
      <c r="W465" s="701">
        <v>1</v>
      </c>
      <c r="X465" s="701">
        <v>3</v>
      </c>
      <c r="Y465" s="701">
        <v>36</v>
      </c>
      <c r="Z465" s="701">
        <v>86</v>
      </c>
      <c r="AA465" s="458" t="s">
        <v>547</v>
      </c>
      <c r="AB465" s="459" t="s">
        <v>539</v>
      </c>
      <c r="AC465" s="459" t="s">
        <v>539</v>
      </c>
      <c r="AD465" s="458" t="s">
        <v>548</v>
      </c>
      <c r="AE465" s="459">
        <v>80</v>
      </c>
      <c r="AF465" s="459">
        <v>87</v>
      </c>
      <c r="AG465" s="701" t="s">
        <v>375</v>
      </c>
      <c r="AH465" s="728"/>
      <c r="AI465" s="697">
        <v>4050</v>
      </c>
      <c r="AJ465" s="699"/>
    </row>
    <row r="466" spans="2:36" ht="24" hidden="1" customHeight="1">
      <c r="B466" s="702"/>
      <c r="C466" s="700"/>
      <c r="D466" s="700"/>
      <c r="E466" s="700"/>
      <c r="F466" s="700"/>
      <c r="G466" s="700"/>
      <c r="H466" s="700"/>
      <c r="I466" s="713"/>
      <c r="J466" s="710"/>
      <c r="K466" s="710"/>
      <c r="L466" s="713"/>
      <c r="M466" s="710"/>
      <c r="N466" s="710"/>
      <c r="O466" s="702"/>
      <c r="P466" s="702"/>
      <c r="Q466" s="706"/>
      <c r="R466" s="708"/>
      <c r="S466" s="722"/>
      <c r="T466" s="702"/>
      <c r="U466" s="702"/>
      <c r="V466" s="702"/>
      <c r="W466" s="702"/>
      <c r="X466" s="702"/>
      <c r="Y466" s="702"/>
      <c r="Z466" s="702"/>
      <c r="AA466" s="473" t="s">
        <v>1505</v>
      </c>
      <c r="AB466" s="474">
        <v>1</v>
      </c>
      <c r="AC466" s="474">
        <v>1</v>
      </c>
      <c r="AD466" s="473" t="s">
        <v>1506</v>
      </c>
      <c r="AE466" s="474">
        <v>1</v>
      </c>
      <c r="AF466" s="474">
        <v>1</v>
      </c>
      <c r="AG466" s="702"/>
      <c r="AH466" s="729"/>
      <c r="AI466" s="698"/>
      <c r="AJ466" s="700"/>
    </row>
    <row r="467" spans="2:36" ht="24" hidden="1" customHeight="1">
      <c r="B467" s="701">
        <v>381</v>
      </c>
      <c r="C467" s="699" t="s">
        <v>337</v>
      </c>
      <c r="D467" s="699"/>
      <c r="E467" s="699" t="s">
        <v>545</v>
      </c>
      <c r="F467" s="699"/>
      <c r="G467" s="699" t="s">
        <v>44</v>
      </c>
      <c r="H467" s="699" t="s">
        <v>1507</v>
      </c>
      <c r="I467" s="712">
        <v>27000</v>
      </c>
      <c r="J467" s="709" t="s">
        <v>537</v>
      </c>
      <c r="K467" s="709" t="s">
        <v>537</v>
      </c>
      <c r="L467" s="712">
        <v>26880</v>
      </c>
      <c r="M467" s="709" t="s">
        <v>537</v>
      </c>
      <c r="N467" s="709" t="s">
        <v>537</v>
      </c>
      <c r="O467" s="701" t="s">
        <v>537</v>
      </c>
      <c r="P467" s="701" t="s">
        <v>537</v>
      </c>
      <c r="Q467" s="709">
        <v>120</v>
      </c>
      <c r="R467" s="707">
        <v>241428</v>
      </c>
      <c r="S467" s="701" t="s">
        <v>1508</v>
      </c>
      <c r="T467" s="701">
        <v>1</v>
      </c>
      <c r="U467" s="701">
        <v>3</v>
      </c>
      <c r="V467" s="701">
        <v>36</v>
      </c>
      <c r="W467" s="701">
        <v>1</v>
      </c>
      <c r="X467" s="701">
        <v>3</v>
      </c>
      <c r="Y467" s="701">
        <v>50</v>
      </c>
      <c r="Z467" s="701">
        <v>92</v>
      </c>
      <c r="AA467" s="458" t="s">
        <v>547</v>
      </c>
      <c r="AB467" s="459" t="s">
        <v>539</v>
      </c>
      <c r="AC467" s="459" t="s">
        <v>539</v>
      </c>
      <c r="AD467" s="458" t="s">
        <v>548</v>
      </c>
      <c r="AE467" s="459">
        <v>80</v>
      </c>
      <c r="AF467" s="459">
        <v>90</v>
      </c>
      <c r="AG467" s="701" t="s">
        <v>375</v>
      </c>
      <c r="AH467" s="728"/>
      <c r="AI467" s="697" t="s">
        <v>1509</v>
      </c>
      <c r="AJ467" s="699"/>
    </row>
    <row r="468" spans="2:36" ht="24" hidden="1" customHeight="1">
      <c r="B468" s="702"/>
      <c r="C468" s="700"/>
      <c r="D468" s="700"/>
      <c r="E468" s="700"/>
      <c r="F468" s="700"/>
      <c r="G468" s="700"/>
      <c r="H468" s="700"/>
      <c r="I468" s="713"/>
      <c r="J468" s="710"/>
      <c r="K468" s="710"/>
      <c r="L468" s="713"/>
      <c r="M468" s="710"/>
      <c r="N468" s="710"/>
      <c r="O468" s="702"/>
      <c r="P468" s="702"/>
      <c r="Q468" s="710"/>
      <c r="R468" s="708"/>
      <c r="S468" s="702"/>
      <c r="T468" s="702"/>
      <c r="U468" s="702"/>
      <c r="V468" s="702"/>
      <c r="W468" s="702"/>
      <c r="X468" s="702"/>
      <c r="Y468" s="702"/>
      <c r="Z468" s="702"/>
      <c r="AA468" s="473" t="s">
        <v>1510</v>
      </c>
      <c r="AB468" s="474">
        <v>1</v>
      </c>
      <c r="AC468" s="474">
        <v>1</v>
      </c>
      <c r="AD468" s="473" t="s">
        <v>1511</v>
      </c>
      <c r="AE468" s="474">
        <v>1</v>
      </c>
      <c r="AF468" s="474">
        <v>1</v>
      </c>
      <c r="AG468" s="702"/>
      <c r="AH468" s="729"/>
      <c r="AI468" s="698"/>
      <c r="AJ468" s="700"/>
    </row>
    <row r="469" spans="2:36" ht="24" hidden="1" customHeight="1">
      <c r="B469" s="701">
        <v>382</v>
      </c>
      <c r="C469" s="699" t="s">
        <v>337</v>
      </c>
      <c r="D469" s="699"/>
      <c r="E469" s="699" t="s">
        <v>545</v>
      </c>
      <c r="F469" s="699"/>
      <c r="G469" s="699" t="s">
        <v>44</v>
      </c>
      <c r="H469" s="699" t="s">
        <v>1512</v>
      </c>
      <c r="I469" s="712">
        <v>13000</v>
      </c>
      <c r="J469" s="709" t="s">
        <v>537</v>
      </c>
      <c r="K469" s="709" t="s">
        <v>537</v>
      </c>
      <c r="L469" s="712">
        <v>13000</v>
      </c>
      <c r="M469" s="709" t="s">
        <v>537</v>
      </c>
      <c r="N469" s="709" t="s">
        <v>537</v>
      </c>
      <c r="O469" s="701" t="s">
        <v>537</v>
      </c>
      <c r="P469" s="701" t="s">
        <v>537</v>
      </c>
      <c r="Q469" s="709">
        <v>0</v>
      </c>
      <c r="R469" s="707">
        <v>241609</v>
      </c>
      <c r="S469" s="721">
        <v>22488</v>
      </c>
      <c r="T469" s="701">
        <v>2</v>
      </c>
      <c r="U469" s="701">
        <v>2</v>
      </c>
      <c r="V469" s="701">
        <v>36</v>
      </c>
      <c r="W469" s="699"/>
      <c r="X469" s="701">
        <v>5</v>
      </c>
      <c r="Y469" s="701">
        <v>35</v>
      </c>
      <c r="Z469" s="701">
        <v>90.5</v>
      </c>
      <c r="AA469" s="458" t="s">
        <v>547</v>
      </c>
      <c r="AB469" s="459" t="s">
        <v>539</v>
      </c>
      <c r="AC469" s="459" t="s">
        <v>539</v>
      </c>
      <c r="AD469" s="458" t="s">
        <v>548</v>
      </c>
      <c r="AE469" s="459">
        <v>80</v>
      </c>
      <c r="AF469" s="459">
        <v>92</v>
      </c>
      <c r="AG469" s="701" t="s">
        <v>375</v>
      </c>
      <c r="AH469" s="728"/>
      <c r="AI469" s="699"/>
      <c r="AJ469" s="699"/>
    </row>
    <row r="470" spans="2:36" ht="24" hidden="1" customHeight="1">
      <c r="B470" s="702"/>
      <c r="C470" s="700"/>
      <c r="D470" s="700"/>
      <c r="E470" s="700"/>
      <c r="F470" s="700"/>
      <c r="G470" s="700"/>
      <c r="H470" s="700"/>
      <c r="I470" s="713"/>
      <c r="J470" s="710"/>
      <c r="K470" s="710"/>
      <c r="L470" s="713"/>
      <c r="M470" s="710"/>
      <c r="N470" s="710"/>
      <c r="O470" s="702"/>
      <c r="P470" s="702"/>
      <c r="Q470" s="710"/>
      <c r="R470" s="708"/>
      <c r="S470" s="722"/>
      <c r="T470" s="702"/>
      <c r="U470" s="702"/>
      <c r="V470" s="702"/>
      <c r="W470" s="700"/>
      <c r="X470" s="702"/>
      <c r="Y470" s="702"/>
      <c r="Z470" s="702"/>
      <c r="AA470" s="473" t="s">
        <v>1513</v>
      </c>
      <c r="AB470" s="474" t="s">
        <v>539</v>
      </c>
      <c r="AC470" s="474" t="s">
        <v>539</v>
      </c>
      <c r="AD470" s="473" t="s">
        <v>1514</v>
      </c>
      <c r="AE470" s="474" t="s">
        <v>539</v>
      </c>
      <c r="AF470" s="474" t="s">
        <v>539</v>
      </c>
      <c r="AG470" s="702"/>
      <c r="AH470" s="729"/>
      <c r="AI470" s="700"/>
      <c r="AJ470" s="700"/>
    </row>
    <row r="471" spans="2:36" ht="24" hidden="1" customHeight="1">
      <c r="B471" s="701">
        <v>383</v>
      </c>
      <c r="C471" s="699" t="s">
        <v>337</v>
      </c>
      <c r="D471" s="699"/>
      <c r="E471" s="699" t="s">
        <v>545</v>
      </c>
      <c r="F471" s="699"/>
      <c r="G471" s="699" t="s">
        <v>44</v>
      </c>
      <c r="H471" s="699" t="s">
        <v>1515</v>
      </c>
      <c r="I471" s="712">
        <v>30000</v>
      </c>
      <c r="J471" s="709" t="s">
        <v>537</v>
      </c>
      <c r="K471" s="709" t="s">
        <v>537</v>
      </c>
      <c r="L471" s="712">
        <v>20000</v>
      </c>
      <c r="M471" s="709" t="s">
        <v>537</v>
      </c>
      <c r="N471" s="709" t="s">
        <v>537</v>
      </c>
      <c r="O471" s="701" t="s">
        <v>537</v>
      </c>
      <c r="P471" s="701" t="s">
        <v>537</v>
      </c>
      <c r="Q471" s="705">
        <v>10000</v>
      </c>
      <c r="R471" s="707">
        <v>241579</v>
      </c>
      <c r="S471" s="701" t="s">
        <v>692</v>
      </c>
      <c r="T471" s="701">
        <v>1</v>
      </c>
      <c r="U471" s="701">
        <v>3</v>
      </c>
      <c r="V471" s="701">
        <v>36</v>
      </c>
      <c r="W471" s="701">
        <v>1</v>
      </c>
      <c r="X471" s="701">
        <v>4</v>
      </c>
      <c r="Y471" s="701">
        <v>35</v>
      </c>
      <c r="Z471" s="701">
        <v>95</v>
      </c>
      <c r="AA471" s="458" t="s">
        <v>547</v>
      </c>
      <c r="AB471" s="459" t="s">
        <v>539</v>
      </c>
      <c r="AC471" s="459" t="s">
        <v>539</v>
      </c>
      <c r="AD471" s="458" t="s">
        <v>548</v>
      </c>
      <c r="AE471" s="459">
        <v>80</v>
      </c>
      <c r="AF471" s="459">
        <v>95</v>
      </c>
      <c r="AG471" s="701" t="s">
        <v>375</v>
      </c>
      <c r="AH471" s="728"/>
      <c r="AI471" s="697">
        <v>4040</v>
      </c>
      <c r="AJ471" s="699"/>
    </row>
    <row r="472" spans="2:36" ht="24" hidden="1" customHeight="1">
      <c r="B472" s="702"/>
      <c r="C472" s="700"/>
      <c r="D472" s="700"/>
      <c r="E472" s="700"/>
      <c r="F472" s="700"/>
      <c r="G472" s="700"/>
      <c r="H472" s="700"/>
      <c r="I472" s="713"/>
      <c r="J472" s="710"/>
      <c r="K472" s="710"/>
      <c r="L472" s="713"/>
      <c r="M472" s="710"/>
      <c r="N472" s="710"/>
      <c r="O472" s="702"/>
      <c r="P472" s="702"/>
      <c r="Q472" s="706"/>
      <c r="R472" s="708"/>
      <c r="S472" s="702"/>
      <c r="T472" s="702"/>
      <c r="U472" s="702"/>
      <c r="V472" s="702"/>
      <c r="W472" s="702"/>
      <c r="X472" s="702"/>
      <c r="Y472" s="702"/>
      <c r="Z472" s="702"/>
      <c r="AA472" s="473" t="s">
        <v>1516</v>
      </c>
      <c r="AB472" s="474">
        <v>1</v>
      </c>
      <c r="AC472" s="474">
        <v>1</v>
      </c>
      <c r="AD472" s="473" t="s">
        <v>1517</v>
      </c>
      <c r="AE472" s="474">
        <v>1</v>
      </c>
      <c r="AF472" s="474">
        <v>1</v>
      </c>
      <c r="AG472" s="702"/>
      <c r="AH472" s="729"/>
      <c r="AI472" s="698"/>
      <c r="AJ472" s="700"/>
    </row>
    <row r="473" spans="2:36" ht="24" hidden="1" customHeight="1">
      <c r="B473" s="701">
        <v>384</v>
      </c>
      <c r="C473" s="699" t="s">
        <v>337</v>
      </c>
      <c r="D473" s="699"/>
      <c r="E473" s="699" t="s">
        <v>545</v>
      </c>
      <c r="F473" s="699"/>
      <c r="G473" s="699" t="s">
        <v>44</v>
      </c>
      <c r="H473" s="699" t="s">
        <v>1518</v>
      </c>
      <c r="I473" s="712">
        <v>26000</v>
      </c>
      <c r="J473" s="709" t="s">
        <v>537</v>
      </c>
      <c r="K473" s="709" t="s">
        <v>537</v>
      </c>
      <c r="L473" s="712">
        <v>25600</v>
      </c>
      <c r="M473" s="709" t="s">
        <v>537</v>
      </c>
      <c r="N473" s="709" t="s">
        <v>537</v>
      </c>
      <c r="O473" s="701" t="s">
        <v>537</v>
      </c>
      <c r="P473" s="701" t="s">
        <v>537</v>
      </c>
      <c r="Q473" s="709">
        <v>400</v>
      </c>
      <c r="R473" s="707">
        <v>241579</v>
      </c>
      <c r="S473" s="701" t="s">
        <v>1519</v>
      </c>
      <c r="T473" s="701">
        <v>2</v>
      </c>
      <c r="U473" s="701">
        <v>3</v>
      </c>
      <c r="V473" s="701">
        <v>35</v>
      </c>
      <c r="W473" s="701">
        <v>5</v>
      </c>
      <c r="X473" s="701">
        <v>5</v>
      </c>
      <c r="Y473" s="701">
        <v>40</v>
      </c>
      <c r="Z473" s="701">
        <v>88</v>
      </c>
      <c r="AA473" s="458" t="s">
        <v>547</v>
      </c>
      <c r="AB473" s="459" t="s">
        <v>539</v>
      </c>
      <c r="AC473" s="459" t="s">
        <v>539</v>
      </c>
      <c r="AD473" s="458" t="s">
        <v>548</v>
      </c>
      <c r="AE473" s="459">
        <v>80</v>
      </c>
      <c r="AF473" s="459">
        <v>90</v>
      </c>
      <c r="AG473" s="701" t="s">
        <v>375</v>
      </c>
      <c r="AH473" s="728"/>
      <c r="AI473" s="697" t="s">
        <v>1520</v>
      </c>
      <c r="AJ473" s="699"/>
    </row>
    <row r="474" spans="2:36" ht="24" hidden="1" customHeight="1">
      <c r="B474" s="702"/>
      <c r="C474" s="700"/>
      <c r="D474" s="700"/>
      <c r="E474" s="700"/>
      <c r="F474" s="700"/>
      <c r="G474" s="700"/>
      <c r="H474" s="700"/>
      <c r="I474" s="713"/>
      <c r="J474" s="710"/>
      <c r="K474" s="710"/>
      <c r="L474" s="713"/>
      <c r="M474" s="710"/>
      <c r="N474" s="710"/>
      <c r="O474" s="702"/>
      <c r="P474" s="702"/>
      <c r="Q474" s="710"/>
      <c r="R474" s="708"/>
      <c r="S474" s="702"/>
      <c r="T474" s="702"/>
      <c r="U474" s="702"/>
      <c r="V474" s="702"/>
      <c r="W474" s="702"/>
      <c r="X474" s="702"/>
      <c r="Y474" s="702"/>
      <c r="Z474" s="702"/>
      <c r="AA474" s="473" t="s">
        <v>1521</v>
      </c>
      <c r="AB474" s="474" t="s">
        <v>539</v>
      </c>
      <c r="AC474" s="474" t="s">
        <v>539</v>
      </c>
      <c r="AD474" s="473" t="s">
        <v>1522</v>
      </c>
      <c r="AE474" s="474" t="s">
        <v>539</v>
      </c>
      <c r="AF474" s="474" t="s">
        <v>539</v>
      </c>
      <c r="AG474" s="702"/>
      <c r="AH474" s="729"/>
      <c r="AI474" s="698"/>
      <c r="AJ474" s="700"/>
    </row>
    <row r="475" spans="2:36" ht="24" hidden="1" customHeight="1">
      <c r="B475" s="701">
        <v>385</v>
      </c>
      <c r="C475" s="699" t="s">
        <v>337</v>
      </c>
      <c r="D475" s="699"/>
      <c r="E475" s="699" t="s">
        <v>545</v>
      </c>
      <c r="F475" s="699"/>
      <c r="G475" s="699" t="s">
        <v>44</v>
      </c>
      <c r="H475" s="699" t="s">
        <v>1523</v>
      </c>
      <c r="I475" s="709">
        <v>0</v>
      </c>
      <c r="J475" s="709" t="s">
        <v>537</v>
      </c>
      <c r="K475" s="709" t="s">
        <v>537</v>
      </c>
      <c r="L475" s="709">
        <v>0</v>
      </c>
      <c r="M475" s="709" t="s">
        <v>537</v>
      </c>
      <c r="N475" s="709" t="s">
        <v>537</v>
      </c>
      <c r="O475" s="701" t="s">
        <v>537</v>
      </c>
      <c r="P475" s="701" t="s">
        <v>537</v>
      </c>
      <c r="Q475" s="709">
        <v>0</v>
      </c>
      <c r="R475" s="707">
        <v>241671</v>
      </c>
      <c r="S475" s="721">
        <v>22542</v>
      </c>
      <c r="T475" s="701">
        <v>2</v>
      </c>
      <c r="U475" s="701">
        <v>1</v>
      </c>
      <c r="V475" s="701">
        <v>10</v>
      </c>
      <c r="W475" s="699"/>
      <c r="X475" s="701">
        <v>10</v>
      </c>
      <c r="Y475" s="701">
        <v>4</v>
      </c>
      <c r="Z475" s="701">
        <v>86</v>
      </c>
      <c r="AA475" s="458" t="s">
        <v>1524</v>
      </c>
      <c r="AB475" s="459" t="s">
        <v>539</v>
      </c>
      <c r="AC475" s="459" t="s">
        <v>539</v>
      </c>
      <c r="AD475" s="458" t="s">
        <v>1525</v>
      </c>
      <c r="AE475" s="459" t="s">
        <v>539</v>
      </c>
      <c r="AF475" s="459" t="s">
        <v>539</v>
      </c>
      <c r="AG475" s="701" t="s">
        <v>375</v>
      </c>
      <c r="AH475" s="728"/>
      <c r="AI475" s="699"/>
      <c r="AJ475" s="699"/>
    </row>
    <row r="476" spans="2:36" ht="24" hidden="1" customHeight="1">
      <c r="B476" s="702"/>
      <c r="C476" s="700"/>
      <c r="D476" s="700"/>
      <c r="E476" s="700"/>
      <c r="F476" s="700"/>
      <c r="G476" s="700"/>
      <c r="H476" s="700"/>
      <c r="I476" s="710"/>
      <c r="J476" s="710"/>
      <c r="K476" s="710"/>
      <c r="L476" s="710"/>
      <c r="M476" s="710"/>
      <c r="N476" s="710"/>
      <c r="O476" s="702"/>
      <c r="P476" s="702"/>
      <c r="Q476" s="710"/>
      <c r="R476" s="708"/>
      <c r="S476" s="722"/>
      <c r="T476" s="702"/>
      <c r="U476" s="702"/>
      <c r="V476" s="702"/>
      <c r="W476" s="700"/>
      <c r="X476" s="702"/>
      <c r="Y476" s="702"/>
      <c r="Z476" s="702"/>
      <c r="AA476" s="473" t="s">
        <v>1526</v>
      </c>
      <c r="AB476" s="474" t="s">
        <v>539</v>
      </c>
      <c r="AC476" s="474" t="s">
        <v>539</v>
      </c>
      <c r="AD476" s="473" t="s">
        <v>1527</v>
      </c>
      <c r="AE476" s="474">
        <v>80</v>
      </c>
      <c r="AF476" s="474">
        <v>86</v>
      </c>
      <c r="AG476" s="702"/>
      <c r="AH476" s="729"/>
      <c r="AI476" s="700"/>
      <c r="AJ476" s="700"/>
    </row>
    <row r="477" spans="2:36" ht="24" hidden="1" customHeight="1">
      <c r="B477" s="463">
        <v>386</v>
      </c>
      <c r="C477" s="464" t="s">
        <v>337</v>
      </c>
      <c r="D477" s="464"/>
      <c r="E477" s="464" t="s">
        <v>545</v>
      </c>
      <c r="F477" s="464"/>
      <c r="G477" s="464" t="s">
        <v>44</v>
      </c>
      <c r="H477" s="464" t="s">
        <v>1528</v>
      </c>
      <c r="I477" s="465" t="s">
        <v>537</v>
      </c>
      <c r="J477" s="465" t="s">
        <v>537</v>
      </c>
      <c r="K477" s="466">
        <v>25000</v>
      </c>
      <c r="L477" s="465" t="s">
        <v>537</v>
      </c>
      <c r="M477" s="465" t="s">
        <v>537</v>
      </c>
      <c r="N477" s="466">
        <v>24080</v>
      </c>
      <c r="O477" s="463" t="s">
        <v>537</v>
      </c>
      <c r="P477" s="463" t="s">
        <v>537</v>
      </c>
      <c r="Q477" s="465">
        <v>920</v>
      </c>
      <c r="R477" s="470">
        <v>241487</v>
      </c>
      <c r="S477" s="463" t="s">
        <v>1529</v>
      </c>
      <c r="T477" s="463">
        <v>1</v>
      </c>
      <c r="U477" s="463">
        <v>2</v>
      </c>
      <c r="V477" s="463">
        <v>12</v>
      </c>
      <c r="W477" s="463">
        <v>6</v>
      </c>
      <c r="X477" s="463">
        <v>4</v>
      </c>
      <c r="Y477" s="463">
        <v>12</v>
      </c>
      <c r="Z477" s="463">
        <v>95</v>
      </c>
      <c r="AA477" s="472" t="s">
        <v>1530</v>
      </c>
      <c r="AB477" s="463" t="s">
        <v>539</v>
      </c>
      <c r="AC477" s="463" t="s">
        <v>539</v>
      </c>
      <c r="AD477" s="472" t="s">
        <v>1531</v>
      </c>
      <c r="AE477" s="463" t="s">
        <v>539</v>
      </c>
      <c r="AF477" s="463" t="s">
        <v>539</v>
      </c>
      <c r="AG477" s="463" t="s">
        <v>375</v>
      </c>
      <c r="AH477" s="476"/>
      <c r="AI477" s="464"/>
      <c r="AJ477" s="472" t="s">
        <v>543</v>
      </c>
    </row>
    <row r="478" spans="2:36" ht="24" hidden="1" customHeight="1">
      <c r="B478" s="463">
        <v>387</v>
      </c>
      <c r="C478" s="464" t="s">
        <v>337</v>
      </c>
      <c r="D478" s="464"/>
      <c r="E478" s="464" t="s">
        <v>545</v>
      </c>
      <c r="F478" s="464"/>
      <c r="G478" s="464" t="s">
        <v>44</v>
      </c>
      <c r="H478" s="464" t="s">
        <v>1532</v>
      </c>
      <c r="I478" s="465" t="s">
        <v>537</v>
      </c>
      <c r="J478" s="465" t="s">
        <v>537</v>
      </c>
      <c r="K478" s="466">
        <v>12000</v>
      </c>
      <c r="L478" s="465" t="s">
        <v>537</v>
      </c>
      <c r="M478" s="465" t="s">
        <v>537</v>
      </c>
      <c r="N478" s="466">
        <v>12000</v>
      </c>
      <c r="O478" s="463" t="s">
        <v>537</v>
      </c>
      <c r="P478" s="463" t="s">
        <v>537</v>
      </c>
      <c r="Q478" s="465">
        <v>0</v>
      </c>
      <c r="R478" s="470">
        <v>241609</v>
      </c>
      <c r="S478" s="463" t="s">
        <v>1533</v>
      </c>
      <c r="T478" s="463">
        <v>2</v>
      </c>
      <c r="U478" s="463">
        <v>4</v>
      </c>
      <c r="V478" s="463">
        <v>60</v>
      </c>
      <c r="W478" s="463">
        <v>3</v>
      </c>
      <c r="X478" s="463">
        <v>4</v>
      </c>
      <c r="Y478" s="463">
        <v>63</v>
      </c>
      <c r="Z478" s="463">
        <v>93</v>
      </c>
      <c r="AA478" s="472" t="s">
        <v>1534</v>
      </c>
      <c r="AB478" s="463" t="s">
        <v>539</v>
      </c>
      <c r="AC478" s="463" t="s">
        <v>539</v>
      </c>
      <c r="AD478" s="472" t="s">
        <v>1535</v>
      </c>
      <c r="AE478" s="463" t="s">
        <v>539</v>
      </c>
      <c r="AF478" s="463" t="s">
        <v>539</v>
      </c>
      <c r="AG478" s="463" t="s">
        <v>375</v>
      </c>
      <c r="AH478" s="476"/>
      <c r="AI478" s="464"/>
      <c r="AJ478" s="472" t="s">
        <v>543</v>
      </c>
    </row>
    <row r="479" spans="2:36" ht="24" hidden="1" customHeight="1">
      <c r="B479" s="463">
        <v>388</v>
      </c>
      <c r="C479" s="464" t="s">
        <v>337</v>
      </c>
      <c r="D479" s="464"/>
      <c r="E479" s="464" t="s">
        <v>545</v>
      </c>
      <c r="F479" s="464"/>
      <c r="G479" s="464" t="s">
        <v>44</v>
      </c>
      <c r="H479" s="464" t="s">
        <v>1536</v>
      </c>
      <c r="I479" s="465" t="s">
        <v>537</v>
      </c>
      <c r="J479" s="465" t="s">
        <v>537</v>
      </c>
      <c r="K479" s="466">
        <v>15000</v>
      </c>
      <c r="L479" s="465" t="s">
        <v>537</v>
      </c>
      <c r="M479" s="465" t="s">
        <v>537</v>
      </c>
      <c r="N479" s="466">
        <v>14920</v>
      </c>
      <c r="O479" s="463" t="s">
        <v>537</v>
      </c>
      <c r="P479" s="463" t="s">
        <v>537</v>
      </c>
      <c r="Q479" s="465">
        <v>80</v>
      </c>
      <c r="R479" s="470">
        <v>241579</v>
      </c>
      <c r="S479" s="463" t="s">
        <v>1537</v>
      </c>
      <c r="T479" s="463">
        <v>1</v>
      </c>
      <c r="U479" s="463">
        <v>2</v>
      </c>
      <c r="V479" s="463">
        <v>38</v>
      </c>
      <c r="W479" s="464"/>
      <c r="X479" s="463">
        <v>9</v>
      </c>
      <c r="Y479" s="463">
        <v>33</v>
      </c>
      <c r="Z479" s="463">
        <v>87</v>
      </c>
      <c r="AA479" s="472" t="s">
        <v>1538</v>
      </c>
      <c r="AB479" s="463" t="s">
        <v>539</v>
      </c>
      <c r="AC479" s="463" t="s">
        <v>539</v>
      </c>
      <c r="AD479" s="472" t="s">
        <v>1539</v>
      </c>
      <c r="AE479" s="463" t="s">
        <v>539</v>
      </c>
      <c r="AF479" s="463" t="s">
        <v>539</v>
      </c>
      <c r="AG479" s="463" t="s">
        <v>375</v>
      </c>
      <c r="AH479" s="476"/>
      <c r="AI479" s="472" t="s">
        <v>1540</v>
      </c>
      <c r="AJ479" s="472" t="s">
        <v>543</v>
      </c>
    </row>
    <row r="480" spans="2:36" ht="24" hidden="1" customHeight="1">
      <c r="B480" s="463">
        <v>389</v>
      </c>
      <c r="C480" s="464" t="s">
        <v>337</v>
      </c>
      <c r="D480" s="464"/>
      <c r="E480" s="464" t="s">
        <v>545</v>
      </c>
      <c r="F480" s="464"/>
      <c r="G480" s="464" t="s">
        <v>44</v>
      </c>
      <c r="H480" s="464" t="s">
        <v>1541</v>
      </c>
      <c r="I480" s="465" t="s">
        <v>537</v>
      </c>
      <c r="J480" s="465" t="s">
        <v>537</v>
      </c>
      <c r="K480" s="466">
        <v>17000</v>
      </c>
      <c r="L480" s="465" t="s">
        <v>537</v>
      </c>
      <c r="M480" s="465" t="s">
        <v>537</v>
      </c>
      <c r="N480" s="466">
        <v>16720</v>
      </c>
      <c r="O480" s="463" t="s">
        <v>537</v>
      </c>
      <c r="P480" s="463" t="s">
        <v>537</v>
      </c>
      <c r="Q480" s="465">
        <v>280</v>
      </c>
      <c r="R480" s="470">
        <v>241518</v>
      </c>
      <c r="S480" s="463" t="s">
        <v>1542</v>
      </c>
      <c r="T480" s="463">
        <v>2</v>
      </c>
      <c r="U480" s="463">
        <v>2</v>
      </c>
      <c r="V480" s="463">
        <v>40</v>
      </c>
      <c r="W480" s="463">
        <v>10</v>
      </c>
      <c r="X480" s="463">
        <v>6</v>
      </c>
      <c r="Y480" s="463">
        <v>27</v>
      </c>
      <c r="Z480" s="463">
        <v>90</v>
      </c>
      <c r="AA480" s="472" t="s">
        <v>1543</v>
      </c>
      <c r="AB480" s="463" t="s">
        <v>539</v>
      </c>
      <c r="AC480" s="463" t="s">
        <v>539</v>
      </c>
      <c r="AD480" s="472" t="s">
        <v>1544</v>
      </c>
      <c r="AE480" s="463" t="s">
        <v>539</v>
      </c>
      <c r="AF480" s="463" t="s">
        <v>539</v>
      </c>
      <c r="AG480" s="463" t="s">
        <v>375</v>
      </c>
      <c r="AH480" s="476"/>
      <c r="AI480" s="464"/>
      <c r="AJ480" s="472" t="s">
        <v>543</v>
      </c>
    </row>
    <row r="481" spans="2:36" ht="24" hidden="1" customHeight="1">
      <c r="B481" s="463">
        <v>390</v>
      </c>
      <c r="C481" s="464" t="s">
        <v>10</v>
      </c>
      <c r="D481" s="464"/>
      <c r="E481" s="464" t="s">
        <v>558</v>
      </c>
      <c r="F481" s="464"/>
      <c r="G481" s="464" t="s">
        <v>44</v>
      </c>
      <c r="H481" s="464" t="s">
        <v>1545</v>
      </c>
      <c r="I481" s="465" t="s">
        <v>537</v>
      </c>
      <c r="J481" s="465" t="s">
        <v>537</v>
      </c>
      <c r="K481" s="466">
        <v>5160</v>
      </c>
      <c r="L481" s="465" t="s">
        <v>537</v>
      </c>
      <c r="M481" s="465" t="s">
        <v>537</v>
      </c>
      <c r="N481" s="466">
        <v>5160</v>
      </c>
      <c r="O481" s="463" t="s">
        <v>537</v>
      </c>
      <c r="P481" s="463" t="s">
        <v>537</v>
      </c>
      <c r="Q481" s="465">
        <v>0</v>
      </c>
      <c r="R481" s="470">
        <v>241671</v>
      </c>
      <c r="S481" s="471">
        <v>22528</v>
      </c>
      <c r="T481" s="463">
        <v>0</v>
      </c>
      <c r="U481" s="463">
        <v>14</v>
      </c>
      <c r="V481" s="463">
        <v>7</v>
      </c>
      <c r="W481" s="463">
        <v>0</v>
      </c>
      <c r="X481" s="463">
        <v>21</v>
      </c>
      <c r="Y481" s="463">
        <v>0</v>
      </c>
      <c r="Z481" s="463">
        <v>80.2</v>
      </c>
      <c r="AA481" s="472" t="s">
        <v>1546</v>
      </c>
      <c r="AB481" s="463" t="s">
        <v>539</v>
      </c>
      <c r="AC481" s="463" t="s">
        <v>539</v>
      </c>
      <c r="AD481" s="472" t="s">
        <v>1547</v>
      </c>
      <c r="AE481" s="463" t="s">
        <v>539</v>
      </c>
      <c r="AF481" s="463" t="s">
        <v>539</v>
      </c>
      <c r="AG481" s="463" t="s">
        <v>375</v>
      </c>
      <c r="AH481" s="476"/>
      <c r="AI481" s="472" t="s">
        <v>1448</v>
      </c>
      <c r="AJ481" s="472" t="s">
        <v>562</v>
      </c>
    </row>
    <row r="482" spans="2:36" ht="24" hidden="1" customHeight="1">
      <c r="B482" s="463">
        <v>391</v>
      </c>
      <c r="C482" s="464" t="s">
        <v>10</v>
      </c>
      <c r="D482" s="464"/>
      <c r="E482" s="464" t="s">
        <v>558</v>
      </c>
      <c r="F482" s="464"/>
      <c r="G482" s="464" t="s">
        <v>44</v>
      </c>
      <c r="H482" s="464" t="s">
        <v>1548</v>
      </c>
      <c r="I482" s="465" t="s">
        <v>537</v>
      </c>
      <c r="J482" s="465" t="s">
        <v>537</v>
      </c>
      <c r="K482" s="466">
        <v>10650</v>
      </c>
      <c r="L482" s="465" t="s">
        <v>537</v>
      </c>
      <c r="M482" s="465" t="s">
        <v>537</v>
      </c>
      <c r="N482" s="466">
        <v>8582</v>
      </c>
      <c r="O482" s="463" t="s">
        <v>537</v>
      </c>
      <c r="P482" s="463" t="s">
        <v>537</v>
      </c>
      <c r="Q482" s="468">
        <v>2068</v>
      </c>
      <c r="R482" s="470">
        <v>241428</v>
      </c>
      <c r="S482" s="471">
        <v>22299</v>
      </c>
      <c r="T482" s="463">
        <v>0</v>
      </c>
      <c r="U482" s="463">
        <v>1</v>
      </c>
      <c r="V482" s="463">
        <v>0</v>
      </c>
      <c r="W482" s="464"/>
      <c r="X482" s="463">
        <v>1</v>
      </c>
      <c r="Y482" s="464"/>
      <c r="Z482" s="463">
        <v>95.5</v>
      </c>
      <c r="AA482" s="472" t="s">
        <v>547</v>
      </c>
      <c r="AB482" s="463" t="s">
        <v>539</v>
      </c>
      <c r="AC482" s="463" t="s">
        <v>539</v>
      </c>
      <c r="AD482" s="472" t="s">
        <v>548</v>
      </c>
      <c r="AE482" s="463">
        <v>80</v>
      </c>
      <c r="AF482" s="463">
        <v>85.5</v>
      </c>
      <c r="AG482" s="463" t="s">
        <v>375</v>
      </c>
      <c r="AH482" s="476"/>
      <c r="AI482" s="464"/>
      <c r="AJ482" s="472" t="s">
        <v>562</v>
      </c>
    </row>
    <row r="483" spans="2:36" ht="24" hidden="1" customHeight="1">
      <c r="B483" s="463">
        <v>392</v>
      </c>
      <c r="C483" s="464" t="s">
        <v>10</v>
      </c>
      <c r="D483" s="464"/>
      <c r="E483" s="464" t="s">
        <v>558</v>
      </c>
      <c r="F483" s="464"/>
      <c r="G483" s="464" t="s">
        <v>44</v>
      </c>
      <c r="H483" s="464" t="s">
        <v>1549</v>
      </c>
      <c r="I483" s="465" t="s">
        <v>537</v>
      </c>
      <c r="J483" s="465" t="s">
        <v>537</v>
      </c>
      <c r="K483" s="466">
        <v>12000</v>
      </c>
      <c r="L483" s="465" t="s">
        <v>537</v>
      </c>
      <c r="M483" s="465" t="s">
        <v>537</v>
      </c>
      <c r="N483" s="466">
        <v>7851</v>
      </c>
      <c r="O483" s="463" t="s">
        <v>537</v>
      </c>
      <c r="P483" s="463" t="s">
        <v>537</v>
      </c>
      <c r="Q483" s="468">
        <v>4149</v>
      </c>
      <c r="R483" s="470">
        <v>241487</v>
      </c>
      <c r="S483" s="463" t="s">
        <v>1550</v>
      </c>
      <c r="T483" s="463">
        <v>0</v>
      </c>
      <c r="U483" s="463">
        <v>1</v>
      </c>
      <c r="V483" s="463">
        <v>0</v>
      </c>
      <c r="W483" s="463">
        <v>0</v>
      </c>
      <c r="X483" s="463">
        <v>1</v>
      </c>
      <c r="Y483" s="463">
        <v>0</v>
      </c>
      <c r="Z483" s="463">
        <v>100</v>
      </c>
      <c r="AA483" s="472" t="s">
        <v>1551</v>
      </c>
      <c r="AB483" s="463">
        <v>80</v>
      </c>
      <c r="AC483" s="463">
        <v>100</v>
      </c>
      <c r="AD483" s="472" t="s">
        <v>1552</v>
      </c>
      <c r="AE483" s="463" t="s">
        <v>539</v>
      </c>
      <c r="AF483" s="463" t="s">
        <v>539</v>
      </c>
      <c r="AG483" s="463" t="s">
        <v>375</v>
      </c>
      <c r="AH483" s="476"/>
      <c r="AI483" s="464"/>
      <c r="AJ483" s="472" t="s">
        <v>562</v>
      </c>
    </row>
    <row r="484" spans="2:36" ht="24" hidden="1" customHeight="1">
      <c r="B484" s="463">
        <v>393</v>
      </c>
      <c r="C484" s="464" t="s">
        <v>10</v>
      </c>
      <c r="D484" s="464"/>
      <c r="E484" s="464" t="s">
        <v>558</v>
      </c>
      <c r="F484" s="464"/>
      <c r="G484" s="464" t="s">
        <v>44</v>
      </c>
      <c r="H484" s="464" t="s">
        <v>1553</v>
      </c>
      <c r="I484" s="465" t="s">
        <v>537</v>
      </c>
      <c r="J484" s="465" t="s">
        <v>537</v>
      </c>
      <c r="K484" s="466">
        <v>16197</v>
      </c>
      <c r="L484" s="465" t="s">
        <v>537</v>
      </c>
      <c r="M484" s="465" t="s">
        <v>537</v>
      </c>
      <c r="N484" s="466">
        <v>9758</v>
      </c>
      <c r="O484" s="463" t="s">
        <v>537</v>
      </c>
      <c r="P484" s="463" t="s">
        <v>537</v>
      </c>
      <c r="Q484" s="468">
        <v>6439</v>
      </c>
      <c r="R484" s="470">
        <v>241579</v>
      </c>
      <c r="S484" s="471">
        <v>22437</v>
      </c>
      <c r="T484" s="463">
        <v>0</v>
      </c>
      <c r="U484" s="463">
        <v>1</v>
      </c>
      <c r="V484" s="463">
        <v>0</v>
      </c>
      <c r="W484" s="464"/>
      <c r="X484" s="463">
        <v>1</v>
      </c>
      <c r="Y484" s="464"/>
      <c r="Z484" s="463">
        <v>100</v>
      </c>
      <c r="AA484" s="472" t="s">
        <v>1554</v>
      </c>
      <c r="AB484" s="463">
        <v>80</v>
      </c>
      <c r="AC484" s="463">
        <v>100</v>
      </c>
      <c r="AD484" s="472" t="s">
        <v>1555</v>
      </c>
      <c r="AE484" s="463">
        <v>1</v>
      </c>
      <c r="AF484" s="463">
        <v>1</v>
      </c>
      <c r="AG484" s="463" t="s">
        <v>375</v>
      </c>
      <c r="AH484" s="476"/>
      <c r="AI484" s="464"/>
      <c r="AJ484" s="472" t="s">
        <v>562</v>
      </c>
    </row>
    <row r="485" spans="2:36" ht="24" hidden="1" customHeight="1">
      <c r="B485" s="463">
        <v>394</v>
      </c>
      <c r="C485" s="464" t="s">
        <v>10</v>
      </c>
      <c r="D485" s="464"/>
      <c r="E485" s="464" t="s">
        <v>558</v>
      </c>
      <c r="F485" s="464"/>
      <c r="G485" s="464" t="s">
        <v>44</v>
      </c>
      <c r="H485" s="464" t="s">
        <v>1556</v>
      </c>
      <c r="I485" s="465" t="s">
        <v>537</v>
      </c>
      <c r="J485" s="465" t="s">
        <v>537</v>
      </c>
      <c r="K485" s="466">
        <v>30000</v>
      </c>
      <c r="L485" s="465" t="s">
        <v>537</v>
      </c>
      <c r="M485" s="465" t="s">
        <v>537</v>
      </c>
      <c r="N485" s="466">
        <v>30000</v>
      </c>
      <c r="O485" s="463" t="s">
        <v>537</v>
      </c>
      <c r="P485" s="463" t="s">
        <v>537</v>
      </c>
      <c r="Q485" s="465">
        <v>0</v>
      </c>
      <c r="R485" s="470">
        <v>241518</v>
      </c>
      <c r="S485" s="463" t="s">
        <v>1459</v>
      </c>
      <c r="T485" s="463">
        <v>0</v>
      </c>
      <c r="U485" s="463">
        <v>1</v>
      </c>
      <c r="V485" s="463">
        <v>0</v>
      </c>
      <c r="W485" s="463">
        <v>0</v>
      </c>
      <c r="X485" s="463">
        <v>1</v>
      </c>
      <c r="Y485" s="463">
        <v>0</v>
      </c>
      <c r="Z485" s="463">
        <v>95</v>
      </c>
      <c r="AA485" s="472" t="s">
        <v>1557</v>
      </c>
      <c r="AB485" s="463" t="s">
        <v>539</v>
      </c>
      <c r="AC485" s="463" t="s">
        <v>539</v>
      </c>
      <c r="AD485" s="472" t="s">
        <v>1558</v>
      </c>
      <c r="AE485" s="463" t="s">
        <v>539</v>
      </c>
      <c r="AF485" s="463" t="s">
        <v>539</v>
      </c>
      <c r="AG485" s="463" t="s">
        <v>375</v>
      </c>
      <c r="AH485" s="476"/>
      <c r="AI485" s="464"/>
      <c r="AJ485" s="472" t="s">
        <v>562</v>
      </c>
    </row>
    <row r="486" spans="2:36" ht="24" hidden="1" customHeight="1">
      <c r="B486" s="463">
        <v>395</v>
      </c>
      <c r="C486" s="464" t="s">
        <v>10</v>
      </c>
      <c r="D486" s="464"/>
      <c r="E486" s="464" t="s">
        <v>558</v>
      </c>
      <c r="F486" s="464"/>
      <c r="G486" s="464" t="s">
        <v>44</v>
      </c>
      <c r="H486" s="464" t="s">
        <v>1559</v>
      </c>
      <c r="I486" s="465" t="s">
        <v>537</v>
      </c>
      <c r="J486" s="465" t="s">
        <v>537</v>
      </c>
      <c r="K486" s="466">
        <v>100000</v>
      </c>
      <c r="L486" s="465" t="s">
        <v>537</v>
      </c>
      <c r="M486" s="465" t="s">
        <v>537</v>
      </c>
      <c r="N486" s="466">
        <v>99990</v>
      </c>
      <c r="O486" s="463" t="s">
        <v>537</v>
      </c>
      <c r="P486" s="463" t="s">
        <v>537</v>
      </c>
      <c r="Q486" s="465">
        <v>10</v>
      </c>
      <c r="R486" s="470">
        <v>241640</v>
      </c>
      <c r="S486" s="463" t="s">
        <v>1110</v>
      </c>
      <c r="T486" s="463">
        <v>570</v>
      </c>
      <c r="U486" s="463">
        <v>27</v>
      </c>
      <c r="V486" s="463">
        <v>3</v>
      </c>
      <c r="W486" s="463">
        <v>570</v>
      </c>
      <c r="X486" s="463">
        <v>27</v>
      </c>
      <c r="Y486" s="463">
        <v>3</v>
      </c>
      <c r="Z486" s="463">
        <v>91.53</v>
      </c>
      <c r="AA486" s="472" t="s">
        <v>677</v>
      </c>
      <c r="AB486" s="463" t="s">
        <v>539</v>
      </c>
      <c r="AC486" s="463" t="s">
        <v>539</v>
      </c>
      <c r="AD486" s="472" t="s">
        <v>548</v>
      </c>
      <c r="AE486" s="463">
        <v>80</v>
      </c>
      <c r="AF486" s="463">
        <v>90.92</v>
      </c>
      <c r="AG486" s="463" t="s">
        <v>375</v>
      </c>
      <c r="AH486" s="476"/>
      <c r="AI486" s="464"/>
      <c r="AJ486" s="472" t="s">
        <v>562</v>
      </c>
    </row>
    <row r="487" spans="2:36" ht="24" hidden="1" customHeight="1">
      <c r="B487" s="463">
        <v>396</v>
      </c>
      <c r="C487" s="464" t="s">
        <v>10</v>
      </c>
      <c r="D487" s="464"/>
      <c r="E487" s="464" t="s">
        <v>558</v>
      </c>
      <c r="F487" s="464"/>
      <c r="G487" s="464" t="s">
        <v>44</v>
      </c>
      <c r="H487" s="464" t="s">
        <v>1560</v>
      </c>
      <c r="I487" s="465" t="s">
        <v>537</v>
      </c>
      <c r="J487" s="465" t="s">
        <v>537</v>
      </c>
      <c r="K487" s="466">
        <v>130160</v>
      </c>
      <c r="L487" s="465" t="s">
        <v>537</v>
      </c>
      <c r="M487" s="465" t="s">
        <v>537</v>
      </c>
      <c r="N487" s="466">
        <v>112560</v>
      </c>
      <c r="O487" s="463" t="s">
        <v>537</v>
      </c>
      <c r="P487" s="463" t="s">
        <v>537</v>
      </c>
      <c r="Q487" s="468">
        <v>17600</v>
      </c>
      <c r="R487" s="470">
        <v>241640</v>
      </c>
      <c r="S487" s="471">
        <v>22500</v>
      </c>
      <c r="T487" s="463">
        <v>0</v>
      </c>
      <c r="U487" s="463">
        <v>200</v>
      </c>
      <c r="V487" s="463">
        <v>0</v>
      </c>
      <c r="W487" s="464"/>
      <c r="X487" s="463">
        <v>140</v>
      </c>
      <c r="Y487" s="464"/>
      <c r="Z487" s="463">
        <v>85</v>
      </c>
      <c r="AA487" s="472" t="s">
        <v>1561</v>
      </c>
      <c r="AB487" s="463" t="s">
        <v>539</v>
      </c>
      <c r="AC487" s="463" t="s">
        <v>539</v>
      </c>
      <c r="AD487" s="472" t="s">
        <v>1562</v>
      </c>
      <c r="AE487" s="463">
        <v>80</v>
      </c>
      <c r="AF487" s="463">
        <v>90</v>
      </c>
      <c r="AG487" s="463" t="s">
        <v>375</v>
      </c>
      <c r="AH487" s="476"/>
      <c r="AI487" s="472" t="s">
        <v>1448</v>
      </c>
      <c r="AJ487" s="472" t="s">
        <v>562</v>
      </c>
    </row>
    <row r="488" spans="2:36" ht="24" hidden="1" customHeight="1">
      <c r="B488" s="701">
        <v>397</v>
      </c>
      <c r="C488" s="699" t="s">
        <v>534</v>
      </c>
      <c r="D488" s="699" t="s">
        <v>544</v>
      </c>
      <c r="E488" s="699" t="s">
        <v>535</v>
      </c>
      <c r="F488" s="699"/>
      <c r="G488" s="699" t="s">
        <v>193</v>
      </c>
      <c r="H488" s="699" t="s">
        <v>1563</v>
      </c>
      <c r="I488" s="712">
        <v>200000</v>
      </c>
      <c r="J488" s="709" t="s">
        <v>537</v>
      </c>
      <c r="K488" s="709" t="s">
        <v>537</v>
      </c>
      <c r="L488" s="712">
        <v>44940</v>
      </c>
      <c r="M488" s="709" t="s">
        <v>537</v>
      </c>
      <c r="N488" s="709" t="s">
        <v>537</v>
      </c>
      <c r="O488" s="701" t="s">
        <v>537</v>
      </c>
      <c r="P488" s="701" t="s">
        <v>537</v>
      </c>
      <c r="Q488" s="705">
        <v>155060</v>
      </c>
      <c r="R488" s="701" t="s">
        <v>552</v>
      </c>
      <c r="S488" s="701" t="s">
        <v>1564</v>
      </c>
      <c r="T488" s="701">
        <v>0</v>
      </c>
      <c r="U488" s="701">
        <v>0</v>
      </c>
      <c r="V488" s="701">
        <v>1200</v>
      </c>
      <c r="W488" s="701">
        <v>0</v>
      </c>
      <c r="X488" s="701">
        <v>0</v>
      </c>
      <c r="Y488" s="701">
        <v>1200</v>
      </c>
      <c r="Z488" s="701">
        <v>85</v>
      </c>
      <c r="AA488" s="458" t="s">
        <v>1181</v>
      </c>
      <c r="AB488" s="459" t="s">
        <v>539</v>
      </c>
      <c r="AC488" s="459">
        <v>85</v>
      </c>
      <c r="AD488" s="458" t="s">
        <v>1016</v>
      </c>
      <c r="AE488" s="459">
        <v>80</v>
      </c>
      <c r="AF488" s="459">
        <v>85</v>
      </c>
      <c r="AG488" s="701" t="s">
        <v>375</v>
      </c>
      <c r="AH488" s="728"/>
      <c r="AI488" s="697" t="s">
        <v>1565</v>
      </c>
      <c r="AJ488" s="699"/>
    </row>
    <row r="489" spans="2:36" ht="24" hidden="1" customHeight="1">
      <c r="B489" s="702"/>
      <c r="C489" s="700"/>
      <c r="D489" s="700"/>
      <c r="E489" s="700"/>
      <c r="F489" s="700"/>
      <c r="G489" s="700"/>
      <c r="H489" s="700"/>
      <c r="I489" s="713"/>
      <c r="J489" s="710"/>
      <c r="K489" s="710"/>
      <c r="L489" s="713"/>
      <c r="M489" s="710"/>
      <c r="N489" s="710"/>
      <c r="O489" s="702"/>
      <c r="P489" s="702"/>
      <c r="Q489" s="706"/>
      <c r="R489" s="702"/>
      <c r="S489" s="702"/>
      <c r="T489" s="702"/>
      <c r="U489" s="702"/>
      <c r="V489" s="702"/>
      <c r="W489" s="702"/>
      <c r="X489" s="702"/>
      <c r="Y489" s="702"/>
      <c r="Z489" s="702"/>
      <c r="AA489" s="473" t="s">
        <v>1566</v>
      </c>
      <c r="AB489" s="474" t="s">
        <v>539</v>
      </c>
      <c r="AC489" s="474">
        <v>1</v>
      </c>
      <c r="AD489" s="473" t="s">
        <v>1566</v>
      </c>
      <c r="AE489" s="474">
        <v>1</v>
      </c>
      <c r="AF489" s="474">
        <v>1</v>
      </c>
      <c r="AG489" s="702"/>
      <c r="AH489" s="729"/>
      <c r="AI489" s="698"/>
      <c r="AJ489" s="700"/>
    </row>
    <row r="490" spans="2:36" ht="24" hidden="1" customHeight="1">
      <c r="B490" s="701">
        <v>398</v>
      </c>
      <c r="C490" s="699" t="s">
        <v>534</v>
      </c>
      <c r="D490" s="699" t="s">
        <v>544</v>
      </c>
      <c r="E490" s="699" t="s">
        <v>535</v>
      </c>
      <c r="F490" s="699"/>
      <c r="G490" s="699" t="s">
        <v>193</v>
      </c>
      <c r="H490" s="699" t="s">
        <v>1567</v>
      </c>
      <c r="I490" s="712">
        <v>400000</v>
      </c>
      <c r="J490" s="709" t="s">
        <v>537</v>
      </c>
      <c r="K490" s="709" t="s">
        <v>537</v>
      </c>
      <c r="L490" s="712">
        <v>360395</v>
      </c>
      <c r="M490" s="709" t="s">
        <v>537</v>
      </c>
      <c r="N490" s="709" t="s">
        <v>537</v>
      </c>
      <c r="O490" s="701" t="s">
        <v>537</v>
      </c>
      <c r="P490" s="701" t="s">
        <v>537</v>
      </c>
      <c r="Q490" s="705">
        <v>39605</v>
      </c>
      <c r="R490" s="701" t="s">
        <v>984</v>
      </c>
      <c r="S490" s="701" t="s">
        <v>1056</v>
      </c>
      <c r="T490" s="701">
        <v>0</v>
      </c>
      <c r="U490" s="701">
        <v>40</v>
      </c>
      <c r="V490" s="701">
        <v>50</v>
      </c>
      <c r="W490" s="699"/>
      <c r="X490" s="699"/>
      <c r="Y490" s="701">
        <v>80</v>
      </c>
      <c r="Z490" s="701">
        <v>87.5</v>
      </c>
      <c r="AA490" s="697" t="s">
        <v>1181</v>
      </c>
      <c r="AB490" s="701" t="s">
        <v>539</v>
      </c>
      <c r="AC490" s="701">
        <v>87.5</v>
      </c>
      <c r="AD490" s="458" t="s">
        <v>1016</v>
      </c>
      <c r="AE490" s="459">
        <v>80</v>
      </c>
      <c r="AF490" s="459">
        <v>86.25</v>
      </c>
      <c r="AG490" s="701" t="s">
        <v>375</v>
      </c>
      <c r="AH490" s="728"/>
      <c r="AI490" s="697" t="s">
        <v>1565</v>
      </c>
      <c r="AJ490" s="699"/>
    </row>
    <row r="491" spans="2:36" ht="24" hidden="1" customHeight="1">
      <c r="B491" s="702"/>
      <c r="C491" s="700"/>
      <c r="D491" s="700"/>
      <c r="E491" s="700"/>
      <c r="F491" s="700"/>
      <c r="G491" s="700"/>
      <c r="H491" s="700"/>
      <c r="I491" s="713"/>
      <c r="J491" s="710"/>
      <c r="K491" s="710"/>
      <c r="L491" s="713"/>
      <c r="M491" s="710"/>
      <c r="N491" s="710"/>
      <c r="O491" s="702"/>
      <c r="P491" s="702"/>
      <c r="Q491" s="706"/>
      <c r="R491" s="702"/>
      <c r="S491" s="702"/>
      <c r="T491" s="702"/>
      <c r="U491" s="702"/>
      <c r="V491" s="702"/>
      <c r="W491" s="700"/>
      <c r="X491" s="700"/>
      <c r="Y491" s="702"/>
      <c r="Z491" s="702"/>
      <c r="AA491" s="698"/>
      <c r="AB491" s="702"/>
      <c r="AC491" s="702"/>
      <c r="AD491" s="473" t="s">
        <v>1568</v>
      </c>
      <c r="AE491" s="474">
        <v>1</v>
      </c>
      <c r="AF491" s="474">
        <v>1</v>
      </c>
      <c r="AG491" s="702"/>
      <c r="AH491" s="729"/>
      <c r="AI491" s="698"/>
      <c r="AJ491" s="700"/>
    </row>
    <row r="492" spans="2:36" ht="24" hidden="1" customHeight="1">
      <c r="B492" s="701">
        <v>399</v>
      </c>
      <c r="C492" s="699" t="s">
        <v>534</v>
      </c>
      <c r="D492" s="699" t="s">
        <v>544</v>
      </c>
      <c r="E492" s="699" t="s">
        <v>535</v>
      </c>
      <c r="F492" s="699"/>
      <c r="G492" s="699" t="s">
        <v>193</v>
      </c>
      <c r="H492" s="699" t="s">
        <v>1569</v>
      </c>
      <c r="I492" s="712">
        <v>300000</v>
      </c>
      <c r="J492" s="709" t="s">
        <v>537</v>
      </c>
      <c r="K492" s="709" t="s">
        <v>537</v>
      </c>
      <c r="L492" s="712">
        <v>300000</v>
      </c>
      <c r="M492" s="709" t="s">
        <v>537</v>
      </c>
      <c r="N492" s="709" t="s">
        <v>537</v>
      </c>
      <c r="O492" s="701" t="s">
        <v>537</v>
      </c>
      <c r="P492" s="701" t="s">
        <v>537</v>
      </c>
      <c r="Q492" s="709">
        <v>0</v>
      </c>
      <c r="R492" s="707">
        <v>241428</v>
      </c>
      <c r="S492" s="701" t="s">
        <v>1570</v>
      </c>
      <c r="T492" s="701">
        <v>0</v>
      </c>
      <c r="U492" s="701">
        <v>0</v>
      </c>
      <c r="V492" s="701">
        <v>2000</v>
      </c>
      <c r="W492" s="732">
        <v>10000</v>
      </c>
      <c r="X492" s="699"/>
      <c r="Y492" s="699"/>
      <c r="Z492" s="701">
        <v>95.5</v>
      </c>
      <c r="AA492" s="458" t="s">
        <v>1181</v>
      </c>
      <c r="AB492" s="459" t="s">
        <v>539</v>
      </c>
      <c r="AC492" s="459">
        <v>95.5</v>
      </c>
      <c r="AD492" s="458" t="s">
        <v>1016</v>
      </c>
      <c r="AE492" s="459">
        <v>80</v>
      </c>
      <c r="AF492" s="459">
        <v>97.8</v>
      </c>
      <c r="AG492" s="701" t="s">
        <v>375</v>
      </c>
      <c r="AH492" s="728"/>
      <c r="AI492" s="697" t="s">
        <v>1565</v>
      </c>
      <c r="AJ492" s="699"/>
    </row>
    <row r="493" spans="2:36" ht="24" hidden="1" customHeight="1">
      <c r="B493" s="702"/>
      <c r="C493" s="700"/>
      <c r="D493" s="700"/>
      <c r="E493" s="700"/>
      <c r="F493" s="700"/>
      <c r="G493" s="700"/>
      <c r="H493" s="700"/>
      <c r="I493" s="713"/>
      <c r="J493" s="710"/>
      <c r="K493" s="710"/>
      <c r="L493" s="713"/>
      <c r="M493" s="710"/>
      <c r="N493" s="710"/>
      <c r="O493" s="702"/>
      <c r="P493" s="702"/>
      <c r="Q493" s="710"/>
      <c r="R493" s="708"/>
      <c r="S493" s="702"/>
      <c r="T493" s="702"/>
      <c r="U493" s="702"/>
      <c r="V493" s="702"/>
      <c r="W493" s="733"/>
      <c r="X493" s="700"/>
      <c r="Y493" s="700"/>
      <c r="Z493" s="702"/>
      <c r="AA493" s="473" t="s">
        <v>1571</v>
      </c>
      <c r="AB493" s="474" t="s">
        <v>539</v>
      </c>
      <c r="AC493" s="474">
        <v>97.8</v>
      </c>
      <c r="AD493" s="473" t="s">
        <v>1572</v>
      </c>
      <c r="AE493" s="474">
        <v>1</v>
      </c>
      <c r="AF493" s="474">
        <v>1</v>
      </c>
      <c r="AG493" s="702"/>
      <c r="AH493" s="729"/>
      <c r="AI493" s="698"/>
      <c r="AJ493" s="700"/>
    </row>
    <row r="494" spans="2:36" ht="24" hidden="1" customHeight="1">
      <c r="B494" s="463">
        <v>400</v>
      </c>
      <c r="C494" s="464" t="s">
        <v>534</v>
      </c>
      <c r="D494" s="464" t="s">
        <v>544</v>
      </c>
      <c r="E494" s="464" t="s">
        <v>535</v>
      </c>
      <c r="F494" s="464"/>
      <c r="G494" s="464" t="s">
        <v>193</v>
      </c>
      <c r="H494" s="464" t="s">
        <v>1573</v>
      </c>
      <c r="I494" s="466">
        <v>30000</v>
      </c>
      <c r="J494" s="465" t="s">
        <v>537</v>
      </c>
      <c r="K494" s="465" t="s">
        <v>537</v>
      </c>
      <c r="L494" s="466">
        <v>24325</v>
      </c>
      <c r="M494" s="465" t="s">
        <v>537</v>
      </c>
      <c r="N494" s="465" t="s">
        <v>537</v>
      </c>
      <c r="O494" s="463" t="s">
        <v>537</v>
      </c>
      <c r="P494" s="463" t="s">
        <v>537</v>
      </c>
      <c r="Q494" s="468">
        <v>5675</v>
      </c>
      <c r="R494" s="470">
        <v>241609</v>
      </c>
      <c r="S494" s="471">
        <v>22481</v>
      </c>
      <c r="T494" s="463">
        <v>30</v>
      </c>
      <c r="U494" s="463">
        <v>24</v>
      </c>
      <c r="V494" s="463">
        <v>1</v>
      </c>
      <c r="W494" s="463">
        <v>30</v>
      </c>
      <c r="X494" s="463">
        <v>24</v>
      </c>
      <c r="Y494" s="463">
        <v>1</v>
      </c>
      <c r="Z494" s="463">
        <v>87.47</v>
      </c>
      <c r="AA494" s="472" t="s">
        <v>677</v>
      </c>
      <c r="AB494" s="463" t="s">
        <v>539</v>
      </c>
      <c r="AC494" s="463" t="s">
        <v>537</v>
      </c>
      <c r="AD494" s="472" t="s">
        <v>548</v>
      </c>
      <c r="AE494" s="463">
        <v>80</v>
      </c>
      <c r="AF494" s="463">
        <v>87.47</v>
      </c>
      <c r="AG494" s="463" t="s">
        <v>375</v>
      </c>
      <c r="AH494" s="476"/>
      <c r="AI494" s="472" t="s">
        <v>1574</v>
      </c>
      <c r="AJ494" s="464"/>
    </row>
    <row r="495" spans="2:36" ht="24" hidden="1" customHeight="1">
      <c r="B495" s="463">
        <v>401</v>
      </c>
      <c r="C495" s="464" t="s">
        <v>534</v>
      </c>
      <c r="D495" s="464"/>
      <c r="E495" s="464" t="s">
        <v>535</v>
      </c>
      <c r="F495" s="464"/>
      <c r="G495" s="464" t="s">
        <v>193</v>
      </c>
      <c r="H495" s="464" t="s">
        <v>1575</v>
      </c>
      <c r="I495" s="465" t="s">
        <v>537</v>
      </c>
      <c r="J495" s="465" t="s">
        <v>537</v>
      </c>
      <c r="K495" s="466">
        <v>113100</v>
      </c>
      <c r="L495" s="465" t="s">
        <v>537</v>
      </c>
      <c r="M495" s="465" t="s">
        <v>537</v>
      </c>
      <c r="N495" s="466">
        <v>97336</v>
      </c>
      <c r="O495" s="463" t="s">
        <v>537</v>
      </c>
      <c r="P495" s="463" t="s">
        <v>537</v>
      </c>
      <c r="Q495" s="468">
        <v>15764</v>
      </c>
      <c r="R495" s="463" t="s">
        <v>646</v>
      </c>
      <c r="S495" s="463" t="s">
        <v>1576</v>
      </c>
      <c r="T495" s="463">
        <v>0</v>
      </c>
      <c r="U495" s="463">
        <v>0</v>
      </c>
      <c r="V495" s="463">
        <v>3000</v>
      </c>
      <c r="W495" s="463">
        <v>3000</v>
      </c>
      <c r="X495" s="464"/>
      <c r="Y495" s="464"/>
      <c r="Z495" s="463">
        <v>95.5</v>
      </c>
      <c r="AA495" s="472" t="s">
        <v>1577</v>
      </c>
      <c r="AB495" s="463">
        <v>80</v>
      </c>
      <c r="AC495" s="463">
        <v>95.5</v>
      </c>
      <c r="AD495" s="472" t="s">
        <v>1578</v>
      </c>
      <c r="AE495" s="463" t="s">
        <v>539</v>
      </c>
      <c r="AF495" s="478">
        <v>4538</v>
      </c>
      <c r="AG495" s="463" t="s">
        <v>376</v>
      </c>
      <c r="AH495" s="476"/>
      <c r="AI495" s="472" t="s">
        <v>1565</v>
      </c>
      <c r="AJ495" s="472" t="s">
        <v>543</v>
      </c>
    </row>
    <row r="496" spans="2:36" ht="24" hidden="1" customHeight="1">
      <c r="B496" s="463">
        <v>402</v>
      </c>
      <c r="C496" s="464" t="s">
        <v>534</v>
      </c>
      <c r="D496" s="464"/>
      <c r="E496" s="464" t="s">
        <v>535</v>
      </c>
      <c r="F496" s="464"/>
      <c r="G496" s="464" t="s">
        <v>193</v>
      </c>
      <c r="H496" s="464" t="s">
        <v>1579</v>
      </c>
      <c r="I496" s="465" t="s">
        <v>537</v>
      </c>
      <c r="J496" s="465" t="s">
        <v>537</v>
      </c>
      <c r="K496" s="466">
        <v>138400</v>
      </c>
      <c r="L496" s="465" t="s">
        <v>537</v>
      </c>
      <c r="M496" s="465" t="s">
        <v>537</v>
      </c>
      <c r="N496" s="466">
        <v>138400</v>
      </c>
      <c r="O496" s="463" t="s">
        <v>537</v>
      </c>
      <c r="P496" s="463" t="s">
        <v>537</v>
      </c>
      <c r="Q496" s="465">
        <v>0</v>
      </c>
      <c r="R496" s="463" t="s">
        <v>643</v>
      </c>
      <c r="S496" s="463" t="s">
        <v>1580</v>
      </c>
      <c r="T496" s="463">
        <v>0</v>
      </c>
      <c r="U496" s="463">
        <v>50</v>
      </c>
      <c r="V496" s="463">
        <v>0</v>
      </c>
      <c r="W496" s="464"/>
      <c r="X496" s="463">
        <v>50</v>
      </c>
      <c r="Y496" s="464"/>
      <c r="Z496" s="463">
        <v>87.5</v>
      </c>
      <c r="AA496" s="472" t="s">
        <v>1581</v>
      </c>
      <c r="AB496" s="463" t="s">
        <v>539</v>
      </c>
      <c r="AC496" s="463">
        <v>87.5</v>
      </c>
      <c r="AD496" s="472" t="s">
        <v>1582</v>
      </c>
      <c r="AE496" s="463" t="s">
        <v>539</v>
      </c>
      <c r="AF496" s="463">
        <v>91.7</v>
      </c>
      <c r="AG496" s="463" t="s">
        <v>376</v>
      </c>
      <c r="AH496" s="476"/>
      <c r="AI496" s="472" t="s">
        <v>1565</v>
      </c>
      <c r="AJ496" s="472" t="s">
        <v>543</v>
      </c>
    </row>
    <row r="497" spans="1:36" ht="24" hidden="1" customHeight="1">
      <c r="B497" s="463">
        <v>403</v>
      </c>
      <c r="C497" s="464" t="s">
        <v>534</v>
      </c>
      <c r="D497" s="464" t="s">
        <v>544</v>
      </c>
      <c r="E497" s="464" t="s">
        <v>535</v>
      </c>
      <c r="F497" s="464"/>
      <c r="G497" s="464" t="s">
        <v>193</v>
      </c>
      <c r="H497" s="464" t="s">
        <v>1583</v>
      </c>
      <c r="I497" s="465" t="s">
        <v>537</v>
      </c>
      <c r="J497" s="466">
        <v>50000</v>
      </c>
      <c r="K497" s="465" t="s">
        <v>537</v>
      </c>
      <c r="L497" s="465" t="s">
        <v>537</v>
      </c>
      <c r="M497" s="466">
        <v>50000</v>
      </c>
      <c r="N497" s="465" t="s">
        <v>537</v>
      </c>
      <c r="O497" s="463" t="s">
        <v>537</v>
      </c>
      <c r="P497" s="463" t="s">
        <v>537</v>
      </c>
      <c r="Q497" s="465">
        <v>0</v>
      </c>
      <c r="R497" s="470">
        <v>241609</v>
      </c>
      <c r="S497" s="463" t="s">
        <v>850</v>
      </c>
      <c r="T497" s="463">
        <v>30</v>
      </c>
      <c r="U497" s="463">
        <v>10</v>
      </c>
      <c r="V497" s="463">
        <v>0</v>
      </c>
      <c r="W497" s="463">
        <v>25</v>
      </c>
      <c r="X497" s="463">
        <v>5</v>
      </c>
      <c r="Y497" s="463">
        <v>10</v>
      </c>
      <c r="Z497" s="463">
        <v>92.57</v>
      </c>
      <c r="AA497" s="472" t="s">
        <v>547</v>
      </c>
      <c r="AB497" s="463" t="s">
        <v>539</v>
      </c>
      <c r="AC497" s="463">
        <v>94.29</v>
      </c>
      <c r="AD497" s="472" t="s">
        <v>548</v>
      </c>
      <c r="AE497" s="463">
        <v>80</v>
      </c>
      <c r="AF497" s="463">
        <v>95.43</v>
      </c>
      <c r="AG497" s="463" t="s">
        <v>375</v>
      </c>
      <c r="AH497" s="476"/>
      <c r="AI497" s="472" t="s">
        <v>1584</v>
      </c>
      <c r="AJ497" s="464"/>
    </row>
    <row r="498" spans="1:36" ht="24" hidden="1" customHeight="1">
      <c r="B498" s="463">
        <v>404</v>
      </c>
      <c r="C498" s="464" t="s">
        <v>534</v>
      </c>
      <c r="D498" s="464"/>
      <c r="E498" s="464" t="s">
        <v>535</v>
      </c>
      <c r="F498" s="464"/>
      <c r="G498" s="464" t="s">
        <v>268</v>
      </c>
      <c r="H498" s="464" t="s">
        <v>1585</v>
      </c>
      <c r="I498" s="466">
        <v>43000</v>
      </c>
      <c r="J498" s="465" t="s">
        <v>537</v>
      </c>
      <c r="K498" s="465" t="s">
        <v>537</v>
      </c>
      <c r="L498" s="466">
        <v>36050</v>
      </c>
      <c r="M498" s="465" t="s">
        <v>537</v>
      </c>
      <c r="N498" s="465" t="s">
        <v>537</v>
      </c>
      <c r="O498" s="463" t="s">
        <v>537</v>
      </c>
      <c r="P498" s="463" t="s">
        <v>537</v>
      </c>
      <c r="Q498" s="468">
        <v>6950</v>
      </c>
      <c r="R498" s="470">
        <v>241518</v>
      </c>
      <c r="S498" s="463" t="s">
        <v>1238</v>
      </c>
      <c r="T498" s="463">
        <v>0</v>
      </c>
      <c r="U498" s="463">
        <v>25</v>
      </c>
      <c r="V498" s="463">
        <v>0</v>
      </c>
      <c r="W498" s="463">
        <v>0</v>
      </c>
      <c r="X498" s="463">
        <v>25</v>
      </c>
      <c r="Y498" s="463">
        <v>0</v>
      </c>
      <c r="Z498" s="463">
        <v>92.73</v>
      </c>
      <c r="AA498" s="472" t="s">
        <v>547</v>
      </c>
      <c r="AB498" s="463" t="s">
        <v>539</v>
      </c>
      <c r="AC498" s="463" t="s">
        <v>539</v>
      </c>
      <c r="AD498" s="472" t="s">
        <v>548</v>
      </c>
      <c r="AE498" s="463">
        <v>80</v>
      </c>
      <c r="AF498" s="463">
        <v>91.67</v>
      </c>
      <c r="AG498" s="463" t="s">
        <v>375</v>
      </c>
      <c r="AH498" s="476"/>
      <c r="AI498" s="472" t="s">
        <v>1586</v>
      </c>
      <c r="AJ498" s="464"/>
    </row>
    <row r="499" spans="1:36" ht="24" hidden="1" customHeight="1">
      <c r="B499" s="463">
        <v>405</v>
      </c>
      <c r="C499" s="464" t="s">
        <v>534</v>
      </c>
      <c r="D499" s="464" t="s">
        <v>544</v>
      </c>
      <c r="E499" s="464" t="s">
        <v>535</v>
      </c>
      <c r="F499" s="464"/>
      <c r="G499" s="464" t="s">
        <v>268</v>
      </c>
      <c r="H499" s="464" t="s">
        <v>1587</v>
      </c>
      <c r="I499" s="466">
        <v>20000</v>
      </c>
      <c r="J499" s="465" t="s">
        <v>537</v>
      </c>
      <c r="K499" s="465" t="s">
        <v>537</v>
      </c>
      <c r="L499" s="466">
        <v>19800</v>
      </c>
      <c r="M499" s="465" t="s">
        <v>537</v>
      </c>
      <c r="N499" s="465" t="s">
        <v>537</v>
      </c>
      <c r="O499" s="463" t="s">
        <v>537</v>
      </c>
      <c r="P499" s="463" t="s">
        <v>537</v>
      </c>
      <c r="Q499" s="465">
        <v>200</v>
      </c>
      <c r="R499" s="470">
        <v>241428</v>
      </c>
      <c r="S499" s="463" t="s">
        <v>1588</v>
      </c>
      <c r="T499" s="463">
        <v>11</v>
      </c>
      <c r="U499" s="463">
        <v>0</v>
      </c>
      <c r="V499" s="463">
        <v>0</v>
      </c>
      <c r="W499" s="463">
        <v>11</v>
      </c>
      <c r="X499" s="463">
        <v>0</v>
      </c>
      <c r="Y499" s="463">
        <v>0</v>
      </c>
      <c r="Z499" s="463">
        <v>89</v>
      </c>
      <c r="AA499" s="472" t="s">
        <v>547</v>
      </c>
      <c r="AB499" s="463" t="s">
        <v>539</v>
      </c>
      <c r="AC499" s="463" t="s">
        <v>539</v>
      </c>
      <c r="AD499" s="472" t="s">
        <v>548</v>
      </c>
      <c r="AE499" s="463">
        <v>80</v>
      </c>
      <c r="AF499" s="463">
        <v>100</v>
      </c>
      <c r="AG499" s="463" t="s">
        <v>375</v>
      </c>
      <c r="AH499" s="476"/>
      <c r="AI499" s="472" t="s">
        <v>1589</v>
      </c>
      <c r="AJ499" s="464"/>
    </row>
    <row r="500" spans="1:36" ht="24" hidden="1" customHeight="1">
      <c r="B500" s="463">
        <v>406</v>
      </c>
      <c r="C500" s="464" t="s">
        <v>534</v>
      </c>
      <c r="D500" s="464" t="s">
        <v>544</v>
      </c>
      <c r="E500" s="464" t="s">
        <v>535</v>
      </c>
      <c r="F500" s="464"/>
      <c r="G500" s="464" t="s">
        <v>268</v>
      </c>
      <c r="H500" s="464" t="s">
        <v>1590</v>
      </c>
      <c r="I500" s="466">
        <v>140000</v>
      </c>
      <c r="J500" s="465" t="s">
        <v>537</v>
      </c>
      <c r="K500" s="465" t="s">
        <v>537</v>
      </c>
      <c r="L500" s="466">
        <v>65580</v>
      </c>
      <c r="M500" s="465" t="s">
        <v>537</v>
      </c>
      <c r="N500" s="465" t="s">
        <v>537</v>
      </c>
      <c r="O500" s="463" t="s">
        <v>537</v>
      </c>
      <c r="P500" s="463" t="s">
        <v>537</v>
      </c>
      <c r="Q500" s="468">
        <v>74420</v>
      </c>
      <c r="R500" s="470">
        <v>241459</v>
      </c>
      <c r="S500" s="463" t="s">
        <v>1591</v>
      </c>
      <c r="T500" s="463">
        <v>15</v>
      </c>
      <c r="U500" s="463">
        <v>1</v>
      </c>
      <c r="V500" s="463">
        <v>0</v>
      </c>
      <c r="W500" s="463">
        <v>15</v>
      </c>
      <c r="X500" s="463">
        <v>1</v>
      </c>
      <c r="Y500" s="463">
        <v>0</v>
      </c>
      <c r="Z500" s="463">
        <v>91.6</v>
      </c>
      <c r="AA500" s="472" t="s">
        <v>728</v>
      </c>
      <c r="AB500" s="463">
        <v>1</v>
      </c>
      <c r="AC500" s="463">
        <v>1</v>
      </c>
      <c r="AD500" s="472" t="s">
        <v>1592</v>
      </c>
      <c r="AE500" s="463">
        <v>1</v>
      </c>
      <c r="AF500" s="463">
        <v>1</v>
      </c>
      <c r="AG500" s="463" t="s">
        <v>375</v>
      </c>
      <c r="AH500" s="476"/>
      <c r="AI500" s="472">
        <v>958749626</v>
      </c>
      <c r="AJ500" s="464"/>
    </row>
    <row r="501" spans="1:36" ht="24" hidden="1" customHeight="1">
      <c r="B501" s="463">
        <v>407</v>
      </c>
      <c r="C501" s="464" t="s">
        <v>534</v>
      </c>
      <c r="D501" s="464" t="s">
        <v>544</v>
      </c>
      <c r="E501" s="464" t="s">
        <v>535</v>
      </c>
      <c r="F501" s="464"/>
      <c r="G501" s="464" t="s">
        <v>268</v>
      </c>
      <c r="H501" s="464" t="s">
        <v>1593</v>
      </c>
      <c r="I501" s="466">
        <v>60000</v>
      </c>
      <c r="J501" s="465" t="s">
        <v>537</v>
      </c>
      <c r="K501" s="465" t="s">
        <v>537</v>
      </c>
      <c r="L501" s="466">
        <v>52700</v>
      </c>
      <c r="M501" s="465" t="s">
        <v>537</v>
      </c>
      <c r="N501" s="465" t="s">
        <v>537</v>
      </c>
      <c r="O501" s="463" t="s">
        <v>537</v>
      </c>
      <c r="P501" s="463" t="s">
        <v>537</v>
      </c>
      <c r="Q501" s="468">
        <v>7300</v>
      </c>
      <c r="R501" s="470">
        <v>241640</v>
      </c>
      <c r="S501" s="471">
        <v>22502</v>
      </c>
      <c r="T501" s="463">
        <v>200</v>
      </c>
      <c r="U501" s="463">
        <v>0</v>
      </c>
      <c r="V501" s="463">
        <v>0</v>
      </c>
      <c r="W501" s="463">
        <v>200</v>
      </c>
      <c r="X501" s="463">
        <v>20</v>
      </c>
      <c r="Y501" s="463">
        <v>0</v>
      </c>
      <c r="Z501" s="463">
        <v>81.14</v>
      </c>
      <c r="AA501" s="472" t="s">
        <v>1304</v>
      </c>
      <c r="AB501" s="463" t="s">
        <v>539</v>
      </c>
      <c r="AC501" s="463" t="s">
        <v>539</v>
      </c>
      <c r="AD501" s="472" t="s">
        <v>565</v>
      </c>
      <c r="AE501" s="463">
        <v>80</v>
      </c>
      <c r="AF501" s="463">
        <v>81.17</v>
      </c>
      <c r="AG501" s="463" t="s">
        <v>375</v>
      </c>
      <c r="AH501" s="476"/>
      <c r="AI501" s="472" t="s">
        <v>1589</v>
      </c>
      <c r="AJ501" s="464"/>
    </row>
    <row r="502" spans="1:36" ht="24" hidden="1" customHeight="1">
      <c r="B502" s="463">
        <v>408</v>
      </c>
      <c r="C502" s="464" t="s">
        <v>534</v>
      </c>
      <c r="D502" s="464" t="s">
        <v>544</v>
      </c>
      <c r="E502" s="464" t="s">
        <v>535</v>
      </c>
      <c r="F502" s="464"/>
      <c r="G502" s="464" t="s">
        <v>268</v>
      </c>
      <c r="H502" s="464" t="s">
        <v>1594</v>
      </c>
      <c r="I502" s="466">
        <v>500000</v>
      </c>
      <c r="J502" s="465" t="s">
        <v>537</v>
      </c>
      <c r="K502" s="465" t="s">
        <v>537</v>
      </c>
      <c r="L502" s="466">
        <v>463533</v>
      </c>
      <c r="M502" s="465" t="s">
        <v>537</v>
      </c>
      <c r="N502" s="465" t="s">
        <v>537</v>
      </c>
      <c r="O502" s="463" t="s">
        <v>537</v>
      </c>
      <c r="P502" s="463" t="s">
        <v>537</v>
      </c>
      <c r="Q502" s="468">
        <v>36467</v>
      </c>
      <c r="R502" s="470">
        <v>241579</v>
      </c>
      <c r="S502" s="463" t="s">
        <v>1595</v>
      </c>
      <c r="T502" s="463">
        <v>0</v>
      </c>
      <c r="U502" s="463">
        <v>100</v>
      </c>
      <c r="V502" s="463">
        <v>0</v>
      </c>
      <c r="W502" s="463">
        <v>0</v>
      </c>
      <c r="X502" s="463">
        <v>66</v>
      </c>
      <c r="Y502" s="463">
        <v>0</v>
      </c>
      <c r="Z502" s="463">
        <v>82</v>
      </c>
      <c r="AA502" s="472" t="s">
        <v>728</v>
      </c>
      <c r="AB502" s="463">
        <v>1</v>
      </c>
      <c r="AC502" s="463">
        <v>7</v>
      </c>
      <c r="AD502" s="472" t="s">
        <v>1592</v>
      </c>
      <c r="AE502" s="463">
        <v>1</v>
      </c>
      <c r="AF502" s="463">
        <v>1</v>
      </c>
      <c r="AG502" s="463" t="s">
        <v>375</v>
      </c>
      <c r="AH502" s="476"/>
      <c r="AI502" s="472" t="s">
        <v>1596</v>
      </c>
      <c r="AJ502" s="464"/>
    </row>
    <row r="503" spans="1:36" ht="24" hidden="1" customHeight="1">
      <c r="B503" s="463">
        <v>409</v>
      </c>
      <c r="C503" s="464" t="s">
        <v>534</v>
      </c>
      <c r="D503" s="464" t="s">
        <v>544</v>
      </c>
      <c r="E503" s="464" t="s">
        <v>535</v>
      </c>
      <c r="F503" s="464"/>
      <c r="G503" s="464" t="s">
        <v>268</v>
      </c>
      <c r="H503" s="464" t="s">
        <v>1597</v>
      </c>
      <c r="I503" s="466">
        <v>30000</v>
      </c>
      <c r="J503" s="465" t="s">
        <v>537</v>
      </c>
      <c r="K503" s="465" t="s">
        <v>537</v>
      </c>
      <c r="L503" s="466">
        <v>29180</v>
      </c>
      <c r="M503" s="465" t="s">
        <v>537</v>
      </c>
      <c r="N503" s="465" t="s">
        <v>537</v>
      </c>
      <c r="O503" s="463" t="s">
        <v>537</v>
      </c>
      <c r="P503" s="463" t="s">
        <v>537</v>
      </c>
      <c r="Q503" s="465">
        <v>820</v>
      </c>
      <c r="R503" s="470">
        <v>241640</v>
      </c>
      <c r="S503" s="471">
        <v>22460</v>
      </c>
      <c r="T503" s="463">
        <v>300</v>
      </c>
      <c r="U503" s="463">
        <v>0</v>
      </c>
      <c r="V503" s="463">
        <v>0</v>
      </c>
      <c r="W503" s="463">
        <v>470</v>
      </c>
      <c r="X503" s="463">
        <v>0</v>
      </c>
      <c r="Y503" s="463">
        <v>0</v>
      </c>
      <c r="Z503" s="463">
        <v>78.2</v>
      </c>
      <c r="AA503" s="472" t="s">
        <v>1304</v>
      </c>
      <c r="AB503" s="463" t="s">
        <v>539</v>
      </c>
      <c r="AC503" s="463" t="s">
        <v>539</v>
      </c>
      <c r="AD503" s="472" t="s">
        <v>565</v>
      </c>
      <c r="AE503" s="463">
        <v>80</v>
      </c>
      <c r="AF503" s="463">
        <v>78.2</v>
      </c>
      <c r="AG503" s="463" t="s">
        <v>376</v>
      </c>
      <c r="AH503" s="476"/>
      <c r="AI503" s="472" t="s">
        <v>1598</v>
      </c>
      <c r="AJ503" s="464"/>
    </row>
    <row r="504" spans="1:36" ht="24" hidden="1" customHeight="1">
      <c r="B504" s="463">
        <v>410</v>
      </c>
      <c r="C504" s="464" t="s">
        <v>534</v>
      </c>
      <c r="D504" s="464" t="s">
        <v>544</v>
      </c>
      <c r="E504" s="464" t="s">
        <v>535</v>
      </c>
      <c r="F504" s="464"/>
      <c r="G504" s="464" t="s">
        <v>268</v>
      </c>
      <c r="H504" s="464" t="s">
        <v>1599</v>
      </c>
      <c r="I504" s="466">
        <v>57000</v>
      </c>
      <c r="J504" s="465" t="s">
        <v>537</v>
      </c>
      <c r="K504" s="465" t="s">
        <v>537</v>
      </c>
      <c r="L504" s="466">
        <v>41400</v>
      </c>
      <c r="M504" s="465" t="s">
        <v>537</v>
      </c>
      <c r="N504" s="465" t="s">
        <v>537</v>
      </c>
      <c r="O504" s="463" t="s">
        <v>537</v>
      </c>
      <c r="P504" s="463" t="s">
        <v>537</v>
      </c>
      <c r="Q504" s="468">
        <v>15600</v>
      </c>
      <c r="R504" s="470">
        <v>241518</v>
      </c>
      <c r="S504" s="463" t="s">
        <v>1238</v>
      </c>
      <c r="T504" s="463">
        <v>35</v>
      </c>
      <c r="U504" s="463">
        <v>0</v>
      </c>
      <c r="V504" s="463">
        <v>0</v>
      </c>
      <c r="W504" s="463">
        <v>30</v>
      </c>
      <c r="X504" s="463">
        <v>0</v>
      </c>
      <c r="Y504" s="463">
        <v>0</v>
      </c>
      <c r="Z504" s="464"/>
      <c r="AA504" s="472" t="s">
        <v>547</v>
      </c>
      <c r="AB504" s="463" t="s">
        <v>539</v>
      </c>
      <c r="AC504" s="463" t="s">
        <v>539</v>
      </c>
      <c r="AD504" s="472" t="s">
        <v>548</v>
      </c>
      <c r="AE504" s="463">
        <v>80</v>
      </c>
      <c r="AF504" s="463">
        <v>33.33</v>
      </c>
      <c r="AG504" s="463" t="s">
        <v>376</v>
      </c>
      <c r="AH504" s="476"/>
      <c r="AI504" s="472" t="s">
        <v>1586</v>
      </c>
      <c r="AJ504" s="464"/>
    </row>
    <row r="505" spans="1:36" ht="24" hidden="1" customHeight="1">
      <c r="B505" s="463">
        <v>411</v>
      </c>
      <c r="C505" s="464" t="s">
        <v>534</v>
      </c>
      <c r="D505" s="464" t="s">
        <v>544</v>
      </c>
      <c r="E505" s="464" t="s">
        <v>535</v>
      </c>
      <c r="F505" s="464"/>
      <c r="G505" s="464" t="s">
        <v>268</v>
      </c>
      <c r="H505" s="464" t="s">
        <v>1600</v>
      </c>
      <c r="I505" s="465" t="s">
        <v>537</v>
      </c>
      <c r="J505" s="466">
        <v>200000</v>
      </c>
      <c r="K505" s="465" t="s">
        <v>537</v>
      </c>
      <c r="L505" s="465" t="s">
        <v>537</v>
      </c>
      <c r="M505" s="466">
        <v>177116</v>
      </c>
      <c r="N505" s="465" t="s">
        <v>537</v>
      </c>
      <c r="O505" s="463" t="s">
        <v>537</v>
      </c>
      <c r="P505" s="463" t="s">
        <v>537</v>
      </c>
      <c r="Q505" s="468">
        <v>22884</v>
      </c>
      <c r="R505" s="463" t="s">
        <v>984</v>
      </c>
      <c r="S505" s="463" t="s">
        <v>1601</v>
      </c>
      <c r="T505" s="463">
        <v>103</v>
      </c>
      <c r="U505" s="463">
        <v>17</v>
      </c>
      <c r="V505" s="463">
        <v>0</v>
      </c>
      <c r="W505" s="463">
        <v>101</v>
      </c>
      <c r="X505" s="463">
        <v>17</v>
      </c>
      <c r="Y505" s="463">
        <v>0</v>
      </c>
      <c r="Z505" s="463">
        <v>91.98</v>
      </c>
      <c r="AA505" s="472" t="s">
        <v>547</v>
      </c>
      <c r="AB505" s="463" t="s">
        <v>539</v>
      </c>
      <c r="AC505" s="463" t="s">
        <v>539</v>
      </c>
      <c r="AD505" s="472" t="s">
        <v>548</v>
      </c>
      <c r="AE505" s="463">
        <v>80</v>
      </c>
      <c r="AF505" s="463">
        <v>91</v>
      </c>
      <c r="AG505" s="463" t="s">
        <v>375</v>
      </c>
      <c r="AH505" s="476"/>
      <c r="AI505" s="472" t="s">
        <v>1602</v>
      </c>
      <c r="AJ505" s="464"/>
    </row>
    <row r="506" spans="1:36" ht="24" hidden="1" customHeight="1">
      <c r="B506" s="463">
        <v>412</v>
      </c>
      <c r="C506" s="464" t="s">
        <v>534</v>
      </c>
      <c r="D506" s="464" t="s">
        <v>544</v>
      </c>
      <c r="E506" s="464" t="s">
        <v>535</v>
      </c>
      <c r="F506" s="464"/>
      <c r="G506" s="464" t="s">
        <v>268</v>
      </c>
      <c r="H506" s="464" t="s">
        <v>1603</v>
      </c>
      <c r="I506" s="465" t="s">
        <v>537</v>
      </c>
      <c r="J506" s="466">
        <v>100000</v>
      </c>
      <c r="K506" s="465" t="s">
        <v>537</v>
      </c>
      <c r="L506" s="465" t="s">
        <v>537</v>
      </c>
      <c r="M506" s="466">
        <v>93100</v>
      </c>
      <c r="N506" s="465" t="s">
        <v>537</v>
      </c>
      <c r="O506" s="463" t="s">
        <v>537</v>
      </c>
      <c r="P506" s="463" t="s">
        <v>537</v>
      </c>
      <c r="Q506" s="468">
        <v>6900</v>
      </c>
      <c r="R506" s="470">
        <v>241397</v>
      </c>
      <c r="S506" s="463" t="s">
        <v>1604</v>
      </c>
      <c r="T506" s="463">
        <v>43</v>
      </c>
      <c r="U506" s="463">
        <v>12</v>
      </c>
      <c r="V506" s="463">
        <v>0</v>
      </c>
      <c r="W506" s="463">
        <v>37</v>
      </c>
      <c r="X506" s="463">
        <v>10</v>
      </c>
      <c r="Y506" s="463">
        <v>0</v>
      </c>
      <c r="Z506" s="463">
        <v>85</v>
      </c>
      <c r="AA506" s="472" t="s">
        <v>547</v>
      </c>
      <c r="AB506" s="463" t="s">
        <v>539</v>
      </c>
      <c r="AC506" s="463" t="s">
        <v>539</v>
      </c>
      <c r="AD506" s="472" t="s">
        <v>548</v>
      </c>
      <c r="AE506" s="463">
        <v>80</v>
      </c>
      <c r="AF506" s="463">
        <v>100</v>
      </c>
      <c r="AG506" s="463" t="s">
        <v>375</v>
      </c>
      <c r="AH506" s="476"/>
      <c r="AI506" s="472">
        <v>970495459</v>
      </c>
      <c r="AJ506" s="464"/>
    </row>
    <row r="507" spans="1:36" ht="24" hidden="1" customHeight="1">
      <c r="B507" s="463">
        <v>413</v>
      </c>
      <c r="C507" s="464" t="s">
        <v>534</v>
      </c>
      <c r="D507" s="464" t="s">
        <v>544</v>
      </c>
      <c r="E507" s="464" t="s">
        <v>535</v>
      </c>
      <c r="F507" s="464"/>
      <c r="G507" s="464" t="s">
        <v>268</v>
      </c>
      <c r="H507" s="464" t="s">
        <v>1605</v>
      </c>
      <c r="I507" s="465" t="s">
        <v>537</v>
      </c>
      <c r="J507" s="466">
        <v>500000</v>
      </c>
      <c r="K507" s="465" t="s">
        <v>537</v>
      </c>
      <c r="L507" s="465" t="s">
        <v>537</v>
      </c>
      <c r="M507" s="466">
        <v>327560</v>
      </c>
      <c r="N507" s="465" t="s">
        <v>537</v>
      </c>
      <c r="O507" s="463" t="s">
        <v>537</v>
      </c>
      <c r="P507" s="463" t="s">
        <v>537</v>
      </c>
      <c r="Q507" s="468">
        <v>172440</v>
      </c>
      <c r="R507" s="470">
        <v>241428</v>
      </c>
      <c r="S507" s="463" t="s">
        <v>1606</v>
      </c>
      <c r="T507" s="463">
        <v>169</v>
      </c>
      <c r="U507" s="463">
        <v>29</v>
      </c>
      <c r="V507" s="463">
        <v>0</v>
      </c>
      <c r="W507" s="463">
        <v>129</v>
      </c>
      <c r="X507" s="463">
        <v>24</v>
      </c>
      <c r="Y507" s="463">
        <v>0</v>
      </c>
      <c r="Z507" s="463">
        <v>71.900000000000006</v>
      </c>
      <c r="AA507" s="472" t="s">
        <v>547</v>
      </c>
      <c r="AB507" s="463" t="s">
        <v>539</v>
      </c>
      <c r="AC507" s="463" t="s">
        <v>539</v>
      </c>
      <c r="AD507" s="472" t="s">
        <v>548</v>
      </c>
      <c r="AE507" s="463">
        <v>80</v>
      </c>
      <c r="AF507" s="463">
        <v>100</v>
      </c>
      <c r="AG507" s="463" t="s">
        <v>375</v>
      </c>
      <c r="AH507" s="476"/>
      <c r="AI507" s="472">
        <v>970495459</v>
      </c>
      <c r="AJ507" s="464"/>
    </row>
    <row r="508" spans="1:36" ht="24" hidden="1" customHeight="1">
      <c r="B508" s="463">
        <v>414</v>
      </c>
      <c r="C508" s="464" t="s">
        <v>534</v>
      </c>
      <c r="D508" s="464" t="s">
        <v>544</v>
      </c>
      <c r="E508" s="464" t="s">
        <v>535</v>
      </c>
      <c r="F508" s="464"/>
      <c r="G508" s="464" t="s">
        <v>268</v>
      </c>
      <c r="H508" s="464" t="s">
        <v>1607</v>
      </c>
      <c r="I508" s="465" t="s">
        <v>537</v>
      </c>
      <c r="J508" s="466">
        <v>32400</v>
      </c>
      <c r="K508" s="465" t="s">
        <v>537</v>
      </c>
      <c r="L508" s="465" t="s">
        <v>537</v>
      </c>
      <c r="M508" s="466">
        <v>10000</v>
      </c>
      <c r="N508" s="465" t="s">
        <v>537</v>
      </c>
      <c r="O508" s="463" t="s">
        <v>537</v>
      </c>
      <c r="P508" s="463" t="s">
        <v>537</v>
      </c>
      <c r="Q508" s="468">
        <v>22400</v>
      </c>
      <c r="R508" s="470">
        <v>241459</v>
      </c>
      <c r="S508" s="463" t="s">
        <v>1608</v>
      </c>
      <c r="T508" s="463">
        <v>10</v>
      </c>
      <c r="U508" s="463">
        <v>2</v>
      </c>
      <c r="V508" s="463">
        <v>0</v>
      </c>
      <c r="W508" s="463">
        <v>3</v>
      </c>
      <c r="X508" s="463">
        <v>1</v>
      </c>
      <c r="Y508" s="463">
        <v>0</v>
      </c>
      <c r="Z508" s="463">
        <v>97</v>
      </c>
      <c r="AA508" s="472" t="s">
        <v>547</v>
      </c>
      <c r="AB508" s="463" t="s">
        <v>539</v>
      </c>
      <c r="AC508" s="463" t="s">
        <v>539</v>
      </c>
      <c r="AD508" s="472" t="s">
        <v>548</v>
      </c>
      <c r="AE508" s="463">
        <v>80</v>
      </c>
      <c r="AF508" s="463">
        <v>100</v>
      </c>
      <c r="AG508" s="463" t="s">
        <v>375</v>
      </c>
      <c r="AH508" s="476"/>
      <c r="AI508" s="472">
        <v>845071095</v>
      </c>
      <c r="AJ508" s="464"/>
    </row>
    <row r="509" spans="1:36" ht="24" hidden="1" customHeight="1">
      <c r="B509" s="463">
        <v>415</v>
      </c>
      <c r="C509" s="464" t="s">
        <v>534</v>
      </c>
      <c r="D509" s="464" t="s">
        <v>544</v>
      </c>
      <c r="E509" s="464" t="s">
        <v>535</v>
      </c>
      <c r="F509" s="464"/>
      <c r="G509" s="464" t="s">
        <v>268</v>
      </c>
      <c r="H509" s="464" t="s">
        <v>1609</v>
      </c>
      <c r="I509" s="465" t="s">
        <v>537</v>
      </c>
      <c r="J509" s="466">
        <v>200000</v>
      </c>
      <c r="K509" s="465" t="s">
        <v>537</v>
      </c>
      <c r="L509" s="465" t="s">
        <v>537</v>
      </c>
      <c r="M509" s="466">
        <v>169500</v>
      </c>
      <c r="N509" s="465" t="s">
        <v>537</v>
      </c>
      <c r="O509" s="463" t="s">
        <v>537</v>
      </c>
      <c r="P509" s="463" t="s">
        <v>537</v>
      </c>
      <c r="Q509" s="468">
        <v>30500</v>
      </c>
      <c r="R509" s="470">
        <v>241518</v>
      </c>
      <c r="S509" s="463" t="s">
        <v>1610</v>
      </c>
      <c r="T509" s="463">
        <v>0</v>
      </c>
      <c r="U509" s="463">
        <v>240</v>
      </c>
      <c r="V509" s="463">
        <v>0</v>
      </c>
      <c r="W509" s="463">
        <v>0</v>
      </c>
      <c r="X509" s="463">
        <v>163</v>
      </c>
      <c r="Y509" s="463">
        <v>0</v>
      </c>
      <c r="Z509" s="463">
        <v>80</v>
      </c>
      <c r="AA509" s="472" t="s">
        <v>728</v>
      </c>
      <c r="AB509" s="463">
        <v>1</v>
      </c>
      <c r="AC509" s="463">
        <v>3</v>
      </c>
      <c r="AD509" s="472" t="s">
        <v>565</v>
      </c>
      <c r="AE509" s="463">
        <v>80</v>
      </c>
      <c r="AF509" s="463">
        <v>80</v>
      </c>
      <c r="AG509" s="463" t="s">
        <v>375</v>
      </c>
      <c r="AH509" s="476"/>
      <c r="AI509" s="472">
        <v>970495459</v>
      </c>
      <c r="AJ509" s="464"/>
    </row>
    <row r="510" spans="1:36" ht="24" hidden="1" customHeight="1">
      <c r="B510" s="463">
        <v>416</v>
      </c>
      <c r="C510" s="464" t="s">
        <v>534</v>
      </c>
      <c r="D510" s="464" t="s">
        <v>544</v>
      </c>
      <c r="E510" s="464" t="s">
        <v>535</v>
      </c>
      <c r="F510" s="464"/>
      <c r="G510" s="464" t="s">
        <v>268</v>
      </c>
      <c r="H510" s="464" t="s">
        <v>1611</v>
      </c>
      <c r="I510" s="465" t="s">
        <v>537</v>
      </c>
      <c r="J510" s="466">
        <v>32400</v>
      </c>
      <c r="K510" s="465" t="s">
        <v>537</v>
      </c>
      <c r="L510" s="465" t="s">
        <v>537</v>
      </c>
      <c r="M510" s="466">
        <v>16000</v>
      </c>
      <c r="N510" s="465" t="s">
        <v>537</v>
      </c>
      <c r="O510" s="463" t="s">
        <v>537</v>
      </c>
      <c r="P510" s="463" t="s">
        <v>537</v>
      </c>
      <c r="Q510" s="468">
        <v>16400</v>
      </c>
      <c r="R510" s="470">
        <v>241640</v>
      </c>
      <c r="S510" s="463" t="s">
        <v>1612</v>
      </c>
      <c r="T510" s="463">
        <v>10</v>
      </c>
      <c r="U510" s="463">
        <v>2</v>
      </c>
      <c r="V510" s="463">
        <v>0</v>
      </c>
      <c r="W510" s="463">
        <v>7</v>
      </c>
      <c r="X510" s="463">
        <v>1</v>
      </c>
      <c r="Y510" s="463">
        <v>0</v>
      </c>
      <c r="Z510" s="463">
        <v>83.5</v>
      </c>
      <c r="AA510" s="472" t="s">
        <v>547</v>
      </c>
      <c r="AB510" s="463" t="s">
        <v>539</v>
      </c>
      <c r="AC510" s="463" t="s">
        <v>539</v>
      </c>
      <c r="AD510" s="472" t="s">
        <v>548</v>
      </c>
      <c r="AE510" s="463">
        <v>80</v>
      </c>
      <c r="AF510" s="463">
        <v>100</v>
      </c>
      <c r="AG510" s="463" t="s">
        <v>375</v>
      </c>
      <c r="AH510" s="476"/>
      <c r="AI510" s="472" t="s">
        <v>1613</v>
      </c>
      <c r="AJ510" s="464"/>
    </row>
    <row r="511" spans="1:36" ht="24" hidden="1" customHeight="1">
      <c r="B511" s="463">
        <v>417</v>
      </c>
      <c r="C511" s="464" t="s">
        <v>534</v>
      </c>
      <c r="D511" s="464" t="s">
        <v>544</v>
      </c>
      <c r="E511" s="464" t="s">
        <v>535</v>
      </c>
      <c r="F511" s="464"/>
      <c r="G511" s="464" t="s">
        <v>268</v>
      </c>
      <c r="H511" s="464" t="s">
        <v>1614</v>
      </c>
      <c r="I511" s="465" t="s">
        <v>537</v>
      </c>
      <c r="J511" s="466">
        <v>220000</v>
      </c>
      <c r="K511" s="465" t="s">
        <v>537</v>
      </c>
      <c r="L511" s="465" t="s">
        <v>537</v>
      </c>
      <c r="M511" s="466">
        <v>218381</v>
      </c>
      <c r="N511" s="465" t="s">
        <v>537</v>
      </c>
      <c r="O511" s="463" t="s">
        <v>537</v>
      </c>
      <c r="P511" s="463" t="s">
        <v>537</v>
      </c>
      <c r="Q511" s="468">
        <v>1619</v>
      </c>
      <c r="R511" s="470">
        <v>241671</v>
      </c>
      <c r="S511" s="463" t="s">
        <v>1615</v>
      </c>
      <c r="T511" s="463">
        <v>2100</v>
      </c>
      <c r="U511" s="463">
        <v>0</v>
      </c>
      <c r="V511" s="463">
        <v>0</v>
      </c>
      <c r="W511" s="463">
        <v>2153</v>
      </c>
      <c r="X511" s="463">
        <v>492</v>
      </c>
      <c r="Y511" s="464"/>
      <c r="Z511" s="463">
        <v>83.08</v>
      </c>
      <c r="AA511" s="472" t="s">
        <v>1304</v>
      </c>
      <c r="AB511" s="463" t="s">
        <v>539</v>
      </c>
      <c r="AC511" s="463" t="s">
        <v>539</v>
      </c>
      <c r="AD511" s="472" t="s">
        <v>565</v>
      </c>
      <c r="AE511" s="463">
        <v>80</v>
      </c>
      <c r="AF511" s="463">
        <v>83.08</v>
      </c>
      <c r="AG511" s="463" t="s">
        <v>375</v>
      </c>
      <c r="AH511" s="476"/>
      <c r="AI511" s="472" t="s">
        <v>1616</v>
      </c>
      <c r="AJ511" s="464"/>
    </row>
    <row r="512" spans="1:36" ht="24" customHeight="1">
      <c r="A512" s="452">
        <v>26</v>
      </c>
      <c r="B512" s="463">
        <v>418</v>
      </c>
      <c r="C512" s="464" t="s">
        <v>377</v>
      </c>
      <c r="D512" s="464" t="s">
        <v>544</v>
      </c>
      <c r="E512" s="464" t="s">
        <v>602</v>
      </c>
      <c r="F512" s="464"/>
      <c r="G512" s="464" t="s">
        <v>268</v>
      </c>
      <c r="H512" s="464" t="s">
        <v>1617</v>
      </c>
      <c r="I512" s="466">
        <v>100000</v>
      </c>
      <c r="J512" s="465" t="s">
        <v>537</v>
      </c>
      <c r="K512" s="465" t="s">
        <v>537</v>
      </c>
      <c r="L512" s="466">
        <v>75420</v>
      </c>
      <c r="M512" s="465" t="s">
        <v>537</v>
      </c>
      <c r="N512" s="465" t="s">
        <v>537</v>
      </c>
      <c r="O512" s="463" t="s">
        <v>537</v>
      </c>
      <c r="P512" s="463" t="s">
        <v>537</v>
      </c>
      <c r="Q512" s="468">
        <v>24580</v>
      </c>
      <c r="R512" s="470">
        <v>241518</v>
      </c>
      <c r="S512" s="463" t="s">
        <v>1618</v>
      </c>
      <c r="T512" s="463">
        <v>200</v>
      </c>
      <c r="U512" s="463">
        <v>100</v>
      </c>
      <c r="V512" s="463">
        <v>0</v>
      </c>
      <c r="W512" s="463">
        <v>270</v>
      </c>
      <c r="X512" s="463">
        <v>185</v>
      </c>
      <c r="Y512" s="463">
        <v>0</v>
      </c>
      <c r="Z512" s="463">
        <v>84</v>
      </c>
      <c r="AA512" s="472" t="s">
        <v>619</v>
      </c>
      <c r="AB512" s="463" t="s">
        <v>539</v>
      </c>
      <c r="AC512" s="463" t="s">
        <v>539</v>
      </c>
      <c r="AD512" s="472" t="s">
        <v>565</v>
      </c>
      <c r="AE512" s="463">
        <v>80</v>
      </c>
      <c r="AF512" s="463">
        <v>84</v>
      </c>
      <c r="AG512" s="463" t="s">
        <v>375</v>
      </c>
      <c r="AH512" s="476"/>
      <c r="AI512" s="472" t="s">
        <v>1619</v>
      </c>
      <c r="AJ512" s="464"/>
    </row>
    <row r="513" spans="1:36" ht="24" customHeight="1">
      <c r="A513" s="452">
        <v>27</v>
      </c>
      <c r="B513" s="463">
        <v>419</v>
      </c>
      <c r="C513" s="464" t="s">
        <v>377</v>
      </c>
      <c r="D513" s="464" t="s">
        <v>544</v>
      </c>
      <c r="E513" s="464" t="s">
        <v>602</v>
      </c>
      <c r="F513" s="464"/>
      <c r="G513" s="464" t="s">
        <v>268</v>
      </c>
      <c r="H513" s="464" t="s">
        <v>1620</v>
      </c>
      <c r="I513" s="466">
        <v>400000</v>
      </c>
      <c r="J513" s="465" t="s">
        <v>537</v>
      </c>
      <c r="K513" s="465" t="s">
        <v>537</v>
      </c>
      <c r="L513" s="466">
        <v>346162</v>
      </c>
      <c r="M513" s="465" t="s">
        <v>537</v>
      </c>
      <c r="N513" s="465" t="s">
        <v>537</v>
      </c>
      <c r="O513" s="463" t="s">
        <v>537</v>
      </c>
      <c r="P513" s="463" t="s">
        <v>537</v>
      </c>
      <c r="Q513" s="468">
        <v>53838</v>
      </c>
      <c r="R513" s="463" t="s">
        <v>643</v>
      </c>
      <c r="S513" s="463" t="s">
        <v>1621</v>
      </c>
      <c r="T513" s="463">
        <v>18</v>
      </c>
      <c r="U513" s="463">
        <v>90</v>
      </c>
      <c r="V513" s="463">
        <v>0</v>
      </c>
      <c r="W513" s="463">
        <v>18</v>
      </c>
      <c r="X513" s="463">
        <v>80</v>
      </c>
      <c r="Y513" s="463">
        <v>0</v>
      </c>
      <c r="Z513" s="463">
        <v>93.33</v>
      </c>
      <c r="AA513" s="472" t="s">
        <v>547</v>
      </c>
      <c r="AB513" s="463" t="s">
        <v>539</v>
      </c>
      <c r="AC513" s="463" t="s">
        <v>539</v>
      </c>
      <c r="AD513" s="472" t="s">
        <v>548</v>
      </c>
      <c r="AE513" s="463">
        <v>80</v>
      </c>
      <c r="AF513" s="463">
        <v>91.32</v>
      </c>
      <c r="AG513" s="463" t="s">
        <v>375</v>
      </c>
      <c r="AH513" s="476"/>
      <c r="AI513" s="472" t="s">
        <v>1622</v>
      </c>
      <c r="AJ513" s="464"/>
    </row>
    <row r="514" spans="1:36" ht="24" customHeight="1">
      <c r="A514" s="452">
        <v>28</v>
      </c>
      <c r="B514" s="463">
        <v>420</v>
      </c>
      <c r="C514" s="464" t="s">
        <v>377</v>
      </c>
      <c r="D514" s="464" t="s">
        <v>544</v>
      </c>
      <c r="E514" s="464" t="s">
        <v>602</v>
      </c>
      <c r="F514" s="464"/>
      <c r="G514" s="464" t="s">
        <v>268</v>
      </c>
      <c r="H514" s="464" t="s">
        <v>1623</v>
      </c>
      <c r="I514" s="466">
        <v>300000</v>
      </c>
      <c r="J514" s="465" t="s">
        <v>537</v>
      </c>
      <c r="K514" s="465" t="s">
        <v>537</v>
      </c>
      <c r="L514" s="466">
        <v>266050</v>
      </c>
      <c r="M514" s="465" t="s">
        <v>537</v>
      </c>
      <c r="N514" s="465" t="s">
        <v>537</v>
      </c>
      <c r="O514" s="463" t="s">
        <v>537</v>
      </c>
      <c r="P514" s="463" t="s">
        <v>537</v>
      </c>
      <c r="Q514" s="468">
        <v>33950</v>
      </c>
      <c r="R514" s="470">
        <v>241459</v>
      </c>
      <c r="S514" s="463" t="s">
        <v>1624</v>
      </c>
      <c r="T514" s="463">
        <v>50</v>
      </c>
      <c r="U514" s="463">
        <v>10</v>
      </c>
      <c r="V514" s="463">
        <v>0</v>
      </c>
      <c r="W514" s="463">
        <v>35</v>
      </c>
      <c r="X514" s="463">
        <v>6</v>
      </c>
      <c r="Y514" s="463">
        <v>0</v>
      </c>
      <c r="Z514" s="463">
        <v>76</v>
      </c>
      <c r="AA514" s="472" t="s">
        <v>619</v>
      </c>
      <c r="AB514" s="463" t="s">
        <v>539</v>
      </c>
      <c r="AC514" s="463" t="s">
        <v>539</v>
      </c>
      <c r="AD514" s="472" t="s">
        <v>565</v>
      </c>
      <c r="AE514" s="463">
        <v>80</v>
      </c>
      <c r="AF514" s="463">
        <v>76</v>
      </c>
      <c r="AG514" s="463" t="s">
        <v>376</v>
      </c>
      <c r="AH514" s="476"/>
      <c r="AI514" s="472" t="s">
        <v>1625</v>
      </c>
      <c r="AJ514" s="464"/>
    </row>
    <row r="515" spans="1:36" ht="24" customHeight="1">
      <c r="A515" s="452">
        <v>29</v>
      </c>
      <c r="B515" s="463">
        <v>421</v>
      </c>
      <c r="C515" s="464" t="s">
        <v>377</v>
      </c>
      <c r="D515" s="464" t="s">
        <v>544</v>
      </c>
      <c r="E515" s="464" t="s">
        <v>602</v>
      </c>
      <c r="F515" s="464"/>
      <c r="G515" s="464" t="s">
        <v>268</v>
      </c>
      <c r="H515" s="464" t="s">
        <v>1626</v>
      </c>
      <c r="I515" s="466">
        <v>50000</v>
      </c>
      <c r="J515" s="465" t="s">
        <v>537</v>
      </c>
      <c r="K515" s="465" t="s">
        <v>537</v>
      </c>
      <c r="L515" s="466">
        <v>48300</v>
      </c>
      <c r="M515" s="465" t="s">
        <v>537</v>
      </c>
      <c r="N515" s="465" t="s">
        <v>537</v>
      </c>
      <c r="O515" s="463" t="s">
        <v>537</v>
      </c>
      <c r="P515" s="463" t="s">
        <v>537</v>
      </c>
      <c r="Q515" s="468">
        <v>1700</v>
      </c>
      <c r="R515" s="470">
        <v>241579</v>
      </c>
      <c r="S515" s="463" t="s">
        <v>1627</v>
      </c>
      <c r="T515" s="463">
        <v>30</v>
      </c>
      <c r="U515" s="463">
        <v>0</v>
      </c>
      <c r="V515" s="463">
        <v>0</v>
      </c>
      <c r="W515" s="463">
        <v>23</v>
      </c>
      <c r="X515" s="463">
        <v>0</v>
      </c>
      <c r="Y515" s="463">
        <v>0</v>
      </c>
      <c r="Z515" s="463">
        <v>89.4</v>
      </c>
      <c r="AA515" s="472" t="s">
        <v>619</v>
      </c>
      <c r="AB515" s="463" t="s">
        <v>539</v>
      </c>
      <c r="AC515" s="463" t="s">
        <v>539</v>
      </c>
      <c r="AD515" s="472" t="s">
        <v>565</v>
      </c>
      <c r="AE515" s="463">
        <v>80</v>
      </c>
      <c r="AF515" s="463">
        <v>100</v>
      </c>
      <c r="AG515" s="463" t="s">
        <v>375</v>
      </c>
      <c r="AH515" s="476"/>
      <c r="AI515" s="472" t="s">
        <v>1589</v>
      </c>
      <c r="AJ515" s="464"/>
    </row>
    <row r="516" spans="1:36" ht="24" customHeight="1">
      <c r="A516" s="452">
        <v>30</v>
      </c>
      <c r="B516" s="463">
        <v>422</v>
      </c>
      <c r="C516" s="464" t="s">
        <v>377</v>
      </c>
      <c r="D516" s="464" t="s">
        <v>544</v>
      </c>
      <c r="E516" s="464" t="s">
        <v>602</v>
      </c>
      <c r="F516" s="464"/>
      <c r="G516" s="464" t="s">
        <v>268</v>
      </c>
      <c r="H516" s="464" t="s">
        <v>1628</v>
      </c>
      <c r="I516" s="466">
        <v>60000</v>
      </c>
      <c r="J516" s="465" t="s">
        <v>537</v>
      </c>
      <c r="K516" s="465" t="s">
        <v>537</v>
      </c>
      <c r="L516" s="466">
        <v>54676</v>
      </c>
      <c r="M516" s="465" t="s">
        <v>537</v>
      </c>
      <c r="N516" s="465" t="s">
        <v>537</v>
      </c>
      <c r="O516" s="463" t="s">
        <v>537</v>
      </c>
      <c r="P516" s="463" t="s">
        <v>537</v>
      </c>
      <c r="Q516" s="468">
        <v>5324</v>
      </c>
      <c r="R516" s="470">
        <v>241579</v>
      </c>
      <c r="S516" s="471">
        <v>22460</v>
      </c>
      <c r="T516" s="463">
        <v>500</v>
      </c>
      <c r="U516" s="463">
        <v>0</v>
      </c>
      <c r="V516" s="463">
        <v>0</v>
      </c>
      <c r="W516" s="463">
        <v>2256</v>
      </c>
      <c r="X516" s="463">
        <v>125</v>
      </c>
      <c r="Y516" s="463">
        <v>0</v>
      </c>
      <c r="Z516" s="463">
        <v>77.599999999999994</v>
      </c>
      <c r="AA516" s="472" t="s">
        <v>619</v>
      </c>
      <c r="AB516" s="463" t="s">
        <v>539</v>
      </c>
      <c r="AC516" s="463" t="s">
        <v>539</v>
      </c>
      <c r="AD516" s="472" t="s">
        <v>565</v>
      </c>
      <c r="AE516" s="463">
        <v>80</v>
      </c>
      <c r="AF516" s="463">
        <v>77.599999999999994</v>
      </c>
      <c r="AG516" s="463" t="s">
        <v>376</v>
      </c>
      <c r="AH516" s="476"/>
      <c r="AI516" s="472" t="s">
        <v>1598</v>
      </c>
      <c r="AJ516" s="464"/>
    </row>
    <row r="517" spans="1:36" ht="24" customHeight="1">
      <c r="A517" s="452">
        <v>31</v>
      </c>
      <c r="B517" s="463">
        <v>423</v>
      </c>
      <c r="C517" s="464" t="s">
        <v>377</v>
      </c>
      <c r="D517" s="464" t="s">
        <v>544</v>
      </c>
      <c r="E517" s="464" t="s">
        <v>602</v>
      </c>
      <c r="F517" s="464"/>
      <c r="G517" s="464" t="s">
        <v>268</v>
      </c>
      <c r="H517" s="464" t="s">
        <v>1629</v>
      </c>
      <c r="I517" s="466">
        <v>100000</v>
      </c>
      <c r="J517" s="465" t="s">
        <v>537</v>
      </c>
      <c r="K517" s="465" t="s">
        <v>537</v>
      </c>
      <c r="L517" s="466">
        <v>61768</v>
      </c>
      <c r="M517" s="465" t="s">
        <v>537</v>
      </c>
      <c r="N517" s="465" t="s">
        <v>537</v>
      </c>
      <c r="O517" s="463" t="s">
        <v>537</v>
      </c>
      <c r="P517" s="463" t="s">
        <v>537</v>
      </c>
      <c r="Q517" s="468">
        <v>38232</v>
      </c>
      <c r="R517" s="470">
        <v>241609</v>
      </c>
      <c r="S517" s="463" t="s">
        <v>1630</v>
      </c>
      <c r="T517" s="463">
        <v>500</v>
      </c>
      <c r="U517" s="463">
        <v>50</v>
      </c>
      <c r="V517" s="463">
        <v>50</v>
      </c>
      <c r="W517" s="463">
        <v>741</v>
      </c>
      <c r="X517" s="463">
        <v>71</v>
      </c>
      <c r="Y517" s="463">
        <v>2</v>
      </c>
      <c r="Z517" s="463">
        <v>80.650000000000006</v>
      </c>
      <c r="AA517" s="472" t="s">
        <v>619</v>
      </c>
      <c r="AB517" s="463" t="s">
        <v>539</v>
      </c>
      <c r="AC517" s="463" t="s">
        <v>539</v>
      </c>
      <c r="AD517" s="472" t="s">
        <v>565</v>
      </c>
      <c r="AE517" s="463">
        <v>80</v>
      </c>
      <c r="AF517" s="463">
        <v>80.650000000000006</v>
      </c>
      <c r="AG517" s="463" t="s">
        <v>375</v>
      </c>
      <c r="AH517" s="476"/>
      <c r="AI517" s="472">
        <v>815430968</v>
      </c>
      <c r="AJ517" s="464"/>
    </row>
    <row r="518" spans="1:36" ht="24" customHeight="1">
      <c r="A518" s="452">
        <v>32</v>
      </c>
      <c r="B518" s="463">
        <v>424</v>
      </c>
      <c r="C518" s="464" t="s">
        <v>377</v>
      </c>
      <c r="D518" s="464" t="s">
        <v>544</v>
      </c>
      <c r="E518" s="464" t="s">
        <v>602</v>
      </c>
      <c r="F518" s="464"/>
      <c r="G518" s="464" t="s">
        <v>268</v>
      </c>
      <c r="H518" s="464" t="s">
        <v>1631</v>
      </c>
      <c r="I518" s="466">
        <v>100000</v>
      </c>
      <c r="J518" s="465" t="s">
        <v>537</v>
      </c>
      <c r="K518" s="465" t="s">
        <v>537</v>
      </c>
      <c r="L518" s="466">
        <v>80076</v>
      </c>
      <c r="M518" s="465" t="s">
        <v>537</v>
      </c>
      <c r="N518" s="465" t="s">
        <v>537</v>
      </c>
      <c r="O518" s="463" t="s">
        <v>537</v>
      </c>
      <c r="P518" s="463" t="s">
        <v>537</v>
      </c>
      <c r="Q518" s="468">
        <v>19924</v>
      </c>
      <c r="R518" s="470">
        <v>241518</v>
      </c>
      <c r="S518" s="471">
        <v>22456</v>
      </c>
      <c r="T518" s="463">
        <v>300</v>
      </c>
      <c r="U518" s="463">
        <v>20</v>
      </c>
      <c r="V518" s="463">
        <v>180</v>
      </c>
      <c r="W518" s="463">
        <v>481</v>
      </c>
      <c r="X518" s="463">
        <v>6</v>
      </c>
      <c r="Y518" s="463">
        <v>16</v>
      </c>
      <c r="Z518" s="463">
        <v>87.4</v>
      </c>
      <c r="AA518" s="472" t="s">
        <v>619</v>
      </c>
      <c r="AB518" s="463" t="s">
        <v>539</v>
      </c>
      <c r="AC518" s="463" t="s">
        <v>539</v>
      </c>
      <c r="AD518" s="472" t="s">
        <v>565</v>
      </c>
      <c r="AE518" s="463">
        <v>80</v>
      </c>
      <c r="AF518" s="463">
        <v>88.84</v>
      </c>
      <c r="AG518" s="463" t="s">
        <v>375</v>
      </c>
      <c r="AH518" s="476"/>
      <c r="AI518" s="472">
        <v>86560982</v>
      </c>
      <c r="AJ518" s="464"/>
    </row>
    <row r="519" spans="1:36" ht="24" customHeight="1">
      <c r="A519" s="452">
        <v>33</v>
      </c>
      <c r="B519" s="463">
        <v>425</v>
      </c>
      <c r="C519" s="464" t="s">
        <v>377</v>
      </c>
      <c r="D519" s="464" t="s">
        <v>544</v>
      </c>
      <c r="E519" s="464" t="s">
        <v>602</v>
      </c>
      <c r="F519" s="464"/>
      <c r="G519" s="464" t="s">
        <v>268</v>
      </c>
      <c r="H519" s="464" t="s">
        <v>1632</v>
      </c>
      <c r="I519" s="466">
        <v>80000</v>
      </c>
      <c r="J519" s="465" t="s">
        <v>537</v>
      </c>
      <c r="K519" s="465" t="s">
        <v>537</v>
      </c>
      <c r="L519" s="466">
        <v>45700</v>
      </c>
      <c r="M519" s="465" t="s">
        <v>537</v>
      </c>
      <c r="N519" s="465" t="s">
        <v>537</v>
      </c>
      <c r="O519" s="463" t="s">
        <v>537</v>
      </c>
      <c r="P519" s="463" t="s">
        <v>537</v>
      </c>
      <c r="Q519" s="468">
        <v>34300</v>
      </c>
      <c r="R519" s="470">
        <v>241609</v>
      </c>
      <c r="S519" s="471">
        <v>22524</v>
      </c>
      <c r="T519" s="463">
        <v>100</v>
      </c>
      <c r="U519" s="463">
        <v>0</v>
      </c>
      <c r="V519" s="463">
        <v>0</v>
      </c>
      <c r="W519" s="463">
        <v>317</v>
      </c>
      <c r="X519" s="463">
        <v>0</v>
      </c>
      <c r="Y519" s="463">
        <v>74</v>
      </c>
      <c r="Z519" s="463">
        <v>89.6</v>
      </c>
      <c r="AA519" s="472" t="s">
        <v>612</v>
      </c>
      <c r="AB519" s="463" t="s">
        <v>539</v>
      </c>
      <c r="AC519" s="463" t="s">
        <v>539</v>
      </c>
      <c r="AD519" s="472" t="s">
        <v>565</v>
      </c>
      <c r="AE519" s="463">
        <v>80</v>
      </c>
      <c r="AF519" s="463">
        <v>89.6</v>
      </c>
      <c r="AG519" s="463" t="s">
        <v>375</v>
      </c>
      <c r="AH519" s="476"/>
      <c r="AI519" s="472" t="s">
        <v>1598</v>
      </c>
      <c r="AJ519" s="464"/>
    </row>
    <row r="520" spans="1:36" ht="24" hidden="1" customHeight="1">
      <c r="B520" s="701">
        <v>426</v>
      </c>
      <c r="C520" s="699" t="s">
        <v>534</v>
      </c>
      <c r="D520" s="699" t="s">
        <v>544</v>
      </c>
      <c r="E520" s="699" t="s">
        <v>1633</v>
      </c>
      <c r="F520" s="699"/>
      <c r="G520" s="699" t="s">
        <v>268</v>
      </c>
      <c r="H520" s="699" t="s">
        <v>636</v>
      </c>
      <c r="I520" s="712">
        <v>1200000</v>
      </c>
      <c r="J520" s="709" t="s">
        <v>537</v>
      </c>
      <c r="K520" s="709" t="s">
        <v>537</v>
      </c>
      <c r="L520" s="709">
        <v>0</v>
      </c>
      <c r="M520" s="709" t="s">
        <v>537</v>
      </c>
      <c r="N520" s="709" t="s">
        <v>537</v>
      </c>
      <c r="O520" s="723">
        <v>1200000</v>
      </c>
      <c r="P520" s="701" t="s">
        <v>537</v>
      </c>
      <c r="Q520" s="709">
        <v>0</v>
      </c>
      <c r="R520" s="707">
        <v>241609</v>
      </c>
      <c r="S520" s="699"/>
      <c r="T520" s="701">
        <v>1500</v>
      </c>
      <c r="U520" s="701">
        <v>100</v>
      </c>
      <c r="V520" s="701">
        <v>200</v>
      </c>
      <c r="W520" s="699"/>
      <c r="X520" s="699"/>
      <c r="Y520" s="699"/>
      <c r="Z520" s="699"/>
      <c r="AA520" s="697" t="s">
        <v>1304</v>
      </c>
      <c r="AB520" s="701" t="s">
        <v>539</v>
      </c>
      <c r="AC520" s="699"/>
      <c r="AD520" s="697" t="s">
        <v>565</v>
      </c>
      <c r="AE520" s="701">
        <v>80</v>
      </c>
      <c r="AF520" s="699"/>
      <c r="AG520" s="701" t="s">
        <v>376</v>
      </c>
      <c r="AH520" s="728"/>
      <c r="AI520" s="697" t="s">
        <v>566</v>
      </c>
      <c r="AJ520" s="699"/>
    </row>
    <row r="521" spans="1:36" ht="24" hidden="1" customHeight="1">
      <c r="B521" s="702"/>
      <c r="C521" s="700"/>
      <c r="D521" s="700"/>
      <c r="E521" s="700"/>
      <c r="F521" s="700"/>
      <c r="G521" s="700"/>
      <c r="H521" s="700"/>
      <c r="I521" s="713"/>
      <c r="J521" s="710"/>
      <c r="K521" s="710"/>
      <c r="L521" s="710"/>
      <c r="M521" s="710"/>
      <c r="N521" s="710"/>
      <c r="O521" s="724"/>
      <c r="P521" s="702"/>
      <c r="Q521" s="710"/>
      <c r="R521" s="708"/>
      <c r="S521" s="700"/>
      <c r="T521" s="702"/>
      <c r="U521" s="702"/>
      <c r="V521" s="702"/>
      <c r="W521" s="700"/>
      <c r="X521" s="700"/>
      <c r="Y521" s="700"/>
      <c r="Z521" s="700"/>
      <c r="AA521" s="698"/>
      <c r="AB521" s="702"/>
      <c r="AC521" s="700"/>
      <c r="AD521" s="698"/>
      <c r="AE521" s="702"/>
      <c r="AF521" s="700"/>
      <c r="AG521" s="702"/>
      <c r="AH521" s="729"/>
      <c r="AI521" s="698"/>
      <c r="AJ521" s="700"/>
    </row>
    <row r="522" spans="1:36" ht="24" hidden="1" customHeight="1">
      <c r="B522" s="463">
        <v>427</v>
      </c>
      <c r="C522" s="464" t="s">
        <v>534</v>
      </c>
      <c r="D522" s="464" t="s">
        <v>544</v>
      </c>
      <c r="E522" s="464" t="s">
        <v>1633</v>
      </c>
      <c r="F522" s="464"/>
      <c r="G522" s="464" t="s">
        <v>268</v>
      </c>
      <c r="H522" s="464" t="s">
        <v>1634</v>
      </c>
      <c r="I522" s="466">
        <v>200000</v>
      </c>
      <c r="J522" s="465" t="s">
        <v>537</v>
      </c>
      <c r="K522" s="465" t="s">
        <v>537</v>
      </c>
      <c r="L522" s="466">
        <v>137672</v>
      </c>
      <c r="M522" s="465" t="s">
        <v>537</v>
      </c>
      <c r="N522" s="465" t="s">
        <v>537</v>
      </c>
      <c r="O522" s="463" t="s">
        <v>537</v>
      </c>
      <c r="P522" s="463" t="s">
        <v>537</v>
      </c>
      <c r="Q522" s="468">
        <v>62328</v>
      </c>
      <c r="R522" s="463" t="s">
        <v>646</v>
      </c>
      <c r="S522" s="463" t="s">
        <v>1635</v>
      </c>
      <c r="T522" s="463">
        <v>103</v>
      </c>
      <c r="U522" s="463">
        <v>22</v>
      </c>
      <c r="V522" s="463">
        <v>0</v>
      </c>
      <c r="W522" s="463">
        <v>101</v>
      </c>
      <c r="X522" s="463">
        <v>25</v>
      </c>
      <c r="Y522" s="463">
        <v>0</v>
      </c>
      <c r="Z522" s="463">
        <v>90</v>
      </c>
      <c r="AA522" s="472" t="s">
        <v>1636</v>
      </c>
      <c r="AB522" s="463">
        <v>1</v>
      </c>
      <c r="AC522" s="463">
        <v>2</v>
      </c>
      <c r="AD522" s="472" t="s">
        <v>1637</v>
      </c>
      <c r="AE522" s="463">
        <v>1</v>
      </c>
      <c r="AF522" s="463">
        <v>1</v>
      </c>
      <c r="AG522" s="463" t="s">
        <v>375</v>
      </c>
      <c r="AH522" s="476"/>
      <c r="AI522" s="472">
        <v>970495459</v>
      </c>
      <c r="AJ522" s="464"/>
    </row>
    <row r="523" spans="1:36" ht="24" hidden="1" customHeight="1">
      <c r="B523" s="463">
        <v>428</v>
      </c>
      <c r="C523" s="464" t="s">
        <v>534</v>
      </c>
      <c r="D523" s="464" t="s">
        <v>544</v>
      </c>
      <c r="E523" s="464" t="s">
        <v>1633</v>
      </c>
      <c r="F523" s="464"/>
      <c r="G523" s="464" t="s">
        <v>268</v>
      </c>
      <c r="H523" s="464" t="s">
        <v>1638</v>
      </c>
      <c r="I523" s="466">
        <v>500000</v>
      </c>
      <c r="J523" s="465" t="s">
        <v>537</v>
      </c>
      <c r="K523" s="465" t="s">
        <v>537</v>
      </c>
      <c r="L523" s="466">
        <v>463183</v>
      </c>
      <c r="M523" s="465" t="s">
        <v>537</v>
      </c>
      <c r="N523" s="465" t="s">
        <v>537</v>
      </c>
      <c r="O523" s="463" t="s">
        <v>537</v>
      </c>
      <c r="P523" s="463" t="s">
        <v>537</v>
      </c>
      <c r="Q523" s="468">
        <v>36817</v>
      </c>
      <c r="R523" s="470">
        <v>241428</v>
      </c>
      <c r="S523" s="463" t="s">
        <v>1639</v>
      </c>
      <c r="T523" s="463">
        <v>43</v>
      </c>
      <c r="U523" s="463">
        <v>22</v>
      </c>
      <c r="V523" s="463">
        <v>0</v>
      </c>
      <c r="W523" s="463">
        <v>35</v>
      </c>
      <c r="X523" s="463">
        <v>18</v>
      </c>
      <c r="Y523" s="463">
        <v>0</v>
      </c>
      <c r="Z523" s="463">
        <v>95.4</v>
      </c>
      <c r="AA523" s="472" t="s">
        <v>1640</v>
      </c>
      <c r="AB523" s="463">
        <v>1</v>
      </c>
      <c r="AC523" s="463">
        <v>0</v>
      </c>
      <c r="AD523" s="472" t="s">
        <v>1641</v>
      </c>
      <c r="AE523" s="463">
        <v>1</v>
      </c>
      <c r="AF523" s="463">
        <v>9</v>
      </c>
      <c r="AG523" s="463" t="s">
        <v>375</v>
      </c>
      <c r="AH523" s="476"/>
      <c r="AI523" s="472">
        <v>970495459</v>
      </c>
      <c r="AJ523" s="464"/>
    </row>
    <row r="524" spans="1:36" ht="24" hidden="1" customHeight="1">
      <c r="B524" s="463">
        <v>429</v>
      </c>
      <c r="C524" s="464" t="s">
        <v>534</v>
      </c>
      <c r="D524" s="464" t="s">
        <v>544</v>
      </c>
      <c r="E524" s="464" t="s">
        <v>1633</v>
      </c>
      <c r="F524" s="464"/>
      <c r="G524" s="464" t="s">
        <v>268</v>
      </c>
      <c r="H524" s="464" t="s">
        <v>1642</v>
      </c>
      <c r="I524" s="466">
        <v>1400000</v>
      </c>
      <c r="J524" s="465" t="s">
        <v>537</v>
      </c>
      <c r="K524" s="465" t="s">
        <v>537</v>
      </c>
      <c r="L524" s="466">
        <v>1343703</v>
      </c>
      <c r="M524" s="465" t="s">
        <v>537</v>
      </c>
      <c r="N524" s="465" t="s">
        <v>537</v>
      </c>
      <c r="O524" s="463" t="s">
        <v>537</v>
      </c>
      <c r="P524" s="463" t="s">
        <v>537</v>
      </c>
      <c r="Q524" s="468">
        <v>56297</v>
      </c>
      <c r="R524" s="470">
        <v>241459</v>
      </c>
      <c r="S524" s="463" t="s">
        <v>1624</v>
      </c>
      <c r="T524" s="463">
        <v>169</v>
      </c>
      <c r="U524" s="463">
        <v>40</v>
      </c>
      <c r="V524" s="463">
        <v>0</v>
      </c>
      <c r="W524" s="463">
        <v>143</v>
      </c>
      <c r="X524" s="463">
        <v>40</v>
      </c>
      <c r="Y524" s="463">
        <v>0</v>
      </c>
      <c r="Z524" s="463">
        <v>77.14</v>
      </c>
      <c r="AA524" s="472" t="s">
        <v>728</v>
      </c>
      <c r="AB524" s="463">
        <v>1</v>
      </c>
      <c r="AC524" s="463">
        <v>33</v>
      </c>
      <c r="AD524" s="472" t="s">
        <v>1592</v>
      </c>
      <c r="AE524" s="463">
        <v>1</v>
      </c>
      <c r="AF524" s="463">
        <v>5</v>
      </c>
      <c r="AG524" s="463" t="s">
        <v>375</v>
      </c>
      <c r="AH524" s="476"/>
      <c r="AI524" s="472">
        <v>970495459</v>
      </c>
      <c r="AJ524" s="464"/>
    </row>
    <row r="525" spans="1:36" ht="24" hidden="1" customHeight="1">
      <c r="B525" s="463">
        <v>430</v>
      </c>
      <c r="C525" s="464" t="s">
        <v>534</v>
      </c>
      <c r="D525" s="464"/>
      <c r="E525" s="464" t="s">
        <v>535</v>
      </c>
      <c r="F525" s="464"/>
      <c r="G525" s="464" t="s">
        <v>1643</v>
      </c>
      <c r="H525" s="464" t="s">
        <v>1644</v>
      </c>
      <c r="I525" s="465" t="s">
        <v>537</v>
      </c>
      <c r="J525" s="465" t="s">
        <v>537</v>
      </c>
      <c r="K525" s="466">
        <v>300000</v>
      </c>
      <c r="L525" s="465" t="s">
        <v>537</v>
      </c>
      <c r="M525" s="465" t="s">
        <v>537</v>
      </c>
      <c r="N525" s="466">
        <v>298490.17</v>
      </c>
      <c r="O525" s="463" t="s">
        <v>537</v>
      </c>
      <c r="P525" s="463" t="s">
        <v>537</v>
      </c>
      <c r="Q525" s="468">
        <v>1510</v>
      </c>
      <c r="R525" s="463" t="s">
        <v>1645</v>
      </c>
      <c r="S525" s="463" t="s">
        <v>1646</v>
      </c>
      <c r="T525" s="463">
        <v>0</v>
      </c>
      <c r="U525" s="463">
        <v>0</v>
      </c>
      <c r="V525" s="463">
        <v>0</v>
      </c>
      <c r="W525" s="463">
        <v>0</v>
      </c>
      <c r="X525" s="463">
        <v>0</v>
      </c>
      <c r="Y525" s="463">
        <v>50000</v>
      </c>
      <c r="Z525" s="463">
        <v>90</v>
      </c>
      <c r="AA525" s="472" t="s">
        <v>1647</v>
      </c>
      <c r="AB525" s="463" t="s">
        <v>539</v>
      </c>
      <c r="AC525" s="463" t="s">
        <v>539</v>
      </c>
      <c r="AD525" s="472" t="s">
        <v>1648</v>
      </c>
      <c r="AE525" s="463">
        <v>80</v>
      </c>
      <c r="AF525" s="463">
        <v>90</v>
      </c>
      <c r="AG525" s="463" t="s">
        <v>375</v>
      </c>
      <c r="AH525" s="476"/>
      <c r="AI525" s="472">
        <v>848487155</v>
      </c>
      <c r="AJ525" s="472" t="s">
        <v>792</v>
      </c>
    </row>
    <row r="526" spans="1:36" ht="24" hidden="1" customHeight="1">
      <c r="B526" s="463">
        <v>431</v>
      </c>
      <c r="C526" s="464" t="s">
        <v>534</v>
      </c>
      <c r="D526" s="464"/>
      <c r="E526" s="464" t="s">
        <v>535</v>
      </c>
      <c r="F526" s="464"/>
      <c r="G526" s="464" t="s">
        <v>60</v>
      </c>
      <c r="H526" s="464" t="s">
        <v>1649</v>
      </c>
      <c r="I526" s="465" t="s">
        <v>537</v>
      </c>
      <c r="J526" s="465" t="s">
        <v>537</v>
      </c>
      <c r="K526" s="466">
        <v>41990</v>
      </c>
      <c r="L526" s="465" t="s">
        <v>537</v>
      </c>
      <c r="M526" s="465" t="s">
        <v>537</v>
      </c>
      <c r="N526" s="466">
        <v>33060</v>
      </c>
      <c r="O526" s="463" t="s">
        <v>537</v>
      </c>
      <c r="P526" s="463" t="s">
        <v>537</v>
      </c>
      <c r="Q526" s="468">
        <v>8930</v>
      </c>
      <c r="R526" s="470">
        <v>241609</v>
      </c>
      <c r="S526" s="463" t="s">
        <v>1630</v>
      </c>
      <c r="T526" s="463">
        <v>5</v>
      </c>
      <c r="U526" s="463">
        <v>13</v>
      </c>
      <c r="V526" s="463">
        <v>13</v>
      </c>
      <c r="W526" s="463">
        <v>12</v>
      </c>
      <c r="X526" s="463">
        <v>35</v>
      </c>
      <c r="Y526" s="463">
        <v>6</v>
      </c>
      <c r="Z526" s="463">
        <v>88.21</v>
      </c>
      <c r="AA526" s="464"/>
      <c r="AB526" s="464"/>
      <c r="AC526" s="464"/>
      <c r="AD526" s="464"/>
      <c r="AE526" s="464"/>
      <c r="AF526" s="464"/>
      <c r="AG526" s="463" t="s">
        <v>376</v>
      </c>
      <c r="AH526" s="476"/>
      <c r="AI526" s="472" t="s">
        <v>1650</v>
      </c>
      <c r="AJ526" s="472" t="s">
        <v>792</v>
      </c>
    </row>
    <row r="527" spans="1:36" ht="24" hidden="1" customHeight="1">
      <c r="B527" s="463">
        <v>432</v>
      </c>
      <c r="C527" s="464" t="s">
        <v>534</v>
      </c>
      <c r="D527" s="464"/>
      <c r="E527" s="464" t="s">
        <v>535</v>
      </c>
      <c r="F527" s="464"/>
      <c r="G527" s="464" t="s">
        <v>60</v>
      </c>
      <c r="H527" s="464" t="s">
        <v>1651</v>
      </c>
      <c r="I527" s="466">
        <v>25000</v>
      </c>
      <c r="J527" s="465" t="s">
        <v>537</v>
      </c>
      <c r="K527" s="465" t="s">
        <v>537</v>
      </c>
      <c r="L527" s="466">
        <v>25000</v>
      </c>
      <c r="M527" s="465" t="s">
        <v>537</v>
      </c>
      <c r="N527" s="465" t="s">
        <v>537</v>
      </c>
      <c r="O527" s="463" t="s">
        <v>537</v>
      </c>
      <c r="P527" s="463" t="s">
        <v>537</v>
      </c>
      <c r="Q527" s="465">
        <v>0</v>
      </c>
      <c r="R527" s="470">
        <v>241487</v>
      </c>
      <c r="S527" s="463" t="s">
        <v>1652</v>
      </c>
      <c r="T527" s="463">
        <v>3</v>
      </c>
      <c r="U527" s="463">
        <v>1</v>
      </c>
      <c r="V527" s="463">
        <v>0</v>
      </c>
      <c r="W527" s="463">
        <v>3</v>
      </c>
      <c r="X527" s="463">
        <v>1</v>
      </c>
      <c r="Y527" s="463">
        <v>0</v>
      </c>
      <c r="Z527" s="463">
        <v>95</v>
      </c>
      <c r="AA527" s="472" t="s">
        <v>677</v>
      </c>
      <c r="AB527" s="463" t="s">
        <v>539</v>
      </c>
      <c r="AC527" s="463" t="s">
        <v>539</v>
      </c>
      <c r="AD527" s="472" t="s">
        <v>1653</v>
      </c>
      <c r="AE527" s="463" t="s">
        <v>539</v>
      </c>
      <c r="AF527" s="463" t="s">
        <v>539</v>
      </c>
      <c r="AG527" s="463" t="s">
        <v>375</v>
      </c>
      <c r="AH527" s="476"/>
      <c r="AI527" s="472" t="s">
        <v>1654</v>
      </c>
      <c r="AJ527" s="464"/>
    </row>
    <row r="528" spans="1:36" ht="24" hidden="1" customHeight="1">
      <c r="B528" s="463">
        <v>433</v>
      </c>
      <c r="C528" s="464" t="s">
        <v>534</v>
      </c>
      <c r="D528" s="464"/>
      <c r="E528" s="464" t="s">
        <v>535</v>
      </c>
      <c r="F528" s="464"/>
      <c r="G528" s="464" t="s">
        <v>60</v>
      </c>
      <c r="H528" s="464" t="s">
        <v>1655</v>
      </c>
      <c r="I528" s="466">
        <v>25000</v>
      </c>
      <c r="J528" s="465" t="s">
        <v>537</v>
      </c>
      <c r="K528" s="465" t="s">
        <v>537</v>
      </c>
      <c r="L528" s="466">
        <v>25000</v>
      </c>
      <c r="M528" s="465" t="s">
        <v>537</v>
      </c>
      <c r="N528" s="465" t="s">
        <v>537</v>
      </c>
      <c r="O528" s="463" t="s">
        <v>537</v>
      </c>
      <c r="P528" s="463" t="s">
        <v>537</v>
      </c>
      <c r="Q528" s="465">
        <v>0</v>
      </c>
      <c r="R528" s="470">
        <v>241487</v>
      </c>
      <c r="S528" s="463" t="s">
        <v>1652</v>
      </c>
      <c r="T528" s="463">
        <v>3</v>
      </c>
      <c r="U528" s="463">
        <v>1</v>
      </c>
      <c r="V528" s="463">
        <v>0</v>
      </c>
      <c r="W528" s="463">
        <v>3</v>
      </c>
      <c r="X528" s="463">
        <v>1</v>
      </c>
      <c r="Y528" s="463">
        <v>0</v>
      </c>
      <c r="Z528" s="463">
        <v>95</v>
      </c>
      <c r="AA528" s="472" t="s">
        <v>677</v>
      </c>
      <c r="AB528" s="463" t="s">
        <v>539</v>
      </c>
      <c r="AC528" s="463" t="s">
        <v>539</v>
      </c>
      <c r="AD528" s="472" t="s">
        <v>1653</v>
      </c>
      <c r="AE528" s="463" t="s">
        <v>539</v>
      </c>
      <c r="AF528" s="463" t="s">
        <v>539</v>
      </c>
      <c r="AG528" s="463" t="s">
        <v>375</v>
      </c>
      <c r="AH528" s="476"/>
      <c r="AI528" s="472" t="s">
        <v>1656</v>
      </c>
      <c r="AJ528" s="464"/>
    </row>
    <row r="529" spans="2:36" ht="24" hidden="1" customHeight="1">
      <c r="B529" s="463">
        <v>434</v>
      </c>
      <c r="C529" s="464" t="s">
        <v>534</v>
      </c>
      <c r="D529" s="464"/>
      <c r="E529" s="464" t="s">
        <v>535</v>
      </c>
      <c r="F529" s="464"/>
      <c r="G529" s="464" t="s">
        <v>60</v>
      </c>
      <c r="H529" s="464" t="s">
        <v>1657</v>
      </c>
      <c r="I529" s="466">
        <v>25000</v>
      </c>
      <c r="J529" s="465" t="s">
        <v>537</v>
      </c>
      <c r="K529" s="465" t="s">
        <v>537</v>
      </c>
      <c r="L529" s="466">
        <v>25000</v>
      </c>
      <c r="M529" s="465" t="s">
        <v>537</v>
      </c>
      <c r="N529" s="465" t="s">
        <v>537</v>
      </c>
      <c r="O529" s="463" t="s">
        <v>537</v>
      </c>
      <c r="P529" s="463" t="s">
        <v>537</v>
      </c>
      <c r="Q529" s="465">
        <v>0</v>
      </c>
      <c r="R529" s="470">
        <v>241487</v>
      </c>
      <c r="S529" s="463" t="s">
        <v>1652</v>
      </c>
      <c r="T529" s="463">
        <v>3</v>
      </c>
      <c r="U529" s="463">
        <v>1</v>
      </c>
      <c r="V529" s="463">
        <v>0</v>
      </c>
      <c r="W529" s="463">
        <v>4</v>
      </c>
      <c r="X529" s="463">
        <v>1</v>
      </c>
      <c r="Y529" s="463">
        <v>0</v>
      </c>
      <c r="Z529" s="463">
        <v>95</v>
      </c>
      <c r="AA529" s="472" t="s">
        <v>677</v>
      </c>
      <c r="AB529" s="463" t="s">
        <v>539</v>
      </c>
      <c r="AC529" s="463" t="s">
        <v>539</v>
      </c>
      <c r="AD529" s="472" t="s">
        <v>1653</v>
      </c>
      <c r="AE529" s="463" t="s">
        <v>539</v>
      </c>
      <c r="AF529" s="463" t="s">
        <v>539</v>
      </c>
      <c r="AG529" s="463" t="s">
        <v>375</v>
      </c>
      <c r="AH529" s="476"/>
      <c r="AI529" s="472" t="s">
        <v>1656</v>
      </c>
      <c r="AJ529" s="464"/>
    </row>
    <row r="530" spans="2:36" ht="24" hidden="1" customHeight="1">
      <c r="B530" s="463">
        <v>435</v>
      </c>
      <c r="C530" s="464" t="s">
        <v>534</v>
      </c>
      <c r="D530" s="464"/>
      <c r="E530" s="464" t="s">
        <v>535</v>
      </c>
      <c r="F530" s="464"/>
      <c r="G530" s="464" t="s">
        <v>60</v>
      </c>
      <c r="H530" s="464" t="s">
        <v>1658</v>
      </c>
      <c r="I530" s="466">
        <v>43320</v>
      </c>
      <c r="J530" s="465" t="s">
        <v>537</v>
      </c>
      <c r="K530" s="465" t="s">
        <v>537</v>
      </c>
      <c r="L530" s="466">
        <v>43320</v>
      </c>
      <c r="M530" s="465" t="s">
        <v>537</v>
      </c>
      <c r="N530" s="465" t="s">
        <v>537</v>
      </c>
      <c r="O530" s="463" t="s">
        <v>537</v>
      </c>
      <c r="P530" s="463" t="s">
        <v>537</v>
      </c>
      <c r="Q530" s="465">
        <v>0</v>
      </c>
      <c r="R530" s="463" t="s">
        <v>976</v>
      </c>
      <c r="S530" s="463" t="s">
        <v>1652</v>
      </c>
      <c r="T530" s="463">
        <v>2</v>
      </c>
      <c r="U530" s="463">
        <v>33</v>
      </c>
      <c r="V530" s="463">
        <v>0</v>
      </c>
      <c r="W530" s="463">
        <v>25</v>
      </c>
      <c r="X530" s="463">
        <v>8</v>
      </c>
      <c r="Y530" s="463">
        <v>0</v>
      </c>
      <c r="Z530" s="463">
        <v>95</v>
      </c>
      <c r="AA530" s="472" t="s">
        <v>1659</v>
      </c>
      <c r="AB530" s="463" t="s">
        <v>539</v>
      </c>
      <c r="AC530" s="463" t="s">
        <v>539</v>
      </c>
      <c r="AD530" s="472" t="s">
        <v>1660</v>
      </c>
      <c r="AE530" s="463" t="s">
        <v>539</v>
      </c>
      <c r="AF530" s="463" t="s">
        <v>539</v>
      </c>
      <c r="AG530" s="463" t="s">
        <v>375</v>
      </c>
      <c r="AH530" s="476"/>
      <c r="AI530" s="472" t="s">
        <v>1661</v>
      </c>
      <c r="AJ530" s="464"/>
    </row>
    <row r="531" spans="2:36" ht="24" hidden="1" customHeight="1">
      <c r="B531" s="463">
        <v>436</v>
      </c>
      <c r="C531" s="464" t="s">
        <v>534</v>
      </c>
      <c r="D531" s="464"/>
      <c r="E531" s="464" t="s">
        <v>535</v>
      </c>
      <c r="F531" s="464"/>
      <c r="G531" s="464" t="s">
        <v>60</v>
      </c>
      <c r="H531" s="464" t="s">
        <v>1662</v>
      </c>
      <c r="I531" s="466">
        <v>31680</v>
      </c>
      <c r="J531" s="465" t="s">
        <v>537</v>
      </c>
      <c r="K531" s="465" t="s">
        <v>537</v>
      </c>
      <c r="L531" s="466">
        <v>31680</v>
      </c>
      <c r="M531" s="465" t="s">
        <v>537</v>
      </c>
      <c r="N531" s="465" t="s">
        <v>537</v>
      </c>
      <c r="O531" s="463" t="s">
        <v>537</v>
      </c>
      <c r="P531" s="463" t="s">
        <v>537</v>
      </c>
      <c r="Q531" s="465">
        <v>0</v>
      </c>
      <c r="R531" s="463" t="s">
        <v>976</v>
      </c>
      <c r="S531" s="463" t="s">
        <v>1652</v>
      </c>
      <c r="T531" s="463">
        <v>3</v>
      </c>
      <c r="U531" s="463">
        <v>3</v>
      </c>
      <c r="V531" s="463">
        <v>0</v>
      </c>
      <c r="W531" s="463">
        <v>3</v>
      </c>
      <c r="X531" s="463">
        <v>3</v>
      </c>
      <c r="Y531" s="463">
        <v>0</v>
      </c>
      <c r="Z531" s="463">
        <v>95</v>
      </c>
      <c r="AA531" s="472" t="s">
        <v>1663</v>
      </c>
      <c r="AB531" s="463" t="s">
        <v>539</v>
      </c>
      <c r="AC531" s="463" t="s">
        <v>539</v>
      </c>
      <c r="AD531" s="472" t="s">
        <v>1664</v>
      </c>
      <c r="AE531" s="463" t="s">
        <v>539</v>
      </c>
      <c r="AF531" s="463" t="s">
        <v>539</v>
      </c>
      <c r="AG531" s="463" t="s">
        <v>375</v>
      </c>
      <c r="AH531" s="476"/>
      <c r="AI531" s="472" t="s">
        <v>1665</v>
      </c>
      <c r="AJ531" s="464"/>
    </row>
    <row r="532" spans="2:36" ht="24" hidden="1" customHeight="1">
      <c r="B532" s="463">
        <v>437</v>
      </c>
      <c r="C532" s="464" t="s">
        <v>534</v>
      </c>
      <c r="D532" s="464"/>
      <c r="E532" s="464" t="s">
        <v>535</v>
      </c>
      <c r="F532" s="464"/>
      <c r="G532" s="464" t="s">
        <v>60</v>
      </c>
      <c r="H532" s="464" t="s">
        <v>1666</v>
      </c>
      <c r="I532" s="466">
        <v>10000</v>
      </c>
      <c r="J532" s="465" t="s">
        <v>537</v>
      </c>
      <c r="K532" s="465" t="s">
        <v>537</v>
      </c>
      <c r="L532" s="466">
        <v>10000</v>
      </c>
      <c r="M532" s="465" t="s">
        <v>537</v>
      </c>
      <c r="N532" s="465" t="s">
        <v>537</v>
      </c>
      <c r="O532" s="463" t="s">
        <v>537</v>
      </c>
      <c r="P532" s="463" t="s">
        <v>537</v>
      </c>
      <c r="Q532" s="465">
        <v>0</v>
      </c>
      <c r="R532" s="470">
        <v>241487</v>
      </c>
      <c r="S532" s="463" t="s">
        <v>1652</v>
      </c>
      <c r="T532" s="463">
        <v>2</v>
      </c>
      <c r="U532" s="463">
        <v>1</v>
      </c>
      <c r="V532" s="463">
        <v>0</v>
      </c>
      <c r="W532" s="463">
        <v>2</v>
      </c>
      <c r="X532" s="463">
        <v>1</v>
      </c>
      <c r="Y532" s="463">
        <v>0</v>
      </c>
      <c r="Z532" s="463">
        <v>95</v>
      </c>
      <c r="AA532" s="472" t="s">
        <v>677</v>
      </c>
      <c r="AB532" s="463" t="s">
        <v>539</v>
      </c>
      <c r="AC532" s="463" t="s">
        <v>539</v>
      </c>
      <c r="AD532" s="472" t="s">
        <v>1653</v>
      </c>
      <c r="AE532" s="463" t="s">
        <v>539</v>
      </c>
      <c r="AF532" s="463" t="s">
        <v>539</v>
      </c>
      <c r="AG532" s="463" t="s">
        <v>375</v>
      </c>
      <c r="AH532" s="476"/>
      <c r="AI532" s="472" t="s">
        <v>1667</v>
      </c>
      <c r="AJ532" s="464"/>
    </row>
    <row r="533" spans="2:36" ht="24" hidden="1" customHeight="1">
      <c r="B533" s="463">
        <v>438</v>
      </c>
      <c r="C533" s="464" t="s">
        <v>534</v>
      </c>
      <c r="D533" s="464"/>
      <c r="E533" s="464" t="s">
        <v>535</v>
      </c>
      <c r="F533" s="464"/>
      <c r="G533" s="464" t="s">
        <v>60</v>
      </c>
      <c r="H533" s="464" t="s">
        <v>1668</v>
      </c>
      <c r="I533" s="466">
        <v>15000</v>
      </c>
      <c r="J533" s="465" t="s">
        <v>537</v>
      </c>
      <c r="K533" s="465" t="s">
        <v>537</v>
      </c>
      <c r="L533" s="466">
        <v>14910</v>
      </c>
      <c r="M533" s="465" t="s">
        <v>537</v>
      </c>
      <c r="N533" s="465" t="s">
        <v>537</v>
      </c>
      <c r="O533" s="463" t="s">
        <v>537</v>
      </c>
      <c r="P533" s="463" t="s">
        <v>537</v>
      </c>
      <c r="Q533" s="465">
        <v>90</v>
      </c>
      <c r="R533" s="470">
        <v>241487</v>
      </c>
      <c r="S533" s="463" t="s">
        <v>1652</v>
      </c>
      <c r="T533" s="463">
        <v>2</v>
      </c>
      <c r="U533" s="463">
        <v>1</v>
      </c>
      <c r="V533" s="463">
        <v>0</v>
      </c>
      <c r="W533" s="463">
        <v>2</v>
      </c>
      <c r="X533" s="463">
        <v>1</v>
      </c>
      <c r="Y533" s="463">
        <v>0</v>
      </c>
      <c r="Z533" s="463">
        <v>95</v>
      </c>
      <c r="AA533" s="472" t="s">
        <v>677</v>
      </c>
      <c r="AB533" s="463" t="s">
        <v>539</v>
      </c>
      <c r="AC533" s="463" t="s">
        <v>539</v>
      </c>
      <c r="AD533" s="472" t="s">
        <v>1653</v>
      </c>
      <c r="AE533" s="463" t="s">
        <v>539</v>
      </c>
      <c r="AF533" s="463" t="s">
        <v>539</v>
      </c>
      <c r="AG533" s="463" t="s">
        <v>375</v>
      </c>
      <c r="AH533" s="476"/>
      <c r="AI533" s="472" t="s">
        <v>1669</v>
      </c>
      <c r="AJ533" s="464"/>
    </row>
    <row r="534" spans="2:36" ht="24" hidden="1" customHeight="1">
      <c r="B534" s="463">
        <v>439</v>
      </c>
      <c r="C534" s="464" t="s">
        <v>534</v>
      </c>
      <c r="D534" s="464"/>
      <c r="E534" s="464" t="s">
        <v>535</v>
      </c>
      <c r="F534" s="464"/>
      <c r="G534" s="464" t="s">
        <v>60</v>
      </c>
      <c r="H534" s="464" t="s">
        <v>1670</v>
      </c>
      <c r="I534" s="466">
        <v>10000</v>
      </c>
      <c r="J534" s="465" t="s">
        <v>537</v>
      </c>
      <c r="K534" s="465" t="s">
        <v>537</v>
      </c>
      <c r="L534" s="466">
        <v>10000</v>
      </c>
      <c r="M534" s="465" t="s">
        <v>537</v>
      </c>
      <c r="N534" s="465" t="s">
        <v>537</v>
      </c>
      <c r="O534" s="463" t="s">
        <v>537</v>
      </c>
      <c r="P534" s="463" t="s">
        <v>537</v>
      </c>
      <c r="Q534" s="465">
        <v>0</v>
      </c>
      <c r="R534" s="470">
        <v>241487</v>
      </c>
      <c r="S534" s="463" t="s">
        <v>1652</v>
      </c>
      <c r="T534" s="463">
        <v>2</v>
      </c>
      <c r="U534" s="463">
        <v>1</v>
      </c>
      <c r="V534" s="463">
        <v>0</v>
      </c>
      <c r="W534" s="463">
        <v>2</v>
      </c>
      <c r="X534" s="463">
        <v>1</v>
      </c>
      <c r="Y534" s="463">
        <v>0</v>
      </c>
      <c r="Z534" s="463">
        <v>95</v>
      </c>
      <c r="AA534" s="472" t="s">
        <v>677</v>
      </c>
      <c r="AB534" s="463" t="s">
        <v>539</v>
      </c>
      <c r="AC534" s="463" t="s">
        <v>539</v>
      </c>
      <c r="AD534" s="472" t="s">
        <v>1653</v>
      </c>
      <c r="AE534" s="463" t="s">
        <v>539</v>
      </c>
      <c r="AF534" s="463" t="s">
        <v>539</v>
      </c>
      <c r="AG534" s="463" t="s">
        <v>375</v>
      </c>
      <c r="AH534" s="476"/>
      <c r="AI534" s="472" t="s">
        <v>1671</v>
      </c>
      <c r="AJ534" s="464"/>
    </row>
    <row r="535" spans="2:36" ht="24" hidden="1" customHeight="1">
      <c r="B535" s="463">
        <v>440</v>
      </c>
      <c r="C535" s="464" t="s">
        <v>534</v>
      </c>
      <c r="D535" s="464"/>
      <c r="E535" s="464" t="s">
        <v>535</v>
      </c>
      <c r="F535" s="464"/>
      <c r="G535" s="464" t="s">
        <v>60</v>
      </c>
      <c r="H535" s="464" t="s">
        <v>1672</v>
      </c>
      <c r="I535" s="466">
        <v>10000</v>
      </c>
      <c r="J535" s="465" t="s">
        <v>537</v>
      </c>
      <c r="K535" s="465" t="s">
        <v>537</v>
      </c>
      <c r="L535" s="466">
        <v>10000</v>
      </c>
      <c r="M535" s="465" t="s">
        <v>537</v>
      </c>
      <c r="N535" s="465" t="s">
        <v>537</v>
      </c>
      <c r="O535" s="463" t="s">
        <v>537</v>
      </c>
      <c r="P535" s="463" t="s">
        <v>537</v>
      </c>
      <c r="Q535" s="465">
        <v>0</v>
      </c>
      <c r="R535" s="470">
        <v>241487</v>
      </c>
      <c r="S535" s="463" t="s">
        <v>1652</v>
      </c>
      <c r="T535" s="463">
        <v>2</v>
      </c>
      <c r="U535" s="463">
        <v>1</v>
      </c>
      <c r="V535" s="463">
        <v>0</v>
      </c>
      <c r="W535" s="463">
        <v>2</v>
      </c>
      <c r="X535" s="463">
        <v>1</v>
      </c>
      <c r="Y535" s="463">
        <v>0</v>
      </c>
      <c r="Z535" s="463">
        <v>95</v>
      </c>
      <c r="AA535" s="472" t="s">
        <v>677</v>
      </c>
      <c r="AB535" s="463" t="s">
        <v>539</v>
      </c>
      <c r="AC535" s="463" t="s">
        <v>539</v>
      </c>
      <c r="AD535" s="472" t="s">
        <v>1653</v>
      </c>
      <c r="AE535" s="463" t="s">
        <v>539</v>
      </c>
      <c r="AF535" s="463" t="s">
        <v>539</v>
      </c>
      <c r="AG535" s="463" t="s">
        <v>375</v>
      </c>
      <c r="AH535" s="476"/>
      <c r="AI535" s="472" t="s">
        <v>1669</v>
      </c>
      <c r="AJ535" s="464"/>
    </row>
    <row r="536" spans="2:36" ht="24" hidden="1" customHeight="1">
      <c r="B536" s="463">
        <v>441</v>
      </c>
      <c r="C536" s="464" t="s">
        <v>534</v>
      </c>
      <c r="D536" s="464"/>
      <c r="E536" s="464" t="s">
        <v>535</v>
      </c>
      <c r="F536" s="464"/>
      <c r="G536" s="464" t="s">
        <v>60</v>
      </c>
      <c r="H536" s="464" t="s">
        <v>1673</v>
      </c>
      <c r="I536" s="466">
        <v>5000</v>
      </c>
      <c r="J536" s="465" t="s">
        <v>537</v>
      </c>
      <c r="K536" s="465" t="s">
        <v>537</v>
      </c>
      <c r="L536" s="466">
        <v>4884</v>
      </c>
      <c r="M536" s="465" t="s">
        <v>537</v>
      </c>
      <c r="N536" s="465" t="s">
        <v>537</v>
      </c>
      <c r="O536" s="463" t="s">
        <v>537</v>
      </c>
      <c r="P536" s="463" t="s">
        <v>537</v>
      </c>
      <c r="Q536" s="465">
        <v>116</v>
      </c>
      <c r="R536" s="470">
        <v>241487</v>
      </c>
      <c r="S536" s="463" t="s">
        <v>1652</v>
      </c>
      <c r="T536" s="463">
        <v>2</v>
      </c>
      <c r="U536" s="463">
        <v>1</v>
      </c>
      <c r="V536" s="463">
        <v>0</v>
      </c>
      <c r="W536" s="463">
        <v>2</v>
      </c>
      <c r="X536" s="463">
        <v>1</v>
      </c>
      <c r="Y536" s="463">
        <v>0</v>
      </c>
      <c r="Z536" s="463">
        <v>95</v>
      </c>
      <c r="AA536" s="472" t="s">
        <v>677</v>
      </c>
      <c r="AB536" s="463" t="s">
        <v>539</v>
      </c>
      <c r="AC536" s="463" t="s">
        <v>539</v>
      </c>
      <c r="AD536" s="472" t="s">
        <v>1653</v>
      </c>
      <c r="AE536" s="463" t="s">
        <v>539</v>
      </c>
      <c r="AF536" s="463" t="s">
        <v>539</v>
      </c>
      <c r="AG536" s="463" t="s">
        <v>375</v>
      </c>
      <c r="AH536" s="476"/>
      <c r="AI536" s="472" t="s">
        <v>1674</v>
      </c>
      <c r="AJ536" s="464"/>
    </row>
    <row r="537" spans="2:36" ht="24" hidden="1" customHeight="1">
      <c r="B537" s="463">
        <v>442</v>
      </c>
      <c r="C537" s="464" t="s">
        <v>534</v>
      </c>
      <c r="D537" s="464"/>
      <c r="E537" s="464" t="s">
        <v>535</v>
      </c>
      <c r="F537" s="464"/>
      <c r="G537" s="464" t="s">
        <v>60</v>
      </c>
      <c r="H537" s="464" t="s">
        <v>1675</v>
      </c>
      <c r="I537" s="466">
        <v>10000</v>
      </c>
      <c r="J537" s="465" t="s">
        <v>537</v>
      </c>
      <c r="K537" s="465" t="s">
        <v>537</v>
      </c>
      <c r="L537" s="466">
        <v>10000</v>
      </c>
      <c r="M537" s="465" t="s">
        <v>537</v>
      </c>
      <c r="N537" s="465" t="s">
        <v>537</v>
      </c>
      <c r="O537" s="463" t="s">
        <v>537</v>
      </c>
      <c r="P537" s="463" t="s">
        <v>537</v>
      </c>
      <c r="Q537" s="465">
        <v>0</v>
      </c>
      <c r="R537" s="470">
        <v>241487</v>
      </c>
      <c r="S537" s="463" t="s">
        <v>1652</v>
      </c>
      <c r="T537" s="463">
        <v>2</v>
      </c>
      <c r="U537" s="463">
        <v>1</v>
      </c>
      <c r="V537" s="463">
        <v>0</v>
      </c>
      <c r="W537" s="463">
        <v>2</v>
      </c>
      <c r="X537" s="463">
        <v>1</v>
      </c>
      <c r="Y537" s="463">
        <v>0</v>
      </c>
      <c r="Z537" s="463">
        <v>95</v>
      </c>
      <c r="AA537" s="472" t="s">
        <v>677</v>
      </c>
      <c r="AB537" s="463" t="s">
        <v>539</v>
      </c>
      <c r="AC537" s="463" t="s">
        <v>539</v>
      </c>
      <c r="AD537" s="472" t="s">
        <v>1653</v>
      </c>
      <c r="AE537" s="463" t="s">
        <v>539</v>
      </c>
      <c r="AF537" s="463" t="s">
        <v>539</v>
      </c>
      <c r="AG537" s="463" t="s">
        <v>375</v>
      </c>
      <c r="AH537" s="476"/>
      <c r="AI537" s="472" t="s">
        <v>1671</v>
      </c>
      <c r="AJ537" s="464"/>
    </row>
    <row r="538" spans="2:36" ht="24" hidden="1" customHeight="1">
      <c r="B538" s="463">
        <v>443</v>
      </c>
      <c r="C538" s="464" t="s">
        <v>534</v>
      </c>
      <c r="D538" s="464"/>
      <c r="E538" s="464" t="s">
        <v>535</v>
      </c>
      <c r="F538" s="464"/>
      <c r="G538" s="464" t="s">
        <v>60</v>
      </c>
      <c r="H538" s="464" t="s">
        <v>1676</v>
      </c>
      <c r="I538" s="466">
        <v>15000</v>
      </c>
      <c r="J538" s="465" t="s">
        <v>537</v>
      </c>
      <c r="K538" s="465" t="s">
        <v>537</v>
      </c>
      <c r="L538" s="466">
        <v>15000</v>
      </c>
      <c r="M538" s="465" t="s">
        <v>537</v>
      </c>
      <c r="N538" s="465" t="s">
        <v>537</v>
      </c>
      <c r="O538" s="463" t="s">
        <v>537</v>
      </c>
      <c r="P538" s="463" t="s">
        <v>537</v>
      </c>
      <c r="Q538" s="465">
        <v>0</v>
      </c>
      <c r="R538" s="470">
        <v>241487</v>
      </c>
      <c r="S538" s="463" t="s">
        <v>1652</v>
      </c>
      <c r="T538" s="463">
        <v>2</v>
      </c>
      <c r="U538" s="463">
        <v>1</v>
      </c>
      <c r="V538" s="463">
        <v>0</v>
      </c>
      <c r="W538" s="463">
        <v>2</v>
      </c>
      <c r="X538" s="463">
        <v>1</v>
      </c>
      <c r="Y538" s="463">
        <v>0</v>
      </c>
      <c r="Z538" s="463">
        <v>95</v>
      </c>
      <c r="AA538" s="472" t="s">
        <v>677</v>
      </c>
      <c r="AB538" s="463" t="s">
        <v>539</v>
      </c>
      <c r="AC538" s="463" t="s">
        <v>539</v>
      </c>
      <c r="AD538" s="472" t="s">
        <v>1653</v>
      </c>
      <c r="AE538" s="463" t="s">
        <v>539</v>
      </c>
      <c r="AF538" s="463" t="s">
        <v>539</v>
      </c>
      <c r="AG538" s="463" t="s">
        <v>375</v>
      </c>
      <c r="AH538" s="476"/>
      <c r="AI538" s="472" t="s">
        <v>1667</v>
      </c>
      <c r="AJ538" s="464"/>
    </row>
    <row r="539" spans="2:36" ht="24" hidden="1" customHeight="1">
      <c r="B539" s="463">
        <v>444</v>
      </c>
      <c r="C539" s="464" t="s">
        <v>534</v>
      </c>
      <c r="D539" s="464"/>
      <c r="E539" s="464" t="s">
        <v>535</v>
      </c>
      <c r="F539" s="464"/>
      <c r="G539" s="464" t="s">
        <v>60</v>
      </c>
      <c r="H539" s="464" t="s">
        <v>1677</v>
      </c>
      <c r="I539" s="466">
        <v>26500</v>
      </c>
      <c r="J539" s="465" t="s">
        <v>537</v>
      </c>
      <c r="K539" s="465" t="s">
        <v>537</v>
      </c>
      <c r="L539" s="466">
        <v>26500</v>
      </c>
      <c r="M539" s="465" t="s">
        <v>537</v>
      </c>
      <c r="N539" s="465" t="s">
        <v>537</v>
      </c>
      <c r="O539" s="463" t="s">
        <v>537</v>
      </c>
      <c r="P539" s="463" t="s">
        <v>537</v>
      </c>
      <c r="Q539" s="465">
        <v>0</v>
      </c>
      <c r="R539" s="463" t="s">
        <v>984</v>
      </c>
      <c r="S539" s="463" t="s">
        <v>1678</v>
      </c>
      <c r="T539" s="463">
        <v>50</v>
      </c>
      <c r="U539" s="463">
        <v>3</v>
      </c>
      <c r="V539" s="463">
        <v>0</v>
      </c>
      <c r="W539" s="463">
        <v>50</v>
      </c>
      <c r="X539" s="463">
        <v>0</v>
      </c>
      <c r="Y539" s="463">
        <v>0</v>
      </c>
      <c r="Z539" s="463">
        <v>97.44</v>
      </c>
      <c r="AA539" s="472" t="s">
        <v>677</v>
      </c>
      <c r="AB539" s="463" t="s">
        <v>539</v>
      </c>
      <c r="AC539" s="463" t="s">
        <v>539</v>
      </c>
      <c r="AD539" s="472" t="s">
        <v>548</v>
      </c>
      <c r="AE539" s="463">
        <v>80</v>
      </c>
      <c r="AF539" s="463">
        <v>97.44</v>
      </c>
      <c r="AG539" s="463" t="s">
        <v>375</v>
      </c>
      <c r="AH539" s="476"/>
      <c r="AI539" s="472" t="s">
        <v>1679</v>
      </c>
      <c r="AJ539" s="464"/>
    </row>
    <row r="540" spans="2:36" ht="24" hidden="1" customHeight="1">
      <c r="B540" s="463">
        <v>445</v>
      </c>
      <c r="C540" s="464" t="s">
        <v>534</v>
      </c>
      <c r="D540" s="464"/>
      <c r="E540" s="464" t="s">
        <v>535</v>
      </c>
      <c r="F540" s="464"/>
      <c r="G540" s="464" t="s">
        <v>60</v>
      </c>
      <c r="H540" s="464" t="s">
        <v>1680</v>
      </c>
      <c r="I540" s="466">
        <v>38500</v>
      </c>
      <c r="J540" s="465" t="s">
        <v>537</v>
      </c>
      <c r="K540" s="465" t="s">
        <v>537</v>
      </c>
      <c r="L540" s="466">
        <v>38500</v>
      </c>
      <c r="M540" s="465" t="s">
        <v>537</v>
      </c>
      <c r="N540" s="465" t="s">
        <v>537</v>
      </c>
      <c r="O540" s="463" t="s">
        <v>537</v>
      </c>
      <c r="P540" s="463" t="s">
        <v>537</v>
      </c>
      <c r="Q540" s="465">
        <v>0</v>
      </c>
      <c r="R540" s="463" t="s">
        <v>643</v>
      </c>
      <c r="S540" s="463" t="s">
        <v>1681</v>
      </c>
      <c r="T540" s="463">
        <v>10</v>
      </c>
      <c r="U540" s="463">
        <v>0</v>
      </c>
      <c r="V540" s="463">
        <v>0</v>
      </c>
      <c r="W540" s="463">
        <v>20</v>
      </c>
      <c r="X540" s="463">
        <v>0</v>
      </c>
      <c r="Y540" s="463">
        <v>0</v>
      </c>
      <c r="Z540" s="463">
        <v>82.65</v>
      </c>
      <c r="AA540" s="472" t="s">
        <v>677</v>
      </c>
      <c r="AB540" s="463" t="s">
        <v>539</v>
      </c>
      <c r="AC540" s="463" t="s">
        <v>539</v>
      </c>
      <c r="AD540" s="472" t="s">
        <v>548</v>
      </c>
      <c r="AE540" s="463">
        <v>80</v>
      </c>
      <c r="AF540" s="463">
        <v>82.65</v>
      </c>
      <c r="AG540" s="463" t="s">
        <v>375</v>
      </c>
      <c r="AH540" s="476"/>
      <c r="AI540" s="472" t="s">
        <v>1679</v>
      </c>
      <c r="AJ540" s="464"/>
    </row>
    <row r="541" spans="2:36" ht="24" hidden="1" customHeight="1">
      <c r="B541" s="463">
        <v>446</v>
      </c>
      <c r="C541" s="464" t="s">
        <v>534</v>
      </c>
      <c r="D541" s="464"/>
      <c r="E541" s="464" t="s">
        <v>535</v>
      </c>
      <c r="F541" s="464"/>
      <c r="G541" s="464" t="s">
        <v>60</v>
      </c>
      <c r="H541" s="464" t="s">
        <v>1682</v>
      </c>
      <c r="I541" s="466">
        <v>100000</v>
      </c>
      <c r="J541" s="465" t="s">
        <v>537</v>
      </c>
      <c r="K541" s="465" t="s">
        <v>537</v>
      </c>
      <c r="L541" s="466">
        <v>95950</v>
      </c>
      <c r="M541" s="465" t="s">
        <v>537</v>
      </c>
      <c r="N541" s="465" t="s">
        <v>537</v>
      </c>
      <c r="O541" s="463" t="s">
        <v>537</v>
      </c>
      <c r="P541" s="463" t="s">
        <v>537</v>
      </c>
      <c r="Q541" s="468">
        <v>4050</v>
      </c>
      <c r="R541" s="463" t="s">
        <v>643</v>
      </c>
      <c r="S541" s="463" t="s">
        <v>1683</v>
      </c>
      <c r="T541" s="463">
        <v>15</v>
      </c>
      <c r="U541" s="463">
        <v>15</v>
      </c>
      <c r="V541" s="463">
        <v>5</v>
      </c>
      <c r="W541" s="463">
        <v>15</v>
      </c>
      <c r="X541" s="463">
        <v>5</v>
      </c>
      <c r="Y541" s="463">
        <v>15</v>
      </c>
      <c r="Z541" s="463">
        <v>97.2</v>
      </c>
      <c r="AA541" s="472" t="s">
        <v>677</v>
      </c>
      <c r="AB541" s="463" t="s">
        <v>539</v>
      </c>
      <c r="AC541" s="463" t="s">
        <v>539</v>
      </c>
      <c r="AD541" s="472" t="s">
        <v>548</v>
      </c>
      <c r="AE541" s="463">
        <v>80</v>
      </c>
      <c r="AF541" s="463">
        <v>97.2</v>
      </c>
      <c r="AG541" s="463" t="s">
        <v>375</v>
      </c>
      <c r="AH541" s="476"/>
      <c r="AI541" s="472" t="s">
        <v>1679</v>
      </c>
      <c r="AJ541" s="464"/>
    </row>
    <row r="542" spans="2:36" ht="24" hidden="1" customHeight="1">
      <c r="B542" s="463">
        <v>447</v>
      </c>
      <c r="C542" s="464" t="s">
        <v>534</v>
      </c>
      <c r="D542" s="464"/>
      <c r="E542" s="464" t="s">
        <v>535</v>
      </c>
      <c r="F542" s="464"/>
      <c r="G542" s="464" t="s">
        <v>60</v>
      </c>
      <c r="H542" s="464" t="s">
        <v>1684</v>
      </c>
      <c r="I542" s="466">
        <v>20000</v>
      </c>
      <c r="J542" s="465" t="s">
        <v>537</v>
      </c>
      <c r="K542" s="465" t="s">
        <v>537</v>
      </c>
      <c r="L542" s="466">
        <v>16880</v>
      </c>
      <c r="M542" s="465" t="s">
        <v>537</v>
      </c>
      <c r="N542" s="465" t="s">
        <v>537</v>
      </c>
      <c r="O542" s="463" t="s">
        <v>537</v>
      </c>
      <c r="P542" s="463" t="s">
        <v>537</v>
      </c>
      <c r="Q542" s="468">
        <v>3120</v>
      </c>
      <c r="R542" s="470">
        <v>241397</v>
      </c>
      <c r="S542" s="463" t="s">
        <v>1685</v>
      </c>
      <c r="T542" s="463">
        <v>35</v>
      </c>
      <c r="U542" s="463">
        <v>5</v>
      </c>
      <c r="V542" s="463">
        <v>0</v>
      </c>
      <c r="W542" s="463">
        <v>28</v>
      </c>
      <c r="X542" s="463">
        <v>3</v>
      </c>
      <c r="Y542" s="463">
        <v>0</v>
      </c>
      <c r="Z542" s="463">
        <v>80.33</v>
      </c>
      <c r="AA542" s="472" t="s">
        <v>677</v>
      </c>
      <c r="AB542" s="463" t="s">
        <v>539</v>
      </c>
      <c r="AC542" s="463" t="s">
        <v>539</v>
      </c>
      <c r="AD542" s="472" t="s">
        <v>548</v>
      </c>
      <c r="AE542" s="463">
        <v>80</v>
      </c>
      <c r="AF542" s="463">
        <v>83.13</v>
      </c>
      <c r="AG542" s="463" t="s">
        <v>375</v>
      </c>
      <c r="AH542" s="476"/>
      <c r="AI542" s="472" t="s">
        <v>1686</v>
      </c>
      <c r="AJ542" s="464"/>
    </row>
    <row r="543" spans="2:36" ht="24" hidden="1" customHeight="1">
      <c r="B543" s="463">
        <v>448</v>
      </c>
      <c r="C543" s="464" t="s">
        <v>534</v>
      </c>
      <c r="D543" s="464"/>
      <c r="E543" s="464" t="s">
        <v>535</v>
      </c>
      <c r="F543" s="464"/>
      <c r="G543" s="464" t="s">
        <v>60</v>
      </c>
      <c r="H543" s="464" t="s">
        <v>1687</v>
      </c>
      <c r="I543" s="466">
        <v>25000</v>
      </c>
      <c r="J543" s="465" t="s">
        <v>537</v>
      </c>
      <c r="K543" s="465" t="s">
        <v>537</v>
      </c>
      <c r="L543" s="466">
        <v>25000</v>
      </c>
      <c r="M543" s="465" t="s">
        <v>537</v>
      </c>
      <c r="N543" s="465" t="s">
        <v>537</v>
      </c>
      <c r="O543" s="463" t="s">
        <v>537</v>
      </c>
      <c r="P543" s="463" t="s">
        <v>537</v>
      </c>
      <c r="Q543" s="465">
        <v>0</v>
      </c>
      <c r="R543" s="470">
        <v>241487</v>
      </c>
      <c r="S543" s="463" t="s">
        <v>1652</v>
      </c>
      <c r="T543" s="463">
        <v>3</v>
      </c>
      <c r="U543" s="463">
        <v>1</v>
      </c>
      <c r="V543" s="463">
        <v>0</v>
      </c>
      <c r="W543" s="463">
        <v>3</v>
      </c>
      <c r="X543" s="463">
        <v>1</v>
      </c>
      <c r="Y543" s="463">
        <v>0</v>
      </c>
      <c r="Z543" s="463">
        <v>95</v>
      </c>
      <c r="AA543" s="472" t="s">
        <v>677</v>
      </c>
      <c r="AB543" s="463" t="s">
        <v>539</v>
      </c>
      <c r="AC543" s="463" t="s">
        <v>539</v>
      </c>
      <c r="AD543" s="472" t="s">
        <v>1653</v>
      </c>
      <c r="AE543" s="463" t="s">
        <v>539</v>
      </c>
      <c r="AF543" s="463" t="s">
        <v>539</v>
      </c>
      <c r="AG543" s="463" t="s">
        <v>375</v>
      </c>
      <c r="AH543" s="476"/>
      <c r="AI543" s="472" t="s">
        <v>1654</v>
      </c>
      <c r="AJ543" s="464"/>
    </row>
    <row r="544" spans="2:36" ht="24" hidden="1" customHeight="1">
      <c r="B544" s="463">
        <v>449</v>
      </c>
      <c r="C544" s="464" t="s">
        <v>534</v>
      </c>
      <c r="D544" s="464"/>
      <c r="E544" s="464" t="s">
        <v>535</v>
      </c>
      <c r="F544" s="464"/>
      <c r="G544" s="464" t="s">
        <v>60</v>
      </c>
      <c r="H544" s="464" t="s">
        <v>1688</v>
      </c>
      <c r="I544" s="466">
        <v>60000</v>
      </c>
      <c r="J544" s="465" t="s">
        <v>537</v>
      </c>
      <c r="K544" s="465" t="s">
        <v>537</v>
      </c>
      <c r="L544" s="466">
        <v>55420</v>
      </c>
      <c r="M544" s="465" t="s">
        <v>537</v>
      </c>
      <c r="N544" s="465" t="s">
        <v>537</v>
      </c>
      <c r="O544" s="463" t="s">
        <v>537</v>
      </c>
      <c r="P544" s="463" t="s">
        <v>537</v>
      </c>
      <c r="Q544" s="468">
        <v>4580</v>
      </c>
      <c r="R544" s="463" t="s">
        <v>1342</v>
      </c>
      <c r="S544" s="463" t="s">
        <v>1689</v>
      </c>
      <c r="T544" s="463">
        <v>0</v>
      </c>
      <c r="U544" s="463">
        <v>2</v>
      </c>
      <c r="V544" s="463">
        <v>0</v>
      </c>
      <c r="W544" s="463">
        <v>0</v>
      </c>
      <c r="X544" s="463">
        <v>3</v>
      </c>
      <c r="Y544" s="463">
        <v>0</v>
      </c>
      <c r="Z544" s="463">
        <v>83</v>
      </c>
      <c r="AA544" s="472" t="s">
        <v>633</v>
      </c>
      <c r="AB544" s="463" t="s">
        <v>539</v>
      </c>
      <c r="AC544" s="463" t="s">
        <v>539</v>
      </c>
      <c r="AD544" s="472" t="s">
        <v>1690</v>
      </c>
      <c r="AE544" s="463" t="s">
        <v>539</v>
      </c>
      <c r="AF544" s="463" t="s">
        <v>539</v>
      </c>
      <c r="AG544" s="463" t="s">
        <v>375</v>
      </c>
      <c r="AH544" s="476"/>
      <c r="AI544" s="472" t="s">
        <v>1691</v>
      </c>
      <c r="AJ544" s="464"/>
    </row>
    <row r="545" spans="2:36" ht="24" hidden="1" customHeight="1">
      <c r="B545" s="463">
        <v>450</v>
      </c>
      <c r="C545" s="464" t="s">
        <v>534</v>
      </c>
      <c r="D545" s="464"/>
      <c r="E545" s="464" t="s">
        <v>535</v>
      </c>
      <c r="F545" s="464"/>
      <c r="G545" s="464" t="s">
        <v>60</v>
      </c>
      <c r="H545" s="464" t="s">
        <v>636</v>
      </c>
      <c r="I545" s="466">
        <v>200000</v>
      </c>
      <c r="J545" s="465" t="s">
        <v>537</v>
      </c>
      <c r="K545" s="465" t="s">
        <v>537</v>
      </c>
      <c r="L545" s="466">
        <v>149300</v>
      </c>
      <c r="M545" s="465" t="s">
        <v>537</v>
      </c>
      <c r="N545" s="465" t="s">
        <v>537</v>
      </c>
      <c r="O545" s="463" t="s">
        <v>537</v>
      </c>
      <c r="P545" s="463" t="s">
        <v>537</v>
      </c>
      <c r="Q545" s="468">
        <v>50700</v>
      </c>
      <c r="R545" s="470">
        <v>241609</v>
      </c>
      <c r="S545" s="463" t="s">
        <v>637</v>
      </c>
      <c r="T545" s="463">
        <v>110</v>
      </c>
      <c r="U545" s="463">
        <v>10</v>
      </c>
      <c r="V545" s="463">
        <v>0</v>
      </c>
      <c r="W545" s="463">
        <v>28</v>
      </c>
      <c r="X545" s="463">
        <v>108</v>
      </c>
      <c r="Y545" s="463">
        <v>0</v>
      </c>
      <c r="Z545" s="463">
        <v>82.68</v>
      </c>
      <c r="AA545" s="472" t="s">
        <v>728</v>
      </c>
      <c r="AB545" s="463">
        <v>1</v>
      </c>
      <c r="AC545" s="463">
        <v>14</v>
      </c>
      <c r="AD545" s="472" t="s">
        <v>651</v>
      </c>
      <c r="AE545" s="463">
        <v>1</v>
      </c>
      <c r="AF545" s="463">
        <v>1</v>
      </c>
      <c r="AG545" s="463" t="s">
        <v>375</v>
      </c>
      <c r="AH545" s="476"/>
      <c r="AI545" s="472" t="s">
        <v>1692</v>
      </c>
      <c r="AJ545" s="464"/>
    </row>
    <row r="546" spans="2:36" ht="24" hidden="1" customHeight="1">
      <c r="B546" s="463">
        <v>451</v>
      </c>
      <c r="C546" s="464" t="s">
        <v>165</v>
      </c>
      <c r="D546" s="464"/>
      <c r="E546" s="464" t="s">
        <v>535</v>
      </c>
      <c r="F546" s="464"/>
      <c r="G546" s="464" t="s">
        <v>60</v>
      </c>
      <c r="H546" s="464" t="s">
        <v>1693</v>
      </c>
      <c r="I546" s="466">
        <v>30000</v>
      </c>
      <c r="J546" s="465" t="s">
        <v>537</v>
      </c>
      <c r="K546" s="465" t="s">
        <v>537</v>
      </c>
      <c r="L546" s="466">
        <v>25400</v>
      </c>
      <c r="M546" s="465" t="s">
        <v>537</v>
      </c>
      <c r="N546" s="465" t="s">
        <v>537</v>
      </c>
      <c r="O546" s="463" t="s">
        <v>537</v>
      </c>
      <c r="P546" s="463" t="s">
        <v>537</v>
      </c>
      <c r="Q546" s="468">
        <v>4600</v>
      </c>
      <c r="R546" s="470">
        <v>241428</v>
      </c>
      <c r="S546" s="471">
        <v>22328</v>
      </c>
      <c r="T546" s="463">
        <v>35</v>
      </c>
      <c r="U546" s="463">
        <v>10</v>
      </c>
      <c r="V546" s="463">
        <v>10</v>
      </c>
      <c r="W546" s="463">
        <v>65</v>
      </c>
      <c r="X546" s="463">
        <v>0</v>
      </c>
      <c r="Y546" s="463">
        <v>0</v>
      </c>
      <c r="Z546" s="463">
        <v>80</v>
      </c>
      <c r="AA546" s="472" t="s">
        <v>954</v>
      </c>
      <c r="AB546" s="463" t="s">
        <v>539</v>
      </c>
      <c r="AC546" s="463" t="s">
        <v>539</v>
      </c>
      <c r="AD546" s="472" t="s">
        <v>565</v>
      </c>
      <c r="AE546" s="463">
        <v>80</v>
      </c>
      <c r="AF546" s="463">
        <v>80</v>
      </c>
      <c r="AG546" s="463" t="s">
        <v>375</v>
      </c>
      <c r="AH546" s="476"/>
      <c r="AI546" s="472" t="s">
        <v>1694</v>
      </c>
      <c r="AJ546" s="464"/>
    </row>
    <row r="547" spans="2:36" ht="24" hidden="1" customHeight="1">
      <c r="B547" s="463">
        <v>452</v>
      </c>
      <c r="C547" s="464" t="s">
        <v>165</v>
      </c>
      <c r="D547" s="464"/>
      <c r="E547" s="464" t="s">
        <v>535</v>
      </c>
      <c r="F547" s="464"/>
      <c r="G547" s="464" t="s">
        <v>60</v>
      </c>
      <c r="H547" s="464" t="s">
        <v>1695</v>
      </c>
      <c r="I547" s="466">
        <v>30000</v>
      </c>
      <c r="J547" s="465" t="s">
        <v>537</v>
      </c>
      <c r="K547" s="465" t="s">
        <v>537</v>
      </c>
      <c r="L547" s="466">
        <v>30000</v>
      </c>
      <c r="M547" s="465" t="s">
        <v>537</v>
      </c>
      <c r="N547" s="465" t="s">
        <v>537</v>
      </c>
      <c r="O547" s="463" t="s">
        <v>537</v>
      </c>
      <c r="P547" s="463" t="s">
        <v>537</v>
      </c>
      <c r="Q547" s="465">
        <v>0</v>
      </c>
      <c r="R547" s="470">
        <v>241579</v>
      </c>
      <c r="S547" s="471">
        <v>22462</v>
      </c>
      <c r="T547" s="463">
        <v>100</v>
      </c>
      <c r="U547" s="463">
        <v>9</v>
      </c>
      <c r="V547" s="463">
        <v>1</v>
      </c>
      <c r="W547" s="463">
        <v>102</v>
      </c>
      <c r="X547" s="463">
        <v>0</v>
      </c>
      <c r="Y547" s="463">
        <v>0</v>
      </c>
      <c r="Z547" s="463">
        <v>85.6</v>
      </c>
      <c r="AA547" s="472" t="s">
        <v>547</v>
      </c>
      <c r="AB547" s="463" t="s">
        <v>539</v>
      </c>
      <c r="AC547" s="463" t="s">
        <v>539</v>
      </c>
      <c r="AD547" s="472" t="s">
        <v>548</v>
      </c>
      <c r="AE547" s="463">
        <v>80</v>
      </c>
      <c r="AF547" s="463">
        <v>84.6</v>
      </c>
      <c r="AG547" s="463" t="s">
        <v>375</v>
      </c>
      <c r="AH547" s="476"/>
      <c r="AI547" s="472" t="s">
        <v>1696</v>
      </c>
      <c r="AJ547" s="472" t="s">
        <v>1696</v>
      </c>
    </row>
    <row r="548" spans="2:36" ht="24" hidden="1" customHeight="1">
      <c r="B548" s="463">
        <v>453</v>
      </c>
      <c r="C548" s="464" t="s">
        <v>165</v>
      </c>
      <c r="D548" s="464"/>
      <c r="E548" s="464" t="s">
        <v>535</v>
      </c>
      <c r="F548" s="464"/>
      <c r="G548" s="464" t="s">
        <v>60</v>
      </c>
      <c r="H548" s="464" t="s">
        <v>1697</v>
      </c>
      <c r="I548" s="466">
        <v>30000</v>
      </c>
      <c r="J548" s="465" t="s">
        <v>537</v>
      </c>
      <c r="K548" s="465" t="s">
        <v>537</v>
      </c>
      <c r="L548" s="466">
        <v>30000</v>
      </c>
      <c r="M548" s="465" t="s">
        <v>537</v>
      </c>
      <c r="N548" s="465" t="s">
        <v>537</v>
      </c>
      <c r="O548" s="463" t="s">
        <v>537</v>
      </c>
      <c r="P548" s="463" t="s">
        <v>537</v>
      </c>
      <c r="Q548" s="465">
        <v>0</v>
      </c>
      <c r="R548" s="470">
        <v>241459</v>
      </c>
      <c r="S548" s="463" t="s">
        <v>1698</v>
      </c>
      <c r="T548" s="463">
        <v>100</v>
      </c>
      <c r="U548" s="463">
        <v>8</v>
      </c>
      <c r="V548" s="463">
        <v>0</v>
      </c>
      <c r="W548" s="463">
        <v>100</v>
      </c>
      <c r="X548" s="463">
        <v>8</v>
      </c>
      <c r="Y548" s="463">
        <v>0</v>
      </c>
      <c r="Z548" s="463">
        <v>89</v>
      </c>
      <c r="AA548" s="472" t="s">
        <v>547</v>
      </c>
      <c r="AB548" s="463" t="s">
        <v>539</v>
      </c>
      <c r="AC548" s="463" t="s">
        <v>539</v>
      </c>
      <c r="AD548" s="472" t="s">
        <v>548</v>
      </c>
      <c r="AE548" s="463">
        <v>80</v>
      </c>
      <c r="AF548" s="463">
        <v>85</v>
      </c>
      <c r="AG548" s="463" t="s">
        <v>375</v>
      </c>
      <c r="AH548" s="476"/>
      <c r="AI548" s="472" t="s">
        <v>1699</v>
      </c>
      <c r="AJ548" s="464"/>
    </row>
    <row r="549" spans="2:36" ht="24" hidden="1" customHeight="1">
      <c r="B549" s="463">
        <v>454</v>
      </c>
      <c r="C549" s="464" t="s">
        <v>534</v>
      </c>
      <c r="D549" s="464"/>
      <c r="E549" s="464" t="s">
        <v>535</v>
      </c>
      <c r="F549" s="464"/>
      <c r="G549" s="464" t="s">
        <v>60</v>
      </c>
      <c r="H549" s="464" t="s">
        <v>1700</v>
      </c>
      <c r="I549" s="465" t="s">
        <v>537</v>
      </c>
      <c r="J549" s="465" t="s">
        <v>537</v>
      </c>
      <c r="K549" s="466">
        <v>50000</v>
      </c>
      <c r="L549" s="465" t="s">
        <v>537</v>
      </c>
      <c r="M549" s="465" t="s">
        <v>537</v>
      </c>
      <c r="N549" s="466">
        <v>50000</v>
      </c>
      <c r="O549" s="463" t="s">
        <v>537</v>
      </c>
      <c r="P549" s="463" t="s">
        <v>537</v>
      </c>
      <c r="Q549" s="465">
        <v>0</v>
      </c>
      <c r="R549" s="463" t="s">
        <v>646</v>
      </c>
      <c r="S549" s="463" t="s">
        <v>1701</v>
      </c>
      <c r="T549" s="463">
        <v>0</v>
      </c>
      <c r="U549" s="463">
        <v>0</v>
      </c>
      <c r="V549" s="463">
        <v>0</v>
      </c>
      <c r="W549" s="463">
        <v>0</v>
      </c>
      <c r="X549" s="463">
        <v>1</v>
      </c>
      <c r="Y549" s="463">
        <v>0</v>
      </c>
      <c r="Z549" s="463">
        <v>80</v>
      </c>
      <c r="AA549" s="472" t="s">
        <v>1702</v>
      </c>
      <c r="AB549" s="463" t="s">
        <v>539</v>
      </c>
      <c r="AC549" s="463" t="s">
        <v>539</v>
      </c>
      <c r="AD549" s="472" t="s">
        <v>1703</v>
      </c>
      <c r="AE549" s="463">
        <v>1</v>
      </c>
      <c r="AF549" s="463">
        <v>1</v>
      </c>
      <c r="AG549" s="463" t="s">
        <v>375</v>
      </c>
      <c r="AH549" s="476"/>
      <c r="AI549" s="472" t="s">
        <v>1704</v>
      </c>
      <c r="AJ549" s="472" t="s">
        <v>543</v>
      </c>
    </row>
    <row r="550" spans="2:36" ht="24" hidden="1" customHeight="1">
      <c r="B550" s="463">
        <v>455</v>
      </c>
      <c r="C550" s="464" t="s">
        <v>534</v>
      </c>
      <c r="D550" s="464"/>
      <c r="E550" s="464" t="s">
        <v>535</v>
      </c>
      <c r="F550" s="464"/>
      <c r="G550" s="464" t="s">
        <v>60</v>
      </c>
      <c r="H550" s="464" t="s">
        <v>1705</v>
      </c>
      <c r="I550" s="465" t="s">
        <v>537</v>
      </c>
      <c r="J550" s="465" t="s">
        <v>537</v>
      </c>
      <c r="K550" s="466">
        <v>100000</v>
      </c>
      <c r="L550" s="465" t="s">
        <v>537</v>
      </c>
      <c r="M550" s="465" t="s">
        <v>537</v>
      </c>
      <c r="N550" s="466">
        <v>96500</v>
      </c>
      <c r="O550" s="463" t="s">
        <v>537</v>
      </c>
      <c r="P550" s="463" t="s">
        <v>537</v>
      </c>
      <c r="Q550" s="468">
        <v>3500</v>
      </c>
      <c r="R550" s="470">
        <v>241428</v>
      </c>
      <c r="S550" s="463" t="s">
        <v>623</v>
      </c>
      <c r="T550" s="463">
        <v>20</v>
      </c>
      <c r="U550" s="463">
        <v>15</v>
      </c>
      <c r="V550" s="463">
        <v>0</v>
      </c>
      <c r="W550" s="463">
        <v>30</v>
      </c>
      <c r="X550" s="463">
        <v>5</v>
      </c>
      <c r="Y550" s="463">
        <v>0</v>
      </c>
      <c r="Z550" s="463">
        <v>97.48</v>
      </c>
      <c r="AA550" s="472" t="s">
        <v>624</v>
      </c>
      <c r="AB550" s="463" t="s">
        <v>539</v>
      </c>
      <c r="AC550" s="463" t="s">
        <v>539</v>
      </c>
      <c r="AD550" s="472" t="s">
        <v>675</v>
      </c>
      <c r="AE550" s="463">
        <v>80</v>
      </c>
      <c r="AF550" s="463">
        <v>94.48</v>
      </c>
      <c r="AG550" s="463" t="s">
        <v>375</v>
      </c>
      <c r="AH550" s="476"/>
      <c r="AI550" s="472" t="s">
        <v>1691</v>
      </c>
      <c r="AJ550" s="472" t="s">
        <v>543</v>
      </c>
    </row>
    <row r="551" spans="2:36" ht="24" hidden="1" customHeight="1">
      <c r="B551" s="463">
        <v>456</v>
      </c>
      <c r="C551" s="464" t="s">
        <v>534</v>
      </c>
      <c r="D551" s="464"/>
      <c r="E551" s="464" t="s">
        <v>535</v>
      </c>
      <c r="F551" s="464"/>
      <c r="G551" s="464" t="s">
        <v>60</v>
      </c>
      <c r="H551" s="464" t="s">
        <v>1706</v>
      </c>
      <c r="I551" s="465" t="s">
        <v>537</v>
      </c>
      <c r="J551" s="465" t="s">
        <v>537</v>
      </c>
      <c r="K551" s="466">
        <v>204280</v>
      </c>
      <c r="L551" s="465" t="s">
        <v>537</v>
      </c>
      <c r="M551" s="465" t="s">
        <v>537</v>
      </c>
      <c r="N551" s="466">
        <v>201798</v>
      </c>
      <c r="O551" s="463" t="s">
        <v>537</v>
      </c>
      <c r="P551" s="463" t="s">
        <v>537</v>
      </c>
      <c r="Q551" s="468">
        <v>2482</v>
      </c>
      <c r="R551" s="470">
        <v>241428</v>
      </c>
      <c r="S551" s="463" t="s">
        <v>919</v>
      </c>
      <c r="T551" s="463">
        <v>200</v>
      </c>
      <c r="U551" s="463">
        <v>50</v>
      </c>
      <c r="V551" s="463">
        <v>50</v>
      </c>
      <c r="W551" s="463">
        <v>200</v>
      </c>
      <c r="X551" s="463">
        <v>30</v>
      </c>
      <c r="Y551" s="463">
        <v>170</v>
      </c>
      <c r="Z551" s="463">
        <v>94.6</v>
      </c>
      <c r="AA551" s="472" t="s">
        <v>1304</v>
      </c>
      <c r="AB551" s="463" t="s">
        <v>539</v>
      </c>
      <c r="AC551" s="463" t="s">
        <v>539</v>
      </c>
      <c r="AD551" s="472" t="s">
        <v>1707</v>
      </c>
      <c r="AE551" s="463">
        <v>80</v>
      </c>
      <c r="AF551" s="463">
        <v>94.6</v>
      </c>
      <c r="AG551" s="463" t="s">
        <v>375</v>
      </c>
      <c r="AH551" s="476"/>
      <c r="AI551" s="472" t="s">
        <v>1691</v>
      </c>
      <c r="AJ551" s="472" t="s">
        <v>543</v>
      </c>
    </row>
    <row r="552" spans="2:36" ht="24" hidden="1" customHeight="1">
      <c r="B552" s="463">
        <v>457</v>
      </c>
      <c r="C552" s="464" t="s">
        <v>534</v>
      </c>
      <c r="D552" s="464"/>
      <c r="E552" s="464" t="s">
        <v>535</v>
      </c>
      <c r="F552" s="464"/>
      <c r="G552" s="464" t="s">
        <v>60</v>
      </c>
      <c r="H552" s="464" t="s">
        <v>1708</v>
      </c>
      <c r="I552" s="465" t="s">
        <v>537</v>
      </c>
      <c r="J552" s="465" t="s">
        <v>537</v>
      </c>
      <c r="K552" s="465">
        <v>0</v>
      </c>
      <c r="L552" s="465" t="s">
        <v>537</v>
      </c>
      <c r="M552" s="465" t="s">
        <v>537</v>
      </c>
      <c r="N552" s="465">
        <v>0</v>
      </c>
      <c r="O552" s="463" t="s">
        <v>537</v>
      </c>
      <c r="P552" s="463" t="s">
        <v>537</v>
      </c>
      <c r="Q552" s="465">
        <v>0</v>
      </c>
      <c r="R552" s="470">
        <v>241397</v>
      </c>
      <c r="S552" s="471">
        <v>22271</v>
      </c>
      <c r="T552" s="463">
        <v>0</v>
      </c>
      <c r="U552" s="463">
        <v>0</v>
      </c>
      <c r="V552" s="463">
        <v>0</v>
      </c>
      <c r="W552" s="463">
        <v>100</v>
      </c>
      <c r="X552" s="463">
        <v>20</v>
      </c>
      <c r="Y552" s="463">
        <v>0</v>
      </c>
      <c r="Z552" s="463">
        <v>98.83</v>
      </c>
      <c r="AA552" s="472" t="s">
        <v>547</v>
      </c>
      <c r="AB552" s="463" t="s">
        <v>539</v>
      </c>
      <c r="AC552" s="463" t="s">
        <v>539</v>
      </c>
      <c r="AD552" s="472" t="s">
        <v>548</v>
      </c>
      <c r="AE552" s="463">
        <v>80</v>
      </c>
      <c r="AF552" s="463">
        <v>98.83</v>
      </c>
      <c r="AG552" s="463" t="s">
        <v>375</v>
      </c>
      <c r="AH552" s="476"/>
      <c r="AI552" s="472" t="s">
        <v>1709</v>
      </c>
      <c r="AJ552" s="472" t="s">
        <v>543</v>
      </c>
    </row>
    <row r="553" spans="2:36" ht="24" hidden="1" customHeight="1">
      <c r="B553" s="463">
        <v>458</v>
      </c>
      <c r="C553" s="464" t="s">
        <v>534</v>
      </c>
      <c r="D553" s="464"/>
      <c r="E553" s="464" t="s">
        <v>535</v>
      </c>
      <c r="F553" s="464"/>
      <c r="G553" s="464" t="s">
        <v>60</v>
      </c>
      <c r="H553" s="464" t="s">
        <v>1710</v>
      </c>
      <c r="I553" s="465" t="s">
        <v>537</v>
      </c>
      <c r="J553" s="465" t="s">
        <v>537</v>
      </c>
      <c r="K553" s="465">
        <v>0</v>
      </c>
      <c r="L553" s="465" t="s">
        <v>537</v>
      </c>
      <c r="M553" s="465" t="s">
        <v>537</v>
      </c>
      <c r="N553" s="465">
        <v>0</v>
      </c>
      <c r="O553" s="463" t="s">
        <v>537</v>
      </c>
      <c r="P553" s="463" t="s">
        <v>537</v>
      </c>
      <c r="Q553" s="465">
        <v>0</v>
      </c>
      <c r="R553" s="470">
        <v>241428</v>
      </c>
      <c r="S553" s="463" t="s">
        <v>1711</v>
      </c>
      <c r="T553" s="463">
        <v>0</v>
      </c>
      <c r="U553" s="463">
        <v>0</v>
      </c>
      <c r="V553" s="463">
        <v>0</v>
      </c>
      <c r="W553" s="463">
        <v>120</v>
      </c>
      <c r="X553" s="463">
        <v>0</v>
      </c>
      <c r="Y553" s="463">
        <v>0</v>
      </c>
      <c r="Z553" s="463">
        <v>94.57</v>
      </c>
      <c r="AA553" s="472" t="s">
        <v>1712</v>
      </c>
      <c r="AB553" s="463" t="s">
        <v>539</v>
      </c>
      <c r="AC553" s="463" t="s">
        <v>539</v>
      </c>
      <c r="AD553" s="472" t="s">
        <v>1713</v>
      </c>
      <c r="AE553" s="463">
        <v>80</v>
      </c>
      <c r="AF553" s="463">
        <v>94.57</v>
      </c>
      <c r="AG553" s="463" t="s">
        <v>375</v>
      </c>
      <c r="AH553" s="476"/>
      <c r="AI553" s="472">
        <v>87285082</v>
      </c>
      <c r="AJ553" s="472" t="s">
        <v>543</v>
      </c>
    </row>
    <row r="554" spans="2:36" ht="24" hidden="1" customHeight="1">
      <c r="B554" s="463">
        <v>459</v>
      </c>
      <c r="C554" s="464" t="s">
        <v>534</v>
      </c>
      <c r="D554" s="464"/>
      <c r="E554" s="464" t="s">
        <v>535</v>
      </c>
      <c r="F554" s="464"/>
      <c r="G554" s="464" t="s">
        <v>60</v>
      </c>
      <c r="H554" s="464" t="s">
        <v>1714</v>
      </c>
      <c r="I554" s="465" t="s">
        <v>537</v>
      </c>
      <c r="J554" s="466">
        <v>60000</v>
      </c>
      <c r="K554" s="465" t="s">
        <v>537</v>
      </c>
      <c r="L554" s="465" t="s">
        <v>537</v>
      </c>
      <c r="M554" s="466">
        <v>43220</v>
      </c>
      <c r="N554" s="465" t="s">
        <v>537</v>
      </c>
      <c r="O554" s="463" t="s">
        <v>537</v>
      </c>
      <c r="P554" s="463" t="s">
        <v>537</v>
      </c>
      <c r="Q554" s="468">
        <v>16780</v>
      </c>
      <c r="R554" s="463" t="s">
        <v>552</v>
      </c>
      <c r="S554" s="463" t="s">
        <v>1715</v>
      </c>
      <c r="T554" s="463">
        <v>20</v>
      </c>
      <c r="U554" s="463">
        <v>5</v>
      </c>
      <c r="V554" s="463">
        <v>0</v>
      </c>
      <c r="W554" s="463">
        <v>21</v>
      </c>
      <c r="X554" s="463">
        <v>3</v>
      </c>
      <c r="Y554" s="463">
        <v>0</v>
      </c>
      <c r="Z554" s="463">
        <v>90</v>
      </c>
      <c r="AA554" s="472" t="s">
        <v>728</v>
      </c>
      <c r="AB554" s="463">
        <v>1</v>
      </c>
      <c r="AC554" s="463">
        <v>2</v>
      </c>
      <c r="AD554" s="472" t="s">
        <v>651</v>
      </c>
      <c r="AE554" s="463">
        <v>1</v>
      </c>
      <c r="AF554" s="463">
        <v>2</v>
      </c>
      <c r="AG554" s="463" t="s">
        <v>375</v>
      </c>
      <c r="AH554" s="476"/>
      <c r="AI554" s="472" t="s">
        <v>1716</v>
      </c>
      <c r="AJ554" s="464"/>
    </row>
    <row r="555" spans="2:36" ht="24" hidden="1" customHeight="1">
      <c r="B555" s="463">
        <v>460</v>
      </c>
      <c r="C555" s="464" t="s">
        <v>534</v>
      </c>
      <c r="D555" s="464"/>
      <c r="E555" s="464" t="s">
        <v>535</v>
      </c>
      <c r="F555" s="464"/>
      <c r="G555" s="464" t="s">
        <v>60</v>
      </c>
      <c r="H555" s="464" t="s">
        <v>1717</v>
      </c>
      <c r="I555" s="465" t="s">
        <v>537</v>
      </c>
      <c r="J555" s="466">
        <v>5000</v>
      </c>
      <c r="K555" s="465" t="s">
        <v>537</v>
      </c>
      <c r="L555" s="465" t="s">
        <v>537</v>
      </c>
      <c r="M555" s="466">
        <v>5000</v>
      </c>
      <c r="N555" s="465" t="s">
        <v>537</v>
      </c>
      <c r="O555" s="463" t="s">
        <v>537</v>
      </c>
      <c r="P555" s="463" t="s">
        <v>537</v>
      </c>
      <c r="Q555" s="465">
        <v>0</v>
      </c>
      <c r="R555" s="463" t="s">
        <v>643</v>
      </c>
      <c r="S555" s="463" t="s">
        <v>1718</v>
      </c>
      <c r="T555" s="463">
        <v>0</v>
      </c>
      <c r="U555" s="463">
        <v>20</v>
      </c>
      <c r="V555" s="463">
        <v>0</v>
      </c>
      <c r="W555" s="463">
        <v>0</v>
      </c>
      <c r="X555" s="463">
        <v>23</v>
      </c>
      <c r="Y555" s="463">
        <v>0</v>
      </c>
      <c r="Z555" s="463">
        <v>88</v>
      </c>
      <c r="AA555" s="472" t="s">
        <v>677</v>
      </c>
      <c r="AB555" s="463" t="s">
        <v>539</v>
      </c>
      <c r="AC555" s="463" t="s">
        <v>539</v>
      </c>
      <c r="AD555" s="472" t="s">
        <v>565</v>
      </c>
      <c r="AE555" s="463">
        <v>80</v>
      </c>
      <c r="AF555" s="463">
        <v>88</v>
      </c>
      <c r="AG555" s="463" t="s">
        <v>375</v>
      </c>
      <c r="AH555" s="476"/>
      <c r="AI555" s="472" t="s">
        <v>1719</v>
      </c>
      <c r="AJ555" s="464"/>
    </row>
    <row r="556" spans="2:36" ht="24" hidden="1" customHeight="1">
      <c r="B556" s="463">
        <v>461</v>
      </c>
      <c r="C556" s="464" t="s">
        <v>534</v>
      </c>
      <c r="D556" s="464"/>
      <c r="E556" s="464" t="s">
        <v>535</v>
      </c>
      <c r="F556" s="464"/>
      <c r="G556" s="464" t="s">
        <v>60</v>
      </c>
      <c r="H556" s="464" t="s">
        <v>667</v>
      </c>
      <c r="I556" s="465" t="s">
        <v>537</v>
      </c>
      <c r="J556" s="466">
        <v>30000</v>
      </c>
      <c r="K556" s="465" t="s">
        <v>537</v>
      </c>
      <c r="L556" s="465" t="s">
        <v>537</v>
      </c>
      <c r="M556" s="466">
        <v>30000</v>
      </c>
      <c r="N556" s="465" t="s">
        <v>537</v>
      </c>
      <c r="O556" s="463" t="s">
        <v>537</v>
      </c>
      <c r="P556" s="463" t="s">
        <v>537</v>
      </c>
      <c r="Q556" s="465">
        <v>0</v>
      </c>
      <c r="R556" s="470">
        <v>241579</v>
      </c>
      <c r="S556" s="471">
        <v>22450</v>
      </c>
      <c r="T556" s="463">
        <v>160</v>
      </c>
      <c r="U556" s="463">
        <v>40</v>
      </c>
      <c r="V556" s="463">
        <v>100</v>
      </c>
      <c r="W556" s="463">
        <v>150</v>
      </c>
      <c r="X556" s="463">
        <v>40</v>
      </c>
      <c r="Y556" s="463">
        <v>110</v>
      </c>
      <c r="Z556" s="464"/>
      <c r="AA556" s="472" t="s">
        <v>677</v>
      </c>
      <c r="AB556" s="463" t="s">
        <v>539</v>
      </c>
      <c r="AC556" s="463" t="s">
        <v>539</v>
      </c>
      <c r="AD556" s="472" t="s">
        <v>561</v>
      </c>
      <c r="AE556" s="463">
        <v>85</v>
      </c>
      <c r="AF556" s="463">
        <v>88</v>
      </c>
      <c r="AG556" s="463" t="s">
        <v>375</v>
      </c>
      <c r="AH556" s="476"/>
      <c r="AI556" s="472" t="s">
        <v>1720</v>
      </c>
      <c r="AJ556" s="464"/>
    </row>
    <row r="557" spans="2:36" ht="24" hidden="1" customHeight="1">
      <c r="B557" s="463">
        <v>462</v>
      </c>
      <c r="C557" s="464" t="s">
        <v>534</v>
      </c>
      <c r="D557" s="464"/>
      <c r="E557" s="464" t="s">
        <v>535</v>
      </c>
      <c r="F557" s="464"/>
      <c r="G557" s="464" t="s">
        <v>60</v>
      </c>
      <c r="H557" s="464" t="s">
        <v>1721</v>
      </c>
      <c r="I557" s="465" t="s">
        <v>537</v>
      </c>
      <c r="J557" s="466">
        <v>40000</v>
      </c>
      <c r="K557" s="465" t="s">
        <v>537</v>
      </c>
      <c r="L557" s="465" t="s">
        <v>537</v>
      </c>
      <c r="M557" s="466">
        <v>40000</v>
      </c>
      <c r="N557" s="465" t="s">
        <v>537</v>
      </c>
      <c r="O557" s="463" t="s">
        <v>537</v>
      </c>
      <c r="P557" s="463" t="s">
        <v>537</v>
      </c>
      <c r="Q557" s="465">
        <v>0</v>
      </c>
      <c r="R557" s="470">
        <v>241579</v>
      </c>
      <c r="S557" s="463" t="s">
        <v>1722</v>
      </c>
      <c r="T557" s="463">
        <v>150</v>
      </c>
      <c r="U557" s="463">
        <v>40</v>
      </c>
      <c r="V557" s="463">
        <v>0</v>
      </c>
      <c r="W557" s="463">
        <v>131</v>
      </c>
      <c r="X557" s="463">
        <v>40</v>
      </c>
      <c r="Y557" s="463">
        <v>100</v>
      </c>
      <c r="Z557" s="463">
        <v>77.599999999999994</v>
      </c>
      <c r="AA557" s="472" t="s">
        <v>677</v>
      </c>
      <c r="AB557" s="463" t="s">
        <v>539</v>
      </c>
      <c r="AC557" s="463" t="s">
        <v>539</v>
      </c>
      <c r="AD557" s="472" t="s">
        <v>571</v>
      </c>
      <c r="AE557" s="463">
        <v>80</v>
      </c>
      <c r="AF557" s="463">
        <v>77.599999999999994</v>
      </c>
      <c r="AG557" s="463" t="s">
        <v>376</v>
      </c>
      <c r="AH557" s="476"/>
      <c r="AI557" s="472" t="s">
        <v>1723</v>
      </c>
      <c r="AJ557" s="464"/>
    </row>
    <row r="558" spans="2:36" ht="24" hidden="1" customHeight="1">
      <c r="B558" s="463">
        <v>463</v>
      </c>
      <c r="C558" s="464" t="s">
        <v>534</v>
      </c>
      <c r="D558" s="464"/>
      <c r="E558" s="464" t="s">
        <v>535</v>
      </c>
      <c r="F558" s="464"/>
      <c r="G558" s="464" t="s">
        <v>60</v>
      </c>
      <c r="H558" s="464" t="s">
        <v>1724</v>
      </c>
      <c r="I558" s="465" t="s">
        <v>537</v>
      </c>
      <c r="J558" s="466">
        <v>3500</v>
      </c>
      <c r="K558" s="465" t="s">
        <v>537</v>
      </c>
      <c r="L558" s="465" t="s">
        <v>537</v>
      </c>
      <c r="M558" s="466">
        <v>2625</v>
      </c>
      <c r="N558" s="465" t="s">
        <v>537</v>
      </c>
      <c r="O558" s="463" t="s">
        <v>537</v>
      </c>
      <c r="P558" s="463" t="s">
        <v>537</v>
      </c>
      <c r="Q558" s="465">
        <v>875</v>
      </c>
      <c r="R558" s="463" t="s">
        <v>646</v>
      </c>
      <c r="S558" s="463" t="s">
        <v>1725</v>
      </c>
      <c r="T558" s="463">
        <v>50</v>
      </c>
      <c r="U558" s="463">
        <v>20</v>
      </c>
      <c r="V558" s="463">
        <v>50</v>
      </c>
      <c r="W558" s="463">
        <v>64</v>
      </c>
      <c r="X558" s="463">
        <v>10</v>
      </c>
      <c r="Y558" s="464"/>
      <c r="Z558" s="463">
        <v>98</v>
      </c>
      <c r="AA558" s="472" t="s">
        <v>1077</v>
      </c>
      <c r="AB558" s="463">
        <v>80</v>
      </c>
      <c r="AC558" s="463">
        <v>90.5</v>
      </c>
      <c r="AD558" s="472" t="s">
        <v>571</v>
      </c>
      <c r="AE558" s="463">
        <v>80</v>
      </c>
      <c r="AF558" s="463">
        <v>90.5</v>
      </c>
      <c r="AG558" s="463" t="s">
        <v>375</v>
      </c>
      <c r="AH558" s="476"/>
      <c r="AI558" s="464"/>
      <c r="AJ558" s="464"/>
    </row>
    <row r="559" spans="2:36" ht="24" hidden="1" customHeight="1">
      <c r="B559" s="463">
        <v>464</v>
      </c>
      <c r="C559" s="464" t="s">
        <v>534</v>
      </c>
      <c r="D559" s="464"/>
      <c r="E559" s="464" t="s">
        <v>535</v>
      </c>
      <c r="F559" s="464"/>
      <c r="G559" s="464" t="s">
        <v>60</v>
      </c>
      <c r="H559" s="464" t="s">
        <v>1726</v>
      </c>
      <c r="I559" s="465" t="s">
        <v>537</v>
      </c>
      <c r="J559" s="466">
        <v>3500</v>
      </c>
      <c r="K559" s="465" t="s">
        <v>537</v>
      </c>
      <c r="L559" s="465" t="s">
        <v>537</v>
      </c>
      <c r="M559" s="466">
        <v>1775</v>
      </c>
      <c r="N559" s="465" t="s">
        <v>537</v>
      </c>
      <c r="O559" s="463" t="s">
        <v>537</v>
      </c>
      <c r="P559" s="463" t="s">
        <v>537</v>
      </c>
      <c r="Q559" s="468">
        <v>1725</v>
      </c>
      <c r="R559" s="470">
        <v>241518</v>
      </c>
      <c r="S559" s="471">
        <v>22399</v>
      </c>
      <c r="T559" s="463">
        <v>50</v>
      </c>
      <c r="U559" s="463">
        <v>20</v>
      </c>
      <c r="V559" s="463">
        <v>50</v>
      </c>
      <c r="W559" s="463">
        <v>25</v>
      </c>
      <c r="X559" s="463">
        <v>21</v>
      </c>
      <c r="Y559" s="463">
        <v>25</v>
      </c>
      <c r="Z559" s="463">
        <v>87.5</v>
      </c>
      <c r="AA559" s="472" t="s">
        <v>899</v>
      </c>
      <c r="AB559" s="463">
        <v>80</v>
      </c>
      <c r="AC559" s="463">
        <v>87.5</v>
      </c>
      <c r="AD559" s="472" t="s">
        <v>571</v>
      </c>
      <c r="AE559" s="463">
        <v>80</v>
      </c>
      <c r="AF559" s="463">
        <v>87.5</v>
      </c>
      <c r="AG559" s="463" t="s">
        <v>375</v>
      </c>
      <c r="AH559" s="476"/>
      <c r="AI559" s="472" t="s">
        <v>1716</v>
      </c>
      <c r="AJ559" s="464"/>
    </row>
    <row r="560" spans="2:36" ht="24" hidden="1" customHeight="1">
      <c r="B560" s="463">
        <v>465</v>
      </c>
      <c r="C560" s="464" t="s">
        <v>534</v>
      </c>
      <c r="D560" s="464"/>
      <c r="E560" s="464" t="s">
        <v>535</v>
      </c>
      <c r="F560" s="464"/>
      <c r="G560" s="464" t="s">
        <v>60</v>
      </c>
      <c r="H560" s="464" t="s">
        <v>1727</v>
      </c>
      <c r="I560" s="465" t="s">
        <v>537</v>
      </c>
      <c r="J560" s="466">
        <v>10000</v>
      </c>
      <c r="K560" s="465" t="s">
        <v>537</v>
      </c>
      <c r="L560" s="465" t="s">
        <v>537</v>
      </c>
      <c r="M560" s="466">
        <v>9670</v>
      </c>
      <c r="N560" s="465" t="s">
        <v>537</v>
      </c>
      <c r="O560" s="463" t="s">
        <v>537</v>
      </c>
      <c r="P560" s="463" t="s">
        <v>537</v>
      </c>
      <c r="Q560" s="465">
        <v>330</v>
      </c>
      <c r="R560" s="470">
        <v>241609</v>
      </c>
      <c r="S560" s="463" t="s">
        <v>1728</v>
      </c>
      <c r="T560" s="463">
        <v>200</v>
      </c>
      <c r="U560" s="463">
        <v>0</v>
      </c>
      <c r="V560" s="463">
        <v>0</v>
      </c>
      <c r="W560" s="463">
        <v>189</v>
      </c>
      <c r="X560" s="463">
        <v>0</v>
      </c>
      <c r="Y560" s="463">
        <v>0</v>
      </c>
      <c r="Z560" s="463">
        <v>88.83</v>
      </c>
      <c r="AA560" s="472" t="s">
        <v>677</v>
      </c>
      <c r="AB560" s="463" t="s">
        <v>539</v>
      </c>
      <c r="AC560" s="463" t="s">
        <v>539</v>
      </c>
      <c r="AD560" s="472" t="s">
        <v>548</v>
      </c>
      <c r="AE560" s="463">
        <v>80</v>
      </c>
      <c r="AF560" s="463">
        <v>88.83</v>
      </c>
      <c r="AG560" s="463" t="s">
        <v>375</v>
      </c>
      <c r="AH560" s="476"/>
      <c r="AI560" s="472" t="s">
        <v>1729</v>
      </c>
      <c r="AJ560" s="464"/>
    </row>
    <row r="561" spans="1:36" ht="24" hidden="1" customHeight="1">
      <c r="B561" s="463">
        <v>466</v>
      </c>
      <c r="C561" s="464" t="s">
        <v>165</v>
      </c>
      <c r="D561" s="464" t="s">
        <v>544</v>
      </c>
      <c r="E561" s="464" t="s">
        <v>535</v>
      </c>
      <c r="F561" s="464"/>
      <c r="G561" s="464" t="s">
        <v>60</v>
      </c>
      <c r="H561" s="464" t="s">
        <v>1730</v>
      </c>
      <c r="I561" s="465" t="s">
        <v>537</v>
      </c>
      <c r="J561" s="466">
        <v>35000</v>
      </c>
      <c r="K561" s="465" t="s">
        <v>537</v>
      </c>
      <c r="L561" s="465" t="s">
        <v>537</v>
      </c>
      <c r="M561" s="466">
        <v>34840</v>
      </c>
      <c r="N561" s="465" t="s">
        <v>537</v>
      </c>
      <c r="O561" s="463" t="s">
        <v>537</v>
      </c>
      <c r="P561" s="463" t="s">
        <v>537</v>
      </c>
      <c r="Q561" s="465">
        <v>160</v>
      </c>
      <c r="R561" s="470">
        <v>241459</v>
      </c>
      <c r="S561" s="471">
        <v>22340</v>
      </c>
      <c r="T561" s="463">
        <v>100</v>
      </c>
      <c r="U561" s="463">
        <v>8</v>
      </c>
      <c r="V561" s="463">
        <v>6</v>
      </c>
      <c r="W561" s="463">
        <v>118</v>
      </c>
      <c r="X561" s="463">
        <v>0</v>
      </c>
      <c r="Y561" s="463">
        <v>0</v>
      </c>
      <c r="Z561" s="463">
        <v>89</v>
      </c>
      <c r="AA561" s="472" t="s">
        <v>547</v>
      </c>
      <c r="AB561" s="463" t="s">
        <v>539</v>
      </c>
      <c r="AC561" s="463" t="s">
        <v>539</v>
      </c>
      <c r="AD561" s="472" t="s">
        <v>548</v>
      </c>
      <c r="AE561" s="463">
        <v>80</v>
      </c>
      <c r="AF561" s="463">
        <v>89</v>
      </c>
      <c r="AG561" s="463" t="s">
        <v>375</v>
      </c>
      <c r="AH561" s="476"/>
      <c r="AI561" s="472">
        <v>945950009</v>
      </c>
      <c r="AJ561" s="464"/>
    </row>
    <row r="562" spans="1:36" ht="24" hidden="1" customHeight="1">
      <c r="B562" s="463">
        <v>467</v>
      </c>
      <c r="C562" s="464" t="s">
        <v>165</v>
      </c>
      <c r="D562" s="464" t="s">
        <v>544</v>
      </c>
      <c r="E562" s="464" t="s">
        <v>535</v>
      </c>
      <c r="F562" s="464"/>
      <c r="G562" s="464" t="s">
        <v>60</v>
      </c>
      <c r="H562" s="464" t="s">
        <v>1731</v>
      </c>
      <c r="I562" s="465" t="s">
        <v>537</v>
      </c>
      <c r="J562" s="466">
        <v>35000</v>
      </c>
      <c r="K562" s="465" t="s">
        <v>537</v>
      </c>
      <c r="L562" s="465" t="s">
        <v>537</v>
      </c>
      <c r="M562" s="466">
        <v>35000</v>
      </c>
      <c r="N562" s="465" t="s">
        <v>537</v>
      </c>
      <c r="O562" s="463" t="s">
        <v>537</v>
      </c>
      <c r="P562" s="463" t="s">
        <v>537</v>
      </c>
      <c r="Q562" s="465">
        <v>0</v>
      </c>
      <c r="R562" s="470">
        <v>241609</v>
      </c>
      <c r="S562" s="463" t="s">
        <v>1732</v>
      </c>
      <c r="T562" s="463">
        <v>45</v>
      </c>
      <c r="U562" s="463">
        <v>4</v>
      </c>
      <c r="V562" s="463">
        <v>0</v>
      </c>
      <c r="W562" s="463">
        <v>55</v>
      </c>
      <c r="X562" s="463">
        <v>0</v>
      </c>
      <c r="Y562" s="463">
        <v>0</v>
      </c>
      <c r="Z562" s="463">
        <v>85.6</v>
      </c>
      <c r="AA562" s="472" t="s">
        <v>547</v>
      </c>
      <c r="AB562" s="463" t="s">
        <v>539</v>
      </c>
      <c r="AC562" s="463" t="s">
        <v>539</v>
      </c>
      <c r="AD562" s="472" t="s">
        <v>548</v>
      </c>
      <c r="AE562" s="463">
        <v>80</v>
      </c>
      <c r="AF562" s="463">
        <v>85.6</v>
      </c>
      <c r="AG562" s="463" t="s">
        <v>375</v>
      </c>
      <c r="AH562" s="476"/>
      <c r="AI562" s="472" t="s">
        <v>1733</v>
      </c>
      <c r="AJ562" s="464"/>
    </row>
    <row r="563" spans="1:36" ht="24" hidden="1" customHeight="1">
      <c r="B563" s="463">
        <v>468</v>
      </c>
      <c r="C563" s="464" t="s">
        <v>165</v>
      </c>
      <c r="D563" s="464" t="s">
        <v>544</v>
      </c>
      <c r="E563" s="464" t="s">
        <v>535</v>
      </c>
      <c r="F563" s="464"/>
      <c r="G563" s="464" t="s">
        <v>60</v>
      </c>
      <c r="H563" s="464" t="s">
        <v>669</v>
      </c>
      <c r="I563" s="465" t="s">
        <v>537</v>
      </c>
      <c r="J563" s="466">
        <v>100000</v>
      </c>
      <c r="K563" s="465" t="s">
        <v>537</v>
      </c>
      <c r="L563" s="465" t="s">
        <v>537</v>
      </c>
      <c r="M563" s="466">
        <v>98800</v>
      </c>
      <c r="N563" s="465" t="s">
        <v>537</v>
      </c>
      <c r="O563" s="463" t="s">
        <v>537</v>
      </c>
      <c r="P563" s="463" t="s">
        <v>537</v>
      </c>
      <c r="Q563" s="468">
        <v>1200</v>
      </c>
      <c r="R563" s="470">
        <v>241609</v>
      </c>
      <c r="S563" s="471">
        <v>22498</v>
      </c>
      <c r="T563" s="463">
        <v>110</v>
      </c>
      <c r="U563" s="463">
        <v>10</v>
      </c>
      <c r="V563" s="463">
        <v>0</v>
      </c>
      <c r="W563" s="463">
        <v>112</v>
      </c>
      <c r="X563" s="463">
        <v>17</v>
      </c>
      <c r="Y563" s="463">
        <v>0</v>
      </c>
      <c r="Z563" s="463">
        <v>95.43</v>
      </c>
      <c r="AA563" s="472" t="s">
        <v>728</v>
      </c>
      <c r="AB563" s="463">
        <v>1</v>
      </c>
      <c r="AC563" s="463">
        <v>1</v>
      </c>
      <c r="AD563" s="472" t="s">
        <v>651</v>
      </c>
      <c r="AE563" s="463">
        <v>1</v>
      </c>
      <c r="AF563" s="463">
        <v>1</v>
      </c>
      <c r="AG563" s="463" t="s">
        <v>375</v>
      </c>
      <c r="AH563" s="476"/>
      <c r="AI563" s="472" t="s">
        <v>1734</v>
      </c>
      <c r="AJ563" s="464"/>
    </row>
    <row r="564" spans="1:36" ht="24" hidden="1" customHeight="1">
      <c r="B564" s="463">
        <v>469</v>
      </c>
      <c r="C564" s="464" t="s">
        <v>165</v>
      </c>
      <c r="D564" s="464" t="s">
        <v>544</v>
      </c>
      <c r="E564" s="464" t="s">
        <v>535</v>
      </c>
      <c r="F564" s="464"/>
      <c r="G564" s="464" t="s">
        <v>60</v>
      </c>
      <c r="H564" s="464" t="s">
        <v>1735</v>
      </c>
      <c r="I564" s="465" t="s">
        <v>537</v>
      </c>
      <c r="J564" s="466">
        <v>50000</v>
      </c>
      <c r="K564" s="465" t="s">
        <v>537</v>
      </c>
      <c r="L564" s="465" t="s">
        <v>537</v>
      </c>
      <c r="M564" s="466">
        <v>48410</v>
      </c>
      <c r="N564" s="465" t="s">
        <v>537</v>
      </c>
      <c r="O564" s="463" t="s">
        <v>537</v>
      </c>
      <c r="P564" s="463" t="s">
        <v>537</v>
      </c>
      <c r="Q564" s="468">
        <v>1590</v>
      </c>
      <c r="R564" s="470">
        <v>241459</v>
      </c>
      <c r="S564" s="471">
        <v>22342</v>
      </c>
      <c r="T564" s="463">
        <v>190</v>
      </c>
      <c r="U564" s="463">
        <v>10</v>
      </c>
      <c r="V564" s="463">
        <v>0</v>
      </c>
      <c r="W564" s="463">
        <v>177</v>
      </c>
      <c r="X564" s="463">
        <v>37</v>
      </c>
      <c r="Y564" s="463">
        <v>0</v>
      </c>
      <c r="Z564" s="463">
        <v>84.8</v>
      </c>
      <c r="AA564" s="472" t="s">
        <v>547</v>
      </c>
      <c r="AB564" s="463" t="s">
        <v>539</v>
      </c>
      <c r="AC564" s="463" t="s">
        <v>539</v>
      </c>
      <c r="AD564" s="472" t="s">
        <v>548</v>
      </c>
      <c r="AE564" s="463">
        <v>80</v>
      </c>
      <c r="AF564" s="463">
        <v>84.8</v>
      </c>
      <c r="AG564" s="463" t="s">
        <v>375</v>
      </c>
      <c r="AH564" s="476"/>
      <c r="AI564" s="472" t="s">
        <v>1736</v>
      </c>
      <c r="AJ564" s="464"/>
    </row>
    <row r="565" spans="1:36" ht="24" customHeight="1">
      <c r="A565" s="452">
        <v>34</v>
      </c>
      <c r="B565" s="463">
        <v>470</v>
      </c>
      <c r="C565" s="464" t="s">
        <v>377</v>
      </c>
      <c r="D565" s="464"/>
      <c r="E565" s="464" t="s">
        <v>602</v>
      </c>
      <c r="F565" s="464"/>
      <c r="G565" s="464" t="s">
        <v>60</v>
      </c>
      <c r="H565" s="464" t="s">
        <v>617</v>
      </c>
      <c r="I565" s="465" t="s">
        <v>537</v>
      </c>
      <c r="J565" s="466">
        <v>120000</v>
      </c>
      <c r="K565" s="465" t="s">
        <v>537</v>
      </c>
      <c r="L565" s="465" t="s">
        <v>537</v>
      </c>
      <c r="M565" s="466">
        <v>117595</v>
      </c>
      <c r="N565" s="465" t="s">
        <v>537</v>
      </c>
      <c r="O565" s="463" t="s">
        <v>537</v>
      </c>
      <c r="P565" s="463" t="s">
        <v>537</v>
      </c>
      <c r="Q565" s="468">
        <v>2405</v>
      </c>
      <c r="R565" s="470">
        <v>241579</v>
      </c>
      <c r="S565" s="463" t="s">
        <v>972</v>
      </c>
      <c r="T565" s="463">
        <v>190</v>
      </c>
      <c r="U565" s="463">
        <v>10</v>
      </c>
      <c r="V565" s="463">
        <v>0</v>
      </c>
      <c r="W565" s="463">
        <v>203</v>
      </c>
      <c r="X565" s="463">
        <v>27</v>
      </c>
      <c r="Y565" s="463">
        <v>0</v>
      </c>
      <c r="Z565" s="463">
        <v>82.2</v>
      </c>
      <c r="AA565" s="472" t="s">
        <v>1737</v>
      </c>
      <c r="AB565" s="463" t="s">
        <v>539</v>
      </c>
      <c r="AC565" s="463" t="s">
        <v>539</v>
      </c>
      <c r="AD565" s="472" t="s">
        <v>565</v>
      </c>
      <c r="AE565" s="463">
        <v>80</v>
      </c>
      <c r="AF565" s="463">
        <v>82.2</v>
      </c>
      <c r="AG565" s="463" t="s">
        <v>375</v>
      </c>
      <c r="AH565" s="476"/>
      <c r="AI565" s="472" t="s">
        <v>1709</v>
      </c>
      <c r="AJ565" s="464"/>
    </row>
    <row r="566" spans="1:36" ht="24" customHeight="1">
      <c r="A566" s="452">
        <v>35</v>
      </c>
      <c r="B566" s="463">
        <v>471</v>
      </c>
      <c r="C566" s="464" t="s">
        <v>377</v>
      </c>
      <c r="D566" s="464"/>
      <c r="E566" s="464" t="s">
        <v>602</v>
      </c>
      <c r="F566" s="464"/>
      <c r="G566" s="464" t="s">
        <v>60</v>
      </c>
      <c r="H566" s="464" t="s">
        <v>1738</v>
      </c>
      <c r="I566" s="466">
        <v>20000</v>
      </c>
      <c r="J566" s="465" t="s">
        <v>537</v>
      </c>
      <c r="K566" s="465" t="s">
        <v>537</v>
      </c>
      <c r="L566" s="466">
        <v>15500</v>
      </c>
      <c r="M566" s="465" t="s">
        <v>537</v>
      </c>
      <c r="N566" s="465" t="s">
        <v>537</v>
      </c>
      <c r="O566" s="463" t="s">
        <v>537</v>
      </c>
      <c r="P566" s="463" t="s">
        <v>537</v>
      </c>
      <c r="Q566" s="468">
        <v>4500</v>
      </c>
      <c r="R566" s="463" t="s">
        <v>643</v>
      </c>
      <c r="S566" s="463" t="s">
        <v>1739</v>
      </c>
      <c r="T566" s="463">
        <v>50</v>
      </c>
      <c r="U566" s="463">
        <v>20</v>
      </c>
      <c r="V566" s="463">
        <v>20</v>
      </c>
      <c r="W566" s="463">
        <v>34</v>
      </c>
      <c r="X566" s="463">
        <v>22</v>
      </c>
      <c r="Y566" s="463">
        <v>60</v>
      </c>
      <c r="Z566" s="463">
        <v>88.66</v>
      </c>
      <c r="AA566" s="472" t="s">
        <v>899</v>
      </c>
      <c r="AB566" s="463" t="s">
        <v>539</v>
      </c>
      <c r="AC566" s="463" t="s">
        <v>539</v>
      </c>
      <c r="AD566" s="472" t="s">
        <v>548</v>
      </c>
      <c r="AE566" s="463">
        <v>80</v>
      </c>
      <c r="AF566" s="463">
        <v>88.66</v>
      </c>
      <c r="AG566" s="463" t="s">
        <v>375</v>
      </c>
      <c r="AH566" s="476"/>
      <c r="AI566" s="472" t="s">
        <v>1740</v>
      </c>
      <c r="AJ566" s="464"/>
    </row>
    <row r="567" spans="1:36" ht="24" customHeight="1">
      <c r="A567" s="452">
        <v>36</v>
      </c>
      <c r="B567" s="463">
        <v>472</v>
      </c>
      <c r="C567" s="464" t="s">
        <v>377</v>
      </c>
      <c r="D567" s="464"/>
      <c r="E567" s="464" t="s">
        <v>602</v>
      </c>
      <c r="F567" s="464"/>
      <c r="G567" s="464" t="s">
        <v>60</v>
      </c>
      <c r="H567" s="464" t="s">
        <v>1741</v>
      </c>
      <c r="I567" s="466">
        <v>20000</v>
      </c>
      <c r="J567" s="465" t="s">
        <v>537</v>
      </c>
      <c r="K567" s="465" t="s">
        <v>537</v>
      </c>
      <c r="L567" s="466">
        <v>17000</v>
      </c>
      <c r="M567" s="465" t="s">
        <v>537</v>
      </c>
      <c r="N567" s="465" t="s">
        <v>537</v>
      </c>
      <c r="O567" s="463" t="s">
        <v>537</v>
      </c>
      <c r="P567" s="463" t="s">
        <v>537</v>
      </c>
      <c r="Q567" s="468">
        <v>3000</v>
      </c>
      <c r="R567" s="470">
        <v>241609</v>
      </c>
      <c r="S567" s="471">
        <v>22480</v>
      </c>
      <c r="T567" s="463">
        <v>100</v>
      </c>
      <c r="U567" s="463">
        <v>20</v>
      </c>
      <c r="V567" s="463">
        <v>0</v>
      </c>
      <c r="W567" s="463">
        <v>122</v>
      </c>
      <c r="X567" s="463">
        <v>33</v>
      </c>
      <c r="Y567" s="463">
        <v>0</v>
      </c>
      <c r="Z567" s="463">
        <v>82.16</v>
      </c>
      <c r="AA567" s="472" t="s">
        <v>619</v>
      </c>
      <c r="AB567" s="463" t="s">
        <v>539</v>
      </c>
      <c r="AC567" s="463" t="s">
        <v>539</v>
      </c>
      <c r="AD567" s="472" t="s">
        <v>1742</v>
      </c>
      <c r="AE567" s="463" t="s">
        <v>539</v>
      </c>
      <c r="AF567" s="463" t="s">
        <v>539</v>
      </c>
      <c r="AG567" s="463" t="s">
        <v>375</v>
      </c>
      <c r="AH567" s="476"/>
      <c r="AI567" s="472" t="s">
        <v>1734</v>
      </c>
      <c r="AJ567" s="464"/>
    </row>
    <row r="568" spans="1:36" ht="24" customHeight="1">
      <c r="A568" s="452">
        <v>37</v>
      </c>
      <c r="B568" s="463">
        <v>473</v>
      </c>
      <c r="C568" s="464" t="s">
        <v>377</v>
      </c>
      <c r="D568" s="464"/>
      <c r="E568" s="464" t="s">
        <v>602</v>
      </c>
      <c r="F568" s="464"/>
      <c r="G568" s="464" t="s">
        <v>60</v>
      </c>
      <c r="H568" s="464" t="s">
        <v>1743</v>
      </c>
      <c r="I568" s="465" t="s">
        <v>537</v>
      </c>
      <c r="J568" s="465" t="s">
        <v>537</v>
      </c>
      <c r="K568" s="466">
        <v>269010</v>
      </c>
      <c r="L568" s="465" t="s">
        <v>537</v>
      </c>
      <c r="M568" s="465" t="s">
        <v>537</v>
      </c>
      <c r="N568" s="466">
        <v>268853.8</v>
      </c>
      <c r="O568" s="463" t="s">
        <v>537</v>
      </c>
      <c r="P568" s="463" t="s">
        <v>537</v>
      </c>
      <c r="Q568" s="465">
        <v>156</v>
      </c>
      <c r="R568" s="470">
        <v>241671</v>
      </c>
      <c r="S568" s="463" t="s">
        <v>1744</v>
      </c>
      <c r="T568" s="463">
        <v>400</v>
      </c>
      <c r="U568" s="463">
        <v>40</v>
      </c>
      <c r="V568" s="463">
        <v>0</v>
      </c>
      <c r="W568" s="463">
        <v>0</v>
      </c>
      <c r="X568" s="463">
        <v>0</v>
      </c>
      <c r="Y568" s="463">
        <v>0</v>
      </c>
      <c r="Z568" s="463">
        <v>0</v>
      </c>
      <c r="AA568" s="472" t="s">
        <v>1745</v>
      </c>
      <c r="AB568" s="463" t="s">
        <v>539</v>
      </c>
      <c r="AC568" s="463" t="s">
        <v>539</v>
      </c>
      <c r="AD568" s="472" t="s">
        <v>1746</v>
      </c>
      <c r="AE568" s="463" t="s">
        <v>539</v>
      </c>
      <c r="AF568" s="463" t="s">
        <v>539</v>
      </c>
      <c r="AG568" s="463" t="s">
        <v>375</v>
      </c>
      <c r="AH568" s="476"/>
      <c r="AI568" s="472" t="s">
        <v>1747</v>
      </c>
      <c r="AJ568" s="472" t="s">
        <v>543</v>
      </c>
    </row>
    <row r="569" spans="1:36" ht="24" customHeight="1">
      <c r="A569" s="452">
        <v>38</v>
      </c>
      <c r="B569" s="463">
        <v>474</v>
      </c>
      <c r="C569" s="464" t="s">
        <v>377</v>
      </c>
      <c r="D569" s="464"/>
      <c r="E569" s="464" t="s">
        <v>602</v>
      </c>
      <c r="F569" s="464"/>
      <c r="G569" s="464" t="s">
        <v>60</v>
      </c>
      <c r="H569" s="464" t="s">
        <v>1748</v>
      </c>
      <c r="I569" s="465" t="s">
        <v>537</v>
      </c>
      <c r="J569" s="465" t="s">
        <v>537</v>
      </c>
      <c r="K569" s="466">
        <v>200000</v>
      </c>
      <c r="L569" s="465" t="s">
        <v>537</v>
      </c>
      <c r="M569" s="465" t="s">
        <v>537</v>
      </c>
      <c r="N569" s="466">
        <v>200000</v>
      </c>
      <c r="O569" s="463" t="s">
        <v>537</v>
      </c>
      <c r="P569" s="463" t="s">
        <v>537</v>
      </c>
      <c r="Q569" s="465">
        <v>0</v>
      </c>
      <c r="R569" s="470">
        <v>241671</v>
      </c>
      <c r="S569" s="463" t="s">
        <v>1749</v>
      </c>
      <c r="T569" s="463">
        <v>30</v>
      </c>
      <c r="U569" s="463">
        <v>10</v>
      </c>
      <c r="V569" s="463">
        <v>0</v>
      </c>
      <c r="W569" s="463">
        <v>29</v>
      </c>
      <c r="X569" s="463">
        <v>13</v>
      </c>
      <c r="Y569" s="463">
        <v>0</v>
      </c>
      <c r="Z569" s="463">
        <v>86.97</v>
      </c>
      <c r="AA569" s="472" t="s">
        <v>605</v>
      </c>
      <c r="AB569" s="463" t="s">
        <v>539</v>
      </c>
      <c r="AC569" s="463" t="s">
        <v>539</v>
      </c>
      <c r="AD569" s="472" t="s">
        <v>1750</v>
      </c>
      <c r="AE569" s="463">
        <v>80</v>
      </c>
      <c r="AF569" s="463">
        <v>86.97</v>
      </c>
      <c r="AG569" s="463" t="s">
        <v>375</v>
      </c>
      <c r="AH569" s="476"/>
      <c r="AI569" s="472" t="s">
        <v>1751</v>
      </c>
      <c r="AJ569" s="472" t="s">
        <v>543</v>
      </c>
    </row>
    <row r="570" spans="1:36" ht="24" customHeight="1">
      <c r="A570" s="452">
        <v>39</v>
      </c>
      <c r="B570" s="701">
        <v>475</v>
      </c>
      <c r="C570" s="699" t="s">
        <v>377</v>
      </c>
      <c r="D570" s="699"/>
      <c r="E570" s="699" t="s">
        <v>602</v>
      </c>
      <c r="F570" s="699"/>
      <c r="G570" s="699" t="s">
        <v>60</v>
      </c>
      <c r="H570" s="699" t="s">
        <v>1752</v>
      </c>
      <c r="I570" s="712">
        <v>100000</v>
      </c>
      <c r="J570" s="709" t="s">
        <v>537</v>
      </c>
      <c r="K570" s="709" t="s">
        <v>537</v>
      </c>
      <c r="L570" s="712">
        <v>70990</v>
      </c>
      <c r="M570" s="709" t="s">
        <v>537</v>
      </c>
      <c r="N570" s="709" t="s">
        <v>537</v>
      </c>
      <c r="O570" s="701" t="s">
        <v>537</v>
      </c>
      <c r="P570" s="701" t="s">
        <v>537</v>
      </c>
      <c r="Q570" s="705">
        <v>29010</v>
      </c>
      <c r="R570" s="701" t="s">
        <v>747</v>
      </c>
      <c r="S570" s="701" t="s">
        <v>919</v>
      </c>
      <c r="T570" s="701">
        <v>250</v>
      </c>
      <c r="U570" s="701">
        <v>20</v>
      </c>
      <c r="V570" s="701">
        <v>30</v>
      </c>
      <c r="W570" s="701">
        <v>250</v>
      </c>
      <c r="X570" s="701">
        <v>38</v>
      </c>
      <c r="Y570" s="701">
        <v>47</v>
      </c>
      <c r="Z570" s="701">
        <v>81.599999999999994</v>
      </c>
      <c r="AA570" s="697" t="s">
        <v>619</v>
      </c>
      <c r="AB570" s="701" t="s">
        <v>539</v>
      </c>
      <c r="AC570" s="701" t="s">
        <v>539</v>
      </c>
      <c r="AD570" s="458" t="s">
        <v>1753</v>
      </c>
      <c r="AE570" s="459">
        <v>80</v>
      </c>
      <c r="AF570" s="459">
        <v>81.599999999999994</v>
      </c>
      <c r="AG570" s="701" t="s">
        <v>375</v>
      </c>
      <c r="AH570" s="728"/>
      <c r="AI570" s="697" t="s">
        <v>1754</v>
      </c>
      <c r="AJ570" s="699"/>
    </row>
    <row r="571" spans="1:36" ht="24" hidden="1" customHeight="1">
      <c r="B571" s="702"/>
      <c r="C571" s="700"/>
      <c r="D571" s="700"/>
      <c r="E571" s="700"/>
      <c r="F571" s="700"/>
      <c r="G571" s="700"/>
      <c r="H571" s="700"/>
      <c r="I571" s="713"/>
      <c r="J571" s="710"/>
      <c r="K571" s="710"/>
      <c r="L571" s="713"/>
      <c r="M571" s="710"/>
      <c r="N571" s="710"/>
      <c r="O571" s="702"/>
      <c r="P571" s="702"/>
      <c r="Q571" s="706"/>
      <c r="R571" s="702"/>
      <c r="S571" s="702"/>
      <c r="T571" s="702"/>
      <c r="U571" s="702"/>
      <c r="V571" s="702"/>
      <c r="W571" s="702"/>
      <c r="X571" s="702"/>
      <c r="Y571" s="702"/>
      <c r="Z571" s="702"/>
      <c r="AA571" s="698"/>
      <c r="AB571" s="702"/>
      <c r="AC571" s="702"/>
      <c r="AD571" s="473" t="s">
        <v>1755</v>
      </c>
      <c r="AE571" s="474">
        <v>80</v>
      </c>
      <c r="AF571" s="474">
        <v>81.599999999999994</v>
      </c>
      <c r="AG571" s="702"/>
      <c r="AH571" s="729"/>
      <c r="AI571" s="698"/>
      <c r="AJ571" s="700"/>
    </row>
    <row r="572" spans="1:36" ht="24" customHeight="1">
      <c r="A572" s="452">
        <v>40</v>
      </c>
      <c r="B572" s="463">
        <v>476</v>
      </c>
      <c r="C572" s="464" t="s">
        <v>377</v>
      </c>
      <c r="D572" s="464"/>
      <c r="E572" s="464" t="s">
        <v>602</v>
      </c>
      <c r="F572" s="464"/>
      <c r="G572" s="464" t="s">
        <v>60</v>
      </c>
      <c r="H572" s="464" t="s">
        <v>1756</v>
      </c>
      <c r="I572" s="466">
        <v>10000</v>
      </c>
      <c r="J572" s="465" t="s">
        <v>537</v>
      </c>
      <c r="K572" s="465" t="s">
        <v>537</v>
      </c>
      <c r="L572" s="466">
        <v>9800</v>
      </c>
      <c r="M572" s="465" t="s">
        <v>537</v>
      </c>
      <c r="N572" s="465" t="s">
        <v>537</v>
      </c>
      <c r="O572" s="463" t="s">
        <v>537</v>
      </c>
      <c r="P572" s="463" t="s">
        <v>537</v>
      </c>
      <c r="Q572" s="465">
        <v>200</v>
      </c>
      <c r="R572" s="470">
        <v>241518</v>
      </c>
      <c r="S572" s="471">
        <v>22372</v>
      </c>
      <c r="T572" s="463">
        <v>40</v>
      </c>
      <c r="U572" s="463">
        <v>5</v>
      </c>
      <c r="V572" s="463">
        <v>5</v>
      </c>
      <c r="W572" s="463">
        <v>39</v>
      </c>
      <c r="X572" s="463">
        <v>18</v>
      </c>
      <c r="Y572" s="463">
        <v>6</v>
      </c>
      <c r="Z572" s="463">
        <v>85.73</v>
      </c>
      <c r="AA572" s="472" t="s">
        <v>899</v>
      </c>
      <c r="AB572" s="463" t="s">
        <v>539</v>
      </c>
      <c r="AC572" s="463" t="s">
        <v>539</v>
      </c>
      <c r="AD572" s="472" t="s">
        <v>548</v>
      </c>
      <c r="AE572" s="463">
        <v>80</v>
      </c>
      <c r="AF572" s="463">
        <v>85.73</v>
      </c>
      <c r="AG572" s="463" t="s">
        <v>375</v>
      </c>
      <c r="AH572" s="476"/>
      <c r="AI572" s="472" t="s">
        <v>1740</v>
      </c>
      <c r="AJ572" s="464"/>
    </row>
    <row r="573" spans="1:36" ht="24" customHeight="1">
      <c r="A573" s="452">
        <v>41</v>
      </c>
      <c r="B573" s="463">
        <v>477</v>
      </c>
      <c r="C573" s="464" t="s">
        <v>377</v>
      </c>
      <c r="D573" s="464"/>
      <c r="E573" s="464" t="s">
        <v>602</v>
      </c>
      <c r="F573" s="464"/>
      <c r="G573" s="464" t="s">
        <v>60</v>
      </c>
      <c r="H573" s="464" t="s">
        <v>1757</v>
      </c>
      <c r="I573" s="465" t="s">
        <v>537</v>
      </c>
      <c r="J573" s="465" t="s">
        <v>537</v>
      </c>
      <c r="K573" s="466">
        <v>20000</v>
      </c>
      <c r="L573" s="465" t="s">
        <v>537</v>
      </c>
      <c r="M573" s="465" t="s">
        <v>537</v>
      </c>
      <c r="N573" s="466">
        <v>19500</v>
      </c>
      <c r="O573" s="463" t="s">
        <v>537</v>
      </c>
      <c r="P573" s="463" t="s">
        <v>537</v>
      </c>
      <c r="Q573" s="465">
        <v>500</v>
      </c>
      <c r="R573" s="463" t="s">
        <v>643</v>
      </c>
      <c r="S573" s="463" t="s">
        <v>1758</v>
      </c>
      <c r="T573" s="463">
        <v>25</v>
      </c>
      <c r="U573" s="463">
        <v>0</v>
      </c>
      <c r="V573" s="463">
        <v>0</v>
      </c>
      <c r="W573" s="463">
        <v>20</v>
      </c>
      <c r="X573" s="463">
        <v>16</v>
      </c>
      <c r="Y573" s="463">
        <v>0</v>
      </c>
      <c r="Z573" s="463">
        <v>94.6</v>
      </c>
      <c r="AA573" s="472" t="s">
        <v>612</v>
      </c>
      <c r="AB573" s="463" t="s">
        <v>539</v>
      </c>
      <c r="AC573" s="463" t="s">
        <v>539</v>
      </c>
      <c r="AD573" s="472" t="s">
        <v>1759</v>
      </c>
      <c r="AE573" s="463" t="s">
        <v>539</v>
      </c>
      <c r="AF573" s="463" t="s">
        <v>539</v>
      </c>
      <c r="AG573" s="463" t="s">
        <v>375</v>
      </c>
      <c r="AH573" s="476"/>
      <c r="AI573" s="472" t="s">
        <v>1760</v>
      </c>
      <c r="AJ573" s="472" t="s">
        <v>543</v>
      </c>
    </row>
    <row r="574" spans="1:36" ht="24" hidden="1" customHeight="1">
      <c r="B574" s="701">
        <v>478</v>
      </c>
      <c r="C574" s="699" t="s">
        <v>337</v>
      </c>
      <c r="D574" s="699"/>
      <c r="E574" s="699" t="s">
        <v>545</v>
      </c>
      <c r="F574" s="699"/>
      <c r="G574" s="699" t="s">
        <v>60</v>
      </c>
      <c r="H574" s="699" t="s">
        <v>1761</v>
      </c>
      <c r="I574" s="712">
        <v>15000</v>
      </c>
      <c r="J574" s="709" t="s">
        <v>537</v>
      </c>
      <c r="K574" s="709" t="s">
        <v>537</v>
      </c>
      <c r="L574" s="712">
        <v>15000</v>
      </c>
      <c r="M574" s="709" t="s">
        <v>537</v>
      </c>
      <c r="N574" s="709" t="s">
        <v>537</v>
      </c>
      <c r="O574" s="701" t="s">
        <v>537</v>
      </c>
      <c r="P574" s="701" t="s">
        <v>537</v>
      </c>
      <c r="Q574" s="709">
        <v>0</v>
      </c>
      <c r="R574" s="701" t="s">
        <v>1214</v>
      </c>
      <c r="S574" s="701" t="s">
        <v>1762</v>
      </c>
      <c r="T574" s="701">
        <v>3</v>
      </c>
      <c r="U574" s="701">
        <v>2</v>
      </c>
      <c r="V574" s="701">
        <v>25</v>
      </c>
      <c r="W574" s="701">
        <v>0</v>
      </c>
      <c r="X574" s="701">
        <v>5</v>
      </c>
      <c r="Y574" s="701">
        <v>25</v>
      </c>
      <c r="Z574" s="701">
        <v>91</v>
      </c>
      <c r="AA574" s="697" t="s">
        <v>1763</v>
      </c>
      <c r="AB574" s="701" t="s">
        <v>539</v>
      </c>
      <c r="AC574" s="701" t="s">
        <v>539</v>
      </c>
      <c r="AD574" s="458" t="s">
        <v>548</v>
      </c>
      <c r="AE574" s="459">
        <v>80</v>
      </c>
      <c r="AF574" s="459">
        <v>82</v>
      </c>
      <c r="AG574" s="701" t="s">
        <v>375</v>
      </c>
      <c r="AH574" s="728"/>
      <c r="AI574" s="697" t="s">
        <v>1760</v>
      </c>
      <c r="AJ574" s="699"/>
    </row>
    <row r="575" spans="1:36" ht="24" hidden="1" customHeight="1">
      <c r="B575" s="702"/>
      <c r="C575" s="700"/>
      <c r="D575" s="700"/>
      <c r="E575" s="700"/>
      <c r="F575" s="700"/>
      <c r="G575" s="700"/>
      <c r="H575" s="700"/>
      <c r="I575" s="713"/>
      <c r="J575" s="710"/>
      <c r="K575" s="710"/>
      <c r="L575" s="713"/>
      <c r="M575" s="710"/>
      <c r="N575" s="710"/>
      <c r="O575" s="702"/>
      <c r="P575" s="702"/>
      <c r="Q575" s="710"/>
      <c r="R575" s="702"/>
      <c r="S575" s="702"/>
      <c r="T575" s="702"/>
      <c r="U575" s="702"/>
      <c r="V575" s="702"/>
      <c r="W575" s="702"/>
      <c r="X575" s="702"/>
      <c r="Y575" s="702"/>
      <c r="Z575" s="702"/>
      <c r="AA575" s="698"/>
      <c r="AB575" s="702"/>
      <c r="AC575" s="702"/>
      <c r="AD575" s="473" t="s">
        <v>1764</v>
      </c>
      <c r="AE575" s="474">
        <v>1</v>
      </c>
      <c r="AF575" s="474">
        <v>1</v>
      </c>
      <c r="AG575" s="702"/>
      <c r="AH575" s="729"/>
      <c r="AI575" s="698"/>
      <c r="AJ575" s="700"/>
    </row>
    <row r="576" spans="1:36" ht="24" hidden="1" customHeight="1">
      <c r="B576" s="701">
        <v>479</v>
      </c>
      <c r="C576" s="699" t="s">
        <v>337</v>
      </c>
      <c r="D576" s="699"/>
      <c r="E576" s="699" t="s">
        <v>545</v>
      </c>
      <c r="F576" s="699"/>
      <c r="G576" s="699" t="s">
        <v>60</v>
      </c>
      <c r="H576" s="699" t="s">
        <v>1765</v>
      </c>
      <c r="I576" s="712">
        <v>20000</v>
      </c>
      <c r="J576" s="709" t="s">
        <v>537</v>
      </c>
      <c r="K576" s="709" t="s">
        <v>537</v>
      </c>
      <c r="L576" s="712">
        <v>20000</v>
      </c>
      <c r="M576" s="709" t="s">
        <v>537</v>
      </c>
      <c r="N576" s="709" t="s">
        <v>537</v>
      </c>
      <c r="O576" s="701" t="s">
        <v>537</v>
      </c>
      <c r="P576" s="701" t="s">
        <v>537</v>
      </c>
      <c r="Q576" s="709">
        <v>0</v>
      </c>
      <c r="R576" s="701" t="s">
        <v>1214</v>
      </c>
      <c r="S576" s="701" t="s">
        <v>1766</v>
      </c>
      <c r="T576" s="701">
        <v>3</v>
      </c>
      <c r="U576" s="701">
        <v>2</v>
      </c>
      <c r="V576" s="701">
        <v>25</v>
      </c>
      <c r="W576" s="699"/>
      <c r="X576" s="701">
        <v>2</v>
      </c>
      <c r="Y576" s="701">
        <v>25</v>
      </c>
      <c r="Z576" s="701">
        <v>100</v>
      </c>
      <c r="AA576" s="458" t="s">
        <v>547</v>
      </c>
      <c r="AB576" s="459" t="s">
        <v>539</v>
      </c>
      <c r="AC576" s="459" t="s">
        <v>539</v>
      </c>
      <c r="AD576" s="458" t="s">
        <v>548</v>
      </c>
      <c r="AE576" s="459">
        <v>80</v>
      </c>
      <c r="AF576" s="459">
        <v>100</v>
      </c>
      <c r="AG576" s="701" t="s">
        <v>375</v>
      </c>
      <c r="AH576" s="728"/>
      <c r="AI576" s="697" t="s">
        <v>1767</v>
      </c>
      <c r="AJ576" s="699"/>
    </row>
    <row r="577" spans="2:36" ht="24" hidden="1" customHeight="1">
      <c r="B577" s="702"/>
      <c r="C577" s="700"/>
      <c r="D577" s="700"/>
      <c r="E577" s="700"/>
      <c r="F577" s="700"/>
      <c r="G577" s="700"/>
      <c r="H577" s="700"/>
      <c r="I577" s="713"/>
      <c r="J577" s="710"/>
      <c r="K577" s="710"/>
      <c r="L577" s="713"/>
      <c r="M577" s="710"/>
      <c r="N577" s="710"/>
      <c r="O577" s="702"/>
      <c r="P577" s="702"/>
      <c r="Q577" s="710"/>
      <c r="R577" s="702"/>
      <c r="S577" s="702"/>
      <c r="T577" s="702"/>
      <c r="U577" s="702"/>
      <c r="V577" s="702"/>
      <c r="W577" s="700"/>
      <c r="X577" s="702"/>
      <c r="Y577" s="702"/>
      <c r="Z577" s="702"/>
      <c r="AA577" s="473" t="s">
        <v>1768</v>
      </c>
      <c r="AB577" s="474" t="s">
        <v>539</v>
      </c>
      <c r="AC577" s="474" t="s">
        <v>539</v>
      </c>
      <c r="AD577" s="473" t="s">
        <v>1769</v>
      </c>
      <c r="AE577" s="474">
        <v>1</v>
      </c>
      <c r="AF577" s="474">
        <v>1</v>
      </c>
      <c r="AG577" s="702"/>
      <c r="AH577" s="729"/>
      <c r="AI577" s="698"/>
      <c r="AJ577" s="700"/>
    </row>
    <row r="578" spans="2:36" ht="24" hidden="1" customHeight="1">
      <c r="B578" s="463">
        <v>480</v>
      </c>
      <c r="C578" s="464" t="s">
        <v>534</v>
      </c>
      <c r="D578" s="464"/>
      <c r="E578" s="464" t="s">
        <v>577</v>
      </c>
      <c r="F578" s="464"/>
      <c r="G578" s="464" t="s">
        <v>60</v>
      </c>
      <c r="H578" s="464" t="s">
        <v>1770</v>
      </c>
      <c r="I578" s="465" t="s">
        <v>537</v>
      </c>
      <c r="J578" s="465" t="s">
        <v>537</v>
      </c>
      <c r="K578" s="466">
        <v>35000</v>
      </c>
      <c r="L578" s="465" t="s">
        <v>537</v>
      </c>
      <c r="M578" s="465" t="s">
        <v>537</v>
      </c>
      <c r="N578" s="466">
        <v>35000</v>
      </c>
      <c r="O578" s="463" t="s">
        <v>537</v>
      </c>
      <c r="P578" s="463" t="s">
        <v>537</v>
      </c>
      <c r="Q578" s="465">
        <v>0</v>
      </c>
      <c r="R578" s="463" t="s">
        <v>771</v>
      </c>
      <c r="S578" s="471">
        <v>22361</v>
      </c>
      <c r="T578" s="463">
        <v>0</v>
      </c>
      <c r="U578" s="463">
        <v>0</v>
      </c>
      <c r="V578" s="463">
        <v>0</v>
      </c>
      <c r="W578" s="463">
        <v>0</v>
      </c>
      <c r="X578" s="463">
        <v>0</v>
      </c>
      <c r="Y578" s="463">
        <v>0</v>
      </c>
      <c r="Z578" s="463">
        <v>100</v>
      </c>
      <c r="AA578" s="472" t="s">
        <v>1771</v>
      </c>
      <c r="AB578" s="463">
        <v>10</v>
      </c>
      <c r="AC578" s="463">
        <v>10</v>
      </c>
      <c r="AD578" s="472" t="s">
        <v>1772</v>
      </c>
      <c r="AE578" s="463">
        <v>3</v>
      </c>
      <c r="AF578" s="463">
        <v>3</v>
      </c>
      <c r="AG578" s="463" t="s">
        <v>375</v>
      </c>
      <c r="AH578" s="476"/>
      <c r="AI578" s="472" t="s">
        <v>1773</v>
      </c>
      <c r="AJ578" s="472" t="s">
        <v>543</v>
      </c>
    </row>
    <row r="579" spans="2:36" ht="24" hidden="1" customHeight="1">
      <c r="B579" s="463">
        <v>481</v>
      </c>
      <c r="C579" s="464" t="s">
        <v>534</v>
      </c>
      <c r="D579" s="464"/>
      <c r="E579" s="464" t="s">
        <v>577</v>
      </c>
      <c r="F579" s="464"/>
      <c r="G579" s="464" t="s">
        <v>60</v>
      </c>
      <c r="H579" s="464" t="s">
        <v>1774</v>
      </c>
      <c r="I579" s="465" t="s">
        <v>537</v>
      </c>
      <c r="J579" s="465" t="s">
        <v>537</v>
      </c>
      <c r="K579" s="466">
        <v>40000</v>
      </c>
      <c r="L579" s="465" t="s">
        <v>537</v>
      </c>
      <c r="M579" s="465" t="s">
        <v>537</v>
      </c>
      <c r="N579" s="466">
        <v>40000</v>
      </c>
      <c r="O579" s="463" t="s">
        <v>537</v>
      </c>
      <c r="P579" s="463" t="s">
        <v>537</v>
      </c>
      <c r="Q579" s="465">
        <v>0</v>
      </c>
      <c r="R579" s="463" t="s">
        <v>771</v>
      </c>
      <c r="S579" s="463" t="s">
        <v>1325</v>
      </c>
      <c r="T579" s="463">
        <v>0</v>
      </c>
      <c r="U579" s="463">
        <v>0</v>
      </c>
      <c r="V579" s="463">
        <v>0</v>
      </c>
      <c r="W579" s="463">
        <v>0</v>
      </c>
      <c r="X579" s="463">
        <v>0</v>
      </c>
      <c r="Y579" s="463">
        <v>0</v>
      </c>
      <c r="Z579" s="463">
        <v>100</v>
      </c>
      <c r="AA579" s="472" t="s">
        <v>1775</v>
      </c>
      <c r="AB579" s="463" t="s">
        <v>539</v>
      </c>
      <c r="AC579" s="463" t="s">
        <v>539</v>
      </c>
      <c r="AD579" s="472" t="s">
        <v>1776</v>
      </c>
      <c r="AE579" s="463" t="s">
        <v>539</v>
      </c>
      <c r="AF579" s="463" t="s">
        <v>539</v>
      </c>
      <c r="AG579" s="463" t="s">
        <v>375</v>
      </c>
      <c r="AH579" s="476"/>
      <c r="AI579" s="472" t="s">
        <v>1777</v>
      </c>
      <c r="AJ579" s="472" t="s">
        <v>543</v>
      </c>
    </row>
    <row r="580" spans="2:36" ht="24" hidden="1" customHeight="1">
      <c r="B580" s="463">
        <v>482</v>
      </c>
      <c r="C580" s="464" t="s">
        <v>534</v>
      </c>
      <c r="D580" s="464"/>
      <c r="E580" s="464" t="s">
        <v>577</v>
      </c>
      <c r="F580" s="464"/>
      <c r="G580" s="464" t="s">
        <v>60</v>
      </c>
      <c r="H580" s="464" t="s">
        <v>1778</v>
      </c>
      <c r="I580" s="465" t="s">
        <v>537</v>
      </c>
      <c r="J580" s="465" t="s">
        <v>537</v>
      </c>
      <c r="K580" s="466">
        <v>30000</v>
      </c>
      <c r="L580" s="465" t="s">
        <v>537</v>
      </c>
      <c r="M580" s="465" t="s">
        <v>537</v>
      </c>
      <c r="N580" s="466">
        <v>30000</v>
      </c>
      <c r="O580" s="463" t="s">
        <v>537</v>
      </c>
      <c r="P580" s="463" t="s">
        <v>537</v>
      </c>
      <c r="Q580" s="465">
        <v>0</v>
      </c>
      <c r="R580" s="470">
        <v>241487</v>
      </c>
      <c r="S580" s="463" t="s">
        <v>1779</v>
      </c>
      <c r="T580" s="463">
        <v>0</v>
      </c>
      <c r="U580" s="463">
        <v>0</v>
      </c>
      <c r="V580" s="463">
        <v>0</v>
      </c>
      <c r="W580" s="463">
        <v>17</v>
      </c>
      <c r="X580" s="463">
        <v>9</v>
      </c>
      <c r="Y580" s="463">
        <v>4</v>
      </c>
      <c r="Z580" s="463">
        <v>82</v>
      </c>
      <c r="AA580" s="472" t="s">
        <v>1780</v>
      </c>
      <c r="AB580" s="463" t="s">
        <v>539</v>
      </c>
      <c r="AC580" s="463" t="s">
        <v>539</v>
      </c>
      <c r="AD580" s="472" t="s">
        <v>1781</v>
      </c>
      <c r="AE580" s="463">
        <v>10</v>
      </c>
      <c r="AF580" s="463">
        <v>10</v>
      </c>
      <c r="AG580" s="463" t="s">
        <v>375</v>
      </c>
      <c r="AH580" s="476"/>
      <c r="AI580" s="472">
        <v>899161467</v>
      </c>
      <c r="AJ580" s="472" t="s">
        <v>543</v>
      </c>
    </row>
    <row r="581" spans="2:36" ht="24" hidden="1" customHeight="1">
      <c r="B581" s="463">
        <v>483</v>
      </c>
      <c r="C581" s="464" t="s">
        <v>534</v>
      </c>
      <c r="D581" s="464"/>
      <c r="E581" s="464" t="s">
        <v>577</v>
      </c>
      <c r="F581" s="464"/>
      <c r="G581" s="464" t="s">
        <v>60</v>
      </c>
      <c r="H581" s="464" t="s">
        <v>1782</v>
      </c>
      <c r="I581" s="465" t="s">
        <v>537</v>
      </c>
      <c r="J581" s="465" t="s">
        <v>537</v>
      </c>
      <c r="K581" s="466">
        <v>50000</v>
      </c>
      <c r="L581" s="465" t="s">
        <v>537</v>
      </c>
      <c r="M581" s="465" t="s">
        <v>537</v>
      </c>
      <c r="N581" s="466">
        <v>50000</v>
      </c>
      <c r="O581" s="463" t="s">
        <v>537</v>
      </c>
      <c r="P581" s="463" t="s">
        <v>537</v>
      </c>
      <c r="Q581" s="465">
        <v>0</v>
      </c>
      <c r="R581" s="470">
        <v>241579</v>
      </c>
      <c r="S581" s="463" t="s">
        <v>1783</v>
      </c>
      <c r="T581" s="463">
        <v>0</v>
      </c>
      <c r="U581" s="463">
        <v>0</v>
      </c>
      <c r="V581" s="463">
        <v>0</v>
      </c>
      <c r="W581" s="463">
        <v>0</v>
      </c>
      <c r="X581" s="463">
        <v>3</v>
      </c>
      <c r="Y581" s="463">
        <v>0</v>
      </c>
      <c r="Z581" s="463">
        <v>81.7</v>
      </c>
      <c r="AA581" s="472" t="s">
        <v>1784</v>
      </c>
      <c r="AB581" s="463" t="s">
        <v>539</v>
      </c>
      <c r="AC581" s="463" t="s">
        <v>539</v>
      </c>
      <c r="AD581" s="472" t="s">
        <v>1785</v>
      </c>
      <c r="AE581" s="463" t="s">
        <v>539</v>
      </c>
      <c r="AF581" s="463" t="s">
        <v>539</v>
      </c>
      <c r="AG581" s="463" t="s">
        <v>375</v>
      </c>
      <c r="AH581" s="476"/>
      <c r="AI581" s="472" t="s">
        <v>1760</v>
      </c>
      <c r="AJ581" s="472" t="s">
        <v>543</v>
      </c>
    </row>
    <row r="582" spans="2:36" ht="24" hidden="1" customHeight="1">
      <c r="B582" s="701">
        <v>484</v>
      </c>
      <c r="C582" s="699" t="s">
        <v>534</v>
      </c>
      <c r="D582" s="699"/>
      <c r="E582" s="699" t="s">
        <v>577</v>
      </c>
      <c r="F582" s="699"/>
      <c r="G582" s="699" t="s">
        <v>60</v>
      </c>
      <c r="H582" s="699" t="s">
        <v>1786</v>
      </c>
      <c r="I582" s="709" t="s">
        <v>537</v>
      </c>
      <c r="J582" s="709" t="s">
        <v>537</v>
      </c>
      <c r="K582" s="712">
        <v>80000</v>
      </c>
      <c r="L582" s="709" t="s">
        <v>537</v>
      </c>
      <c r="M582" s="709" t="s">
        <v>537</v>
      </c>
      <c r="N582" s="712">
        <v>80000</v>
      </c>
      <c r="O582" s="701" t="s">
        <v>537</v>
      </c>
      <c r="P582" s="701" t="s">
        <v>537</v>
      </c>
      <c r="Q582" s="709">
        <v>0</v>
      </c>
      <c r="R582" s="701" t="s">
        <v>727</v>
      </c>
      <c r="S582" s="701" t="s">
        <v>1787</v>
      </c>
      <c r="T582" s="701">
        <v>0</v>
      </c>
      <c r="U582" s="701">
        <v>0</v>
      </c>
      <c r="V582" s="701">
        <v>0</v>
      </c>
      <c r="W582" s="701">
        <v>0</v>
      </c>
      <c r="X582" s="701">
        <v>0</v>
      </c>
      <c r="Y582" s="701">
        <v>0</v>
      </c>
      <c r="Z582" s="701">
        <v>0</v>
      </c>
      <c r="AA582" s="697" t="s">
        <v>1788</v>
      </c>
      <c r="AB582" s="701" t="s">
        <v>539</v>
      </c>
      <c r="AC582" s="701" t="s">
        <v>539</v>
      </c>
      <c r="AD582" s="458" t="s">
        <v>1789</v>
      </c>
      <c r="AE582" s="459" t="s">
        <v>539</v>
      </c>
      <c r="AF582" s="459" t="s">
        <v>539</v>
      </c>
      <c r="AG582" s="701" t="s">
        <v>375</v>
      </c>
      <c r="AH582" s="728"/>
      <c r="AI582" s="697" t="s">
        <v>1691</v>
      </c>
      <c r="AJ582" s="697" t="s">
        <v>543</v>
      </c>
    </row>
    <row r="583" spans="2:36" ht="24" hidden="1" customHeight="1">
      <c r="B583" s="702"/>
      <c r="C583" s="700"/>
      <c r="D583" s="700"/>
      <c r="E583" s="700"/>
      <c r="F583" s="700"/>
      <c r="G583" s="700"/>
      <c r="H583" s="700"/>
      <c r="I583" s="710"/>
      <c r="J583" s="710"/>
      <c r="K583" s="713"/>
      <c r="L583" s="710"/>
      <c r="M583" s="710"/>
      <c r="N583" s="713"/>
      <c r="O583" s="702"/>
      <c r="P583" s="702"/>
      <c r="Q583" s="710"/>
      <c r="R583" s="702"/>
      <c r="S583" s="702"/>
      <c r="T583" s="702"/>
      <c r="U583" s="702"/>
      <c r="V583" s="702"/>
      <c r="W583" s="702"/>
      <c r="X583" s="702"/>
      <c r="Y583" s="702"/>
      <c r="Z583" s="702"/>
      <c r="AA583" s="698"/>
      <c r="AB583" s="702"/>
      <c r="AC583" s="702"/>
      <c r="AD583" s="473" t="s">
        <v>1790</v>
      </c>
      <c r="AE583" s="474" t="s">
        <v>539</v>
      </c>
      <c r="AF583" s="474" t="s">
        <v>539</v>
      </c>
      <c r="AG583" s="702"/>
      <c r="AH583" s="729"/>
      <c r="AI583" s="698"/>
      <c r="AJ583" s="698"/>
    </row>
    <row r="584" spans="2:36" ht="24" hidden="1" customHeight="1">
      <c r="B584" s="463">
        <v>485</v>
      </c>
      <c r="C584" s="464" t="s">
        <v>337</v>
      </c>
      <c r="D584" s="464"/>
      <c r="E584" s="464" t="s">
        <v>545</v>
      </c>
      <c r="F584" s="464"/>
      <c r="G584" s="464" t="s">
        <v>60</v>
      </c>
      <c r="H584" s="464" t="s">
        <v>1791</v>
      </c>
      <c r="I584" s="466">
        <v>30000</v>
      </c>
      <c r="J584" s="465" t="s">
        <v>537</v>
      </c>
      <c r="K584" s="465" t="s">
        <v>537</v>
      </c>
      <c r="L584" s="466">
        <v>30000</v>
      </c>
      <c r="M584" s="465" t="s">
        <v>537</v>
      </c>
      <c r="N584" s="465" t="s">
        <v>537</v>
      </c>
      <c r="O584" s="463" t="s">
        <v>537</v>
      </c>
      <c r="P584" s="463" t="s">
        <v>537</v>
      </c>
      <c r="Q584" s="465">
        <v>0</v>
      </c>
      <c r="R584" s="463" t="s">
        <v>1214</v>
      </c>
      <c r="S584" s="463" t="s">
        <v>1766</v>
      </c>
      <c r="T584" s="463">
        <v>4</v>
      </c>
      <c r="U584" s="463">
        <v>1</v>
      </c>
      <c r="V584" s="463">
        <v>5</v>
      </c>
      <c r="W584" s="463">
        <v>0</v>
      </c>
      <c r="X584" s="463">
        <v>2</v>
      </c>
      <c r="Y584" s="463">
        <v>30</v>
      </c>
      <c r="Z584" s="463">
        <v>100</v>
      </c>
      <c r="AA584" s="472" t="s">
        <v>1792</v>
      </c>
      <c r="AB584" s="463" t="s">
        <v>539</v>
      </c>
      <c r="AC584" s="463" t="s">
        <v>539</v>
      </c>
      <c r="AD584" s="472" t="s">
        <v>1793</v>
      </c>
      <c r="AE584" s="463">
        <v>1</v>
      </c>
      <c r="AF584" s="463">
        <v>1</v>
      </c>
      <c r="AG584" s="463" t="s">
        <v>375</v>
      </c>
      <c r="AH584" s="476"/>
      <c r="AI584" s="472" t="s">
        <v>1794</v>
      </c>
      <c r="AJ584" s="464"/>
    </row>
    <row r="585" spans="2:36" ht="24" hidden="1" customHeight="1">
      <c r="B585" s="463">
        <v>486</v>
      </c>
      <c r="C585" s="464" t="s">
        <v>337</v>
      </c>
      <c r="D585" s="464"/>
      <c r="E585" s="464" t="s">
        <v>545</v>
      </c>
      <c r="F585" s="464"/>
      <c r="G585" s="464" t="s">
        <v>60</v>
      </c>
      <c r="H585" s="464" t="s">
        <v>1795</v>
      </c>
      <c r="I585" s="465">
        <v>0</v>
      </c>
      <c r="J585" s="465" t="s">
        <v>537</v>
      </c>
      <c r="K585" s="465" t="s">
        <v>537</v>
      </c>
      <c r="L585" s="465">
        <v>0</v>
      </c>
      <c r="M585" s="465" t="s">
        <v>537</v>
      </c>
      <c r="N585" s="465" t="s">
        <v>537</v>
      </c>
      <c r="O585" s="463" t="s">
        <v>537</v>
      </c>
      <c r="P585" s="463" t="s">
        <v>537</v>
      </c>
      <c r="Q585" s="465">
        <v>0</v>
      </c>
      <c r="R585" s="463" t="s">
        <v>1796</v>
      </c>
      <c r="S585" s="471">
        <v>22466</v>
      </c>
      <c r="T585" s="463">
        <v>4</v>
      </c>
      <c r="U585" s="463">
        <v>6</v>
      </c>
      <c r="V585" s="463">
        <v>60</v>
      </c>
      <c r="W585" s="463">
        <v>60</v>
      </c>
      <c r="X585" s="463">
        <v>5</v>
      </c>
      <c r="Y585" s="463">
        <v>65</v>
      </c>
      <c r="Z585" s="463">
        <v>98</v>
      </c>
      <c r="AA585" s="472" t="s">
        <v>547</v>
      </c>
      <c r="AB585" s="463" t="s">
        <v>539</v>
      </c>
      <c r="AC585" s="463" t="s">
        <v>539</v>
      </c>
      <c r="AD585" s="472" t="s">
        <v>925</v>
      </c>
      <c r="AE585" s="463">
        <v>80</v>
      </c>
      <c r="AF585" s="463">
        <v>98</v>
      </c>
      <c r="AG585" s="463" t="s">
        <v>375</v>
      </c>
      <c r="AH585" s="476"/>
      <c r="AI585" s="472" t="s">
        <v>1716</v>
      </c>
      <c r="AJ585" s="464"/>
    </row>
    <row r="586" spans="2:36" ht="24" hidden="1" customHeight="1">
      <c r="B586" s="463">
        <v>487</v>
      </c>
      <c r="C586" s="464" t="s">
        <v>337</v>
      </c>
      <c r="D586" s="464"/>
      <c r="E586" s="464" t="s">
        <v>545</v>
      </c>
      <c r="F586" s="464"/>
      <c r="G586" s="464" t="s">
        <v>60</v>
      </c>
      <c r="H586" s="464" t="s">
        <v>1797</v>
      </c>
      <c r="I586" s="465" t="s">
        <v>537</v>
      </c>
      <c r="J586" s="465" t="s">
        <v>537</v>
      </c>
      <c r="K586" s="466">
        <v>20000</v>
      </c>
      <c r="L586" s="465" t="s">
        <v>537</v>
      </c>
      <c r="M586" s="465" t="s">
        <v>537</v>
      </c>
      <c r="N586" s="466">
        <v>7700</v>
      </c>
      <c r="O586" s="463" t="s">
        <v>537</v>
      </c>
      <c r="P586" s="463" t="s">
        <v>537</v>
      </c>
      <c r="Q586" s="468">
        <v>12300</v>
      </c>
      <c r="R586" s="470">
        <v>241487</v>
      </c>
      <c r="S586" s="463" t="s">
        <v>1798</v>
      </c>
      <c r="T586" s="463">
        <v>2</v>
      </c>
      <c r="U586" s="463">
        <v>5</v>
      </c>
      <c r="V586" s="463">
        <v>38</v>
      </c>
      <c r="W586" s="463">
        <v>0</v>
      </c>
      <c r="X586" s="463">
        <v>4</v>
      </c>
      <c r="Y586" s="463">
        <v>41</v>
      </c>
      <c r="Z586" s="463">
        <v>87</v>
      </c>
      <c r="AA586" s="472" t="s">
        <v>547</v>
      </c>
      <c r="AB586" s="463" t="s">
        <v>539</v>
      </c>
      <c r="AC586" s="463" t="s">
        <v>539</v>
      </c>
      <c r="AD586" s="472" t="s">
        <v>1799</v>
      </c>
      <c r="AE586" s="463" t="s">
        <v>539</v>
      </c>
      <c r="AF586" s="463" t="s">
        <v>539</v>
      </c>
      <c r="AG586" s="463" t="s">
        <v>375</v>
      </c>
      <c r="AH586" s="476"/>
      <c r="AI586" s="472" t="s">
        <v>1777</v>
      </c>
      <c r="AJ586" s="472" t="s">
        <v>543</v>
      </c>
    </row>
    <row r="587" spans="2:36" ht="24" hidden="1" customHeight="1">
      <c r="B587" s="463">
        <v>488</v>
      </c>
      <c r="C587" s="464" t="s">
        <v>10</v>
      </c>
      <c r="D587" s="464"/>
      <c r="E587" s="464" t="s">
        <v>558</v>
      </c>
      <c r="F587" s="464"/>
      <c r="G587" s="464" t="s">
        <v>60</v>
      </c>
      <c r="H587" s="464" t="s">
        <v>1800</v>
      </c>
      <c r="I587" s="465" t="s">
        <v>537</v>
      </c>
      <c r="J587" s="465" t="s">
        <v>537</v>
      </c>
      <c r="K587" s="466">
        <v>6000</v>
      </c>
      <c r="L587" s="465" t="s">
        <v>537</v>
      </c>
      <c r="M587" s="465" t="s">
        <v>537</v>
      </c>
      <c r="N587" s="466">
        <v>4700</v>
      </c>
      <c r="O587" s="463" t="s">
        <v>537</v>
      </c>
      <c r="P587" s="463" t="s">
        <v>537</v>
      </c>
      <c r="Q587" s="468">
        <v>1300</v>
      </c>
      <c r="R587" s="470">
        <v>241487</v>
      </c>
      <c r="S587" s="471">
        <v>22366</v>
      </c>
      <c r="T587" s="463">
        <v>27</v>
      </c>
      <c r="U587" s="463">
        <v>3</v>
      </c>
      <c r="V587" s="463">
        <v>0</v>
      </c>
      <c r="W587" s="463">
        <v>24</v>
      </c>
      <c r="X587" s="463">
        <v>6</v>
      </c>
      <c r="Y587" s="463">
        <v>0</v>
      </c>
      <c r="Z587" s="463">
        <v>95.5</v>
      </c>
      <c r="AA587" s="472" t="s">
        <v>1801</v>
      </c>
      <c r="AB587" s="463" t="s">
        <v>539</v>
      </c>
      <c r="AC587" s="463" t="s">
        <v>539</v>
      </c>
      <c r="AD587" s="472" t="s">
        <v>1802</v>
      </c>
      <c r="AE587" s="463" t="s">
        <v>539</v>
      </c>
      <c r="AF587" s="463" t="s">
        <v>539</v>
      </c>
      <c r="AG587" s="463" t="s">
        <v>375</v>
      </c>
      <c r="AH587" s="476"/>
      <c r="AI587" s="472" t="s">
        <v>1667</v>
      </c>
      <c r="AJ587" s="472" t="s">
        <v>562</v>
      </c>
    </row>
    <row r="588" spans="2:36" ht="24" hidden="1" customHeight="1">
      <c r="B588" s="463">
        <v>489</v>
      </c>
      <c r="C588" s="464" t="s">
        <v>10</v>
      </c>
      <c r="D588" s="464"/>
      <c r="E588" s="464" t="s">
        <v>558</v>
      </c>
      <c r="F588" s="464"/>
      <c r="G588" s="464" t="s">
        <v>60</v>
      </c>
      <c r="H588" s="464" t="s">
        <v>1803</v>
      </c>
      <c r="I588" s="465" t="s">
        <v>537</v>
      </c>
      <c r="J588" s="465" t="s">
        <v>537</v>
      </c>
      <c r="K588" s="466">
        <v>6000</v>
      </c>
      <c r="L588" s="465" t="s">
        <v>537</v>
      </c>
      <c r="M588" s="465" t="s">
        <v>537</v>
      </c>
      <c r="N588" s="465">
        <v>0</v>
      </c>
      <c r="O588" s="463" t="s">
        <v>537</v>
      </c>
      <c r="P588" s="463" t="s">
        <v>537</v>
      </c>
      <c r="Q588" s="468">
        <v>6000</v>
      </c>
      <c r="R588" s="470">
        <v>241487</v>
      </c>
      <c r="S588" s="463" t="s">
        <v>1495</v>
      </c>
      <c r="T588" s="463">
        <v>26</v>
      </c>
      <c r="U588" s="463">
        <v>4</v>
      </c>
      <c r="V588" s="463">
        <v>0</v>
      </c>
      <c r="W588" s="463">
        <v>19</v>
      </c>
      <c r="X588" s="463">
        <v>4</v>
      </c>
      <c r="Y588" s="463">
        <v>0</v>
      </c>
      <c r="Z588" s="463">
        <v>85.13</v>
      </c>
      <c r="AA588" s="472" t="s">
        <v>633</v>
      </c>
      <c r="AB588" s="463" t="s">
        <v>539</v>
      </c>
      <c r="AC588" s="463" t="s">
        <v>539</v>
      </c>
      <c r="AD588" s="472" t="s">
        <v>635</v>
      </c>
      <c r="AE588" s="463" t="s">
        <v>539</v>
      </c>
      <c r="AF588" s="463" t="s">
        <v>539</v>
      </c>
      <c r="AG588" s="463" t="s">
        <v>375</v>
      </c>
      <c r="AH588" s="476"/>
      <c r="AI588" s="472" t="s">
        <v>1686</v>
      </c>
      <c r="AJ588" s="472" t="s">
        <v>562</v>
      </c>
    </row>
    <row r="589" spans="2:36" ht="24" hidden="1" customHeight="1">
      <c r="B589" s="463">
        <v>490</v>
      </c>
      <c r="C589" s="464" t="s">
        <v>10</v>
      </c>
      <c r="D589" s="464"/>
      <c r="E589" s="464" t="s">
        <v>558</v>
      </c>
      <c r="F589" s="464"/>
      <c r="G589" s="464" t="s">
        <v>60</v>
      </c>
      <c r="H589" s="464" t="s">
        <v>1804</v>
      </c>
      <c r="I589" s="465" t="s">
        <v>537</v>
      </c>
      <c r="J589" s="465" t="s">
        <v>537</v>
      </c>
      <c r="K589" s="466">
        <v>6000</v>
      </c>
      <c r="L589" s="465" t="s">
        <v>537</v>
      </c>
      <c r="M589" s="465" t="s">
        <v>537</v>
      </c>
      <c r="N589" s="466">
        <v>5000</v>
      </c>
      <c r="O589" s="463" t="s">
        <v>537</v>
      </c>
      <c r="P589" s="463" t="s">
        <v>537</v>
      </c>
      <c r="Q589" s="468">
        <v>1000</v>
      </c>
      <c r="R589" s="470">
        <v>241487</v>
      </c>
      <c r="S589" s="463" t="s">
        <v>1466</v>
      </c>
      <c r="T589" s="463">
        <v>34</v>
      </c>
      <c r="U589" s="463">
        <v>2</v>
      </c>
      <c r="V589" s="463">
        <v>0</v>
      </c>
      <c r="W589" s="463">
        <v>33</v>
      </c>
      <c r="X589" s="463">
        <v>3</v>
      </c>
      <c r="Y589" s="463">
        <v>0</v>
      </c>
      <c r="Z589" s="463">
        <v>97</v>
      </c>
      <c r="AA589" s="472" t="s">
        <v>633</v>
      </c>
      <c r="AB589" s="463" t="s">
        <v>539</v>
      </c>
      <c r="AC589" s="463" t="s">
        <v>539</v>
      </c>
      <c r="AD589" s="472" t="s">
        <v>635</v>
      </c>
      <c r="AE589" s="463" t="s">
        <v>539</v>
      </c>
      <c r="AF589" s="463" t="s">
        <v>539</v>
      </c>
      <c r="AG589" s="463" t="s">
        <v>375</v>
      </c>
      <c r="AH589" s="476"/>
      <c r="AI589" s="472" t="s">
        <v>1654</v>
      </c>
      <c r="AJ589" s="472" t="s">
        <v>562</v>
      </c>
    </row>
    <row r="590" spans="2:36" ht="24" hidden="1" customHeight="1">
      <c r="B590" s="463">
        <v>491</v>
      </c>
      <c r="C590" s="464" t="s">
        <v>10</v>
      </c>
      <c r="D590" s="464"/>
      <c r="E590" s="464" t="s">
        <v>558</v>
      </c>
      <c r="F590" s="464"/>
      <c r="G590" s="464" t="s">
        <v>60</v>
      </c>
      <c r="H590" s="464" t="s">
        <v>1805</v>
      </c>
      <c r="I590" s="465" t="s">
        <v>537</v>
      </c>
      <c r="J590" s="465" t="s">
        <v>537</v>
      </c>
      <c r="K590" s="466">
        <v>6000</v>
      </c>
      <c r="L590" s="465" t="s">
        <v>537</v>
      </c>
      <c r="M590" s="465" t="s">
        <v>537</v>
      </c>
      <c r="N590" s="465">
        <v>0</v>
      </c>
      <c r="O590" s="463" t="s">
        <v>537</v>
      </c>
      <c r="P590" s="463" t="s">
        <v>537</v>
      </c>
      <c r="Q590" s="468">
        <v>6000</v>
      </c>
      <c r="R590" s="470">
        <v>241518</v>
      </c>
      <c r="S590" s="471">
        <v>22391</v>
      </c>
      <c r="T590" s="463">
        <v>30</v>
      </c>
      <c r="U590" s="463">
        <v>5</v>
      </c>
      <c r="V590" s="463">
        <v>0</v>
      </c>
      <c r="W590" s="463">
        <v>35</v>
      </c>
      <c r="X590" s="463">
        <v>0</v>
      </c>
      <c r="Y590" s="463">
        <v>0</v>
      </c>
      <c r="Z590" s="463">
        <v>94</v>
      </c>
      <c r="AA590" s="472" t="s">
        <v>1806</v>
      </c>
      <c r="AB590" s="463" t="s">
        <v>539</v>
      </c>
      <c r="AC590" s="463" t="s">
        <v>539</v>
      </c>
      <c r="AD590" s="472" t="s">
        <v>635</v>
      </c>
      <c r="AE590" s="463" t="s">
        <v>539</v>
      </c>
      <c r="AF590" s="463" t="s">
        <v>539</v>
      </c>
      <c r="AG590" s="463" t="s">
        <v>375</v>
      </c>
      <c r="AH590" s="476"/>
      <c r="AI590" s="472" t="s">
        <v>1720</v>
      </c>
      <c r="AJ590" s="472" t="s">
        <v>562</v>
      </c>
    </row>
    <row r="591" spans="2:36" ht="24" hidden="1" customHeight="1">
      <c r="B591" s="463">
        <v>492</v>
      </c>
      <c r="C591" s="464" t="s">
        <v>10</v>
      </c>
      <c r="D591" s="464"/>
      <c r="E591" s="464" t="s">
        <v>558</v>
      </c>
      <c r="F591" s="464"/>
      <c r="G591" s="464" t="s">
        <v>60</v>
      </c>
      <c r="H591" s="464" t="s">
        <v>1807</v>
      </c>
      <c r="I591" s="465" t="s">
        <v>537</v>
      </c>
      <c r="J591" s="465" t="s">
        <v>537</v>
      </c>
      <c r="K591" s="466">
        <v>6000</v>
      </c>
      <c r="L591" s="465" t="s">
        <v>537</v>
      </c>
      <c r="M591" s="465" t="s">
        <v>537</v>
      </c>
      <c r="N591" s="465">
        <v>0</v>
      </c>
      <c r="O591" s="463" t="s">
        <v>537</v>
      </c>
      <c r="P591" s="463" t="s">
        <v>537</v>
      </c>
      <c r="Q591" s="468">
        <v>6000</v>
      </c>
      <c r="R591" s="470">
        <v>241487</v>
      </c>
      <c r="S591" s="463" t="s">
        <v>1262</v>
      </c>
      <c r="T591" s="463">
        <v>25</v>
      </c>
      <c r="U591" s="463">
        <v>5</v>
      </c>
      <c r="V591" s="463">
        <v>0</v>
      </c>
      <c r="W591" s="463">
        <v>30</v>
      </c>
      <c r="X591" s="463">
        <v>2</v>
      </c>
      <c r="Y591" s="463">
        <v>0</v>
      </c>
      <c r="Z591" s="464"/>
      <c r="AA591" s="472" t="s">
        <v>633</v>
      </c>
      <c r="AB591" s="463" t="s">
        <v>539</v>
      </c>
      <c r="AC591" s="463" t="s">
        <v>539</v>
      </c>
      <c r="AD591" s="472" t="s">
        <v>635</v>
      </c>
      <c r="AE591" s="463" t="s">
        <v>539</v>
      </c>
      <c r="AF591" s="463" t="s">
        <v>539</v>
      </c>
      <c r="AG591" s="463" t="s">
        <v>375</v>
      </c>
      <c r="AH591" s="476"/>
      <c r="AI591" s="464"/>
      <c r="AJ591" s="472" t="s">
        <v>562</v>
      </c>
    </row>
    <row r="592" spans="2:36" ht="24" hidden="1" customHeight="1">
      <c r="B592" s="463">
        <v>493</v>
      </c>
      <c r="C592" s="464" t="s">
        <v>534</v>
      </c>
      <c r="D592" s="464"/>
      <c r="E592" s="464" t="s">
        <v>577</v>
      </c>
      <c r="F592" s="464"/>
      <c r="G592" s="464" t="s">
        <v>281</v>
      </c>
      <c r="H592" s="464" t="s">
        <v>1808</v>
      </c>
      <c r="I592" s="465" t="s">
        <v>537</v>
      </c>
      <c r="J592" s="465" t="s">
        <v>537</v>
      </c>
      <c r="K592" s="466">
        <v>40000</v>
      </c>
      <c r="L592" s="465" t="s">
        <v>537</v>
      </c>
      <c r="M592" s="465" t="s">
        <v>537</v>
      </c>
      <c r="N592" s="466">
        <v>40000</v>
      </c>
      <c r="O592" s="463" t="s">
        <v>537</v>
      </c>
      <c r="P592" s="463" t="s">
        <v>537</v>
      </c>
      <c r="Q592" s="465">
        <v>0</v>
      </c>
      <c r="R592" s="470">
        <v>241518</v>
      </c>
      <c r="S592" s="463" t="s">
        <v>1809</v>
      </c>
      <c r="T592" s="463">
        <v>0</v>
      </c>
      <c r="U592" s="463">
        <v>0</v>
      </c>
      <c r="V592" s="463">
        <v>0</v>
      </c>
      <c r="W592" s="464"/>
      <c r="X592" s="463">
        <v>2</v>
      </c>
      <c r="Y592" s="464"/>
      <c r="Z592" s="463">
        <v>82.5</v>
      </c>
      <c r="AA592" s="472" t="s">
        <v>1810</v>
      </c>
      <c r="AB592" s="463" t="s">
        <v>539</v>
      </c>
      <c r="AC592" s="463" t="s">
        <v>539</v>
      </c>
      <c r="AD592" s="472" t="s">
        <v>1811</v>
      </c>
      <c r="AE592" s="463" t="s">
        <v>539</v>
      </c>
      <c r="AF592" s="463" t="s">
        <v>539</v>
      </c>
      <c r="AG592" s="463" t="s">
        <v>375</v>
      </c>
      <c r="AH592" s="476"/>
      <c r="AI592" s="472">
        <v>818934374</v>
      </c>
      <c r="AJ592" s="472" t="s">
        <v>543</v>
      </c>
    </row>
    <row r="593" spans="2:36" ht="24" hidden="1" customHeight="1">
      <c r="B593" s="463">
        <v>494</v>
      </c>
      <c r="C593" s="464" t="s">
        <v>534</v>
      </c>
      <c r="D593" s="464"/>
      <c r="E593" s="464" t="s">
        <v>577</v>
      </c>
      <c r="F593" s="464"/>
      <c r="G593" s="464" t="s">
        <v>281</v>
      </c>
      <c r="H593" s="464" t="s">
        <v>1812</v>
      </c>
      <c r="I593" s="465" t="s">
        <v>537</v>
      </c>
      <c r="J593" s="465" t="s">
        <v>537</v>
      </c>
      <c r="K593" s="466">
        <v>125000</v>
      </c>
      <c r="L593" s="465" t="s">
        <v>537</v>
      </c>
      <c r="M593" s="465" t="s">
        <v>537</v>
      </c>
      <c r="N593" s="466">
        <v>125000</v>
      </c>
      <c r="O593" s="463" t="s">
        <v>537</v>
      </c>
      <c r="P593" s="463" t="s">
        <v>537</v>
      </c>
      <c r="Q593" s="465">
        <v>0</v>
      </c>
      <c r="R593" s="470">
        <v>241518</v>
      </c>
      <c r="S593" s="463" t="s">
        <v>1813</v>
      </c>
      <c r="T593" s="463">
        <v>0</v>
      </c>
      <c r="U593" s="463">
        <v>0</v>
      </c>
      <c r="V593" s="463">
        <v>0</v>
      </c>
      <c r="W593" s="464"/>
      <c r="X593" s="463">
        <v>2</v>
      </c>
      <c r="Y593" s="464"/>
      <c r="Z593" s="463">
        <v>84</v>
      </c>
      <c r="AA593" s="472" t="s">
        <v>1814</v>
      </c>
      <c r="AB593" s="463" t="s">
        <v>539</v>
      </c>
      <c r="AC593" s="463" t="s">
        <v>539</v>
      </c>
      <c r="AD593" s="472" t="s">
        <v>1815</v>
      </c>
      <c r="AE593" s="463">
        <v>10</v>
      </c>
      <c r="AF593" s="463">
        <v>50</v>
      </c>
      <c r="AG593" s="463" t="s">
        <v>375</v>
      </c>
      <c r="AH593" s="476"/>
      <c r="AI593" s="472">
        <v>818934374</v>
      </c>
      <c r="AJ593" s="472" t="s">
        <v>1105</v>
      </c>
    </row>
    <row r="594" spans="2:36" ht="24" hidden="1" customHeight="1">
      <c r="B594" s="701">
        <v>495</v>
      </c>
      <c r="C594" s="699" t="s">
        <v>534</v>
      </c>
      <c r="D594" s="699"/>
      <c r="E594" s="699" t="s">
        <v>577</v>
      </c>
      <c r="F594" s="699"/>
      <c r="G594" s="699" t="s">
        <v>281</v>
      </c>
      <c r="H594" s="699" t="s">
        <v>1816</v>
      </c>
      <c r="I594" s="709" t="s">
        <v>537</v>
      </c>
      <c r="J594" s="709" t="s">
        <v>537</v>
      </c>
      <c r="K594" s="712">
        <v>600000</v>
      </c>
      <c r="L594" s="709" t="s">
        <v>537</v>
      </c>
      <c r="M594" s="709" t="s">
        <v>537</v>
      </c>
      <c r="N594" s="712">
        <v>514210</v>
      </c>
      <c r="O594" s="701" t="s">
        <v>537</v>
      </c>
      <c r="P594" s="701" t="s">
        <v>537</v>
      </c>
      <c r="Q594" s="705">
        <v>85790</v>
      </c>
      <c r="R594" s="701" t="s">
        <v>552</v>
      </c>
      <c r="S594" s="701" t="s">
        <v>1118</v>
      </c>
      <c r="T594" s="701">
        <v>0</v>
      </c>
      <c r="U594" s="701">
        <v>0</v>
      </c>
      <c r="V594" s="701">
        <v>0</v>
      </c>
      <c r="W594" s="701">
        <v>120</v>
      </c>
      <c r="X594" s="701">
        <v>30</v>
      </c>
      <c r="Y594" s="701">
        <v>90</v>
      </c>
      <c r="Z594" s="701">
        <v>84</v>
      </c>
      <c r="AA594" s="697" t="s">
        <v>1817</v>
      </c>
      <c r="AB594" s="701" t="s">
        <v>539</v>
      </c>
      <c r="AC594" s="701" t="s">
        <v>539</v>
      </c>
      <c r="AD594" s="458" t="s">
        <v>1818</v>
      </c>
      <c r="AE594" s="459">
        <v>85</v>
      </c>
      <c r="AF594" s="459">
        <v>90</v>
      </c>
      <c r="AG594" s="701" t="s">
        <v>375</v>
      </c>
      <c r="AH594" s="728"/>
      <c r="AI594" s="697">
        <v>818934374</v>
      </c>
      <c r="AJ594" s="697" t="s">
        <v>543</v>
      </c>
    </row>
    <row r="595" spans="2:36" ht="24" hidden="1" customHeight="1">
      <c r="B595" s="702"/>
      <c r="C595" s="700"/>
      <c r="D595" s="700"/>
      <c r="E595" s="700"/>
      <c r="F595" s="700"/>
      <c r="G595" s="700"/>
      <c r="H595" s="700"/>
      <c r="I595" s="710"/>
      <c r="J595" s="710"/>
      <c r="K595" s="713"/>
      <c r="L595" s="710"/>
      <c r="M595" s="710"/>
      <c r="N595" s="713"/>
      <c r="O595" s="702"/>
      <c r="P595" s="702"/>
      <c r="Q595" s="706"/>
      <c r="R595" s="702"/>
      <c r="S595" s="702"/>
      <c r="T595" s="702"/>
      <c r="U595" s="702"/>
      <c r="V595" s="702"/>
      <c r="W595" s="702"/>
      <c r="X595" s="702"/>
      <c r="Y595" s="702"/>
      <c r="Z595" s="702"/>
      <c r="AA595" s="698"/>
      <c r="AB595" s="702"/>
      <c r="AC595" s="702"/>
      <c r="AD595" s="473" t="s">
        <v>1819</v>
      </c>
      <c r="AE595" s="474">
        <v>1</v>
      </c>
      <c r="AF595" s="474">
        <v>1</v>
      </c>
      <c r="AG595" s="702"/>
      <c r="AH595" s="729"/>
      <c r="AI595" s="698"/>
      <c r="AJ595" s="698"/>
    </row>
    <row r="596" spans="2:36" ht="24" hidden="1" customHeight="1">
      <c r="B596" s="701">
        <v>496</v>
      </c>
      <c r="C596" s="699" t="s">
        <v>534</v>
      </c>
      <c r="D596" s="699"/>
      <c r="E596" s="699" t="s">
        <v>577</v>
      </c>
      <c r="F596" s="699"/>
      <c r="G596" s="699" t="s">
        <v>281</v>
      </c>
      <c r="H596" s="699" t="s">
        <v>1820</v>
      </c>
      <c r="I596" s="709" t="s">
        <v>537</v>
      </c>
      <c r="J596" s="709" t="s">
        <v>537</v>
      </c>
      <c r="K596" s="712">
        <v>250000</v>
      </c>
      <c r="L596" s="709" t="s">
        <v>537</v>
      </c>
      <c r="M596" s="709" t="s">
        <v>537</v>
      </c>
      <c r="N596" s="712">
        <v>257345</v>
      </c>
      <c r="O596" s="701" t="s">
        <v>537</v>
      </c>
      <c r="P596" s="701" t="s">
        <v>537</v>
      </c>
      <c r="Q596" s="705">
        <v>-7345</v>
      </c>
      <c r="R596" s="707">
        <v>241397</v>
      </c>
      <c r="S596" s="701" t="s">
        <v>1821</v>
      </c>
      <c r="T596" s="701">
        <v>0</v>
      </c>
      <c r="U596" s="701">
        <v>14</v>
      </c>
      <c r="V596" s="701">
        <v>0</v>
      </c>
      <c r="W596" s="699"/>
      <c r="X596" s="701">
        <v>14</v>
      </c>
      <c r="Y596" s="701">
        <v>1000</v>
      </c>
      <c r="Z596" s="701">
        <v>97</v>
      </c>
      <c r="AA596" s="697" t="s">
        <v>1822</v>
      </c>
      <c r="AB596" s="701" t="s">
        <v>539</v>
      </c>
      <c r="AC596" s="701" t="s">
        <v>539</v>
      </c>
      <c r="AD596" s="458" t="s">
        <v>1823</v>
      </c>
      <c r="AE596" s="459">
        <v>1</v>
      </c>
      <c r="AF596" s="459">
        <v>4</v>
      </c>
      <c r="AG596" s="701" t="s">
        <v>375</v>
      </c>
      <c r="AH596" s="728"/>
      <c r="AI596" s="697">
        <v>818934374</v>
      </c>
      <c r="AJ596" s="697" t="s">
        <v>543</v>
      </c>
    </row>
    <row r="597" spans="2:36" ht="24" hidden="1" customHeight="1">
      <c r="B597" s="702"/>
      <c r="C597" s="700"/>
      <c r="D597" s="700"/>
      <c r="E597" s="700"/>
      <c r="F597" s="700"/>
      <c r="G597" s="700"/>
      <c r="H597" s="700"/>
      <c r="I597" s="710"/>
      <c r="J597" s="710"/>
      <c r="K597" s="713"/>
      <c r="L597" s="710"/>
      <c r="M597" s="710"/>
      <c r="N597" s="713"/>
      <c r="O597" s="702"/>
      <c r="P597" s="702"/>
      <c r="Q597" s="706"/>
      <c r="R597" s="708"/>
      <c r="S597" s="702"/>
      <c r="T597" s="702"/>
      <c r="U597" s="702"/>
      <c r="V597" s="702"/>
      <c r="W597" s="700"/>
      <c r="X597" s="702"/>
      <c r="Y597" s="702"/>
      <c r="Z597" s="702"/>
      <c r="AA597" s="698"/>
      <c r="AB597" s="702"/>
      <c r="AC597" s="702"/>
      <c r="AD597" s="473" t="s">
        <v>1824</v>
      </c>
      <c r="AE597" s="474">
        <v>85</v>
      </c>
      <c r="AF597" s="474">
        <v>100</v>
      </c>
      <c r="AG597" s="702"/>
      <c r="AH597" s="729"/>
      <c r="AI597" s="698"/>
      <c r="AJ597" s="698"/>
    </row>
    <row r="598" spans="2:36" ht="24" hidden="1" customHeight="1">
      <c r="B598" s="701">
        <v>497</v>
      </c>
      <c r="C598" s="699" t="s">
        <v>534</v>
      </c>
      <c r="D598" s="699"/>
      <c r="E598" s="699" t="s">
        <v>535</v>
      </c>
      <c r="F598" s="699"/>
      <c r="G598" s="699" t="s">
        <v>281</v>
      </c>
      <c r="H598" s="699" t="s">
        <v>1825</v>
      </c>
      <c r="I598" s="709" t="s">
        <v>537</v>
      </c>
      <c r="J598" s="712">
        <v>50000</v>
      </c>
      <c r="K598" s="709" t="s">
        <v>537</v>
      </c>
      <c r="L598" s="709" t="s">
        <v>537</v>
      </c>
      <c r="M598" s="712">
        <v>39679</v>
      </c>
      <c r="N598" s="709" t="s">
        <v>537</v>
      </c>
      <c r="O598" s="701" t="s">
        <v>537</v>
      </c>
      <c r="P598" s="701" t="s">
        <v>537</v>
      </c>
      <c r="Q598" s="705">
        <v>10321</v>
      </c>
      <c r="R598" s="701" t="s">
        <v>552</v>
      </c>
      <c r="S598" s="701" t="s">
        <v>1826</v>
      </c>
      <c r="T598" s="701">
        <v>0</v>
      </c>
      <c r="U598" s="701">
        <v>10</v>
      </c>
      <c r="V598" s="701">
        <v>0</v>
      </c>
      <c r="W598" s="701">
        <v>0</v>
      </c>
      <c r="X598" s="701">
        <v>13</v>
      </c>
      <c r="Y598" s="701">
        <v>3</v>
      </c>
      <c r="Z598" s="701">
        <v>90</v>
      </c>
      <c r="AA598" s="697" t="s">
        <v>547</v>
      </c>
      <c r="AB598" s="701" t="s">
        <v>539</v>
      </c>
      <c r="AC598" s="701" t="s">
        <v>539</v>
      </c>
      <c r="AD598" s="458" t="s">
        <v>733</v>
      </c>
      <c r="AE598" s="459">
        <v>1</v>
      </c>
      <c r="AF598" s="459">
        <v>1</v>
      </c>
      <c r="AG598" s="701" t="s">
        <v>375</v>
      </c>
      <c r="AH598" s="728"/>
      <c r="AI598" s="697">
        <v>906377587</v>
      </c>
      <c r="AJ598" s="699"/>
    </row>
    <row r="599" spans="2:36" ht="24" hidden="1" customHeight="1">
      <c r="B599" s="702"/>
      <c r="C599" s="700"/>
      <c r="D599" s="700"/>
      <c r="E599" s="700"/>
      <c r="F599" s="700"/>
      <c r="G599" s="700"/>
      <c r="H599" s="700"/>
      <c r="I599" s="710"/>
      <c r="J599" s="713"/>
      <c r="K599" s="710"/>
      <c r="L599" s="710"/>
      <c r="M599" s="713"/>
      <c r="N599" s="710"/>
      <c r="O599" s="702"/>
      <c r="P599" s="702"/>
      <c r="Q599" s="706"/>
      <c r="R599" s="702"/>
      <c r="S599" s="702"/>
      <c r="T599" s="702"/>
      <c r="U599" s="702"/>
      <c r="V599" s="702"/>
      <c r="W599" s="702"/>
      <c r="X599" s="702"/>
      <c r="Y599" s="702"/>
      <c r="Z599" s="702"/>
      <c r="AA599" s="698"/>
      <c r="AB599" s="702"/>
      <c r="AC599" s="702"/>
      <c r="AD599" s="473" t="s">
        <v>1827</v>
      </c>
      <c r="AE599" s="474">
        <v>1</v>
      </c>
      <c r="AF599" s="474">
        <v>1</v>
      </c>
      <c r="AG599" s="702"/>
      <c r="AH599" s="729"/>
      <c r="AI599" s="698"/>
      <c r="AJ599" s="700"/>
    </row>
    <row r="600" spans="2:36" ht="24" hidden="1" customHeight="1">
      <c r="B600" s="701">
        <v>498</v>
      </c>
      <c r="C600" s="699" t="s">
        <v>534</v>
      </c>
      <c r="D600" s="699"/>
      <c r="E600" s="699" t="s">
        <v>535</v>
      </c>
      <c r="F600" s="699"/>
      <c r="G600" s="699" t="s">
        <v>281</v>
      </c>
      <c r="H600" s="699" t="s">
        <v>1828</v>
      </c>
      <c r="I600" s="712">
        <v>100000</v>
      </c>
      <c r="J600" s="709" t="s">
        <v>537</v>
      </c>
      <c r="K600" s="709" t="s">
        <v>537</v>
      </c>
      <c r="L600" s="712">
        <v>85650</v>
      </c>
      <c r="M600" s="709" t="s">
        <v>537</v>
      </c>
      <c r="N600" s="709" t="s">
        <v>537</v>
      </c>
      <c r="O600" s="701" t="s">
        <v>537</v>
      </c>
      <c r="P600" s="701" t="s">
        <v>537</v>
      </c>
      <c r="Q600" s="705">
        <v>14350</v>
      </c>
      <c r="R600" s="707">
        <v>241487</v>
      </c>
      <c r="S600" s="701" t="s">
        <v>1829</v>
      </c>
      <c r="T600" s="701">
        <v>0</v>
      </c>
      <c r="U600" s="701">
        <v>50</v>
      </c>
      <c r="V600" s="701">
        <v>0</v>
      </c>
      <c r="W600" s="699"/>
      <c r="X600" s="701">
        <v>41</v>
      </c>
      <c r="Y600" s="699"/>
      <c r="Z600" s="699"/>
      <c r="AA600" s="697" t="s">
        <v>547</v>
      </c>
      <c r="AB600" s="701" t="s">
        <v>539</v>
      </c>
      <c r="AC600" s="701" t="s">
        <v>539</v>
      </c>
      <c r="AD600" s="458" t="s">
        <v>548</v>
      </c>
      <c r="AE600" s="459">
        <v>80</v>
      </c>
      <c r="AF600" s="459">
        <v>82</v>
      </c>
      <c r="AG600" s="701" t="s">
        <v>376</v>
      </c>
      <c r="AH600" s="728"/>
      <c r="AI600" s="697">
        <v>811850782</v>
      </c>
      <c r="AJ600" s="699"/>
    </row>
    <row r="601" spans="2:36" ht="24" hidden="1" customHeight="1">
      <c r="B601" s="702"/>
      <c r="C601" s="700"/>
      <c r="D601" s="700"/>
      <c r="E601" s="700"/>
      <c r="F601" s="700"/>
      <c r="G601" s="700"/>
      <c r="H601" s="700"/>
      <c r="I601" s="713"/>
      <c r="J601" s="710"/>
      <c r="K601" s="710"/>
      <c r="L601" s="713"/>
      <c r="M601" s="710"/>
      <c r="N601" s="710"/>
      <c r="O601" s="702"/>
      <c r="P601" s="702"/>
      <c r="Q601" s="706"/>
      <c r="R601" s="708"/>
      <c r="S601" s="702"/>
      <c r="T601" s="702"/>
      <c r="U601" s="702"/>
      <c r="V601" s="702"/>
      <c r="W601" s="700"/>
      <c r="X601" s="702"/>
      <c r="Y601" s="700"/>
      <c r="Z601" s="700"/>
      <c r="AA601" s="698"/>
      <c r="AB601" s="702"/>
      <c r="AC601" s="702"/>
      <c r="AD601" s="473" t="s">
        <v>1830</v>
      </c>
      <c r="AE601" s="474">
        <v>40</v>
      </c>
      <c r="AF601" s="474">
        <v>35</v>
      </c>
      <c r="AG601" s="702"/>
      <c r="AH601" s="729"/>
      <c r="AI601" s="698"/>
      <c r="AJ601" s="700"/>
    </row>
    <row r="602" spans="2:36" ht="24" hidden="1" customHeight="1">
      <c r="B602" s="701">
        <v>499</v>
      </c>
      <c r="C602" s="699" t="s">
        <v>534</v>
      </c>
      <c r="D602" s="699"/>
      <c r="E602" s="699" t="s">
        <v>535</v>
      </c>
      <c r="F602" s="699"/>
      <c r="G602" s="699" t="s">
        <v>281</v>
      </c>
      <c r="H602" s="699" t="s">
        <v>1831</v>
      </c>
      <c r="I602" s="712">
        <v>100000</v>
      </c>
      <c r="J602" s="709" t="s">
        <v>537</v>
      </c>
      <c r="K602" s="709" t="s">
        <v>537</v>
      </c>
      <c r="L602" s="712">
        <v>58810</v>
      </c>
      <c r="M602" s="709" t="s">
        <v>537</v>
      </c>
      <c r="N602" s="709" t="s">
        <v>537</v>
      </c>
      <c r="O602" s="723">
        <v>41190</v>
      </c>
      <c r="P602" s="701" t="s">
        <v>537</v>
      </c>
      <c r="Q602" s="709">
        <v>0</v>
      </c>
      <c r="R602" s="707">
        <v>241518</v>
      </c>
      <c r="S602" s="701" t="s">
        <v>1832</v>
      </c>
      <c r="T602" s="701">
        <v>0</v>
      </c>
      <c r="U602" s="701">
        <v>30</v>
      </c>
      <c r="V602" s="701">
        <v>0</v>
      </c>
      <c r="W602" s="701">
        <v>0</v>
      </c>
      <c r="X602" s="701">
        <v>20</v>
      </c>
      <c r="Y602" s="701">
        <v>0</v>
      </c>
      <c r="Z602" s="701">
        <v>93</v>
      </c>
      <c r="AA602" s="697" t="s">
        <v>547</v>
      </c>
      <c r="AB602" s="701" t="s">
        <v>539</v>
      </c>
      <c r="AC602" s="701" t="s">
        <v>539</v>
      </c>
      <c r="AD602" s="458" t="s">
        <v>733</v>
      </c>
      <c r="AE602" s="459">
        <v>1</v>
      </c>
      <c r="AF602" s="459">
        <v>1</v>
      </c>
      <c r="AG602" s="701" t="s">
        <v>375</v>
      </c>
      <c r="AH602" s="728"/>
      <c r="AI602" s="697">
        <v>906377587</v>
      </c>
      <c r="AJ602" s="699"/>
    </row>
    <row r="603" spans="2:36" ht="24" hidden="1" customHeight="1">
      <c r="B603" s="702"/>
      <c r="C603" s="700"/>
      <c r="D603" s="700"/>
      <c r="E603" s="700"/>
      <c r="F603" s="700"/>
      <c r="G603" s="700"/>
      <c r="H603" s="700"/>
      <c r="I603" s="713"/>
      <c r="J603" s="710"/>
      <c r="K603" s="710"/>
      <c r="L603" s="713"/>
      <c r="M603" s="710"/>
      <c r="N603" s="710"/>
      <c r="O603" s="724"/>
      <c r="P603" s="702"/>
      <c r="Q603" s="710"/>
      <c r="R603" s="708"/>
      <c r="S603" s="702"/>
      <c r="T603" s="702"/>
      <c r="U603" s="702"/>
      <c r="V603" s="702"/>
      <c r="W603" s="702"/>
      <c r="X603" s="702"/>
      <c r="Y603" s="702"/>
      <c r="Z603" s="702"/>
      <c r="AA603" s="698"/>
      <c r="AB603" s="702"/>
      <c r="AC603" s="702"/>
      <c r="AD603" s="473" t="s">
        <v>1833</v>
      </c>
      <c r="AE603" s="474">
        <v>20</v>
      </c>
      <c r="AF603" s="474">
        <v>20</v>
      </c>
      <c r="AG603" s="702"/>
      <c r="AH603" s="729"/>
      <c r="AI603" s="698"/>
      <c r="AJ603" s="700"/>
    </row>
    <row r="604" spans="2:36" ht="24" hidden="1" customHeight="1">
      <c r="B604" s="463">
        <v>500</v>
      </c>
      <c r="C604" s="464" t="s">
        <v>534</v>
      </c>
      <c r="D604" s="464"/>
      <c r="E604" s="464" t="s">
        <v>535</v>
      </c>
      <c r="F604" s="464"/>
      <c r="G604" s="464" t="s">
        <v>281</v>
      </c>
      <c r="H604" s="464" t="s">
        <v>1834</v>
      </c>
      <c r="I604" s="466">
        <v>40000</v>
      </c>
      <c r="J604" s="465" t="s">
        <v>537</v>
      </c>
      <c r="K604" s="465" t="s">
        <v>537</v>
      </c>
      <c r="L604" s="466">
        <v>27820</v>
      </c>
      <c r="M604" s="465" t="s">
        <v>537</v>
      </c>
      <c r="N604" s="465" t="s">
        <v>537</v>
      </c>
      <c r="O604" s="463" t="s">
        <v>537</v>
      </c>
      <c r="P604" s="463" t="s">
        <v>537</v>
      </c>
      <c r="Q604" s="468">
        <v>12180</v>
      </c>
      <c r="R604" s="470">
        <v>241459</v>
      </c>
      <c r="S604" s="471">
        <v>22334</v>
      </c>
      <c r="T604" s="463">
        <v>0</v>
      </c>
      <c r="U604" s="463">
        <v>80</v>
      </c>
      <c r="V604" s="463">
        <v>5</v>
      </c>
      <c r="W604" s="463">
        <v>0</v>
      </c>
      <c r="X604" s="463">
        <v>54</v>
      </c>
      <c r="Y604" s="463">
        <v>0</v>
      </c>
      <c r="Z604" s="463">
        <v>90</v>
      </c>
      <c r="AA604" s="472" t="s">
        <v>547</v>
      </c>
      <c r="AB604" s="463" t="s">
        <v>539</v>
      </c>
      <c r="AC604" s="463" t="s">
        <v>539</v>
      </c>
      <c r="AD604" s="472" t="s">
        <v>548</v>
      </c>
      <c r="AE604" s="463">
        <v>80</v>
      </c>
      <c r="AF604" s="463">
        <v>90</v>
      </c>
      <c r="AG604" s="463" t="s">
        <v>375</v>
      </c>
      <c r="AH604" s="476"/>
      <c r="AI604" s="472">
        <v>824239998</v>
      </c>
      <c r="AJ604" s="464"/>
    </row>
    <row r="605" spans="2:36" ht="24" hidden="1" customHeight="1">
      <c r="B605" s="701">
        <v>501</v>
      </c>
      <c r="C605" s="699" t="s">
        <v>534</v>
      </c>
      <c r="D605" s="699"/>
      <c r="E605" s="699" t="s">
        <v>535</v>
      </c>
      <c r="F605" s="699"/>
      <c r="G605" s="699" t="s">
        <v>281</v>
      </c>
      <c r="H605" s="699" t="s">
        <v>1835</v>
      </c>
      <c r="I605" s="712">
        <v>500000</v>
      </c>
      <c r="J605" s="709" t="s">
        <v>537</v>
      </c>
      <c r="K605" s="709" t="s">
        <v>537</v>
      </c>
      <c r="L605" s="712">
        <v>341940</v>
      </c>
      <c r="M605" s="709" t="s">
        <v>537</v>
      </c>
      <c r="N605" s="709" t="s">
        <v>537</v>
      </c>
      <c r="O605" s="701" t="s">
        <v>537</v>
      </c>
      <c r="P605" s="701" t="s">
        <v>537</v>
      </c>
      <c r="Q605" s="705">
        <v>158060</v>
      </c>
      <c r="R605" s="707">
        <v>241640</v>
      </c>
      <c r="S605" s="701" t="s">
        <v>1836</v>
      </c>
      <c r="T605" s="701">
        <v>200</v>
      </c>
      <c r="U605" s="701">
        <v>100</v>
      </c>
      <c r="V605" s="701">
        <v>150</v>
      </c>
      <c r="W605" s="701">
        <v>0</v>
      </c>
      <c r="X605" s="701">
        <v>0</v>
      </c>
      <c r="Y605" s="701">
        <v>0</v>
      </c>
      <c r="Z605" s="701">
        <v>89</v>
      </c>
      <c r="AA605" s="458" t="s">
        <v>547</v>
      </c>
      <c r="AB605" s="459" t="s">
        <v>539</v>
      </c>
      <c r="AC605" s="459" t="s">
        <v>539</v>
      </c>
      <c r="AD605" s="458" t="s">
        <v>548</v>
      </c>
      <c r="AE605" s="459">
        <v>80</v>
      </c>
      <c r="AF605" s="459">
        <v>89</v>
      </c>
      <c r="AG605" s="701" t="s">
        <v>375</v>
      </c>
      <c r="AH605" s="728"/>
      <c r="AI605" s="697" t="s">
        <v>566</v>
      </c>
      <c r="AJ605" s="699"/>
    </row>
    <row r="606" spans="2:36" ht="24" hidden="1" customHeight="1">
      <c r="B606" s="702"/>
      <c r="C606" s="700"/>
      <c r="D606" s="700"/>
      <c r="E606" s="700"/>
      <c r="F606" s="700"/>
      <c r="G606" s="700"/>
      <c r="H606" s="700"/>
      <c r="I606" s="713"/>
      <c r="J606" s="710"/>
      <c r="K606" s="710"/>
      <c r="L606" s="713"/>
      <c r="M606" s="710"/>
      <c r="N606" s="710"/>
      <c r="O606" s="702"/>
      <c r="P606" s="702"/>
      <c r="Q606" s="706"/>
      <c r="R606" s="708"/>
      <c r="S606" s="702"/>
      <c r="T606" s="702"/>
      <c r="U606" s="702"/>
      <c r="V606" s="702"/>
      <c r="W606" s="702"/>
      <c r="X606" s="702"/>
      <c r="Y606" s="702"/>
      <c r="Z606" s="702"/>
      <c r="AA606" s="473" t="s">
        <v>1837</v>
      </c>
      <c r="AB606" s="474">
        <v>200</v>
      </c>
      <c r="AC606" s="474" t="s">
        <v>539</v>
      </c>
      <c r="AD606" s="473" t="s">
        <v>1838</v>
      </c>
      <c r="AE606" s="474">
        <v>200</v>
      </c>
      <c r="AF606" s="474" t="s">
        <v>539</v>
      </c>
      <c r="AG606" s="702"/>
      <c r="AH606" s="729"/>
      <c r="AI606" s="698"/>
      <c r="AJ606" s="700"/>
    </row>
    <row r="607" spans="2:36" ht="24" hidden="1" customHeight="1">
      <c r="B607" s="701">
        <v>502</v>
      </c>
      <c r="C607" s="699" t="s">
        <v>534</v>
      </c>
      <c r="D607" s="699"/>
      <c r="E607" s="699" t="s">
        <v>535</v>
      </c>
      <c r="F607" s="699"/>
      <c r="G607" s="699" t="s">
        <v>281</v>
      </c>
      <c r="H607" s="699" t="s">
        <v>1839</v>
      </c>
      <c r="I607" s="712">
        <v>200000</v>
      </c>
      <c r="J607" s="709" t="s">
        <v>537</v>
      </c>
      <c r="K607" s="709" t="s">
        <v>537</v>
      </c>
      <c r="L607" s="712">
        <v>168809</v>
      </c>
      <c r="M607" s="709" t="s">
        <v>537</v>
      </c>
      <c r="N607" s="709" t="s">
        <v>537</v>
      </c>
      <c r="O607" s="701" t="s">
        <v>537</v>
      </c>
      <c r="P607" s="701" t="s">
        <v>537</v>
      </c>
      <c r="Q607" s="705">
        <v>31191</v>
      </c>
      <c r="R607" s="701" t="s">
        <v>552</v>
      </c>
      <c r="S607" s="701" t="s">
        <v>1064</v>
      </c>
      <c r="T607" s="701">
        <v>0</v>
      </c>
      <c r="U607" s="701">
        <v>20</v>
      </c>
      <c r="V607" s="701">
        <v>0</v>
      </c>
      <c r="W607" s="701">
        <v>0</v>
      </c>
      <c r="X607" s="701">
        <v>10</v>
      </c>
      <c r="Y607" s="701">
        <v>6</v>
      </c>
      <c r="Z607" s="701">
        <v>82</v>
      </c>
      <c r="AA607" s="697" t="s">
        <v>1181</v>
      </c>
      <c r="AB607" s="701" t="s">
        <v>539</v>
      </c>
      <c r="AC607" s="701" t="s">
        <v>539</v>
      </c>
      <c r="AD607" s="458" t="s">
        <v>1016</v>
      </c>
      <c r="AE607" s="459">
        <v>80</v>
      </c>
      <c r="AF607" s="459">
        <v>82</v>
      </c>
      <c r="AG607" s="701" t="s">
        <v>375</v>
      </c>
      <c r="AH607" s="728"/>
      <c r="AI607" s="697">
        <v>811850782</v>
      </c>
      <c r="AJ607" s="699"/>
    </row>
    <row r="608" spans="2:36" ht="24" hidden="1" customHeight="1">
      <c r="B608" s="702"/>
      <c r="C608" s="700"/>
      <c r="D608" s="700"/>
      <c r="E608" s="700"/>
      <c r="F608" s="700"/>
      <c r="G608" s="700"/>
      <c r="H608" s="700"/>
      <c r="I608" s="713"/>
      <c r="J608" s="710"/>
      <c r="K608" s="710"/>
      <c r="L608" s="713"/>
      <c r="M608" s="710"/>
      <c r="N608" s="710"/>
      <c r="O608" s="702"/>
      <c r="P608" s="702"/>
      <c r="Q608" s="706"/>
      <c r="R608" s="702"/>
      <c r="S608" s="702"/>
      <c r="T608" s="702"/>
      <c r="U608" s="702"/>
      <c r="V608" s="702"/>
      <c r="W608" s="702"/>
      <c r="X608" s="702"/>
      <c r="Y608" s="702"/>
      <c r="Z608" s="702"/>
      <c r="AA608" s="698"/>
      <c r="AB608" s="702"/>
      <c r="AC608" s="702"/>
      <c r="AD608" s="473" t="s">
        <v>1840</v>
      </c>
      <c r="AE608" s="474">
        <v>25</v>
      </c>
      <c r="AF608" s="474">
        <v>37</v>
      </c>
      <c r="AG608" s="702"/>
      <c r="AH608" s="729"/>
      <c r="AI608" s="698"/>
      <c r="AJ608" s="700"/>
    </row>
    <row r="609" spans="2:36" ht="24" hidden="1" customHeight="1">
      <c r="B609" s="463">
        <v>503</v>
      </c>
      <c r="C609" s="464" t="s">
        <v>534</v>
      </c>
      <c r="D609" s="464"/>
      <c r="E609" s="464" t="s">
        <v>535</v>
      </c>
      <c r="F609" s="464"/>
      <c r="G609" s="464" t="s">
        <v>281</v>
      </c>
      <c r="H609" s="464" t="s">
        <v>1841</v>
      </c>
      <c r="I609" s="466">
        <v>200000</v>
      </c>
      <c r="J609" s="465" t="s">
        <v>537</v>
      </c>
      <c r="K609" s="465" t="s">
        <v>537</v>
      </c>
      <c r="L609" s="466">
        <v>117846</v>
      </c>
      <c r="M609" s="465" t="s">
        <v>537</v>
      </c>
      <c r="N609" s="465" t="s">
        <v>537</v>
      </c>
      <c r="O609" s="463" t="s">
        <v>537</v>
      </c>
      <c r="P609" s="463" t="s">
        <v>537</v>
      </c>
      <c r="Q609" s="468">
        <v>82154</v>
      </c>
      <c r="R609" s="470">
        <v>241459</v>
      </c>
      <c r="S609" s="463" t="s">
        <v>1842</v>
      </c>
      <c r="T609" s="463">
        <v>0</v>
      </c>
      <c r="U609" s="463">
        <v>100</v>
      </c>
      <c r="V609" s="463">
        <v>0</v>
      </c>
      <c r="W609" s="463">
        <v>0</v>
      </c>
      <c r="X609" s="463">
        <v>7</v>
      </c>
      <c r="Y609" s="463">
        <v>0</v>
      </c>
      <c r="Z609" s="464"/>
      <c r="AA609" s="472" t="s">
        <v>547</v>
      </c>
      <c r="AB609" s="463" t="s">
        <v>539</v>
      </c>
      <c r="AC609" s="463" t="s">
        <v>539</v>
      </c>
      <c r="AD609" s="472" t="s">
        <v>1843</v>
      </c>
      <c r="AE609" s="463">
        <v>80</v>
      </c>
      <c r="AF609" s="463">
        <v>95</v>
      </c>
      <c r="AG609" s="463" t="s">
        <v>375</v>
      </c>
      <c r="AH609" s="476"/>
      <c r="AI609" s="472">
        <v>847456887</v>
      </c>
      <c r="AJ609" s="464"/>
    </row>
    <row r="610" spans="2:36" ht="24" hidden="1" customHeight="1">
      <c r="B610" s="701">
        <v>504</v>
      </c>
      <c r="C610" s="699" t="s">
        <v>534</v>
      </c>
      <c r="D610" s="699"/>
      <c r="E610" s="699" t="s">
        <v>535</v>
      </c>
      <c r="F610" s="699"/>
      <c r="G610" s="699" t="s">
        <v>281</v>
      </c>
      <c r="H610" s="699" t="s">
        <v>1844</v>
      </c>
      <c r="I610" s="712">
        <v>100000</v>
      </c>
      <c r="J610" s="709" t="s">
        <v>537</v>
      </c>
      <c r="K610" s="709" t="s">
        <v>537</v>
      </c>
      <c r="L610" s="712">
        <v>100000</v>
      </c>
      <c r="M610" s="709" t="s">
        <v>537</v>
      </c>
      <c r="N610" s="709" t="s">
        <v>537</v>
      </c>
      <c r="O610" s="701" t="s">
        <v>537</v>
      </c>
      <c r="P610" s="701" t="s">
        <v>537</v>
      </c>
      <c r="Q610" s="709">
        <v>0</v>
      </c>
      <c r="R610" s="707">
        <v>241640</v>
      </c>
      <c r="S610" s="701" t="s">
        <v>1845</v>
      </c>
      <c r="T610" s="701">
        <v>0</v>
      </c>
      <c r="U610" s="701">
        <v>100</v>
      </c>
      <c r="V610" s="701">
        <v>0</v>
      </c>
      <c r="W610" s="699"/>
      <c r="X610" s="701">
        <v>7</v>
      </c>
      <c r="Y610" s="701">
        <v>200</v>
      </c>
      <c r="Z610" s="701">
        <v>85</v>
      </c>
      <c r="AA610" s="697" t="s">
        <v>547</v>
      </c>
      <c r="AB610" s="701" t="s">
        <v>539</v>
      </c>
      <c r="AC610" s="701" t="s">
        <v>539</v>
      </c>
      <c r="AD610" s="458" t="s">
        <v>1843</v>
      </c>
      <c r="AE610" s="459">
        <v>80</v>
      </c>
      <c r="AF610" s="459">
        <v>85</v>
      </c>
      <c r="AG610" s="701" t="s">
        <v>375</v>
      </c>
      <c r="AH610" s="728"/>
      <c r="AI610" s="697">
        <v>847456887</v>
      </c>
      <c r="AJ610" s="699"/>
    </row>
    <row r="611" spans="2:36" ht="24" hidden="1" customHeight="1">
      <c r="B611" s="702"/>
      <c r="C611" s="700"/>
      <c r="D611" s="700"/>
      <c r="E611" s="700"/>
      <c r="F611" s="700"/>
      <c r="G611" s="700"/>
      <c r="H611" s="700"/>
      <c r="I611" s="713"/>
      <c r="J611" s="710"/>
      <c r="K611" s="710"/>
      <c r="L611" s="713"/>
      <c r="M611" s="710"/>
      <c r="N611" s="710"/>
      <c r="O611" s="702"/>
      <c r="P611" s="702"/>
      <c r="Q611" s="710"/>
      <c r="R611" s="708"/>
      <c r="S611" s="702"/>
      <c r="T611" s="702"/>
      <c r="U611" s="702"/>
      <c r="V611" s="702"/>
      <c r="W611" s="700"/>
      <c r="X611" s="702"/>
      <c r="Y611" s="702"/>
      <c r="Z611" s="702"/>
      <c r="AA611" s="698"/>
      <c r="AB611" s="702"/>
      <c r="AC611" s="702"/>
      <c r="AD611" s="473" t="s">
        <v>1846</v>
      </c>
      <c r="AE611" s="474">
        <v>1</v>
      </c>
      <c r="AF611" s="474">
        <v>2</v>
      </c>
      <c r="AG611" s="702"/>
      <c r="AH611" s="729"/>
      <c r="AI611" s="698"/>
      <c r="AJ611" s="700"/>
    </row>
    <row r="612" spans="2:36" ht="24" hidden="1" customHeight="1">
      <c r="B612" s="463">
        <v>505</v>
      </c>
      <c r="C612" s="464" t="s">
        <v>534</v>
      </c>
      <c r="D612" s="464"/>
      <c r="E612" s="464" t="s">
        <v>535</v>
      </c>
      <c r="F612" s="464"/>
      <c r="G612" s="464" t="s">
        <v>281</v>
      </c>
      <c r="H612" s="464" t="s">
        <v>1847</v>
      </c>
      <c r="I612" s="465" t="s">
        <v>537</v>
      </c>
      <c r="J612" s="465" t="s">
        <v>537</v>
      </c>
      <c r="K612" s="466">
        <v>225500</v>
      </c>
      <c r="L612" s="465" t="s">
        <v>537</v>
      </c>
      <c r="M612" s="465" t="s">
        <v>537</v>
      </c>
      <c r="N612" s="466">
        <v>213480</v>
      </c>
      <c r="O612" s="463" t="s">
        <v>537</v>
      </c>
      <c r="P612" s="463" t="s">
        <v>537</v>
      </c>
      <c r="Q612" s="468">
        <v>12020</v>
      </c>
      <c r="R612" s="470">
        <v>241428</v>
      </c>
      <c r="S612" s="463" t="s">
        <v>623</v>
      </c>
      <c r="T612" s="463">
        <v>0</v>
      </c>
      <c r="U612" s="463">
        <v>0</v>
      </c>
      <c r="V612" s="463">
        <v>0</v>
      </c>
      <c r="W612" s="463">
        <v>200</v>
      </c>
      <c r="X612" s="463">
        <v>13</v>
      </c>
      <c r="Y612" s="464"/>
      <c r="Z612" s="463">
        <v>98</v>
      </c>
      <c r="AA612" s="472" t="s">
        <v>1848</v>
      </c>
      <c r="AB612" s="463">
        <v>30</v>
      </c>
      <c r="AC612" s="463">
        <v>84</v>
      </c>
      <c r="AD612" s="472" t="s">
        <v>1849</v>
      </c>
      <c r="AE612" s="463" t="s">
        <v>539</v>
      </c>
      <c r="AF612" s="463" t="s">
        <v>539</v>
      </c>
      <c r="AG612" s="463" t="s">
        <v>375</v>
      </c>
      <c r="AH612" s="476"/>
      <c r="AI612" s="472">
        <v>803929493</v>
      </c>
      <c r="AJ612" s="472" t="s">
        <v>543</v>
      </c>
    </row>
    <row r="613" spans="2:36" ht="24" hidden="1" customHeight="1">
      <c r="B613" s="463">
        <v>506</v>
      </c>
      <c r="C613" s="464" t="s">
        <v>534</v>
      </c>
      <c r="D613" s="464"/>
      <c r="E613" s="464" t="s">
        <v>535</v>
      </c>
      <c r="F613" s="464"/>
      <c r="G613" s="464" t="s">
        <v>281</v>
      </c>
      <c r="H613" s="464" t="s">
        <v>1850</v>
      </c>
      <c r="I613" s="465" t="s">
        <v>537</v>
      </c>
      <c r="J613" s="465" t="s">
        <v>537</v>
      </c>
      <c r="K613" s="466">
        <v>357000</v>
      </c>
      <c r="L613" s="465" t="s">
        <v>537</v>
      </c>
      <c r="M613" s="465" t="s">
        <v>537</v>
      </c>
      <c r="N613" s="466">
        <v>341000</v>
      </c>
      <c r="O613" s="463" t="s">
        <v>537</v>
      </c>
      <c r="P613" s="463" t="s">
        <v>537</v>
      </c>
      <c r="Q613" s="468">
        <v>16000</v>
      </c>
      <c r="R613" s="470">
        <v>241428</v>
      </c>
      <c r="S613" s="463" t="s">
        <v>623</v>
      </c>
      <c r="T613" s="463">
        <v>0</v>
      </c>
      <c r="U613" s="463">
        <v>0</v>
      </c>
      <c r="V613" s="463">
        <v>0</v>
      </c>
      <c r="W613" s="463">
        <v>200</v>
      </c>
      <c r="X613" s="463">
        <v>13</v>
      </c>
      <c r="Y613" s="464"/>
      <c r="Z613" s="463">
        <v>98</v>
      </c>
      <c r="AA613" s="472" t="s">
        <v>1851</v>
      </c>
      <c r="AB613" s="463">
        <v>30</v>
      </c>
      <c r="AC613" s="463">
        <v>89</v>
      </c>
      <c r="AD613" s="472" t="s">
        <v>1852</v>
      </c>
      <c r="AE613" s="463" t="s">
        <v>539</v>
      </c>
      <c r="AF613" s="463" t="s">
        <v>539</v>
      </c>
      <c r="AG613" s="463" t="s">
        <v>375</v>
      </c>
      <c r="AH613" s="476"/>
      <c r="AI613" s="472">
        <v>803929493</v>
      </c>
      <c r="AJ613" s="472" t="s">
        <v>543</v>
      </c>
    </row>
    <row r="614" spans="2:36" ht="24" hidden="1" customHeight="1">
      <c r="B614" s="463">
        <v>507</v>
      </c>
      <c r="C614" s="464" t="s">
        <v>534</v>
      </c>
      <c r="D614" s="464"/>
      <c r="E614" s="464" t="s">
        <v>535</v>
      </c>
      <c r="F614" s="464"/>
      <c r="G614" s="464" t="s">
        <v>281</v>
      </c>
      <c r="H614" s="464" t="s">
        <v>1853</v>
      </c>
      <c r="I614" s="465" t="s">
        <v>537</v>
      </c>
      <c r="J614" s="465" t="s">
        <v>537</v>
      </c>
      <c r="K614" s="466">
        <v>117500</v>
      </c>
      <c r="L614" s="465" t="s">
        <v>537</v>
      </c>
      <c r="M614" s="465" t="s">
        <v>537</v>
      </c>
      <c r="N614" s="466">
        <v>112436.56</v>
      </c>
      <c r="O614" s="463" t="s">
        <v>537</v>
      </c>
      <c r="P614" s="463" t="s">
        <v>537</v>
      </c>
      <c r="Q614" s="468">
        <v>5063</v>
      </c>
      <c r="R614" s="470">
        <v>241428</v>
      </c>
      <c r="S614" s="463" t="s">
        <v>623</v>
      </c>
      <c r="T614" s="463">
        <v>0</v>
      </c>
      <c r="U614" s="463">
        <v>0</v>
      </c>
      <c r="V614" s="463">
        <v>0</v>
      </c>
      <c r="W614" s="464"/>
      <c r="X614" s="463">
        <v>13</v>
      </c>
      <c r="Y614" s="464"/>
      <c r="Z614" s="463">
        <v>98</v>
      </c>
      <c r="AA614" s="472" t="s">
        <v>1854</v>
      </c>
      <c r="AB614" s="463">
        <v>15</v>
      </c>
      <c r="AC614" s="463">
        <v>15</v>
      </c>
      <c r="AD614" s="472" t="s">
        <v>1855</v>
      </c>
      <c r="AE614" s="463" t="s">
        <v>539</v>
      </c>
      <c r="AF614" s="463" t="s">
        <v>539</v>
      </c>
      <c r="AG614" s="463" t="s">
        <v>375</v>
      </c>
      <c r="AH614" s="476"/>
      <c r="AI614" s="472">
        <v>803929493</v>
      </c>
      <c r="AJ614" s="472" t="s">
        <v>543</v>
      </c>
    </row>
    <row r="615" spans="2:36" ht="24" hidden="1" customHeight="1">
      <c r="B615" s="463">
        <v>508</v>
      </c>
      <c r="C615" s="464" t="s">
        <v>534</v>
      </c>
      <c r="D615" s="464"/>
      <c r="E615" s="464" t="s">
        <v>535</v>
      </c>
      <c r="F615" s="464"/>
      <c r="G615" s="464" t="s">
        <v>281</v>
      </c>
      <c r="H615" s="464" t="s">
        <v>1856</v>
      </c>
      <c r="I615" s="466">
        <v>60000</v>
      </c>
      <c r="J615" s="465" t="s">
        <v>537</v>
      </c>
      <c r="K615" s="465" t="s">
        <v>537</v>
      </c>
      <c r="L615" s="466">
        <v>58000</v>
      </c>
      <c r="M615" s="465" t="s">
        <v>537</v>
      </c>
      <c r="N615" s="465" t="s">
        <v>537</v>
      </c>
      <c r="O615" s="463" t="s">
        <v>537</v>
      </c>
      <c r="P615" s="463" t="s">
        <v>537</v>
      </c>
      <c r="Q615" s="468">
        <v>2000</v>
      </c>
      <c r="R615" s="470">
        <v>241487</v>
      </c>
      <c r="S615" s="463" t="s">
        <v>732</v>
      </c>
      <c r="T615" s="463">
        <v>0</v>
      </c>
      <c r="U615" s="463">
        <v>25</v>
      </c>
      <c r="V615" s="463">
        <v>25</v>
      </c>
      <c r="W615" s="463">
        <v>50</v>
      </c>
      <c r="X615" s="463">
        <v>30</v>
      </c>
      <c r="Y615" s="463">
        <v>20</v>
      </c>
      <c r="Z615" s="463">
        <v>85</v>
      </c>
      <c r="AA615" s="472" t="s">
        <v>547</v>
      </c>
      <c r="AB615" s="463" t="s">
        <v>539</v>
      </c>
      <c r="AC615" s="463" t="s">
        <v>539</v>
      </c>
      <c r="AD615" s="472" t="s">
        <v>548</v>
      </c>
      <c r="AE615" s="463">
        <v>80</v>
      </c>
      <c r="AF615" s="463">
        <v>85</v>
      </c>
      <c r="AG615" s="463" t="s">
        <v>375</v>
      </c>
      <c r="AH615" s="476"/>
      <c r="AI615" s="472">
        <v>824239998</v>
      </c>
      <c r="AJ615" s="464"/>
    </row>
    <row r="616" spans="2:36" ht="24" hidden="1" customHeight="1">
      <c r="B616" s="463">
        <v>509</v>
      </c>
      <c r="C616" s="464" t="s">
        <v>534</v>
      </c>
      <c r="D616" s="464"/>
      <c r="E616" s="464" t="s">
        <v>535</v>
      </c>
      <c r="F616" s="464"/>
      <c r="G616" s="464" t="s">
        <v>281</v>
      </c>
      <c r="H616" s="464" t="s">
        <v>1857</v>
      </c>
      <c r="I616" s="465" t="s">
        <v>537</v>
      </c>
      <c r="J616" s="465" t="s">
        <v>537</v>
      </c>
      <c r="K616" s="466">
        <v>95000</v>
      </c>
      <c r="L616" s="465" t="s">
        <v>537</v>
      </c>
      <c r="M616" s="465" t="s">
        <v>537</v>
      </c>
      <c r="N616" s="466">
        <v>94904</v>
      </c>
      <c r="O616" s="463" t="s">
        <v>537</v>
      </c>
      <c r="P616" s="463" t="s">
        <v>537</v>
      </c>
      <c r="Q616" s="465">
        <v>96</v>
      </c>
      <c r="R616" s="470">
        <v>241518</v>
      </c>
      <c r="S616" s="463" t="s">
        <v>1542</v>
      </c>
      <c r="T616" s="463">
        <v>0</v>
      </c>
      <c r="U616" s="463">
        <v>100</v>
      </c>
      <c r="V616" s="463">
        <v>0</v>
      </c>
      <c r="W616" s="463">
        <v>0</v>
      </c>
      <c r="X616" s="463">
        <v>105</v>
      </c>
      <c r="Y616" s="463">
        <v>0</v>
      </c>
      <c r="Z616" s="463">
        <v>92</v>
      </c>
      <c r="AA616" s="472" t="s">
        <v>547</v>
      </c>
      <c r="AB616" s="463" t="s">
        <v>539</v>
      </c>
      <c r="AC616" s="463" t="s">
        <v>539</v>
      </c>
      <c r="AD616" s="472" t="s">
        <v>548</v>
      </c>
      <c r="AE616" s="463" t="s">
        <v>539</v>
      </c>
      <c r="AF616" s="463" t="s">
        <v>539</v>
      </c>
      <c r="AG616" s="463" t="s">
        <v>375</v>
      </c>
      <c r="AH616" s="476"/>
      <c r="AI616" s="472">
        <v>824155926</v>
      </c>
      <c r="AJ616" s="472" t="s">
        <v>543</v>
      </c>
    </row>
    <row r="617" spans="2:36" ht="24" hidden="1" customHeight="1">
      <c r="B617" s="463">
        <v>510</v>
      </c>
      <c r="C617" s="464" t="s">
        <v>534</v>
      </c>
      <c r="D617" s="464"/>
      <c r="E617" s="464" t="s">
        <v>535</v>
      </c>
      <c r="F617" s="464"/>
      <c r="G617" s="464" t="s">
        <v>281</v>
      </c>
      <c r="H617" s="464" t="s">
        <v>1858</v>
      </c>
      <c r="I617" s="465" t="s">
        <v>537</v>
      </c>
      <c r="J617" s="465" t="s">
        <v>537</v>
      </c>
      <c r="K617" s="466">
        <v>111700</v>
      </c>
      <c r="L617" s="465" t="s">
        <v>537</v>
      </c>
      <c r="M617" s="465" t="s">
        <v>537</v>
      </c>
      <c r="N617" s="466">
        <v>47120</v>
      </c>
      <c r="O617" s="463" t="s">
        <v>537</v>
      </c>
      <c r="P617" s="463" t="s">
        <v>537</v>
      </c>
      <c r="Q617" s="468">
        <v>64580</v>
      </c>
      <c r="R617" s="470">
        <v>241609</v>
      </c>
      <c r="S617" s="463" t="s">
        <v>1859</v>
      </c>
      <c r="T617" s="463">
        <v>0</v>
      </c>
      <c r="U617" s="463">
        <v>115</v>
      </c>
      <c r="V617" s="463">
        <v>0</v>
      </c>
      <c r="W617" s="463">
        <v>0</v>
      </c>
      <c r="X617" s="463">
        <v>80</v>
      </c>
      <c r="Y617" s="463">
        <v>0</v>
      </c>
      <c r="Z617" s="463">
        <v>83</v>
      </c>
      <c r="AA617" s="472" t="s">
        <v>1860</v>
      </c>
      <c r="AB617" s="463" t="s">
        <v>539</v>
      </c>
      <c r="AC617" s="463" t="s">
        <v>539</v>
      </c>
      <c r="AD617" s="472" t="s">
        <v>1861</v>
      </c>
      <c r="AE617" s="463">
        <v>80</v>
      </c>
      <c r="AF617" s="463">
        <v>83</v>
      </c>
      <c r="AG617" s="463" t="s">
        <v>375</v>
      </c>
      <c r="AH617" s="476"/>
      <c r="AI617" s="472">
        <v>811850782</v>
      </c>
      <c r="AJ617" s="472" t="s">
        <v>543</v>
      </c>
    </row>
    <row r="618" spans="2:36" ht="24" hidden="1" customHeight="1">
      <c r="B618" s="701">
        <v>511</v>
      </c>
      <c r="C618" s="699" t="s">
        <v>337</v>
      </c>
      <c r="D618" s="699"/>
      <c r="E618" s="699" t="s">
        <v>545</v>
      </c>
      <c r="F618" s="699"/>
      <c r="G618" s="699" t="s">
        <v>281</v>
      </c>
      <c r="H618" s="699" t="s">
        <v>1862</v>
      </c>
      <c r="I618" s="712">
        <v>150000</v>
      </c>
      <c r="J618" s="709" t="s">
        <v>537</v>
      </c>
      <c r="K618" s="709" t="s">
        <v>537</v>
      </c>
      <c r="L618" s="712">
        <v>58254</v>
      </c>
      <c r="M618" s="709" t="s">
        <v>537</v>
      </c>
      <c r="N618" s="709" t="s">
        <v>537</v>
      </c>
      <c r="O618" s="701" t="s">
        <v>537</v>
      </c>
      <c r="P618" s="701" t="s">
        <v>537</v>
      </c>
      <c r="Q618" s="705">
        <v>91746</v>
      </c>
      <c r="R618" s="701" t="s">
        <v>552</v>
      </c>
      <c r="S618" s="701" t="s">
        <v>1863</v>
      </c>
      <c r="T618" s="701">
        <v>0</v>
      </c>
      <c r="U618" s="701">
        <v>20</v>
      </c>
      <c r="V618" s="701">
        <v>0</v>
      </c>
      <c r="W618" s="701">
        <v>0</v>
      </c>
      <c r="X618" s="701">
        <v>50</v>
      </c>
      <c r="Y618" s="701">
        <v>0</v>
      </c>
      <c r="Z618" s="701">
        <v>95</v>
      </c>
      <c r="AA618" s="697" t="s">
        <v>1864</v>
      </c>
      <c r="AB618" s="701">
        <v>20</v>
      </c>
      <c r="AC618" s="701">
        <v>9</v>
      </c>
      <c r="AD618" s="458" t="s">
        <v>1865</v>
      </c>
      <c r="AE618" s="459">
        <v>80</v>
      </c>
      <c r="AF618" s="459">
        <v>85</v>
      </c>
      <c r="AG618" s="701" t="s">
        <v>376</v>
      </c>
      <c r="AH618" s="728"/>
      <c r="AI618" s="697">
        <v>815361286</v>
      </c>
      <c r="AJ618" s="699"/>
    </row>
    <row r="619" spans="2:36" ht="24" hidden="1" customHeight="1">
      <c r="B619" s="702"/>
      <c r="C619" s="700"/>
      <c r="D619" s="700"/>
      <c r="E619" s="700"/>
      <c r="F619" s="700"/>
      <c r="G619" s="700"/>
      <c r="H619" s="700"/>
      <c r="I619" s="713"/>
      <c r="J619" s="710"/>
      <c r="K619" s="710"/>
      <c r="L619" s="713"/>
      <c r="M619" s="710"/>
      <c r="N619" s="710"/>
      <c r="O619" s="702"/>
      <c r="P619" s="702"/>
      <c r="Q619" s="706"/>
      <c r="R619" s="702"/>
      <c r="S619" s="702"/>
      <c r="T619" s="702"/>
      <c r="U619" s="702"/>
      <c r="V619" s="702"/>
      <c r="W619" s="702"/>
      <c r="X619" s="702"/>
      <c r="Y619" s="702"/>
      <c r="Z619" s="702"/>
      <c r="AA619" s="698"/>
      <c r="AB619" s="702"/>
      <c r="AC619" s="702"/>
      <c r="AD619" s="473" t="s">
        <v>1866</v>
      </c>
      <c r="AE619" s="474">
        <v>20</v>
      </c>
      <c r="AF619" s="474">
        <v>9</v>
      </c>
      <c r="AG619" s="702"/>
      <c r="AH619" s="729"/>
      <c r="AI619" s="698"/>
      <c r="AJ619" s="700"/>
    </row>
    <row r="620" spans="2:36" ht="24" hidden="1" customHeight="1">
      <c r="B620" s="463">
        <v>512</v>
      </c>
      <c r="C620" s="464" t="s">
        <v>534</v>
      </c>
      <c r="D620" s="464"/>
      <c r="E620" s="464" t="s">
        <v>535</v>
      </c>
      <c r="F620" s="464"/>
      <c r="G620" s="464" t="s">
        <v>194</v>
      </c>
      <c r="H620" s="464" t="s">
        <v>1867</v>
      </c>
      <c r="I620" s="466">
        <v>100000</v>
      </c>
      <c r="J620" s="465" t="s">
        <v>537</v>
      </c>
      <c r="K620" s="465" t="s">
        <v>537</v>
      </c>
      <c r="L620" s="466">
        <v>63390</v>
      </c>
      <c r="M620" s="465" t="s">
        <v>537</v>
      </c>
      <c r="N620" s="465" t="s">
        <v>537</v>
      </c>
      <c r="O620" s="463" t="s">
        <v>537</v>
      </c>
      <c r="P620" s="463" t="s">
        <v>537</v>
      </c>
      <c r="Q620" s="468">
        <v>36610</v>
      </c>
      <c r="R620" s="470">
        <v>241487</v>
      </c>
      <c r="S620" s="463" t="s">
        <v>1798</v>
      </c>
      <c r="T620" s="463">
        <v>0</v>
      </c>
      <c r="U620" s="463">
        <v>30</v>
      </c>
      <c r="V620" s="463">
        <v>0</v>
      </c>
      <c r="W620" s="463">
        <v>0</v>
      </c>
      <c r="X620" s="463">
        <v>33</v>
      </c>
      <c r="Y620" s="463">
        <v>0</v>
      </c>
      <c r="Z620" s="463">
        <v>86.53</v>
      </c>
      <c r="AA620" s="472" t="s">
        <v>1868</v>
      </c>
      <c r="AB620" s="463" t="s">
        <v>539</v>
      </c>
      <c r="AC620" s="463">
        <v>90.91</v>
      </c>
      <c r="AD620" s="472" t="s">
        <v>1869</v>
      </c>
      <c r="AE620" s="463">
        <v>80</v>
      </c>
      <c r="AF620" s="463">
        <v>81.81</v>
      </c>
      <c r="AG620" s="463" t="s">
        <v>375</v>
      </c>
      <c r="AH620" s="476"/>
      <c r="AI620" s="472">
        <v>866960166</v>
      </c>
      <c r="AJ620" s="464"/>
    </row>
    <row r="621" spans="2:36" ht="24" hidden="1" customHeight="1">
      <c r="B621" s="463">
        <v>513</v>
      </c>
      <c r="C621" s="464" t="s">
        <v>534</v>
      </c>
      <c r="D621" s="464"/>
      <c r="E621" s="464" t="s">
        <v>535</v>
      </c>
      <c r="F621" s="464"/>
      <c r="G621" s="464" t="s">
        <v>194</v>
      </c>
      <c r="H621" s="464" t="s">
        <v>1870</v>
      </c>
      <c r="I621" s="465" t="s">
        <v>537</v>
      </c>
      <c r="J621" s="466">
        <v>50000</v>
      </c>
      <c r="K621" s="465" t="s">
        <v>537</v>
      </c>
      <c r="L621" s="465" t="s">
        <v>537</v>
      </c>
      <c r="M621" s="466">
        <v>49200</v>
      </c>
      <c r="N621" s="465" t="s">
        <v>537</v>
      </c>
      <c r="O621" s="463" t="s">
        <v>537</v>
      </c>
      <c r="P621" s="463" t="s">
        <v>537</v>
      </c>
      <c r="Q621" s="465">
        <v>800</v>
      </c>
      <c r="R621" s="470">
        <v>241518</v>
      </c>
      <c r="S621" s="463" t="s">
        <v>1871</v>
      </c>
      <c r="T621" s="463">
        <v>0</v>
      </c>
      <c r="U621" s="463">
        <v>20</v>
      </c>
      <c r="V621" s="463">
        <v>0</v>
      </c>
      <c r="W621" s="463">
        <v>0</v>
      </c>
      <c r="X621" s="463">
        <v>35</v>
      </c>
      <c r="Y621" s="463">
        <v>0</v>
      </c>
      <c r="Z621" s="463">
        <v>90.04</v>
      </c>
      <c r="AA621" s="472" t="s">
        <v>547</v>
      </c>
      <c r="AB621" s="463" t="s">
        <v>539</v>
      </c>
      <c r="AC621" s="463" t="s">
        <v>539</v>
      </c>
      <c r="AD621" s="472" t="s">
        <v>548</v>
      </c>
      <c r="AE621" s="463">
        <v>80</v>
      </c>
      <c r="AF621" s="463">
        <v>88.6</v>
      </c>
      <c r="AG621" s="463" t="s">
        <v>375</v>
      </c>
      <c r="AH621" s="476"/>
      <c r="AI621" s="472">
        <v>869640647</v>
      </c>
      <c r="AJ621" s="464"/>
    </row>
    <row r="622" spans="2:36" ht="24" hidden="1" customHeight="1">
      <c r="B622" s="463">
        <v>514</v>
      </c>
      <c r="C622" s="464" t="s">
        <v>534</v>
      </c>
      <c r="D622" s="464"/>
      <c r="E622" s="464" t="s">
        <v>535</v>
      </c>
      <c r="F622" s="464"/>
      <c r="G622" s="464" t="s">
        <v>198</v>
      </c>
      <c r="H622" s="464" t="s">
        <v>1872</v>
      </c>
      <c r="I622" s="465" t="s">
        <v>537</v>
      </c>
      <c r="J622" s="465" t="s">
        <v>537</v>
      </c>
      <c r="K622" s="466">
        <v>100000</v>
      </c>
      <c r="L622" s="465" t="s">
        <v>537</v>
      </c>
      <c r="M622" s="465" t="s">
        <v>537</v>
      </c>
      <c r="N622" s="466">
        <v>100000</v>
      </c>
      <c r="O622" s="463" t="s">
        <v>537</v>
      </c>
      <c r="P622" s="463" t="s">
        <v>537</v>
      </c>
      <c r="Q622" s="465">
        <v>0</v>
      </c>
      <c r="R622" s="470">
        <v>241397</v>
      </c>
      <c r="S622" s="471">
        <v>22276</v>
      </c>
      <c r="T622" s="463">
        <v>0</v>
      </c>
      <c r="U622" s="463">
        <v>250</v>
      </c>
      <c r="V622" s="463">
        <v>0</v>
      </c>
      <c r="W622" s="463">
        <v>0</v>
      </c>
      <c r="X622" s="463">
        <v>250</v>
      </c>
      <c r="Y622" s="463">
        <v>0</v>
      </c>
      <c r="Z622" s="463">
        <v>86.7</v>
      </c>
      <c r="AA622" s="472" t="s">
        <v>630</v>
      </c>
      <c r="AB622" s="463" t="s">
        <v>539</v>
      </c>
      <c r="AC622" s="463" t="s">
        <v>539</v>
      </c>
      <c r="AD622" s="472" t="s">
        <v>548</v>
      </c>
      <c r="AE622" s="463">
        <v>80</v>
      </c>
      <c r="AF622" s="463">
        <v>85.2</v>
      </c>
      <c r="AG622" s="463" t="s">
        <v>375</v>
      </c>
      <c r="AH622" s="476"/>
      <c r="AI622" s="472">
        <v>848587719</v>
      </c>
      <c r="AJ622" s="472" t="s">
        <v>543</v>
      </c>
    </row>
    <row r="623" spans="2:36" ht="24" hidden="1" customHeight="1">
      <c r="B623" s="463">
        <v>515</v>
      </c>
      <c r="C623" s="464" t="s">
        <v>534</v>
      </c>
      <c r="D623" s="464"/>
      <c r="E623" s="464" t="s">
        <v>535</v>
      </c>
      <c r="F623" s="464"/>
      <c r="G623" s="464" t="s">
        <v>198</v>
      </c>
      <c r="H623" s="464" t="s">
        <v>1873</v>
      </c>
      <c r="I623" s="465" t="s">
        <v>537</v>
      </c>
      <c r="J623" s="465" t="s">
        <v>537</v>
      </c>
      <c r="K623" s="466">
        <v>99600</v>
      </c>
      <c r="L623" s="465" t="s">
        <v>537</v>
      </c>
      <c r="M623" s="465" t="s">
        <v>537</v>
      </c>
      <c r="N623" s="466">
        <v>76560</v>
      </c>
      <c r="O623" s="463" t="s">
        <v>537</v>
      </c>
      <c r="P623" s="463" t="s">
        <v>537</v>
      </c>
      <c r="Q623" s="468">
        <v>23040</v>
      </c>
      <c r="R623" s="470">
        <v>241640</v>
      </c>
      <c r="S623" s="463" t="s">
        <v>1874</v>
      </c>
      <c r="T623" s="463">
        <v>0</v>
      </c>
      <c r="U623" s="463">
        <v>150</v>
      </c>
      <c r="V623" s="463">
        <v>0</v>
      </c>
      <c r="W623" s="463">
        <v>19</v>
      </c>
      <c r="X623" s="463">
        <v>25</v>
      </c>
      <c r="Y623" s="463">
        <v>74</v>
      </c>
      <c r="Z623" s="463">
        <v>97.4</v>
      </c>
      <c r="AA623" s="472" t="s">
        <v>1875</v>
      </c>
      <c r="AB623" s="463" t="s">
        <v>539</v>
      </c>
      <c r="AC623" s="463" t="s">
        <v>539</v>
      </c>
      <c r="AD623" s="472" t="s">
        <v>1016</v>
      </c>
      <c r="AE623" s="463">
        <v>80</v>
      </c>
      <c r="AF623" s="463">
        <v>97.4</v>
      </c>
      <c r="AG623" s="463" t="s">
        <v>375</v>
      </c>
      <c r="AH623" s="476"/>
      <c r="AI623" s="472">
        <v>819703793</v>
      </c>
      <c r="AJ623" s="472" t="s">
        <v>543</v>
      </c>
    </row>
    <row r="624" spans="2:36" ht="24" hidden="1" customHeight="1">
      <c r="B624" s="463">
        <v>516</v>
      </c>
      <c r="C624" s="464" t="s">
        <v>534</v>
      </c>
      <c r="D624" s="464"/>
      <c r="E624" s="464" t="s">
        <v>535</v>
      </c>
      <c r="F624" s="464"/>
      <c r="G624" s="464" t="s">
        <v>198</v>
      </c>
      <c r="H624" s="464" t="s">
        <v>1876</v>
      </c>
      <c r="I624" s="465" t="s">
        <v>537</v>
      </c>
      <c r="J624" s="465" t="s">
        <v>537</v>
      </c>
      <c r="K624" s="466">
        <v>7200</v>
      </c>
      <c r="L624" s="465" t="s">
        <v>537</v>
      </c>
      <c r="M624" s="465" t="s">
        <v>537</v>
      </c>
      <c r="N624" s="466">
        <v>4122</v>
      </c>
      <c r="O624" s="467">
        <v>3000</v>
      </c>
      <c r="P624" s="463" t="s">
        <v>537</v>
      </c>
      <c r="Q624" s="465">
        <v>78</v>
      </c>
      <c r="R624" s="470">
        <v>241487</v>
      </c>
      <c r="S624" s="463" t="s">
        <v>1877</v>
      </c>
      <c r="T624" s="463">
        <v>322</v>
      </c>
      <c r="U624" s="463">
        <v>15</v>
      </c>
      <c r="V624" s="463">
        <v>0</v>
      </c>
      <c r="W624" s="463">
        <v>312</v>
      </c>
      <c r="X624" s="463">
        <v>15</v>
      </c>
      <c r="Y624" s="463">
        <v>0</v>
      </c>
      <c r="Z624" s="463">
        <v>84.48</v>
      </c>
      <c r="AA624" s="472" t="s">
        <v>547</v>
      </c>
      <c r="AB624" s="463" t="s">
        <v>539</v>
      </c>
      <c r="AC624" s="463" t="s">
        <v>539</v>
      </c>
      <c r="AD624" s="472" t="s">
        <v>548</v>
      </c>
      <c r="AE624" s="463">
        <v>80</v>
      </c>
      <c r="AF624" s="463">
        <v>84.48</v>
      </c>
      <c r="AG624" s="463" t="s">
        <v>375</v>
      </c>
      <c r="AH624" s="476"/>
      <c r="AI624" s="472">
        <v>817376037</v>
      </c>
      <c r="AJ624" s="472" t="s">
        <v>543</v>
      </c>
    </row>
    <row r="625" spans="2:36" ht="24" hidden="1" customHeight="1">
      <c r="B625" s="701">
        <v>517</v>
      </c>
      <c r="C625" s="699" t="s">
        <v>534</v>
      </c>
      <c r="D625" s="699"/>
      <c r="E625" s="699" t="s">
        <v>535</v>
      </c>
      <c r="F625" s="699"/>
      <c r="G625" s="699" t="s">
        <v>198</v>
      </c>
      <c r="H625" s="699" t="s">
        <v>1878</v>
      </c>
      <c r="I625" s="712">
        <v>35310</v>
      </c>
      <c r="J625" s="709" t="s">
        <v>537</v>
      </c>
      <c r="K625" s="709" t="s">
        <v>537</v>
      </c>
      <c r="L625" s="712">
        <v>32100</v>
      </c>
      <c r="M625" s="709" t="s">
        <v>537</v>
      </c>
      <c r="N625" s="709" t="s">
        <v>537</v>
      </c>
      <c r="O625" s="701" t="s">
        <v>537</v>
      </c>
      <c r="P625" s="701" t="s">
        <v>537</v>
      </c>
      <c r="Q625" s="705">
        <v>3210</v>
      </c>
      <c r="R625" s="701" t="s">
        <v>1022</v>
      </c>
      <c r="S625" s="701" t="s">
        <v>1879</v>
      </c>
      <c r="T625" s="701">
        <v>0</v>
      </c>
      <c r="U625" s="701">
        <v>0</v>
      </c>
      <c r="V625" s="701">
        <v>0</v>
      </c>
      <c r="W625" s="701">
        <v>0</v>
      </c>
      <c r="X625" s="701">
        <v>0</v>
      </c>
      <c r="Y625" s="701">
        <v>0</v>
      </c>
      <c r="Z625" s="701">
        <v>82</v>
      </c>
      <c r="AA625" s="697" t="s">
        <v>1880</v>
      </c>
      <c r="AB625" s="701" t="s">
        <v>539</v>
      </c>
      <c r="AC625" s="701" t="s">
        <v>539</v>
      </c>
      <c r="AD625" s="458" t="s">
        <v>1016</v>
      </c>
      <c r="AE625" s="459">
        <v>80</v>
      </c>
      <c r="AF625" s="459">
        <v>82</v>
      </c>
      <c r="AG625" s="701" t="s">
        <v>375</v>
      </c>
      <c r="AH625" s="728"/>
      <c r="AI625" s="697">
        <v>828125532</v>
      </c>
      <c r="AJ625" s="699"/>
    </row>
    <row r="626" spans="2:36" ht="24" hidden="1" customHeight="1">
      <c r="B626" s="702"/>
      <c r="C626" s="700"/>
      <c r="D626" s="700"/>
      <c r="E626" s="700"/>
      <c r="F626" s="700"/>
      <c r="G626" s="700"/>
      <c r="H626" s="700"/>
      <c r="I626" s="713"/>
      <c r="J626" s="710"/>
      <c r="K626" s="710"/>
      <c r="L626" s="713"/>
      <c r="M626" s="710"/>
      <c r="N626" s="710"/>
      <c r="O626" s="702"/>
      <c r="P626" s="702"/>
      <c r="Q626" s="706"/>
      <c r="R626" s="702"/>
      <c r="S626" s="702"/>
      <c r="T626" s="702"/>
      <c r="U626" s="702"/>
      <c r="V626" s="702"/>
      <c r="W626" s="702"/>
      <c r="X626" s="702"/>
      <c r="Y626" s="702"/>
      <c r="Z626" s="702"/>
      <c r="AA626" s="698"/>
      <c r="AB626" s="702"/>
      <c r="AC626" s="702"/>
      <c r="AD626" s="473" t="s">
        <v>1881</v>
      </c>
      <c r="AE626" s="474">
        <v>45</v>
      </c>
      <c r="AF626" s="474">
        <v>45</v>
      </c>
      <c r="AG626" s="702"/>
      <c r="AH626" s="729"/>
      <c r="AI626" s="698"/>
      <c r="AJ626" s="700"/>
    </row>
    <row r="627" spans="2:36" ht="24" hidden="1" customHeight="1">
      <c r="B627" s="701">
        <v>518</v>
      </c>
      <c r="C627" s="699" t="s">
        <v>534</v>
      </c>
      <c r="D627" s="699"/>
      <c r="E627" s="699" t="s">
        <v>535</v>
      </c>
      <c r="F627" s="699"/>
      <c r="G627" s="699" t="s">
        <v>198</v>
      </c>
      <c r="H627" s="699" t="s">
        <v>1882</v>
      </c>
      <c r="I627" s="712">
        <v>50000</v>
      </c>
      <c r="J627" s="709" t="s">
        <v>537</v>
      </c>
      <c r="K627" s="709" t="s">
        <v>537</v>
      </c>
      <c r="L627" s="712">
        <v>50000</v>
      </c>
      <c r="M627" s="709" t="s">
        <v>537</v>
      </c>
      <c r="N627" s="709" t="s">
        <v>537</v>
      </c>
      <c r="O627" s="701" t="s">
        <v>537</v>
      </c>
      <c r="P627" s="701" t="s">
        <v>537</v>
      </c>
      <c r="Q627" s="709">
        <v>0</v>
      </c>
      <c r="R627" s="701" t="s">
        <v>1022</v>
      </c>
      <c r="S627" s="701" t="s">
        <v>1879</v>
      </c>
      <c r="T627" s="701">
        <v>0</v>
      </c>
      <c r="U627" s="701">
        <v>0</v>
      </c>
      <c r="V627" s="701">
        <v>0</v>
      </c>
      <c r="W627" s="701">
        <v>0</v>
      </c>
      <c r="X627" s="701">
        <v>0</v>
      </c>
      <c r="Y627" s="701">
        <v>0</v>
      </c>
      <c r="Z627" s="701">
        <v>83</v>
      </c>
      <c r="AA627" s="697" t="s">
        <v>1402</v>
      </c>
      <c r="AB627" s="701" t="s">
        <v>539</v>
      </c>
      <c r="AC627" s="701" t="s">
        <v>539</v>
      </c>
      <c r="AD627" s="458" t="s">
        <v>1016</v>
      </c>
      <c r="AE627" s="459">
        <v>80</v>
      </c>
      <c r="AF627" s="459">
        <v>83</v>
      </c>
      <c r="AG627" s="701" t="s">
        <v>375</v>
      </c>
      <c r="AH627" s="728"/>
      <c r="AI627" s="697">
        <v>828125532</v>
      </c>
      <c r="AJ627" s="699"/>
    </row>
    <row r="628" spans="2:36" ht="24" hidden="1" customHeight="1">
      <c r="B628" s="702"/>
      <c r="C628" s="700"/>
      <c r="D628" s="700"/>
      <c r="E628" s="700"/>
      <c r="F628" s="700"/>
      <c r="G628" s="700"/>
      <c r="H628" s="700"/>
      <c r="I628" s="713"/>
      <c r="J628" s="710"/>
      <c r="K628" s="710"/>
      <c r="L628" s="713"/>
      <c r="M628" s="710"/>
      <c r="N628" s="710"/>
      <c r="O628" s="702"/>
      <c r="P628" s="702"/>
      <c r="Q628" s="710"/>
      <c r="R628" s="702"/>
      <c r="S628" s="702"/>
      <c r="T628" s="702"/>
      <c r="U628" s="702"/>
      <c r="V628" s="702"/>
      <c r="W628" s="702"/>
      <c r="X628" s="702"/>
      <c r="Y628" s="702"/>
      <c r="Z628" s="702"/>
      <c r="AA628" s="698"/>
      <c r="AB628" s="702"/>
      <c r="AC628" s="702"/>
      <c r="AD628" s="473" t="s">
        <v>1883</v>
      </c>
      <c r="AE628" s="474">
        <v>10</v>
      </c>
      <c r="AF628" s="474">
        <v>10</v>
      </c>
      <c r="AG628" s="702"/>
      <c r="AH628" s="729"/>
      <c r="AI628" s="698"/>
      <c r="AJ628" s="700"/>
    </row>
    <row r="629" spans="2:36" ht="24" hidden="1" customHeight="1">
      <c r="B629" s="701">
        <v>519</v>
      </c>
      <c r="C629" s="699" t="s">
        <v>534</v>
      </c>
      <c r="D629" s="699"/>
      <c r="E629" s="699" t="s">
        <v>535</v>
      </c>
      <c r="F629" s="699"/>
      <c r="G629" s="699" t="s">
        <v>198</v>
      </c>
      <c r="H629" s="699" t="s">
        <v>1884</v>
      </c>
      <c r="I629" s="712">
        <v>14690</v>
      </c>
      <c r="J629" s="709" t="s">
        <v>537</v>
      </c>
      <c r="K629" s="709" t="s">
        <v>537</v>
      </c>
      <c r="L629" s="712">
        <v>14688</v>
      </c>
      <c r="M629" s="709" t="s">
        <v>537</v>
      </c>
      <c r="N629" s="709" t="s">
        <v>537</v>
      </c>
      <c r="O629" s="701" t="s">
        <v>537</v>
      </c>
      <c r="P629" s="701" t="s">
        <v>537</v>
      </c>
      <c r="Q629" s="709">
        <v>2</v>
      </c>
      <c r="R629" s="707">
        <v>241518</v>
      </c>
      <c r="S629" s="701" t="s">
        <v>1885</v>
      </c>
      <c r="T629" s="701">
        <v>0</v>
      </c>
      <c r="U629" s="701">
        <v>0</v>
      </c>
      <c r="V629" s="701">
        <v>0</v>
      </c>
      <c r="W629" s="701">
        <v>0</v>
      </c>
      <c r="X629" s="701">
        <v>0</v>
      </c>
      <c r="Y629" s="701">
        <v>0</v>
      </c>
      <c r="Z629" s="701">
        <v>82</v>
      </c>
      <c r="AA629" s="697" t="s">
        <v>1402</v>
      </c>
      <c r="AB629" s="701" t="s">
        <v>539</v>
      </c>
      <c r="AC629" s="701" t="s">
        <v>539</v>
      </c>
      <c r="AD629" s="458" t="s">
        <v>1016</v>
      </c>
      <c r="AE629" s="459">
        <v>80</v>
      </c>
      <c r="AF629" s="459">
        <v>82</v>
      </c>
      <c r="AG629" s="701" t="s">
        <v>375</v>
      </c>
      <c r="AH629" s="728"/>
      <c r="AI629" s="697">
        <v>828135532</v>
      </c>
      <c r="AJ629" s="699"/>
    </row>
    <row r="630" spans="2:36" ht="24" hidden="1" customHeight="1">
      <c r="B630" s="702"/>
      <c r="C630" s="700"/>
      <c r="D630" s="700"/>
      <c r="E630" s="700"/>
      <c r="F630" s="700"/>
      <c r="G630" s="700"/>
      <c r="H630" s="700"/>
      <c r="I630" s="713"/>
      <c r="J630" s="710"/>
      <c r="K630" s="710"/>
      <c r="L630" s="713"/>
      <c r="M630" s="710"/>
      <c r="N630" s="710"/>
      <c r="O630" s="702"/>
      <c r="P630" s="702"/>
      <c r="Q630" s="710"/>
      <c r="R630" s="708"/>
      <c r="S630" s="702"/>
      <c r="T630" s="702"/>
      <c r="U630" s="702"/>
      <c r="V630" s="702"/>
      <c r="W630" s="702"/>
      <c r="X630" s="702"/>
      <c r="Y630" s="702"/>
      <c r="Z630" s="702"/>
      <c r="AA630" s="698"/>
      <c r="AB630" s="702"/>
      <c r="AC630" s="702"/>
      <c r="AD630" s="473" t="s">
        <v>1886</v>
      </c>
      <c r="AE630" s="474">
        <v>8000</v>
      </c>
      <c r="AF630" s="474">
        <v>8000</v>
      </c>
      <c r="AG630" s="702"/>
      <c r="AH630" s="729"/>
      <c r="AI630" s="698"/>
      <c r="AJ630" s="700"/>
    </row>
    <row r="631" spans="2:36" ht="24" hidden="1" customHeight="1">
      <c r="B631" s="701">
        <v>520</v>
      </c>
      <c r="C631" s="699" t="s">
        <v>534</v>
      </c>
      <c r="D631" s="699"/>
      <c r="E631" s="699" t="s">
        <v>535</v>
      </c>
      <c r="F631" s="699"/>
      <c r="G631" s="699" t="s">
        <v>198</v>
      </c>
      <c r="H631" s="699" t="s">
        <v>1887</v>
      </c>
      <c r="I631" s="709">
        <v>0</v>
      </c>
      <c r="J631" s="709" t="s">
        <v>537</v>
      </c>
      <c r="K631" s="709" t="s">
        <v>537</v>
      </c>
      <c r="L631" s="709">
        <v>0</v>
      </c>
      <c r="M631" s="709" t="s">
        <v>537</v>
      </c>
      <c r="N631" s="709" t="s">
        <v>537</v>
      </c>
      <c r="O631" s="701" t="s">
        <v>537</v>
      </c>
      <c r="P631" s="701" t="s">
        <v>537</v>
      </c>
      <c r="Q631" s="709">
        <v>0</v>
      </c>
      <c r="R631" s="701" t="s">
        <v>1645</v>
      </c>
      <c r="S631" s="701" t="s">
        <v>1888</v>
      </c>
      <c r="T631" s="701">
        <v>0</v>
      </c>
      <c r="U631" s="701">
        <v>0</v>
      </c>
      <c r="V631" s="701">
        <v>0</v>
      </c>
      <c r="W631" s="701">
        <v>0</v>
      </c>
      <c r="X631" s="701">
        <v>0</v>
      </c>
      <c r="Y631" s="701">
        <v>0</v>
      </c>
      <c r="Z631" s="701">
        <v>85</v>
      </c>
      <c r="AA631" s="697" t="s">
        <v>1402</v>
      </c>
      <c r="AB631" s="701" t="s">
        <v>539</v>
      </c>
      <c r="AC631" s="701" t="s">
        <v>539</v>
      </c>
      <c r="AD631" s="458" t="s">
        <v>1016</v>
      </c>
      <c r="AE631" s="459">
        <v>80</v>
      </c>
      <c r="AF631" s="459" t="s">
        <v>537</v>
      </c>
      <c r="AG631" s="701" t="s">
        <v>376</v>
      </c>
      <c r="AH631" s="728"/>
      <c r="AI631" s="697">
        <v>828135532</v>
      </c>
      <c r="AJ631" s="699"/>
    </row>
    <row r="632" spans="2:36" ht="24" hidden="1" customHeight="1">
      <c r="B632" s="702"/>
      <c r="C632" s="700"/>
      <c r="D632" s="700"/>
      <c r="E632" s="700"/>
      <c r="F632" s="700"/>
      <c r="G632" s="700"/>
      <c r="H632" s="700"/>
      <c r="I632" s="710"/>
      <c r="J632" s="710"/>
      <c r="K632" s="710"/>
      <c r="L632" s="710"/>
      <c r="M632" s="710"/>
      <c r="N632" s="710"/>
      <c r="O632" s="702"/>
      <c r="P632" s="702"/>
      <c r="Q632" s="710"/>
      <c r="R632" s="702"/>
      <c r="S632" s="702"/>
      <c r="T632" s="702"/>
      <c r="U632" s="702"/>
      <c r="V632" s="702"/>
      <c r="W632" s="702"/>
      <c r="X632" s="702"/>
      <c r="Y632" s="702"/>
      <c r="Z632" s="702"/>
      <c r="AA632" s="698"/>
      <c r="AB632" s="702"/>
      <c r="AC632" s="702"/>
      <c r="AD632" s="473" t="s">
        <v>1889</v>
      </c>
      <c r="AE632" s="474">
        <v>3</v>
      </c>
      <c r="AF632" s="474">
        <v>3</v>
      </c>
      <c r="AG632" s="702"/>
      <c r="AH632" s="729"/>
      <c r="AI632" s="698"/>
      <c r="AJ632" s="700"/>
    </row>
    <row r="633" spans="2:36" ht="24" hidden="1" customHeight="1">
      <c r="B633" s="701">
        <v>521</v>
      </c>
      <c r="C633" s="699" t="s">
        <v>534</v>
      </c>
      <c r="D633" s="699"/>
      <c r="E633" s="699" t="s">
        <v>535</v>
      </c>
      <c r="F633" s="699"/>
      <c r="G633" s="699" t="s">
        <v>198</v>
      </c>
      <c r="H633" s="699" t="s">
        <v>1890</v>
      </c>
      <c r="I633" s="712">
        <v>100000</v>
      </c>
      <c r="J633" s="709" t="s">
        <v>537</v>
      </c>
      <c r="K633" s="709" t="s">
        <v>537</v>
      </c>
      <c r="L633" s="712">
        <v>99990</v>
      </c>
      <c r="M633" s="709" t="s">
        <v>537</v>
      </c>
      <c r="N633" s="709" t="s">
        <v>537</v>
      </c>
      <c r="O633" s="701">
        <v>10</v>
      </c>
      <c r="P633" s="701" t="s">
        <v>537</v>
      </c>
      <c r="Q633" s="709">
        <v>0</v>
      </c>
      <c r="R633" s="701" t="s">
        <v>1457</v>
      </c>
      <c r="S633" s="701" t="s">
        <v>1891</v>
      </c>
      <c r="T633" s="701">
        <v>150</v>
      </c>
      <c r="U633" s="701">
        <v>50</v>
      </c>
      <c r="V633" s="701">
        <v>0</v>
      </c>
      <c r="W633" s="701">
        <v>80</v>
      </c>
      <c r="X633" s="701">
        <v>20</v>
      </c>
      <c r="Y633" s="701">
        <v>0</v>
      </c>
      <c r="Z633" s="701">
        <v>83.8</v>
      </c>
      <c r="AA633" s="697" t="s">
        <v>612</v>
      </c>
      <c r="AB633" s="701" t="s">
        <v>539</v>
      </c>
      <c r="AC633" s="701" t="s">
        <v>539</v>
      </c>
      <c r="AD633" s="458" t="s">
        <v>565</v>
      </c>
      <c r="AE633" s="459">
        <v>80</v>
      </c>
      <c r="AF633" s="459">
        <v>83.8</v>
      </c>
      <c r="AG633" s="701" t="s">
        <v>376</v>
      </c>
      <c r="AH633" s="728"/>
      <c r="AI633" s="697">
        <v>872844804</v>
      </c>
      <c r="AJ633" s="699"/>
    </row>
    <row r="634" spans="2:36" ht="24" hidden="1" customHeight="1">
      <c r="B634" s="702"/>
      <c r="C634" s="700"/>
      <c r="D634" s="700"/>
      <c r="E634" s="700"/>
      <c r="F634" s="700"/>
      <c r="G634" s="700"/>
      <c r="H634" s="700"/>
      <c r="I634" s="713"/>
      <c r="J634" s="710"/>
      <c r="K634" s="710"/>
      <c r="L634" s="713"/>
      <c r="M634" s="710"/>
      <c r="N634" s="710"/>
      <c r="O634" s="702"/>
      <c r="P634" s="702"/>
      <c r="Q634" s="710"/>
      <c r="R634" s="702"/>
      <c r="S634" s="702"/>
      <c r="T634" s="702"/>
      <c r="U634" s="702"/>
      <c r="V634" s="702"/>
      <c r="W634" s="702"/>
      <c r="X634" s="702"/>
      <c r="Y634" s="702"/>
      <c r="Z634" s="702"/>
      <c r="AA634" s="698"/>
      <c r="AB634" s="702"/>
      <c r="AC634" s="702"/>
      <c r="AD634" s="473" t="s">
        <v>1892</v>
      </c>
      <c r="AE634" s="474">
        <v>2</v>
      </c>
      <c r="AF634" s="474">
        <v>1</v>
      </c>
      <c r="AG634" s="702"/>
      <c r="AH634" s="729"/>
      <c r="AI634" s="698"/>
      <c r="AJ634" s="700"/>
    </row>
    <row r="635" spans="2:36" ht="24" hidden="1" customHeight="1">
      <c r="B635" s="463">
        <v>522</v>
      </c>
      <c r="C635" s="464" t="s">
        <v>534</v>
      </c>
      <c r="D635" s="464"/>
      <c r="E635" s="464" t="s">
        <v>535</v>
      </c>
      <c r="F635" s="464"/>
      <c r="G635" s="464" t="s">
        <v>198</v>
      </c>
      <c r="H635" s="464" t="s">
        <v>1893</v>
      </c>
      <c r="I635" s="466">
        <v>80000</v>
      </c>
      <c r="J635" s="465" t="s">
        <v>537</v>
      </c>
      <c r="K635" s="465" t="s">
        <v>537</v>
      </c>
      <c r="L635" s="466">
        <v>60200.04</v>
      </c>
      <c r="M635" s="465" t="s">
        <v>537</v>
      </c>
      <c r="N635" s="465" t="s">
        <v>537</v>
      </c>
      <c r="O635" s="467">
        <v>19799.96</v>
      </c>
      <c r="P635" s="463" t="s">
        <v>537</v>
      </c>
      <c r="Q635" s="465">
        <v>0</v>
      </c>
      <c r="R635" s="470">
        <v>241428</v>
      </c>
      <c r="S635" s="463" t="s">
        <v>1894</v>
      </c>
      <c r="T635" s="463">
        <v>0</v>
      </c>
      <c r="U635" s="463">
        <v>50</v>
      </c>
      <c r="V635" s="463">
        <v>0</v>
      </c>
      <c r="W635" s="463">
        <v>0</v>
      </c>
      <c r="X635" s="463">
        <v>37</v>
      </c>
      <c r="Y635" s="463">
        <v>0</v>
      </c>
      <c r="Z635" s="463">
        <v>87.42</v>
      </c>
      <c r="AA635" s="472" t="s">
        <v>547</v>
      </c>
      <c r="AB635" s="463" t="s">
        <v>539</v>
      </c>
      <c r="AC635" s="463" t="s">
        <v>539</v>
      </c>
      <c r="AD635" s="472" t="s">
        <v>548</v>
      </c>
      <c r="AE635" s="463">
        <v>80</v>
      </c>
      <c r="AF635" s="463">
        <v>87.42</v>
      </c>
      <c r="AG635" s="463" t="s">
        <v>375</v>
      </c>
      <c r="AH635" s="476"/>
      <c r="AI635" s="472">
        <v>890699867</v>
      </c>
      <c r="AJ635" s="464"/>
    </row>
    <row r="636" spans="2:36" ht="24" hidden="1" customHeight="1">
      <c r="B636" s="463">
        <v>523</v>
      </c>
      <c r="C636" s="464" t="s">
        <v>534</v>
      </c>
      <c r="D636" s="464"/>
      <c r="E636" s="464" t="s">
        <v>535</v>
      </c>
      <c r="F636" s="464"/>
      <c r="G636" s="464" t="s">
        <v>198</v>
      </c>
      <c r="H636" s="464" t="s">
        <v>1895</v>
      </c>
      <c r="I636" s="466">
        <v>28700</v>
      </c>
      <c r="J636" s="465" t="s">
        <v>537</v>
      </c>
      <c r="K636" s="465" t="s">
        <v>537</v>
      </c>
      <c r="L636" s="466">
        <v>28700</v>
      </c>
      <c r="M636" s="465" t="s">
        <v>537</v>
      </c>
      <c r="N636" s="465" t="s">
        <v>537</v>
      </c>
      <c r="O636" s="463" t="s">
        <v>537</v>
      </c>
      <c r="P636" s="463" t="s">
        <v>537</v>
      </c>
      <c r="Q636" s="465">
        <v>0</v>
      </c>
      <c r="R636" s="463" t="s">
        <v>646</v>
      </c>
      <c r="S636" s="463" t="s">
        <v>1193</v>
      </c>
      <c r="T636" s="463">
        <v>45</v>
      </c>
      <c r="U636" s="463">
        <v>5</v>
      </c>
      <c r="V636" s="463">
        <v>0</v>
      </c>
      <c r="W636" s="463">
        <v>45</v>
      </c>
      <c r="X636" s="463">
        <v>5</v>
      </c>
      <c r="Y636" s="463">
        <v>0</v>
      </c>
      <c r="Z636" s="463">
        <v>90.4</v>
      </c>
      <c r="AA636" s="472" t="s">
        <v>1896</v>
      </c>
      <c r="AB636" s="463" t="s">
        <v>539</v>
      </c>
      <c r="AC636" s="463" t="s">
        <v>539</v>
      </c>
      <c r="AD636" s="472" t="s">
        <v>606</v>
      </c>
      <c r="AE636" s="463">
        <v>80</v>
      </c>
      <c r="AF636" s="463">
        <v>90.4</v>
      </c>
      <c r="AG636" s="463" t="s">
        <v>375</v>
      </c>
      <c r="AH636" s="476"/>
      <c r="AI636" s="472">
        <v>936437896</v>
      </c>
      <c r="AJ636" s="464"/>
    </row>
    <row r="637" spans="2:36" ht="24" hidden="1" customHeight="1">
      <c r="B637" s="463">
        <v>524</v>
      </c>
      <c r="C637" s="464" t="s">
        <v>534</v>
      </c>
      <c r="D637" s="464"/>
      <c r="E637" s="464" t="s">
        <v>535</v>
      </c>
      <c r="F637" s="464"/>
      <c r="G637" s="464" t="s">
        <v>198</v>
      </c>
      <c r="H637" s="464" t="s">
        <v>1897</v>
      </c>
      <c r="I637" s="466">
        <v>32400</v>
      </c>
      <c r="J637" s="465" t="s">
        <v>537</v>
      </c>
      <c r="K637" s="465" t="s">
        <v>537</v>
      </c>
      <c r="L637" s="466">
        <v>20400</v>
      </c>
      <c r="M637" s="465" t="s">
        <v>537</v>
      </c>
      <c r="N637" s="465" t="s">
        <v>537</v>
      </c>
      <c r="O637" s="467">
        <v>12000</v>
      </c>
      <c r="P637" s="463" t="s">
        <v>537</v>
      </c>
      <c r="Q637" s="465">
        <v>0</v>
      </c>
      <c r="R637" s="463" t="s">
        <v>1898</v>
      </c>
      <c r="S637" s="463" t="s">
        <v>1899</v>
      </c>
      <c r="T637" s="463">
        <v>200</v>
      </c>
      <c r="U637" s="463">
        <v>50</v>
      </c>
      <c r="V637" s="463">
        <v>0</v>
      </c>
      <c r="W637" s="463">
        <v>150</v>
      </c>
      <c r="X637" s="463">
        <v>30</v>
      </c>
      <c r="Y637" s="463">
        <v>0</v>
      </c>
      <c r="Z637" s="463">
        <v>91.6</v>
      </c>
      <c r="AA637" s="472" t="s">
        <v>1896</v>
      </c>
      <c r="AB637" s="463" t="s">
        <v>539</v>
      </c>
      <c r="AC637" s="463" t="s">
        <v>539</v>
      </c>
      <c r="AD637" s="472" t="s">
        <v>606</v>
      </c>
      <c r="AE637" s="463">
        <v>80</v>
      </c>
      <c r="AF637" s="463">
        <v>91.6</v>
      </c>
      <c r="AG637" s="463" t="s">
        <v>375</v>
      </c>
      <c r="AH637" s="476"/>
      <c r="AI637" s="472">
        <v>936437896</v>
      </c>
      <c r="AJ637" s="464"/>
    </row>
    <row r="638" spans="2:36" ht="24" hidden="1" customHeight="1">
      <c r="B638" s="463">
        <v>525</v>
      </c>
      <c r="C638" s="464" t="s">
        <v>534</v>
      </c>
      <c r="D638" s="464"/>
      <c r="E638" s="464" t="s">
        <v>535</v>
      </c>
      <c r="F638" s="464"/>
      <c r="G638" s="464" t="s">
        <v>198</v>
      </c>
      <c r="H638" s="464" t="s">
        <v>1900</v>
      </c>
      <c r="I638" s="466">
        <v>24300</v>
      </c>
      <c r="J638" s="465" t="s">
        <v>537</v>
      </c>
      <c r="K638" s="465" t="s">
        <v>537</v>
      </c>
      <c r="L638" s="466">
        <v>24300</v>
      </c>
      <c r="M638" s="465" t="s">
        <v>537</v>
      </c>
      <c r="N638" s="465" t="s">
        <v>537</v>
      </c>
      <c r="O638" s="463" t="s">
        <v>537</v>
      </c>
      <c r="P638" s="463" t="s">
        <v>537</v>
      </c>
      <c r="Q638" s="465">
        <v>0</v>
      </c>
      <c r="R638" s="470">
        <v>241428</v>
      </c>
      <c r="S638" s="463" t="s">
        <v>1901</v>
      </c>
      <c r="T638" s="463">
        <v>80</v>
      </c>
      <c r="U638" s="463">
        <v>20</v>
      </c>
      <c r="V638" s="463">
        <v>0</v>
      </c>
      <c r="W638" s="463">
        <v>100</v>
      </c>
      <c r="X638" s="463">
        <v>20</v>
      </c>
      <c r="Y638" s="463">
        <v>0</v>
      </c>
      <c r="Z638" s="463">
        <v>92.86</v>
      </c>
      <c r="AA638" s="472" t="s">
        <v>1896</v>
      </c>
      <c r="AB638" s="463" t="s">
        <v>539</v>
      </c>
      <c r="AC638" s="463" t="s">
        <v>539</v>
      </c>
      <c r="AD638" s="472" t="s">
        <v>606</v>
      </c>
      <c r="AE638" s="463">
        <v>80</v>
      </c>
      <c r="AF638" s="463">
        <v>92.86</v>
      </c>
      <c r="AG638" s="463" t="s">
        <v>375</v>
      </c>
      <c r="AH638" s="476"/>
      <c r="AI638" s="472">
        <v>936437896</v>
      </c>
      <c r="AJ638" s="464"/>
    </row>
    <row r="639" spans="2:36" ht="24" hidden="1" customHeight="1">
      <c r="B639" s="463">
        <v>526</v>
      </c>
      <c r="C639" s="464" t="s">
        <v>534</v>
      </c>
      <c r="D639" s="464"/>
      <c r="E639" s="464" t="s">
        <v>535</v>
      </c>
      <c r="F639" s="464"/>
      <c r="G639" s="464" t="s">
        <v>198</v>
      </c>
      <c r="H639" s="464" t="s">
        <v>1902</v>
      </c>
      <c r="I639" s="466">
        <v>54600</v>
      </c>
      <c r="J639" s="465" t="s">
        <v>537</v>
      </c>
      <c r="K639" s="465" t="s">
        <v>537</v>
      </c>
      <c r="L639" s="466">
        <v>54420</v>
      </c>
      <c r="M639" s="465" t="s">
        <v>537</v>
      </c>
      <c r="N639" s="465" t="s">
        <v>537</v>
      </c>
      <c r="O639" s="463">
        <v>180</v>
      </c>
      <c r="P639" s="463" t="s">
        <v>537</v>
      </c>
      <c r="Q639" s="465">
        <v>0</v>
      </c>
      <c r="R639" s="470">
        <v>241459</v>
      </c>
      <c r="S639" s="463" t="s">
        <v>1903</v>
      </c>
      <c r="T639" s="463">
        <v>50</v>
      </c>
      <c r="U639" s="463">
        <v>10</v>
      </c>
      <c r="V639" s="463">
        <v>100</v>
      </c>
      <c r="W639" s="463">
        <v>100</v>
      </c>
      <c r="X639" s="463">
        <v>25</v>
      </c>
      <c r="Y639" s="463">
        <v>55</v>
      </c>
      <c r="Z639" s="463">
        <v>92.32</v>
      </c>
      <c r="AA639" s="472" t="s">
        <v>1896</v>
      </c>
      <c r="AB639" s="463" t="s">
        <v>539</v>
      </c>
      <c r="AC639" s="463" t="s">
        <v>539</v>
      </c>
      <c r="AD639" s="472" t="s">
        <v>606</v>
      </c>
      <c r="AE639" s="463">
        <v>80</v>
      </c>
      <c r="AF639" s="463">
        <v>92.32</v>
      </c>
      <c r="AG639" s="463" t="s">
        <v>375</v>
      </c>
      <c r="AH639" s="476"/>
      <c r="AI639" s="472">
        <v>936437896</v>
      </c>
      <c r="AJ639" s="464"/>
    </row>
    <row r="640" spans="2:36" ht="24" hidden="1" customHeight="1">
      <c r="B640" s="463">
        <v>527</v>
      </c>
      <c r="C640" s="464" t="s">
        <v>534</v>
      </c>
      <c r="D640" s="464"/>
      <c r="E640" s="464" t="s">
        <v>535</v>
      </c>
      <c r="F640" s="464"/>
      <c r="G640" s="464" t="s">
        <v>198</v>
      </c>
      <c r="H640" s="464" t="s">
        <v>1904</v>
      </c>
      <c r="I640" s="466">
        <v>120000</v>
      </c>
      <c r="J640" s="465" t="s">
        <v>537</v>
      </c>
      <c r="K640" s="465" t="s">
        <v>537</v>
      </c>
      <c r="L640" s="466">
        <v>119380</v>
      </c>
      <c r="M640" s="465" t="s">
        <v>537</v>
      </c>
      <c r="N640" s="465" t="s">
        <v>537</v>
      </c>
      <c r="O640" s="463">
        <v>620</v>
      </c>
      <c r="P640" s="463" t="s">
        <v>537</v>
      </c>
      <c r="Q640" s="465">
        <v>0</v>
      </c>
      <c r="R640" s="470">
        <v>241459</v>
      </c>
      <c r="S640" s="463" t="s">
        <v>736</v>
      </c>
      <c r="T640" s="463">
        <v>160</v>
      </c>
      <c r="U640" s="463">
        <v>40</v>
      </c>
      <c r="V640" s="463">
        <v>600</v>
      </c>
      <c r="W640" s="463">
        <v>180</v>
      </c>
      <c r="X640" s="463">
        <v>50</v>
      </c>
      <c r="Y640" s="463">
        <v>600</v>
      </c>
      <c r="Z640" s="463">
        <v>89.8</v>
      </c>
      <c r="AA640" s="472" t="s">
        <v>1896</v>
      </c>
      <c r="AB640" s="463" t="s">
        <v>539</v>
      </c>
      <c r="AC640" s="463" t="s">
        <v>539</v>
      </c>
      <c r="AD640" s="472" t="s">
        <v>606</v>
      </c>
      <c r="AE640" s="463">
        <v>80</v>
      </c>
      <c r="AF640" s="463">
        <v>89.8</v>
      </c>
      <c r="AG640" s="463" t="s">
        <v>375</v>
      </c>
      <c r="AH640" s="476"/>
      <c r="AI640" s="472">
        <v>936437896</v>
      </c>
      <c r="AJ640" s="464"/>
    </row>
    <row r="641" spans="1:36" ht="24" hidden="1" customHeight="1">
      <c r="B641" s="463">
        <v>528</v>
      </c>
      <c r="C641" s="464" t="s">
        <v>534</v>
      </c>
      <c r="D641" s="464"/>
      <c r="E641" s="464" t="s">
        <v>535</v>
      </c>
      <c r="F641" s="464"/>
      <c r="G641" s="464" t="s">
        <v>198</v>
      </c>
      <c r="H641" s="464" t="s">
        <v>1905</v>
      </c>
      <c r="I641" s="466">
        <v>21000</v>
      </c>
      <c r="J641" s="465" t="s">
        <v>537</v>
      </c>
      <c r="K641" s="465" t="s">
        <v>537</v>
      </c>
      <c r="L641" s="466">
        <v>21000</v>
      </c>
      <c r="M641" s="465" t="s">
        <v>537</v>
      </c>
      <c r="N641" s="465" t="s">
        <v>537</v>
      </c>
      <c r="O641" s="463" t="s">
        <v>537</v>
      </c>
      <c r="P641" s="463" t="s">
        <v>537</v>
      </c>
      <c r="Q641" s="465">
        <v>0</v>
      </c>
      <c r="R641" s="470">
        <v>241459</v>
      </c>
      <c r="S641" s="463" t="s">
        <v>1906</v>
      </c>
      <c r="T641" s="463">
        <v>0</v>
      </c>
      <c r="U641" s="463">
        <v>30</v>
      </c>
      <c r="V641" s="463">
        <v>0</v>
      </c>
      <c r="W641" s="463">
        <v>5</v>
      </c>
      <c r="X641" s="463">
        <v>30</v>
      </c>
      <c r="Y641" s="463">
        <v>0</v>
      </c>
      <c r="Z641" s="463">
        <v>82.57</v>
      </c>
      <c r="AA641" s="472" t="s">
        <v>1907</v>
      </c>
      <c r="AB641" s="463" t="s">
        <v>539</v>
      </c>
      <c r="AC641" s="463" t="s">
        <v>539</v>
      </c>
      <c r="AD641" s="472" t="s">
        <v>606</v>
      </c>
      <c r="AE641" s="463">
        <v>80</v>
      </c>
      <c r="AF641" s="463">
        <v>82.57</v>
      </c>
      <c r="AG641" s="463" t="s">
        <v>375</v>
      </c>
      <c r="AH641" s="476"/>
      <c r="AI641" s="472">
        <v>817376037</v>
      </c>
      <c r="AJ641" s="464"/>
    </row>
    <row r="642" spans="1:36" ht="24" hidden="1" customHeight="1">
      <c r="B642" s="463">
        <v>529</v>
      </c>
      <c r="C642" s="464" t="s">
        <v>534</v>
      </c>
      <c r="D642" s="464"/>
      <c r="E642" s="464" t="s">
        <v>535</v>
      </c>
      <c r="F642" s="464"/>
      <c r="G642" s="464" t="s">
        <v>198</v>
      </c>
      <c r="H642" s="464" t="s">
        <v>1908</v>
      </c>
      <c r="I642" s="466">
        <v>82000</v>
      </c>
      <c r="J642" s="465" t="s">
        <v>537</v>
      </c>
      <c r="K642" s="465" t="s">
        <v>537</v>
      </c>
      <c r="L642" s="466">
        <v>50200</v>
      </c>
      <c r="M642" s="465" t="s">
        <v>537</v>
      </c>
      <c r="N642" s="465" t="s">
        <v>537</v>
      </c>
      <c r="O642" s="467">
        <v>24600</v>
      </c>
      <c r="P642" s="463" t="s">
        <v>537</v>
      </c>
      <c r="Q642" s="468">
        <v>7200</v>
      </c>
      <c r="R642" s="463" t="s">
        <v>1072</v>
      </c>
      <c r="S642" s="463" t="s">
        <v>1909</v>
      </c>
      <c r="T642" s="463">
        <v>300</v>
      </c>
      <c r="U642" s="463">
        <v>0</v>
      </c>
      <c r="V642" s="463">
        <v>0</v>
      </c>
      <c r="W642" s="463">
        <v>144</v>
      </c>
      <c r="X642" s="463">
        <v>0</v>
      </c>
      <c r="Y642" s="463">
        <v>0</v>
      </c>
      <c r="Z642" s="463">
        <v>80.52</v>
      </c>
      <c r="AA642" s="472" t="s">
        <v>1907</v>
      </c>
      <c r="AB642" s="463" t="s">
        <v>634</v>
      </c>
      <c r="AC642" s="463" t="s">
        <v>539</v>
      </c>
      <c r="AD642" s="472" t="s">
        <v>606</v>
      </c>
      <c r="AE642" s="463">
        <v>80</v>
      </c>
      <c r="AF642" s="463">
        <v>80.52</v>
      </c>
      <c r="AG642" s="463" t="s">
        <v>375</v>
      </c>
      <c r="AH642" s="476"/>
      <c r="AI642" s="472">
        <v>817376037</v>
      </c>
      <c r="AJ642" s="464"/>
    </row>
    <row r="643" spans="1:36" ht="24" hidden="1" customHeight="1">
      <c r="B643" s="463">
        <v>530</v>
      </c>
      <c r="C643" s="464" t="s">
        <v>534</v>
      </c>
      <c r="D643" s="464"/>
      <c r="E643" s="464" t="s">
        <v>535</v>
      </c>
      <c r="F643" s="464"/>
      <c r="G643" s="464" t="s">
        <v>198</v>
      </c>
      <c r="H643" s="464" t="s">
        <v>1910</v>
      </c>
      <c r="I643" s="466">
        <v>22600</v>
      </c>
      <c r="J643" s="465" t="s">
        <v>537</v>
      </c>
      <c r="K643" s="465" t="s">
        <v>537</v>
      </c>
      <c r="L643" s="466">
        <v>9600</v>
      </c>
      <c r="M643" s="465" t="s">
        <v>537</v>
      </c>
      <c r="N643" s="465" t="s">
        <v>537</v>
      </c>
      <c r="O643" s="467">
        <v>13000</v>
      </c>
      <c r="P643" s="463" t="s">
        <v>537</v>
      </c>
      <c r="Q643" s="465">
        <v>0</v>
      </c>
      <c r="R643" s="463" t="s">
        <v>1346</v>
      </c>
      <c r="S643" s="463" t="s">
        <v>1877</v>
      </c>
      <c r="T643" s="463">
        <v>300</v>
      </c>
      <c r="U643" s="463">
        <v>0</v>
      </c>
      <c r="V643" s="463">
        <v>0</v>
      </c>
      <c r="W643" s="463">
        <v>300</v>
      </c>
      <c r="X643" s="463">
        <v>3</v>
      </c>
      <c r="Y643" s="463">
        <v>0</v>
      </c>
      <c r="Z643" s="463">
        <v>84.48</v>
      </c>
      <c r="AA643" s="472" t="s">
        <v>1907</v>
      </c>
      <c r="AB643" s="463" t="s">
        <v>539</v>
      </c>
      <c r="AC643" s="463" t="s">
        <v>539</v>
      </c>
      <c r="AD643" s="472" t="s">
        <v>606</v>
      </c>
      <c r="AE643" s="463">
        <v>80</v>
      </c>
      <c r="AF643" s="463">
        <v>84.48</v>
      </c>
      <c r="AG643" s="463" t="s">
        <v>375</v>
      </c>
      <c r="AH643" s="476"/>
      <c r="AI643" s="472">
        <v>817376037</v>
      </c>
      <c r="AJ643" s="464"/>
    </row>
    <row r="644" spans="1:36" ht="24" hidden="1" customHeight="1">
      <c r="B644" s="463">
        <v>531</v>
      </c>
      <c r="C644" s="464" t="s">
        <v>534</v>
      </c>
      <c r="D644" s="464"/>
      <c r="E644" s="464" t="s">
        <v>535</v>
      </c>
      <c r="F644" s="464"/>
      <c r="G644" s="464" t="s">
        <v>198</v>
      </c>
      <c r="H644" s="464" t="s">
        <v>1911</v>
      </c>
      <c r="I644" s="466">
        <v>174400</v>
      </c>
      <c r="J644" s="465" t="s">
        <v>537</v>
      </c>
      <c r="K644" s="465" t="s">
        <v>537</v>
      </c>
      <c r="L644" s="466">
        <v>215000</v>
      </c>
      <c r="M644" s="465" t="s">
        <v>537</v>
      </c>
      <c r="N644" s="465" t="s">
        <v>537</v>
      </c>
      <c r="O644" s="463" t="s">
        <v>537</v>
      </c>
      <c r="P644" s="467">
        <v>40600</v>
      </c>
      <c r="Q644" s="465">
        <v>0</v>
      </c>
      <c r="R644" s="470">
        <v>241640</v>
      </c>
      <c r="S644" s="463" t="s">
        <v>1912</v>
      </c>
      <c r="T644" s="463">
        <v>500</v>
      </c>
      <c r="U644" s="463">
        <v>0</v>
      </c>
      <c r="V644" s="463">
        <v>0</v>
      </c>
      <c r="W644" s="463">
        <v>510</v>
      </c>
      <c r="X644" s="463">
        <v>13</v>
      </c>
      <c r="Y644" s="463">
        <v>0</v>
      </c>
      <c r="Z644" s="463">
        <v>84.89</v>
      </c>
      <c r="AA644" s="472" t="s">
        <v>1907</v>
      </c>
      <c r="AB644" s="463" t="s">
        <v>539</v>
      </c>
      <c r="AC644" s="463" t="s">
        <v>539</v>
      </c>
      <c r="AD644" s="472" t="s">
        <v>606</v>
      </c>
      <c r="AE644" s="463">
        <v>80</v>
      </c>
      <c r="AF644" s="463">
        <v>84.89</v>
      </c>
      <c r="AG644" s="463" t="s">
        <v>375</v>
      </c>
      <c r="AH644" s="476"/>
      <c r="AI644" s="472">
        <v>817376037</v>
      </c>
      <c r="AJ644" s="464"/>
    </row>
    <row r="645" spans="1:36" ht="24" hidden="1" customHeight="1">
      <c r="B645" s="463">
        <v>532</v>
      </c>
      <c r="C645" s="464" t="s">
        <v>534</v>
      </c>
      <c r="D645" s="464"/>
      <c r="E645" s="464" t="s">
        <v>535</v>
      </c>
      <c r="F645" s="464"/>
      <c r="G645" s="464" t="s">
        <v>198</v>
      </c>
      <c r="H645" s="464" t="s">
        <v>1913</v>
      </c>
      <c r="I645" s="465" t="s">
        <v>537</v>
      </c>
      <c r="J645" s="466">
        <v>80000</v>
      </c>
      <c r="K645" s="465" t="s">
        <v>537</v>
      </c>
      <c r="L645" s="465" t="s">
        <v>537</v>
      </c>
      <c r="M645" s="466">
        <v>43924</v>
      </c>
      <c r="N645" s="465" t="s">
        <v>537</v>
      </c>
      <c r="O645" s="463" t="s">
        <v>537</v>
      </c>
      <c r="P645" s="463" t="s">
        <v>537</v>
      </c>
      <c r="Q645" s="468">
        <v>36076</v>
      </c>
      <c r="R645" s="470">
        <v>241671</v>
      </c>
      <c r="S645" s="463" t="s">
        <v>1299</v>
      </c>
      <c r="T645" s="463">
        <v>25</v>
      </c>
      <c r="U645" s="463">
        <v>75</v>
      </c>
      <c r="V645" s="463">
        <v>400</v>
      </c>
      <c r="W645" s="463">
        <v>25</v>
      </c>
      <c r="X645" s="463">
        <v>75</v>
      </c>
      <c r="Y645" s="463">
        <v>400</v>
      </c>
      <c r="Z645" s="463">
        <v>81.400000000000006</v>
      </c>
      <c r="AA645" s="472" t="s">
        <v>547</v>
      </c>
      <c r="AB645" s="463" t="s">
        <v>539</v>
      </c>
      <c r="AC645" s="463" t="s">
        <v>539</v>
      </c>
      <c r="AD645" s="472" t="s">
        <v>606</v>
      </c>
      <c r="AE645" s="463">
        <v>80</v>
      </c>
      <c r="AF645" s="463">
        <v>81.400000000000006</v>
      </c>
      <c r="AG645" s="463" t="s">
        <v>375</v>
      </c>
      <c r="AH645" s="476"/>
      <c r="AI645" s="472">
        <v>853804424</v>
      </c>
      <c r="AJ645" s="464"/>
    </row>
    <row r="646" spans="1:36" ht="24" customHeight="1">
      <c r="A646" s="452">
        <v>42</v>
      </c>
      <c r="B646" s="463">
        <v>533</v>
      </c>
      <c r="C646" s="464" t="s">
        <v>377</v>
      </c>
      <c r="D646" s="464"/>
      <c r="E646" s="464" t="s">
        <v>602</v>
      </c>
      <c r="F646" s="464"/>
      <c r="G646" s="464" t="s">
        <v>198</v>
      </c>
      <c r="H646" s="464" t="s">
        <v>1914</v>
      </c>
      <c r="I646" s="466">
        <v>70000</v>
      </c>
      <c r="J646" s="465" t="s">
        <v>537</v>
      </c>
      <c r="K646" s="465" t="s">
        <v>537</v>
      </c>
      <c r="L646" s="466">
        <v>66110</v>
      </c>
      <c r="M646" s="465" t="s">
        <v>537</v>
      </c>
      <c r="N646" s="465" t="s">
        <v>537</v>
      </c>
      <c r="O646" s="463" t="s">
        <v>537</v>
      </c>
      <c r="P646" s="463" t="s">
        <v>537</v>
      </c>
      <c r="Q646" s="468">
        <v>3890</v>
      </c>
      <c r="R646" s="470">
        <v>241428</v>
      </c>
      <c r="S646" s="463" t="s">
        <v>1915</v>
      </c>
      <c r="T646" s="463">
        <v>35</v>
      </c>
      <c r="U646" s="463">
        <v>5</v>
      </c>
      <c r="V646" s="463">
        <v>40</v>
      </c>
      <c r="W646" s="463">
        <v>35</v>
      </c>
      <c r="X646" s="463">
        <v>3</v>
      </c>
      <c r="Y646" s="463">
        <v>40</v>
      </c>
      <c r="Z646" s="463">
        <v>90.6</v>
      </c>
      <c r="AA646" s="472" t="s">
        <v>612</v>
      </c>
      <c r="AB646" s="463" t="s">
        <v>539</v>
      </c>
      <c r="AC646" s="463" t="s">
        <v>539</v>
      </c>
      <c r="AD646" s="472" t="s">
        <v>565</v>
      </c>
      <c r="AE646" s="463">
        <v>80</v>
      </c>
      <c r="AF646" s="463">
        <v>90.6</v>
      </c>
      <c r="AG646" s="463" t="s">
        <v>375</v>
      </c>
      <c r="AH646" s="476"/>
      <c r="AI646" s="472">
        <v>894697612</v>
      </c>
      <c r="AJ646" s="464"/>
    </row>
    <row r="647" spans="1:36" ht="24" customHeight="1">
      <c r="A647" s="452">
        <v>43</v>
      </c>
      <c r="B647" s="463">
        <v>534</v>
      </c>
      <c r="C647" s="464" t="s">
        <v>377</v>
      </c>
      <c r="D647" s="464"/>
      <c r="E647" s="464" t="s">
        <v>602</v>
      </c>
      <c r="F647" s="464"/>
      <c r="G647" s="464" t="s">
        <v>198</v>
      </c>
      <c r="H647" s="464" t="s">
        <v>1916</v>
      </c>
      <c r="I647" s="466">
        <v>100000</v>
      </c>
      <c r="J647" s="465" t="s">
        <v>537</v>
      </c>
      <c r="K647" s="465" t="s">
        <v>537</v>
      </c>
      <c r="L647" s="466">
        <v>96780</v>
      </c>
      <c r="M647" s="465" t="s">
        <v>537</v>
      </c>
      <c r="N647" s="465" t="s">
        <v>537</v>
      </c>
      <c r="O647" s="463" t="s">
        <v>537</v>
      </c>
      <c r="P647" s="463" t="s">
        <v>537</v>
      </c>
      <c r="Q647" s="468">
        <v>3220</v>
      </c>
      <c r="R647" s="470">
        <v>241459</v>
      </c>
      <c r="S647" s="471">
        <v>22319</v>
      </c>
      <c r="T647" s="463">
        <v>400</v>
      </c>
      <c r="U647" s="463">
        <v>40</v>
      </c>
      <c r="V647" s="463">
        <v>250</v>
      </c>
      <c r="W647" s="463">
        <v>450</v>
      </c>
      <c r="X647" s="463">
        <v>40</v>
      </c>
      <c r="Y647" s="463">
        <v>200</v>
      </c>
      <c r="Z647" s="463">
        <v>83.2</v>
      </c>
      <c r="AA647" s="472" t="s">
        <v>612</v>
      </c>
      <c r="AB647" s="463" t="s">
        <v>539</v>
      </c>
      <c r="AC647" s="463" t="s">
        <v>539</v>
      </c>
      <c r="AD647" s="472" t="s">
        <v>565</v>
      </c>
      <c r="AE647" s="463">
        <v>80</v>
      </c>
      <c r="AF647" s="463">
        <v>83.2</v>
      </c>
      <c r="AG647" s="463" t="s">
        <v>375</v>
      </c>
      <c r="AH647" s="476"/>
      <c r="AI647" s="472">
        <v>894697612</v>
      </c>
      <c r="AJ647" s="464"/>
    </row>
    <row r="648" spans="1:36" ht="24" customHeight="1">
      <c r="A648" s="452">
        <v>44</v>
      </c>
      <c r="B648" s="463">
        <v>535</v>
      </c>
      <c r="C648" s="464" t="s">
        <v>377</v>
      </c>
      <c r="D648" s="464"/>
      <c r="E648" s="464" t="s">
        <v>602</v>
      </c>
      <c r="F648" s="464"/>
      <c r="G648" s="464" t="s">
        <v>198</v>
      </c>
      <c r="H648" s="464" t="s">
        <v>1917</v>
      </c>
      <c r="I648" s="466">
        <v>20000</v>
      </c>
      <c r="J648" s="465" t="s">
        <v>537</v>
      </c>
      <c r="K648" s="465" t="s">
        <v>537</v>
      </c>
      <c r="L648" s="466">
        <v>18215</v>
      </c>
      <c r="M648" s="465" t="s">
        <v>537</v>
      </c>
      <c r="N648" s="465" t="s">
        <v>537</v>
      </c>
      <c r="O648" s="463" t="s">
        <v>537</v>
      </c>
      <c r="P648" s="463" t="s">
        <v>537</v>
      </c>
      <c r="Q648" s="468">
        <v>1785</v>
      </c>
      <c r="R648" s="470">
        <v>241640</v>
      </c>
      <c r="S648" s="471">
        <v>22536</v>
      </c>
      <c r="T648" s="463">
        <v>200</v>
      </c>
      <c r="U648" s="463">
        <v>20</v>
      </c>
      <c r="V648" s="463">
        <v>0</v>
      </c>
      <c r="W648" s="463">
        <v>200</v>
      </c>
      <c r="X648" s="463">
        <v>20</v>
      </c>
      <c r="Y648" s="463">
        <v>0</v>
      </c>
      <c r="Z648" s="463">
        <v>87.6</v>
      </c>
      <c r="AA648" s="472" t="s">
        <v>612</v>
      </c>
      <c r="AB648" s="463" t="s">
        <v>539</v>
      </c>
      <c r="AC648" s="463" t="s">
        <v>539</v>
      </c>
      <c r="AD648" s="472" t="s">
        <v>565</v>
      </c>
      <c r="AE648" s="463">
        <v>80</v>
      </c>
      <c r="AF648" s="463">
        <v>87.6</v>
      </c>
      <c r="AG648" s="463" t="s">
        <v>375</v>
      </c>
      <c r="AH648" s="476"/>
      <c r="AI648" s="472">
        <v>894697612</v>
      </c>
      <c r="AJ648" s="464"/>
    </row>
    <row r="649" spans="1:36" ht="24" customHeight="1">
      <c r="A649" s="452">
        <v>45</v>
      </c>
      <c r="B649" s="463">
        <v>536</v>
      </c>
      <c r="C649" s="464" t="s">
        <v>377</v>
      </c>
      <c r="D649" s="464"/>
      <c r="E649" s="464" t="s">
        <v>602</v>
      </c>
      <c r="F649" s="464"/>
      <c r="G649" s="464" t="s">
        <v>198</v>
      </c>
      <c r="H649" s="464" t="s">
        <v>1918</v>
      </c>
      <c r="I649" s="466">
        <v>18200</v>
      </c>
      <c r="J649" s="465" t="s">
        <v>537</v>
      </c>
      <c r="K649" s="465" t="s">
        <v>537</v>
      </c>
      <c r="L649" s="466">
        <v>18200</v>
      </c>
      <c r="M649" s="465" t="s">
        <v>537</v>
      </c>
      <c r="N649" s="465" t="s">
        <v>537</v>
      </c>
      <c r="O649" s="463" t="s">
        <v>537</v>
      </c>
      <c r="P649" s="463" t="s">
        <v>537</v>
      </c>
      <c r="Q649" s="465">
        <v>0</v>
      </c>
      <c r="R649" s="463" t="s">
        <v>646</v>
      </c>
      <c r="S649" s="463" t="s">
        <v>1725</v>
      </c>
      <c r="T649" s="463">
        <v>70</v>
      </c>
      <c r="U649" s="463">
        <v>10</v>
      </c>
      <c r="V649" s="463">
        <v>40</v>
      </c>
      <c r="W649" s="463">
        <v>100</v>
      </c>
      <c r="X649" s="463">
        <v>10</v>
      </c>
      <c r="Y649" s="463">
        <v>65</v>
      </c>
      <c r="Z649" s="463">
        <v>93</v>
      </c>
      <c r="AA649" s="472" t="s">
        <v>1919</v>
      </c>
      <c r="AB649" s="463" t="s">
        <v>539</v>
      </c>
      <c r="AC649" s="463" t="s">
        <v>539</v>
      </c>
      <c r="AD649" s="472" t="s">
        <v>565</v>
      </c>
      <c r="AE649" s="463">
        <v>80</v>
      </c>
      <c r="AF649" s="463">
        <v>93</v>
      </c>
      <c r="AG649" s="463" t="s">
        <v>375</v>
      </c>
      <c r="AH649" s="476"/>
      <c r="AI649" s="472">
        <v>894697612</v>
      </c>
      <c r="AJ649" s="464"/>
    </row>
    <row r="650" spans="1:36" ht="24" customHeight="1">
      <c r="A650" s="452">
        <v>46</v>
      </c>
      <c r="B650" s="463">
        <v>537</v>
      </c>
      <c r="C650" s="464" t="s">
        <v>377</v>
      </c>
      <c r="D650" s="464"/>
      <c r="E650" s="464" t="s">
        <v>602</v>
      </c>
      <c r="F650" s="464"/>
      <c r="G650" s="464" t="s">
        <v>198</v>
      </c>
      <c r="H650" s="464" t="s">
        <v>1920</v>
      </c>
      <c r="I650" s="466">
        <v>31800</v>
      </c>
      <c r="J650" s="465" t="s">
        <v>537</v>
      </c>
      <c r="K650" s="465" t="s">
        <v>537</v>
      </c>
      <c r="L650" s="466">
        <v>31800</v>
      </c>
      <c r="M650" s="465" t="s">
        <v>537</v>
      </c>
      <c r="N650" s="465" t="s">
        <v>537</v>
      </c>
      <c r="O650" s="463" t="s">
        <v>537</v>
      </c>
      <c r="P650" s="463" t="s">
        <v>537</v>
      </c>
      <c r="Q650" s="465">
        <v>0</v>
      </c>
      <c r="R650" s="470">
        <v>241609</v>
      </c>
      <c r="S650" s="463" t="s">
        <v>1921</v>
      </c>
      <c r="T650" s="463">
        <v>200</v>
      </c>
      <c r="U650" s="463">
        <v>20</v>
      </c>
      <c r="V650" s="463">
        <v>0</v>
      </c>
      <c r="W650" s="463">
        <v>200</v>
      </c>
      <c r="X650" s="463">
        <v>20</v>
      </c>
      <c r="Y650" s="463">
        <v>0</v>
      </c>
      <c r="Z650" s="463">
        <v>93.6</v>
      </c>
      <c r="AA650" s="472" t="s">
        <v>612</v>
      </c>
      <c r="AB650" s="463" t="s">
        <v>539</v>
      </c>
      <c r="AC650" s="463" t="s">
        <v>539</v>
      </c>
      <c r="AD650" s="472" t="s">
        <v>565</v>
      </c>
      <c r="AE650" s="463">
        <v>80</v>
      </c>
      <c r="AF650" s="463">
        <v>93.6</v>
      </c>
      <c r="AG650" s="463" t="s">
        <v>375</v>
      </c>
      <c r="AH650" s="476"/>
      <c r="AI650" s="472">
        <v>894697612</v>
      </c>
      <c r="AJ650" s="464"/>
    </row>
    <row r="651" spans="1:36" ht="24" customHeight="1">
      <c r="A651" s="452">
        <v>47</v>
      </c>
      <c r="B651" s="463">
        <v>538</v>
      </c>
      <c r="C651" s="464" t="s">
        <v>377</v>
      </c>
      <c r="D651" s="464"/>
      <c r="E651" s="464" t="s">
        <v>602</v>
      </c>
      <c r="F651" s="464"/>
      <c r="G651" s="464" t="s">
        <v>198</v>
      </c>
      <c r="H651" s="464" t="s">
        <v>1628</v>
      </c>
      <c r="I651" s="466">
        <v>50000</v>
      </c>
      <c r="J651" s="465" t="s">
        <v>537</v>
      </c>
      <c r="K651" s="465" t="s">
        <v>537</v>
      </c>
      <c r="L651" s="466">
        <v>46880</v>
      </c>
      <c r="M651" s="465" t="s">
        <v>537</v>
      </c>
      <c r="N651" s="465" t="s">
        <v>537</v>
      </c>
      <c r="O651" s="463" t="s">
        <v>537</v>
      </c>
      <c r="P651" s="463" t="s">
        <v>537</v>
      </c>
      <c r="Q651" s="468">
        <v>3120</v>
      </c>
      <c r="R651" s="470">
        <v>241609</v>
      </c>
      <c r="S651" s="471">
        <v>22467</v>
      </c>
      <c r="T651" s="463">
        <v>420</v>
      </c>
      <c r="U651" s="463">
        <v>100</v>
      </c>
      <c r="V651" s="463">
        <v>0</v>
      </c>
      <c r="W651" s="463">
        <v>520</v>
      </c>
      <c r="X651" s="463">
        <v>100</v>
      </c>
      <c r="Y651" s="463">
        <v>0</v>
      </c>
      <c r="Z651" s="463">
        <v>92.4</v>
      </c>
      <c r="AA651" s="472" t="s">
        <v>612</v>
      </c>
      <c r="AB651" s="463" t="s">
        <v>539</v>
      </c>
      <c r="AC651" s="463" t="s">
        <v>539</v>
      </c>
      <c r="AD651" s="472" t="s">
        <v>565</v>
      </c>
      <c r="AE651" s="463">
        <v>80</v>
      </c>
      <c r="AF651" s="463">
        <v>92.4</v>
      </c>
      <c r="AG651" s="463" t="s">
        <v>375</v>
      </c>
      <c r="AH651" s="476"/>
      <c r="AI651" s="472">
        <v>894697612</v>
      </c>
      <c r="AJ651" s="464"/>
    </row>
    <row r="652" spans="1:36" ht="24" customHeight="1">
      <c r="A652" s="452">
        <v>48</v>
      </c>
      <c r="B652" s="463">
        <v>539</v>
      </c>
      <c r="C652" s="464" t="s">
        <v>377</v>
      </c>
      <c r="D652" s="464"/>
      <c r="E652" s="464" t="s">
        <v>602</v>
      </c>
      <c r="F652" s="464"/>
      <c r="G652" s="464" t="s">
        <v>198</v>
      </c>
      <c r="H652" s="464" t="s">
        <v>1922</v>
      </c>
      <c r="I652" s="465">
        <v>0</v>
      </c>
      <c r="J652" s="465" t="s">
        <v>537</v>
      </c>
      <c r="K652" s="465" t="s">
        <v>537</v>
      </c>
      <c r="L652" s="465">
        <v>0</v>
      </c>
      <c r="M652" s="465" t="s">
        <v>537</v>
      </c>
      <c r="N652" s="465" t="s">
        <v>537</v>
      </c>
      <c r="O652" s="463" t="s">
        <v>537</v>
      </c>
      <c r="P652" s="463" t="s">
        <v>537</v>
      </c>
      <c r="Q652" s="465">
        <v>0</v>
      </c>
      <c r="R652" s="463" t="s">
        <v>646</v>
      </c>
      <c r="S652" s="463" t="s">
        <v>1923</v>
      </c>
      <c r="T652" s="463">
        <v>0</v>
      </c>
      <c r="U652" s="463">
        <v>42</v>
      </c>
      <c r="V652" s="463">
        <v>0</v>
      </c>
      <c r="W652" s="463">
        <v>0</v>
      </c>
      <c r="X652" s="463">
        <v>32</v>
      </c>
      <c r="Y652" s="463">
        <v>0</v>
      </c>
      <c r="Z652" s="463">
        <v>90.8</v>
      </c>
      <c r="AA652" s="472" t="s">
        <v>1924</v>
      </c>
      <c r="AB652" s="463" t="s">
        <v>539</v>
      </c>
      <c r="AC652" s="463" t="s">
        <v>539</v>
      </c>
      <c r="AD652" s="472" t="s">
        <v>565</v>
      </c>
      <c r="AE652" s="463">
        <v>80</v>
      </c>
      <c r="AF652" s="463">
        <v>90.8</v>
      </c>
      <c r="AG652" s="463" t="s">
        <v>375</v>
      </c>
      <c r="AH652" s="476"/>
      <c r="AI652" s="472">
        <v>894697612</v>
      </c>
      <c r="AJ652" s="464"/>
    </row>
    <row r="653" spans="1:36" ht="24" customHeight="1">
      <c r="A653" s="452">
        <v>49</v>
      </c>
      <c r="B653" s="463">
        <v>540</v>
      </c>
      <c r="C653" s="464" t="s">
        <v>377</v>
      </c>
      <c r="D653" s="464"/>
      <c r="E653" s="464" t="s">
        <v>602</v>
      </c>
      <c r="F653" s="464"/>
      <c r="G653" s="464" t="s">
        <v>198</v>
      </c>
      <c r="H653" s="464" t="s">
        <v>1925</v>
      </c>
      <c r="I653" s="465" t="s">
        <v>537</v>
      </c>
      <c r="J653" s="465" t="s">
        <v>537</v>
      </c>
      <c r="K653" s="466">
        <v>200000</v>
      </c>
      <c r="L653" s="465" t="s">
        <v>537</v>
      </c>
      <c r="M653" s="465" t="s">
        <v>537</v>
      </c>
      <c r="N653" s="466">
        <v>196600</v>
      </c>
      <c r="O653" s="463" t="s">
        <v>537</v>
      </c>
      <c r="P653" s="463" t="s">
        <v>537</v>
      </c>
      <c r="Q653" s="468">
        <v>3400</v>
      </c>
      <c r="R653" s="470">
        <v>241671</v>
      </c>
      <c r="S653" s="471">
        <v>22543</v>
      </c>
      <c r="T653" s="463">
        <v>0</v>
      </c>
      <c r="U653" s="463">
        <v>0</v>
      </c>
      <c r="V653" s="463">
        <v>0</v>
      </c>
      <c r="W653" s="463">
        <v>300</v>
      </c>
      <c r="X653" s="463">
        <v>0</v>
      </c>
      <c r="Y653" s="463">
        <v>0</v>
      </c>
      <c r="Z653" s="463">
        <v>81.14</v>
      </c>
      <c r="AA653" s="472" t="s">
        <v>1926</v>
      </c>
      <c r="AB653" s="463" t="s">
        <v>539</v>
      </c>
      <c r="AC653" s="463" t="s">
        <v>539</v>
      </c>
      <c r="AD653" s="472" t="s">
        <v>606</v>
      </c>
      <c r="AE653" s="463">
        <v>80</v>
      </c>
      <c r="AF653" s="463">
        <v>81.14</v>
      </c>
      <c r="AG653" s="463" t="s">
        <v>375</v>
      </c>
      <c r="AH653" s="476"/>
      <c r="AI653" s="472">
        <v>894697612</v>
      </c>
      <c r="AJ653" s="472" t="s">
        <v>543</v>
      </c>
    </row>
    <row r="654" spans="1:36" ht="24" customHeight="1">
      <c r="A654" s="452">
        <v>50</v>
      </c>
      <c r="B654" s="463">
        <v>541</v>
      </c>
      <c r="C654" s="464" t="s">
        <v>377</v>
      </c>
      <c r="D654" s="464"/>
      <c r="E654" s="464" t="s">
        <v>602</v>
      </c>
      <c r="F654" s="464"/>
      <c r="G654" s="464" t="s">
        <v>283</v>
      </c>
      <c r="H654" s="464" t="s">
        <v>1927</v>
      </c>
      <c r="I654" s="466">
        <v>4000</v>
      </c>
      <c r="J654" s="465" t="s">
        <v>537</v>
      </c>
      <c r="K654" s="465" t="s">
        <v>537</v>
      </c>
      <c r="L654" s="466">
        <v>4000</v>
      </c>
      <c r="M654" s="465" t="s">
        <v>537</v>
      </c>
      <c r="N654" s="465" t="s">
        <v>537</v>
      </c>
      <c r="O654" s="463" t="s">
        <v>537</v>
      </c>
      <c r="P654" s="463" t="s">
        <v>537</v>
      </c>
      <c r="Q654" s="465">
        <v>0</v>
      </c>
      <c r="R654" s="463" t="s">
        <v>984</v>
      </c>
      <c r="S654" s="463" t="s">
        <v>1928</v>
      </c>
      <c r="T654" s="463">
        <v>8</v>
      </c>
      <c r="U654" s="463">
        <v>7</v>
      </c>
      <c r="V654" s="463">
        <v>0</v>
      </c>
      <c r="W654" s="463">
        <v>8</v>
      </c>
      <c r="X654" s="463">
        <v>14</v>
      </c>
      <c r="Y654" s="463">
        <v>0</v>
      </c>
      <c r="Z654" s="463">
        <v>91.67</v>
      </c>
      <c r="AA654" s="472" t="s">
        <v>619</v>
      </c>
      <c r="AB654" s="463" t="s">
        <v>539</v>
      </c>
      <c r="AC654" s="463">
        <v>91.67</v>
      </c>
      <c r="AD654" s="472" t="s">
        <v>565</v>
      </c>
      <c r="AE654" s="463">
        <v>80</v>
      </c>
      <c r="AF654" s="463">
        <v>91.67</v>
      </c>
      <c r="AG654" s="463" t="s">
        <v>375</v>
      </c>
      <c r="AH654" s="476"/>
      <c r="AI654" s="472">
        <v>840561256</v>
      </c>
      <c r="AJ654" s="464"/>
    </row>
    <row r="655" spans="1:36" ht="24" customHeight="1">
      <c r="A655" s="452">
        <v>51</v>
      </c>
      <c r="B655" s="463">
        <v>542</v>
      </c>
      <c r="C655" s="464" t="s">
        <v>377</v>
      </c>
      <c r="D655" s="464"/>
      <c r="E655" s="464" t="s">
        <v>602</v>
      </c>
      <c r="F655" s="464"/>
      <c r="G655" s="464" t="s">
        <v>283</v>
      </c>
      <c r="H655" s="464" t="s">
        <v>1929</v>
      </c>
      <c r="I655" s="466">
        <v>5000</v>
      </c>
      <c r="J655" s="465" t="s">
        <v>537</v>
      </c>
      <c r="K655" s="465" t="s">
        <v>537</v>
      </c>
      <c r="L655" s="466">
        <v>5000</v>
      </c>
      <c r="M655" s="465" t="s">
        <v>537</v>
      </c>
      <c r="N655" s="465" t="s">
        <v>537</v>
      </c>
      <c r="O655" s="463" t="s">
        <v>537</v>
      </c>
      <c r="P655" s="463" t="s">
        <v>537</v>
      </c>
      <c r="Q655" s="465">
        <v>0</v>
      </c>
      <c r="R655" s="470">
        <v>241459</v>
      </c>
      <c r="S655" s="463" t="s">
        <v>1930</v>
      </c>
      <c r="T655" s="463">
        <v>10</v>
      </c>
      <c r="U655" s="463">
        <v>20</v>
      </c>
      <c r="V655" s="463">
        <v>0</v>
      </c>
      <c r="W655" s="463">
        <v>7</v>
      </c>
      <c r="X655" s="463">
        <v>16</v>
      </c>
      <c r="Y655" s="463">
        <v>20</v>
      </c>
      <c r="Z655" s="463">
        <v>91.2</v>
      </c>
      <c r="AA655" s="472" t="s">
        <v>619</v>
      </c>
      <c r="AB655" s="463" t="s">
        <v>539</v>
      </c>
      <c r="AC655" s="463" t="s">
        <v>539</v>
      </c>
      <c r="AD655" s="472" t="s">
        <v>565</v>
      </c>
      <c r="AE655" s="463">
        <v>80</v>
      </c>
      <c r="AF655" s="463">
        <v>91.2</v>
      </c>
      <c r="AG655" s="463" t="s">
        <v>375</v>
      </c>
      <c r="AH655" s="476"/>
      <c r="AI655" s="472" t="s">
        <v>1931</v>
      </c>
      <c r="AJ655" s="464"/>
    </row>
    <row r="656" spans="1:36" ht="24" customHeight="1">
      <c r="A656" s="452">
        <v>52</v>
      </c>
      <c r="B656" s="463">
        <v>543</v>
      </c>
      <c r="C656" s="464" t="s">
        <v>377</v>
      </c>
      <c r="D656" s="464"/>
      <c r="E656" s="464" t="s">
        <v>602</v>
      </c>
      <c r="F656" s="464"/>
      <c r="G656" s="464" t="s">
        <v>283</v>
      </c>
      <c r="H656" s="464" t="s">
        <v>1932</v>
      </c>
      <c r="I656" s="466">
        <v>50000</v>
      </c>
      <c r="J656" s="465" t="s">
        <v>537</v>
      </c>
      <c r="K656" s="465" t="s">
        <v>537</v>
      </c>
      <c r="L656" s="466">
        <v>43500</v>
      </c>
      <c r="M656" s="465" t="s">
        <v>537</v>
      </c>
      <c r="N656" s="465" t="s">
        <v>537</v>
      </c>
      <c r="O656" s="463" t="s">
        <v>537</v>
      </c>
      <c r="P656" s="463" t="s">
        <v>537</v>
      </c>
      <c r="Q656" s="468">
        <v>6500</v>
      </c>
      <c r="R656" s="470">
        <v>241609</v>
      </c>
      <c r="S656" s="471">
        <v>22474</v>
      </c>
      <c r="T656" s="463">
        <v>200</v>
      </c>
      <c r="U656" s="463">
        <v>50</v>
      </c>
      <c r="V656" s="463">
        <v>0</v>
      </c>
      <c r="W656" s="463">
        <v>366</v>
      </c>
      <c r="X656" s="463">
        <v>58</v>
      </c>
      <c r="Y656" s="464"/>
      <c r="Z656" s="463">
        <v>98.12</v>
      </c>
      <c r="AA656" s="472" t="s">
        <v>619</v>
      </c>
      <c r="AB656" s="463" t="s">
        <v>539</v>
      </c>
      <c r="AC656" s="463" t="s">
        <v>539</v>
      </c>
      <c r="AD656" s="472" t="s">
        <v>565</v>
      </c>
      <c r="AE656" s="463" t="s">
        <v>620</v>
      </c>
      <c r="AF656" s="463">
        <v>98.12</v>
      </c>
      <c r="AG656" s="463" t="s">
        <v>376</v>
      </c>
      <c r="AH656" s="476"/>
      <c r="AI656" s="472">
        <v>884907677</v>
      </c>
      <c r="AJ656" s="464"/>
    </row>
    <row r="657" spans="1:36" ht="24" customHeight="1">
      <c r="A657" s="452">
        <v>53</v>
      </c>
      <c r="B657" s="463">
        <v>544</v>
      </c>
      <c r="C657" s="464" t="s">
        <v>377</v>
      </c>
      <c r="D657" s="464"/>
      <c r="E657" s="464" t="s">
        <v>602</v>
      </c>
      <c r="F657" s="464"/>
      <c r="G657" s="464" t="s">
        <v>283</v>
      </c>
      <c r="H657" s="464" t="s">
        <v>1932</v>
      </c>
      <c r="I657" s="466">
        <v>40000</v>
      </c>
      <c r="J657" s="465" t="s">
        <v>537</v>
      </c>
      <c r="K657" s="465" t="s">
        <v>537</v>
      </c>
      <c r="L657" s="466">
        <v>40000</v>
      </c>
      <c r="M657" s="465" t="s">
        <v>537</v>
      </c>
      <c r="N657" s="465" t="s">
        <v>537</v>
      </c>
      <c r="O657" s="463" t="s">
        <v>537</v>
      </c>
      <c r="P657" s="463" t="s">
        <v>537</v>
      </c>
      <c r="Q657" s="465">
        <v>0</v>
      </c>
      <c r="R657" s="470">
        <v>241609</v>
      </c>
      <c r="S657" s="471">
        <v>22474</v>
      </c>
      <c r="T657" s="463">
        <v>400</v>
      </c>
      <c r="U657" s="463">
        <v>100</v>
      </c>
      <c r="V657" s="463">
        <v>0</v>
      </c>
      <c r="W657" s="463">
        <v>400</v>
      </c>
      <c r="X657" s="463">
        <v>100</v>
      </c>
      <c r="Y657" s="464"/>
      <c r="Z657" s="463">
        <v>88.41</v>
      </c>
      <c r="AA657" s="472" t="s">
        <v>619</v>
      </c>
      <c r="AB657" s="463" t="s">
        <v>539</v>
      </c>
      <c r="AC657" s="463" t="s">
        <v>539</v>
      </c>
      <c r="AD657" s="472" t="s">
        <v>565</v>
      </c>
      <c r="AE657" s="463" t="s">
        <v>620</v>
      </c>
      <c r="AF657" s="463">
        <v>87.99</v>
      </c>
      <c r="AG657" s="463" t="s">
        <v>376</v>
      </c>
      <c r="AH657" s="476"/>
      <c r="AI657" s="472" t="s">
        <v>1933</v>
      </c>
      <c r="AJ657" s="464"/>
    </row>
    <row r="658" spans="1:36" ht="24" customHeight="1">
      <c r="A658" s="452">
        <v>54</v>
      </c>
      <c r="B658" s="463">
        <v>545</v>
      </c>
      <c r="C658" s="464" t="s">
        <v>377</v>
      </c>
      <c r="D658" s="464"/>
      <c r="E658" s="464" t="s">
        <v>602</v>
      </c>
      <c r="F658" s="464"/>
      <c r="G658" s="464" t="s">
        <v>283</v>
      </c>
      <c r="H658" s="464" t="s">
        <v>1934</v>
      </c>
      <c r="I658" s="466">
        <v>30000</v>
      </c>
      <c r="J658" s="465" t="s">
        <v>537</v>
      </c>
      <c r="K658" s="465" t="s">
        <v>537</v>
      </c>
      <c r="L658" s="466">
        <v>30000</v>
      </c>
      <c r="M658" s="465" t="s">
        <v>537</v>
      </c>
      <c r="N658" s="465" t="s">
        <v>537</v>
      </c>
      <c r="O658" s="463" t="s">
        <v>537</v>
      </c>
      <c r="P658" s="463" t="s">
        <v>537</v>
      </c>
      <c r="Q658" s="465">
        <v>0</v>
      </c>
      <c r="R658" s="470">
        <v>241397</v>
      </c>
      <c r="S658" s="471">
        <v>22273</v>
      </c>
      <c r="T658" s="463">
        <v>130</v>
      </c>
      <c r="U658" s="463">
        <v>20</v>
      </c>
      <c r="V658" s="463">
        <v>0</v>
      </c>
      <c r="W658" s="463">
        <v>130</v>
      </c>
      <c r="X658" s="463">
        <v>20</v>
      </c>
      <c r="Y658" s="463">
        <v>0</v>
      </c>
      <c r="Z658" s="463">
        <v>94.3</v>
      </c>
      <c r="AA658" s="472" t="s">
        <v>612</v>
      </c>
      <c r="AB658" s="463" t="s">
        <v>539</v>
      </c>
      <c r="AC658" s="463" t="s">
        <v>539</v>
      </c>
      <c r="AD658" s="472" t="s">
        <v>565</v>
      </c>
      <c r="AE658" s="463">
        <v>80</v>
      </c>
      <c r="AF658" s="463">
        <v>94.3</v>
      </c>
      <c r="AG658" s="463" t="s">
        <v>375</v>
      </c>
      <c r="AH658" s="476"/>
      <c r="AI658" s="472" t="s">
        <v>1933</v>
      </c>
      <c r="AJ658" s="464"/>
    </row>
    <row r="659" spans="1:36" ht="24" customHeight="1">
      <c r="A659" s="452">
        <v>55</v>
      </c>
      <c r="B659" s="463">
        <v>546</v>
      </c>
      <c r="C659" s="464" t="s">
        <v>377</v>
      </c>
      <c r="D659" s="464"/>
      <c r="E659" s="464" t="s">
        <v>602</v>
      </c>
      <c r="F659" s="464"/>
      <c r="G659" s="464" t="s">
        <v>283</v>
      </c>
      <c r="H659" s="464" t="s">
        <v>1935</v>
      </c>
      <c r="I659" s="466">
        <v>40000</v>
      </c>
      <c r="J659" s="465" t="s">
        <v>537</v>
      </c>
      <c r="K659" s="465" t="s">
        <v>537</v>
      </c>
      <c r="L659" s="466">
        <v>40000</v>
      </c>
      <c r="M659" s="465" t="s">
        <v>537</v>
      </c>
      <c r="N659" s="465" t="s">
        <v>537</v>
      </c>
      <c r="O659" s="463" t="s">
        <v>537</v>
      </c>
      <c r="P659" s="463" t="s">
        <v>537</v>
      </c>
      <c r="Q659" s="465">
        <v>0</v>
      </c>
      <c r="R659" s="470">
        <v>241459</v>
      </c>
      <c r="S659" s="471">
        <v>22352</v>
      </c>
      <c r="T659" s="463">
        <v>135</v>
      </c>
      <c r="U659" s="463">
        <v>15</v>
      </c>
      <c r="V659" s="463">
        <v>0</v>
      </c>
      <c r="W659" s="463">
        <v>135</v>
      </c>
      <c r="X659" s="463">
        <v>15</v>
      </c>
      <c r="Y659" s="463">
        <v>0</v>
      </c>
      <c r="Z659" s="463">
        <v>93.33</v>
      </c>
      <c r="AA659" s="472" t="s">
        <v>612</v>
      </c>
      <c r="AB659" s="463" t="s">
        <v>539</v>
      </c>
      <c r="AC659" s="463" t="s">
        <v>539</v>
      </c>
      <c r="AD659" s="472" t="s">
        <v>565</v>
      </c>
      <c r="AE659" s="463">
        <v>80</v>
      </c>
      <c r="AF659" s="463">
        <v>92.3</v>
      </c>
      <c r="AG659" s="463" t="s">
        <v>375</v>
      </c>
      <c r="AH659" s="476"/>
      <c r="AI659" s="472" t="s">
        <v>1933</v>
      </c>
      <c r="AJ659" s="464"/>
    </row>
    <row r="660" spans="1:36" ht="24" customHeight="1">
      <c r="A660" s="452">
        <v>56</v>
      </c>
      <c r="B660" s="463">
        <v>547</v>
      </c>
      <c r="C660" s="464" t="s">
        <v>377</v>
      </c>
      <c r="D660" s="464"/>
      <c r="E660" s="464" t="s">
        <v>602</v>
      </c>
      <c r="F660" s="464"/>
      <c r="G660" s="464" t="s">
        <v>283</v>
      </c>
      <c r="H660" s="464" t="s">
        <v>1936</v>
      </c>
      <c r="I660" s="466">
        <v>20000</v>
      </c>
      <c r="J660" s="465" t="s">
        <v>537</v>
      </c>
      <c r="K660" s="465" t="s">
        <v>537</v>
      </c>
      <c r="L660" s="466">
        <v>20000</v>
      </c>
      <c r="M660" s="465" t="s">
        <v>537</v>
      </c>
      <c r="N660" s="465" t="s">
        <v>537</v>
      </c>
      <c r="O660" s="463" t="s">
        <v>537</v>
      </c>
      <c r="P660" s="463" t="s">
        <v>537</v>
      </c>
      <c r="Q660" s="465">
        <v>0</v>
      </c>
      <c r="R660" s="470">
        <v>241518</v>
      </c>
      <c r="S660" s="471">
        <v>22373</v>
      </c>
      <c r="T660" s="463">
        <v>120</v>
      </c>
      <c r="U660" s="463">
        <v>15</v>
      </c>
      <c r="V660" s="463">
        <v>0</v>
      </c>
      <c r="W660" s="463">
        <v>120</v>
      </c>
      <c r="X660" s="463">
        <v>30</v>
      </c>
      <c r="Y660" s="463">
        <v>0</v>
      </c>
      <c r="Z660" s="463">
        <v>89.38</v>
      </c>
      <c r="AA660" s="472" t="s">
        <v>612</v>
      </c>
      <c r="AB660" s="463" t="s">
        <v>539</v>
      </c>
      <c r="AC660" s="463" t="s">
        <v>539</v>
      </c>
      <c r="AD660" s="472" t="s">
        <v>565</v>
      </c>
      <c r="AE660" s="463">
        <v>80</v>
      </c>
      <c r="AF660" s="463">
        <v>85.88</v>
      </c>
      <c r="AG660" s="463" t="s">
        <v>375</v>
      </c>
      <c r="AH660" s="476"/>
      <c r="AI660" s="472" t="s">
        <v>1933</v>
      </c>
      <c r="AJ660" s="464"/>
    </row>
    <row r="661" spans="1:36" ht="24" customHeight="1">
      <c r="A661" s="452">
        <v>57</v>
      </c>
      <c r="B661" s="463">
        <v>548</v>
      </c>
      <c r="C661" s="464" t="s">
        <v>377</v>
      </c>
      <c r="D661" s="464"/>
      <c r="E661" s="464" t="s">
        <v>602</v>
      </c>
      <c r="F661" s="464"/>
      <c r="G661" s="464" t="s">
        <v>283</v>
      </c>
      <c r="H661" s="464" t="s">
        <v>1937</v>
      </c>
      <c r="I661" s="466">
        <v>20000</v>
      </c>
      <c r="J661" s="465" t="s">
        <v>537</v>
      </c>
      <c r="K661" s="465" t="s">
        <v>537</v>
      </c>
      <c r="L661" s="466">
        <v>20000</v>
      </c>
      <c r="M661" s="465" t="s">
        <v>537</v>
      </c>
      <c r="N661" s="465" t="s">
        <v>537</v>
      </c>
      <c r="O661" s="463" t="s">
        <v>537</v>
      </c>
      <c r="P661" s="463" t="s">
        <v>537</v>
      </c>
      <c r="Q661" s="465">
        <v>0</v>
      </c>
      <c r="R661" s="470">
        <v>241609</v>
      </c>
      <c r="S661" s="471">
        <v>22487</v>
      </c>
      <c r="T661" s="463">
        <v>120</v>
      </c>
      <c r="U661" s="463">
        <v>30</v>
      </c>
      <c r="V661" s="463">
        <v>0</v>
      </c>
      <c r="W661" s="463">
        <v>120</v>
      </c>
      <c r="X661" s="463">
        <v>30</v>
      </c>
      <c r="Y661" s="463">
        <v>0</v>
      </c>
      <c r="Z661" s="463">
        <v>83.41</v>
      </c>
      <c r="AA661" s="472" t="s">
        <v>612</v>
      </c>
      <c r="AB661" s="463" t="s">
        <v>539</v>
      </c>
      <c r="AC661" s="463" t="s">
        <v>539</v>
      </c>
      <c r="AD661" s="472" t="s">
        <v>565</v>
      </c>
      <c r="AE661" s="463">
        <v>80</v>
      </c>
      <c r="AF661" s="463">
        <v>85.41</v>
      </c>
      <c r="AG661" s="463" t="s">
        <v>375</v>
      </c>
      <c r="AH661" s="476"/>
      <c r="AI661" s="472" t="s">
        <v>1933</v>
      </c>
      <c r="AJ661" s="464"/>
    </row>
    <row r="662" spans="1:36" ht="24" customHeight="1">
      <c r="A662" s="452">
        <v>58</v>
      </c>
      <c r="B662" s="463">
        <v>549</v>
      </c>
      <c r="C662" s="464" t="s">
        <v>377</v>
      </c>
      <c r="D662" s="464"/>
      <c r="E662" s="464" t="s">
        <v>602</v>
      </c>
      <c r="F662" s="464"/>
      <c r="G662" s="464" t="s">
        <v>283</v>
      </c>
      <c r="H662" s="464" t="s">
        <v>1938</v>
      </c>
      <c r="I662" s="466">
        <v>30000</v>
      </c>
      <c r="J662" s="465" t="s">
        <v>537</v>
      </c>
      <c r="K662" s="465" t="s">
        <v>537</v>
      </c>
      <c r="L662" s="466">
        <v>30000</v>
      </c>
      <c r="M662" s="465" t="s">
        <v>537</v>
      </c>
      <c r="N662" s="465" t="s">
        <v>537</v>
      </c>
      <c r="O662" s="463" t="s">
        <v>537</v>
      </c>
      <c r="P662" s="463" t="s">
        <v>537</v>
      </c>
      <c r="Q662" s="465">
        <v>0</v>
      </c>
      <c r="R662" s="470">
        <v>241609</v>
      </c>
      <c r="S662" s="471">
        <v>22482</v>
      </c>
      <c r="T662" s="463">
        <v>120</v>
      </c>
      <c r="U662" s="463">
        <v>30</v>
      </c>
      <c r="V662" s="463">
        <v>0</v>
      </c>
      <c r="W662" s="463">
        <v>120</v>
      </c>
      <c r="X662" s="463">
        <v>30</v>
      </c>
      <c r="Y662" s="463">
        <v>0</v>
      </c>
      <c r="Z662" s="463">
        <v>91.24</v>
      </c>
      <c r="AA662" s="472" t="s">
        <v>612</v>
      </c>
      <c r="AB662" s="463" t="s">
        <v>539</v>
      </c>
      <c r="AC662" s="463" t="s">
        <v>539</v>
      </c>
      <c r="AD662" s="472" t="s">
        <v>565</v>
      </c>
      <c r="AE662" s="463">
        <v>80</v>
      </c>
      <c r="AF662" s="463">
        <v>89.5</v>
      </c>
      <c r="AG662" s="463" t="s">
        <v>375</v>
      </c>
      <c r="AH662" s="476"/>
      <c r="AI662" s="472" t="s">
        <v>1933</v>
      </c>
      <c r="AJ662" s="464"/>
    </row>
    <row r="663" spans="1:36" ht="24" customHeight="1">
      <c r="A663" s="452">
        <v>59</v>
      </c>
      <c r="B663" s="463">
        <v>550</v>
      </c>
      <c r="C663" s="464" t="s">
        <v>377</v>
      </c>
      <c r="D663" s="464"/>
      <c r="E663" s="464" t="s">
        <v>602</v>
      </c>
      <c r="F663" s="464"/>
      <c r="G663" s="464" t="s">
        <v>283</v>
      </c>
      <c r="H663" s="464" t="s">
        <v>1939</v>
      </c>
      <c r="I663" s="466">
        <v>10000</v>
      </c>
      <c r="J663" s="465" t="s">
        <v>537</v>
      </c>
      <c r="K663" s="465" t="s">
        <v>537</v>
      </c>
      <c r="L663" s="466">
        <v>4000</v>
      </c>
      <c r="M663" s="465" t="s">
        <v>537</v>
      </c>
      <c r="N663" s="465" t="s">
        <v>537</v>
      </c>
      <c r="O663" s="463" t="s">
        <v>537</v>
      </c>
      <c r="P663" s="463" t="s">
        <v>537</v>
      </c>
      <c r="Q663" s="468">
        <v>6000</v>
      </c>
      <c r="R663" s="470">
        <v>241640</v>
      </c>
      <c r="S663" s="471">
        <v>22501</v>
      </c>
      <c r="T663" s="463">
        <v>120</v>
      </c>
      <c r="U663" s="463">
        <v>30</v>
      </c>
      <c r="V663" s="463">
        <v>0</v>
      </c>
      <c r="W663" s="463">
        <v>120</v>
      </c>
      <c r="X663" s="463">
        <v>30</v>
      </c>
      <c r="Y663" s="463">
        <v>0</v>
      </c>
      <c r="Z663" s="463">
        <v>88.48</v>
      </c>
      <c r="AA663" s="472" t="s">
        <v>612</v>
      </c>
      <c r="AB663" s="463" t="s">
        <v>539</v>
      </c>
      <c r="AC663" s="463" t="s">
        <v>539</v>
      </c>
      <c r="AD663" s="472" t="s">
        <v>565</v>
      </c>
      <c r="AE663" s="463">
        <v>80</v>
      </c>
      <c r="AF663" s="463">
        <v>88.41</v>
      </c>
      <c r="AG663" s="463" t="s">
        <v>375</v>
      </c>
      <c r="AH663" s="476"/>
      <c r="AI663" s="472" t="s">
        <v>1933</v>
      </c>
      <c r="AJ663" s="464"/>
    </row>
    <row r="664" spans="1:36" ht="24" customHeight="1">
      <c r="A664" s="452">
        <v>60</v>
      </c>
      <c r="B664" s="463">
        <v>551</v>
      </c>
      <c r="C664" s="464" t="s">
        <v>377</v>
      </c>
      <c r="D664" s="464"/>
      <c r="E664" s="464" t="s">
        <v>602</v>
      </c>
      <c r="F664" s="464"/>
      <c r="G664" s="464" t="s">
        <v>283</v>
      </c>
      <c r="H664" s="464" t="s">
        <v>1940</v>
      </c>
      <c r="I664" s="466">
        <v>50000</v>
      </c>
      <c r="J664" s="465" t="s">
        <v>537</v>
      </c>
      <c r="K664" s="465" t="s">
        <v>537</v>
      </c>
      <c r="L664" s="466">
        <v>49990</v>
      </c>
      <c r="M664" s="465" t="s">
        <v>537</v>
      </c>
      <c r="N664" s="465" t="s">
        <v>537</v>
      </c>
      <c r="O664" s="463" t="s">
        <v>537</v>
      </c>
      <c r="P664" s="463" t="s">
        <v>537</v>
      </c>
      <c r="Q664" s="465">
        <v>10</v>
      </c>
      <c r="R664" s="470">
        <v>241428</v>
      </c>
      <c r="S664" s="471">
        <v>22298</v>
      </c>
      <c r="T664" s="463">
        <v>170</v>
      </c>
      <c r="U664" s="463">
        <v>30</v>
      </c>
      <c r="V664" s="463">
        <v>100</v>
      </c>
      <c r="W664" s="463">
        <v>170</v>
      </c>
      <c r="X664" s="463">
        <v>30</v>
      </c>
      <c r="Y664" s="463">
        <v>100</v>
      </c>
      <c r="Z664" s="463">
        <v>89.5</v>
      </c>
      <c r="AA664" s="472" t="s">
        <v>612</v>
      </c>
      <c r="AB664" s="463" t="s">
        <v>539</v>
      </c>
      <c r="AC664" s="463" t="s">
        <v>539</v>
      </c>
      <c r="AD664" s="472" t="s">
        <v>565</v>
      </c>
      <c r="AE664" s="463">
        <v>80</v>
      </c>
      <c r="AF664" s="463">
        <v>89.5</v>
      </c>
      <c r="AG664" s="463" t="s">
        <v>375</v>
      </c>
      <c r="AH664" s="476"/>
      <c r="AI664" s="472" t="s">
        <v>1933</v>
      </c>
      <c r="AJ664" s="464"/>
    </row>
    <row r="665" spans="1:36" ht="24" customHeight="1">
      <c r="A665" s="452">
        <v>61</v>
      </c>
      <c r="B665" s="463">
        <v>552</v>
      </c>
      <c r="C665" s="464" t="s">
        <v>377</v>
      </c>
      <c r="D665" s="464"/>
      <c r="E665" s="464" t="s">
        <v>602</v>
      </c>
      <c r="F665" s="464"/>
      <c r="G665" s="464" t="s">
        <v>283</v>
      </c>
      <c r="H665" s="464" t="s">
        <v>1941</v>
      </c>
      <c r="I665" s="466">
        <v>50000</v>
      </c>
      <c r="J665" s="465" t="s">
        <v>537</v>
      </c>
      <c r="K665" s="465" t="s">
        <v>537</v>
      </c>
      <c r="L665" s="466">
        <v>47000</v>
      </c>
      <c r="M665" s="465" t="s">
        <v>537</v>
      </c>
      <c r="N665" s="465" t="s">
        <v>537</v>
      </c>
      <c r="O665" s="463" t="s">
        <v>537</v>
      </c>
      <c r="P665" s="463" t="s">
        <v>537</v>
      </c>
      <c r="Q665" s="468">
        <v>3000</v>
      </c>
      <c r="R665" s="470">
        <v>241518</v>
      </c>
      <c r="S665" s="471">
        <v>22381</v>
      </c>
      <c r="T665" s="463">
        <v>30</v>
      </c>
      <c r="U665" s="463">
        <v>60</v>
      </c>
      <c r="V665" s="463">
        <v>10</v>
      </c>
      <c r="W665" s="463">
        <v>60</v>
      </c>
      <c r="X665" s="463">
        <v>30</v>
      </c>
      <c r="Y665" s="463">
        <v>30</v>
      </c>
      <c r="Z665" s="463">
        <v>95.3</v>
      </c>
      <c r="AA665" s="472" t="s">
        <v>612</v>
      </c>
      <c r="AB665" s="463" t="s">
        <v>539</v>
      </c>
      <c r="AC665" s="463" t="s">
        <v>539</v>
      </c>
      <c r="AD665" s="472" t="s">
        <v>565</v>
      </c>
      <c r="AE665" s="463">
        <v>80</v>
      </c>
      <c r="AF665" s="463">
        <v>95.75</v>
      </c>
      <c r="AG665" s="463" t="s">
        <v>375</v>
      </c>
      <c r="AH665" s="476"/>
      <c r="AI665" s="472" t="s">
        <v>1933</v>
      </c>
      <c r="AJ665" s="464"/>
    </row>
    <row r="666" spans="1:36" ht="24" customHeight="1">
      <c r="A666" s="452">
        <v>62</v>
      </c>
      <c r="B666" s="463">
        <v>553</v>
      </c>
      <c r="C666" s="464" t="s">
        <v>377</v>
      </c>
      <c r="D666" s="464"/>
      <c r="E666" s="464" t="s">
        <v>602</v>
      </c>
      <c r="F666" s="464"/>
      <c r="G666" s="464" t="s">
        <v>283</v>
      </c>
      <c r="H666" s="464" t="s">
        <v>1942</v>
      </c>
      <c r="I666" s="466">
        <v>10000</v>
      </c>
      <c r="J666" s="465" t="s">
        <v>537</v>
      </c>
      <c r="K666" s="465" t="s">
        <v>537</v>
      </c>
      <c r="L666" s="466">
        <v>10000</v>
      </c>
      <c r="M666" s="465" t="s">
        <v>537</v>
      </c>
      <c r="N666" s="465" t="s">
        <v>537</v>
      </c>
      <c r="O666" s="463" t="s">
        <v>537</v>
      </c>
      <c r="P666" s="463" t="s">
        <v>537</v>
      </c>
      <c r="Q666" s="465">
        <v>0</v>
      </c>
      <c r="R666" s="470">
        <v>241487</v>
      </c>
      <c r="S666" s="471">
        <v>22341</v>
      </c>
      <c r="T666" s="463">
        <v>70</v>
      </c>
      <c r="U666" s="463">
        <v>30</v>
      </c>
      <c r="V666" s="463">
        <v>0</v>
      </c>
      <c r="W666" s="463">
        <v>70</v>
      </c>
      <c r="X666" s="463">
        <v>30</v>
      </c>
      <c r="Y666" s="463">
        <v>0</v>
      </c>
      <c r="Z666" s="463">
        <v>91.2</v>
      </c>
      <c r="AA666" s="472" t="s">
        <v>612</v>
      </c>
      <c r="AB666" s="463" t="s">
        <v>539</v>
      </c>
      <c r="AC666" s="463" t="s">
        <v>539</v>
      </c>
      <c r="AD666" s="472" t="s">
        <v>565</v>
      </c>
      <c r="AE666" s="463">
        <v>80</v>
      </c>
      <c r="AF666" s="463">
        <v>90.5</v>
      </c>
      <c r="AG666" s="463" t="s">
        <v>375</v>
      </c>
      <c r="AH666" s="476"/>
      <c r="AI666" s="472" t="s">
        <v>1933</v>
      </c>
      <c r="AJ666" s="464"/>
    </row>
    <row r="667" spans="1:36" ht="24" customHeight="1">
      <c r="A667" s="452">
        <v>63</v>
      </c>
      <c r="B667" s="463">
        <v>554</v>
      </c>
      <c r="C667" s="464" t="s">
        <v>377</v>
      </c>
      <c r="D667" s="464"/>
      <c r="E667" s="464" t="s">
        <v>602</v>
      </c>
      <c r="F667" s="464"/>
      <c r="G667" s="464" t="s">
        <v>283</v>
      </c>
      <c r="H667" s="464" t="s">
        <v>1943</v>
      </c>
      <c r="I667" s="466">
        <v>60000</v>
      </c>
      <c r="J667" s="465" t="s">
        <v>537</v>
      </c>
      <c r="K667" s="465" t="s">
        <v>537</v>
      </c>
      <c r="L667" s="466">
        <v>57000</v>
      </c>
      <c r="M667" s="465" t="s">
        <v>537</v>
      </c>
      <c r="N667" s="465" t="s">
        <v>537</v>
      </c>
      <c r="O667" s="463" t="s">
        <v>537</v>
      </c>
      <c r="P667" s="463" t="s">
        <v>537</v>
      </c>
      <c r="Q667" s="468">
        <v>3000</v>
      </c>
      <c r="R667" s="470">
        <v>241671</v>
      </c>
      <c r="S667" s="471">
        <v>22536</v>
      </c>
      <c r="T667" s="463">
        <v>120</v>
      </c>
      <c r="U667" s="463">
        <v>30</v>
      </c>
      <c r="V667" s="463">
        <v>0</v>
      </c>
      <c r="W667" s="463">
        <v>253</v>
      </c>
      <c r="X667" s="463">
        <v>87</v>
      </c>
      <c r="Y667" s="463">
        <v>3</v>
      </c>
      <c r="Z667" s="463">
        <v>94.32</v>
      </c>
      <c r="AA667" s="472" t="s">
        <v>612</v>
      </c>
      <c r="AB667" s="463" t="s">
        <v>539</v>
      </c>
      <c r="AC667" s="463" t="s">
        <v>539</v>
      </c>
      <c r="AD667" s="472" t="s">
        <v>565</v>
      </c>
      <c r="AE667" s="463">
        <v>80</v>
      </c>
      <c r="AF667" s="463">
        <v>95.66</v>
      </c>
      <c r="AG667" s="463" t="s">
        <v>375</v>
      </c>
      <c r="AH667" s="476"/>
      <c r="AI667" s="472" t="s">
        <v>1933</v>
      </c>
      <c r="AJ667" s="464"/>
    </row>
    <row r="668" spans="1:36" ht="24" customHeight="1">
      <c r="A668" s="452">
        <v>64</v>
      </c>
      <c r="B668" s="463">
        <v>555</v>
      </c>
      <c r="C668" s="464" t="s">
        <v>377</v>
      </c>
      <c r="D668" s="464"/>
      <c r="E668" s="464" t="s">
        <v>602</v>
      </c>
      <c r="F668" s="464"/>
      <c r="G668" s="464" t="s">
        <v>283</v>
      </c>
      <c r="H668" s="464" t="s">
        <v>1944</v>
      </c>
      <c r="I668" s="466">
        <v>30000</v>
      </c>
      <c r="J668" s="465" t="s">
        <v>537</v>
      </c>
      <c r="K668" s="465" t="s">
        <v>537</v>
      </c>
      <c r="L668" s="466">
        <v>30000</v>
      </c>
      <c r="M668" s="465" t="s">
        <v>537</v>
      </c>
      <c r="N668" s="465" t="s">
        <v>537</v>
      </c>
      <c r="O668" s="463" t="s">
        <v>537</v>
      </c>
      <c r="P668" s="463" t="s">
        <v>537</v>
      </c>
      <c r="Q668" s="465">
        <v>0</v>
      </c>
      <c r="R668" s="470">
        <v>241428</v>
      </c>
      <c r="S668" s="471">
        <v>22312</v>
      </c>
      <c r="T668" s="463">
        <v>10</v>
      </c>
      <c r="U668" s="463">
        <v>40</v>
      </c>
      <c r="V668" s="463">
        <v>0</v>
      </c>
      <c r="W668" s="463">
        <v>100</v>
      </c>
      <c r="X668" s="463">
        <v>6</v>
      </c>
      <c r="Y668" s="463">
        <v>0</v>
      </c>
      <c r="Z668" s="463">
        <v>89.63</v>
      </c>
      <c r="AA668" s="472" t="s">
        <v>619</v>
      </c>
      <c r="AB668" s="463" t="s">
        <v>539</v>
      </c>
      <c r="AC668" s="463">
        <v>89.63</v>
      </c>
      <c r="AD668" s="472" t="s">
        <v>565</v>
      </c>
      <c r="AE668" s="463">
        <v>80</v>
      </c>
      <c r="AF668" s="463">
        <v>89.63</v>
      </c>
      <c r="AG668" s="463" t="s">
        <v>375</v>
      </c>
      <c r="AH668" s="476"/>
      <c r="AI668" s="472">
        <v>840561256</v>
      </c>
      <c r="AJ668" s="464"/>
    </row>
    <row r="669" spans="1:36" ht="24" customHeight="1">
      <c r="A669" s="452">
        <v>65</v>
      </c>
      <c r="B669" s="463">
        <v>556</v>
      </c>
      <c r="C669" s="464" t="s">
        <v>377</v>
      </c>
      <c r="D669" s="464"/>
      <c r="E669" s="464" t="s">
        <v>602</v>
      </c>
      <c r="F669" s="464"/>
      <c r="G669" s="464" t="s">
        <v>283</v>
      </c>
      <c r="H669" s="464" t="s">
        <v>1945</v>
      </c>
      <c r="I669" s="466">
        <v>9000</v>
      </c>
      <c r="J669" s="465" t="s">
        <v>537</v>
      </c>
      <c r="K669" s="465" t="s">
        <v>537</v>
      </c>
      <c r="L669" s="466">
        <v>7200</v>
      </c>
      <c r="M669" s="465" t="s">
        <v>537</v>
      </c>
      <c r="N669" s="465" t="s">
        <v>537</v>
      </c>
      <c r="O669" s="463" t="s">
        <v>537</v>
      </c>
      <c r="P669" s="463" t="s">
        <v>537</v>
      </c>
      <c r="Q669" s="468">
        <v>1800</v>
      </c>
      <c r="R669" s="470">
        <v>241428</v>
      </c>
      <c r="S669" s="471">
        <v>22324</v>
      </c>
      <c r="T669" s="463">
        <v>30</v>
      </c>
      <c r="U669" s="463">
        <v>5</v>
      </c>
      <c r="V669" s="463">
        <v>40</v>
      </c>
      <c r="W669" s="463">
        <v>30</v>
      </c>
      <c r="X669" s="463">
        <v>6</v>
      </c>
      <c r="Y669" s="463">
        <v>7</v>
      </c>
      <c r="Z669" s="463">
        <v>89.83</v>
      </c>
      <c r="AA669" s="472" t="s">
        <v>619</v>
      </c>
      <c r="AB669" s="463" t="s">
        <v>539</v>
      </c>
      <c r="AC669" s="463">
        <v>89.83</v>
      </c>
      <c r="AD669" s="472" t="s">
        <v>565</v>
      </c>
      <c r="AE669" s="463">
        <v>80</v>
      </c>
      <c r="AF669" s="463">
        <v>89.83</v>
      </c>
      <c r="AG669" s="463" t="s">
        <v>375</v>
      </c>
      <c r="AH669" s="476"/>
      <c r="AI669" s="472">
        <v>840561256</v>
      </c>
      <c r="AJ669" s="464"/>
    </row>
    <row r="670" spans="1:36" ht="24" customHeight="1">
      <c r="A670" s="452">
        <v>66</v>
      </c>
      <c r="B670" s="463">
        <v>557</v>
      </c>
      <c r="C670" s="464" t="s">
        <v>377</v>
      </c>
      <c r="D670" s="464"/>
      <c r="E670" s="464" t="s">
        <v>602</v>
      </c>
      <c r="F670" s="464"/>
      <c r="G670" s="464" t="s">
        <v>283</v>
      </c>
      <c r="H670" s="464" t="s">
        <v>1946</v>
      </c>
      <c r="I670" s="466">
        <v>12000</v>
      </c>
      <c r="J670" s="465" t="s">
        <v>537</v>
      </c>
      <c r="K670" s="465" t="s">
        <v>537</v>
      </c>
      <c r="L670" s="466">
        <v>11880</v>
      </c>
      <c r="M670" s="465" t="s">
        <v>537</v>
      </c>
      <c r="N670" s="465" t="s">
        <v>537</v>
      </c>
      <c r="O670" s="463" t="s">
        <v>537</v>
      </c>
      <c r="P670" s="463" t="s">
        <v>537</v>
      </c>
      <c r="Q670" s="465">
        <v>120</v>
      </c>
      <c r="R670" s="470">
        <v>241459</v>
      </c>
      <c r="S670" s="471">
        <v>22340</v>
      </c>
      <c r="T670" s="463">
        <v>10</v>
      </c>
      <c r="U670" s="463">
        <v>30</v>
      </c>
      <c r="V670" s="463">
        <v>0</v>
      </c>
      <c r="W670" s="463">
        <v>83</v>
      </c>
      <c r="X670" s="463">
        <v>21</v>
      </c>
      <c r="Y670" s="463">
        <v>0</v>
      </c>
      <c r="Z670" s="463">
        <v>95.83</v>
      </c>
      <c r="AA670" s="472" t="s">
        <v>619</v>
      </c>
      <c r="AB670" s="463" t="s">
        <v>539</v>
      </c>
      <c r="AC670" s="463">
        <v>95.83</v>
      </c>
      <c r="AD670" s="472" t="s">
        <v>565</v>
      </c>
      <c r="AE670" s="463">
        <v>80</v>
      </c>
      <c r="AF670" s="463">
        <v>95.83</v>
      </c>
      <c r="AG670" s="463" t="s">
        <v>375</v>
      </c>
      <c r="AH670" s="476"/>
      <c r="AI670" s="472" t="s">
        <v>1947</v>
      </c>
      <c r="AJ670" s="464"/>
    </row>
    <row r="671" spans="1:36" ht="24" customHeight="1">
      <c r="A671" s="452">
        <v>67</v>
      </c>
      <c r="B671" s="463">
        <v>558</v>
      </c>
      <c r="C671" s="464" t="s">
        <v>377</v>
      </c>
      <c r="D671" s="464"/>
      <c r="E671" s="464" t="s">
        <v>602</v>
      </c>
      <c r="F671" s="464"/>
      <c r="G671" s="464" t="s">
        <v>283</v>
      </c>
      <c r="H671" s="464" t="s">
        <v>1948</v>
      </c>
      <c r="I671" s="466">
        <v>48000</v>
      </c>
      <c r="J671" s="465" t="s">
        <v>537</v>
      </c>
      <c r="K671" s="465" t="s">
        <v>537</v>
      </c>
      <c r="L671" s="466">
        <v>48000</v>
      </c>
      <c r="M671" s="465" t="s">
        <v>537</v>
      </c>
      <c r="N671" s="465" t="s">
        <v>537</v>
      </c>
      <c r="O671" s="463" t="s">
        <v>537</v>
      </c>
      <c r="P671" s="463" t="s">
        <v>537</v>
      </c>
      <c r="Q671" s="465">
        <v>0</v>
      </c>
      <c r="R671" s="470">
        <v>241609</v>
      </c>
      <c r="S671" s="471">
        <v>22487</v>
      </c>
      <c r="T671" s="463">
        <v>80</v>
      </c>
      <c r="U671" s="463">
        <v>70</v>
      </c>
      <c r="V671" s="463">
        <v>0</v>
      </c>
      <c r="W671" s="463">
        <v>218</v>
      </c>
      <c r="X671" s="463">
        <v>80</v>
      </c>
      <c r="Y671" s="463">
        <v>0</v>
      </c>
      <c r="Z671" s="463">
        <v>94.7</v>
      </c>
      <c r="AA671" s="472" t="s">
        <v>619</v>
      </c>
      <c r="AB671" s="463" t="s">
        <v>539</v>
      </c>
      <c r="AC671" s="463">
        <v>94.7</v>
      </c>
      <c r="AD671" s="472" t="s">
        <v>565</v>
      </c>
      <c r="AE671" s="463">
        <v>80</v>
      </c>
      <c r="AF671" s="463">
        <v>94.7</v>
      </c>
      <c r="AG671" s="463" t="s">
        <v>375</v>
      </c>
      <c r="AH671" s="476"/>
      <c r="AI671" s="472">
        <v>840561256</v>
      </c>
      <c r="AJ671" s="464"/>
    </row>
    <row r="672" spans="1:36" ht="24" customHeight="1">
      <c r="A672" s="452">
        <v>68</v>
      </c>
      <c r="B672" s="463">
        <v>559</v>
      </c>
      <c r="C672" s="464" t="s">
        <v>377</v>
      </c>
      <c r="D672" s="464"/>
      <c r="E672" s="464" t="s">
        <v>602</v>
      </c>
      <c r="F672" s="464"/>
      <c r="G672" s="464" t="s">
        <v>283</v>
      </c>
      <c r="H672" s="464" t="s">
        <v>1949</v>
      </c>
      <c r="I672" s="466">
        <v>17000</v>
      </c>
      <c r="J672" s="465" t="s">
        <v>537</v>
      </c>
      <c r="K672" s="465" t="s">
        <v>537</v>
      </c>
      <c r="L672" s="466">
        <v>17000</v>
      </c>
      <c r="M672" s="465" t="s">
        <v>537</v>
      </c>
      <c r="N672" s="465" t="s">
        <v>537</v>
      </c>
      <c r="O672" s="463" t="s">
        <v>537</v>
      </c>
      <c r="P672" s="463" t="s">
        <v>537</v>
      </c>
      <c r="Q672" s="465">
        <v>0</v>
      </c>
      <c r="R672" s="470">
        <v>241609</v>
      </c>
      <c r="S672" s="463" t="s">
        <v>1950</v>
      </c>
      <c r="T672" s="463">
        <v>60</v>
      </c>
      <c r="U672" s="463">
        <v>30</v>
      </c>
      <c r="V672" s="463">
        <v>10</v>
      </c>
      <c r="W672" s="463">
        <v>193</v>
      </c>
      <c r="X672" s="463">
        <v>34</v>
      </c>
      <c r="Y672" s="463">
        <v>0</v>
      </c>
      <c r="Z672" s="463">
        <v>95.27</v>
      </c>
      <c r="AA672" s="472" t="s">
        <v>619</v>
      </c>
      <c r="AB672" s="463" t="s">
        <v>539</v>
      </c>
      <c r="AC672" s="463">
        <v>95.27</v>
      </c>
      <c r="AD672" s="472" t="s">
        <v>565</v>
      </c>
      <c r="AE672" s="463">
        <v>80</v>
      </c>
      <c r="AF672" s="463">
        <v>95.27</v>
      </c>
      <c r="AG672" s="463" t="s">
        <v>375</v>
      </c>
      <c r="AH672" s="476"/>
      <c r="AI672" s="472">
        <v>840561256</v>
      </c>
      <c r="AJ672" s="464"/>
    </row>
    <row r="673" spans="1:36" ht="24" customHeight="1">
      <c r="A673" s="452">
        <v>69</v>
      </c>
      <c r="B673" s="463">
        <v>560</v>
      </c>
      <c r="C673" s="464" t="s">
        <v>377</v>
      </c>
      <c r="D673" s="464"/>
      <c r="E673" s="464" t="s">
        <v>602</v>
      </c>
      <c r="F673" s="464"/>
      <c r="G673" s="464" t="s">
        <v>283</v>
      </c>
      <c r="H673" s="464" t="s">
        <v>1951</v>
      </c>
      <c r="I673" s="466">
        <v>30000</v>
      </c>
      <c r="J673" s="465" t="s">
        <v>537</v>
      </c>
      <c r="K673" s="465" t="s">
        <v>537</v>
      </c>
      <c r="L673" s="466">
        <v>30000</v>
      </c>
      <c r="M673" s="465" t="s">
        <v>537</v>
      </c>
      <c r="N673" s="465" t="s">
        <v>537</v>
      </c>
      <c r="O673" s="463" t="s">
        <v>537</v>
      </c>
      <c r="P673" s="463" t="s">
        <v>537</v>
      </c>
      <c r="Q673" s="465">
        <v>0</v>
      </c>
      <c r="R673" s="470">
        <v>241640</v>
      </c>
      <c r="S673" s="471">
        <v>22502</v>
      </c>
      <c r="T673" s="463">
        <v>80</v>
      </c>
      <c r="U673" s="463">
        <v>70</v>
      </c>
      <c r="V673" s="463">
        <v>0</v>
      </c>
      <c r="W673" s="463">
        <v>25</v>
      </c>
      <c r="X673" s="463">
        <v>82</v>
      </c>
      <c r="Y673" s="463">
        <v>54</v>
      </c>
      <c r="Z673" s="463">
        <v>93.68</v>
      </c>
      <c r="AA673" s="472" t="s">
        <v>619</v>
      </c>
      <c r="AB673" s="463" t="s">
        <v>539</v>
      </c>
      <c r="AC673" s="463">
        <v>93.68</v>
      </c>
      <c r="AD673" s="472" t="s">
        <v>565</v>
      </c>
      <c r="AE673" s="463">
        <v>80</v>
      </c>
      <c r="AF673" s="463">
        <v>93.68</v>
      </c>
      <c r="AG673" s="463" t="s">
        <v>375</v>
      </c>
      <c r="AH673" s="476"/>
      <c r="AI673" s="472" t="s">
        <v>1947</v>
      </c>
      <c r="AJ673" s="464"/>
    </row>
    <row r="674" spans="1:36" ht="24" customHeight="1">
      <c r="A674" s="452">
        <v>70</v>
      </c>
      <c r="B674" s="463">
        <v>561</v>
      </c>
      <c r="C674" s="464" t="s">
        <v>377</v>
      </c>
      <c r="D674" s="464"/>
      <c r="E674" s="464" t="s">
        <v>602</v>
      </c>
      <c r="F674" s="464"/>
      <c r="G674" s="464" t="s">
        <v>283</v>
      </c>
      <c r="H674" s="464" t="s">
        <v>1952</v>
      </c>
      <c r="I674" s="466">
        <v>45000</v>
      </c>
      <c r="J674" s="465" t="s">
        <v>537</v>
      </c>
      <c r="K674" s="465" t="s">
        <v>537</v>
      </c>
      <c r="L674" s="466">
        <v>45000</v>
      </c>
      <c r="M674" s="465" t="s">
        <v>537</v>
      </c>
      <c r="N674" s="465" t="s">
        <v>537</v>
      </c>
      <c r="O674" s="463" t="s">
        <v>537</v>
      </c>
      <c r="P674" s="463" t="s">
        <v>537</v>
      </c>
      <c r="Q674" s="465">
        <v>0</v>
      </c>
      <c r="R674" s="470">
        <v>241518</v>
      </c>
      <c r="S674" s="463" t="s">
        <v>1953</v>
      </c>
      <c r="T674" s="463">
        <v>10</v>
      </c>
      <c r="U674" s="463">
        <v>40</v>
      </c>
      <c r="V674" s="463">
        <v>50</v>
      </c>
      <c r="W674" s="463">
        <v>0</v>
      </c>
      <c r="X674" s="463">
        <v>73</v>
      </c>
      <c r="Y674" s="463">
        <v>53</v>
      </c>
      <c r="Z674" s="463">
        <v>94.35</v>
      </c>
      <c r="AA674" s="472" t="s">
        <v>619</v>
      </c>
      <c r="AB674" s="463" t="s">
        <v>539</v>
      </c>
      <c r="AC674" s="463" t="s">
        <v>539</v>
      </c>
      <c r="AD674" s="472" t="s">
        <v>565</v>
      </c>
      <c r="AE674" s="463">
        <v>80</v>
      </c>
      <c r="AF674" s="463">
        <v>94.35</v>
      </c>
      <c r="AG674" s="463" t="s">
        <v>375</v>
      </c>
      <c r="AH674" s="476"/>
      <c r="AI674" s="472" t="s">
        <v>1931</v>
      </c>
      <c r="AJ674" s="464"/>
    </row>
    <row r="675" spans="1:36" ht="24" customHeight="1">
      <c r="A675" s="452">
        <v>71</v>
      </c>
      <c r="B675" s="463">
        <v>562</v>
      </c>
      <c r="C675" s="464" t="s">
        <v>377</v>
      </c>
      <c r="D675" s="464"/>
      <c r="E675" s="464" t="s">
        <v>602</v>
      </c>
      <c r="F675" s="464"/>
      <c r="G675" s="464" t="s">
        <v>283</v>
      </c>
      <c r="H675" s="464" t="s">
        <v>1954</v>
      </c>
      <c r="I675" s="466">
        <v>50000</v>
      </c>
      <c r="J675" s="465" t="s">
        <v>537</v>
      </c>
      <c r="K675" s="465" t="s">
        <v>537</v>
      </c>
      <c r="L675" s="466">
        <v>50000</v>
      </c>
      <c r="M675" s="465" t="s">
        <v>537</v>
      </c>
      <c r="N675" s="465" t="s">
        <v>537</v>
      </c>
      <c r="O675" s="463" t="s">
        <v>537</v>
      </c>
      <c r="P675" s="463" t="s">
        <v>537</v>
      </c>
      <c r="Q675" s="465">
        <v>0</v>
      </c>
      <c r="R675" s="470">
        <v>241579</v>
      </c>
      <c r="S675" s="463" t="s">
        <v>1955</v>
      </c>
      <c r="T675" s="463">
        <v>50</v>
      </c>
      <c r="U675" s="463">
        <v>20</v>
      </c>
      <c r="V675" s="463">
        <v>0</v>
      </c>
      <c r="W675" s="463">
        <v>50</v>
      </c>
      <c r="X675" s="463">
        <v>20</v>
      </c>
      <c r="Y675" s="463">
        <v>0</v>
      </c>
      <c r="Z675" s="463">
        <v>84.51</v>
      </c>
      <c r="AA675" s="472" t="s">
        <v>619</v>
      </c>
      <c r="AB675" s="463" t="s">
        <v>539</v>
      </c>
      <c r="AC675" s="463" t="s">
        <v>539</v>
      </c>
      <c r="AD675" s="472" t="s">
        <v>565</v>
      </c>
      <c r="AE675" s="463">
        <v>80</v>
      </c>
      <c r="AF675" s="463">
        <v>84.51</v>
      </c>
      <c r="AG675" s="463" t="s">
        <v>375</v>
      </c>
      <c r="AH675" s="476"/>
      <c r="AI675" s="472" t="s">
        <v>1931</v>
      </c>
      <c r="AJ675" s="464"/>
    </row>
    <row r="676" spans="1:36" ht="24" customHeight="1">
      <c r="A676" s="452">
        <v>72</v>
      </c>
      <c r="B676" s="463">
        <v>563</v>
      </c>
      <c r="C676" s="464" t="s">
        <v>377</v>
      </c>
      <c r="D676" s="464"/>
      <c r="E676" s="464" t="s">
        <v>602</v>
      </c>
      <c r="F676" s="464"/>
      <c r="G676" s="464" t="s">
        <v>283</v>
      </c>
      <c r="H676" s="464" t="s">
        <v>1956</v>
      </c>
      <c r="I676" s="465" t="s">
        <v>537</v>
      </c>
      <c r="J676" s="465" t="s">
        <v>537</v>
      </c>
      <c r="K676" s="466">
        <v>150000</v>
      </c>
      <c r="L676" s="465" t="s">
        <v>537</v>
      </c>
      <c r="M676" s="465" t="s">
        <v>537</v>
      </c>
      <c r="N676" s="466">
        <v>150000</v>
      </c>
      <c r="O676" s="463" t="s">
        <v>537</v>
      </c>
      <c r="P676" s="463" t="s">
        <v>537</v>
      </c>
      <c r="Q676" s="465">
        <v>0</v>
      </c>
      <c r="R676" s="470">
        <v>241671</v>
      </c>
      <c r="S676" s="471">
        <v>22544</v>
      </c>
      <c r="T676" s="463">
        <v>0</v>
      </c>
      <c r="U676" s="463">
        <v>0</v>
      </c>
      <c r="V676" s="463">
        <v>0</v>
      </c>
      <c r="W676" s="463">
        <v>114</v>
      </c>
      <c r="X676" s="463">
        <v>52</v>
      </c>
      <c r="Y676" s="463">
        <v>0</v>
      </c>
      <c r="Z676" s="463">
        <v>97.16</v>
      </c>
      <c r="AA676" s="472" t="s">
        <v>1957</v>
      </c>
      <c r="AB676" s="463" t="s">
        <v>539</v>
      </c>
      <c r="AC676" s="463" t="s">
        <v>539</v>
      </c>
      <c r="AD676" s="472" t="s">
        <v>1958</v>
      </c>
      <c r="AE676" s="463" t="s">
        <v>539</v>
      </c>
      <c r="AF676" s="463" t="s">
        <v>539</v>
      </c>
      <c r="AG676" s="463" t="s">
        <v>375</v>
      </c>
      <c r="AH676" s="476"/>
      <c r="AI676" s="472" t="s">
        <v>1933</v>
      </c>
      <c r="AJ676" s="472" t="s">
        <v>543</v>
      </c>
    </row>
    <row r="677" spans="1:36" ht="24" customHeight="1">
      <c r="A677" s="452">
        <v>73</v>
      </c>
      <c r="B677" s="463">
        <v>564</v>
      </c>
      <c r="C677" s="464" t="s">
        <v>377</v>
      </c>
      <c r="D677" s="464"/>
      <c r="E677" s="464" t="s">
        <v>602</v>
      </c>
      <c r="F677" s="464"/>
      <c r="G677" s="464" t="s">
        <v>283</v>
      </c>
      <c r="H677" s="464" t="s">
        <v>1959</v>
      </c>
      <c r="I677" s="465" t="s">
        <v>537</v>
      </c>
      <c r="J677" s="465" t="s">
        <v>537</v>
      </c>
      <c r="K677" s="466">
        <v>150000</v>
      </c>
      <c r="L677" s="465" t="s">
        <v>537</v>
      </c>
      <c r="M677" s="465" t="s">
        <v>537</v>
      </c>
      <c r="N677" s="466">
        <v>147750</v>
      </c>
      <c r="O677" s="463" t="s">
        <v>537</v>
      </c>
      <c r="P677" s="463" t="s">
        <v>537</v>
      </c>
      <c r="Q677" s="468">
        <v>2250</v>
      </c>
      <c r="R677" s="470">
        <v>241671</v>
      </c>
      <c r="S677" s="463" t="s">
        <v>1960</v>
      </c>
      <c r="T677" s="463">
        <v>0</v>
      </c>
      <c r="U677" s="463">
        <v>0</v>
      </c>
      <c r="V677" s="463">
        <v>0</v>
      </c>
      <c r="W677" s="463">
        <v>300</v>
      </c>
      <c r="X677" s="463">
        <v>100</v>
      </c>
      <c r="Y677" s="463">
        <v>0</v>
      </c>
      <c r="Z677" s="463">
        <v>90</v>
      </c>
      <c r="AA677" s="472" t="s">
        <v>1961</v>
      </c>
      <c r="AB677" s="463">
        <v>80</v>
      </c>
      <c r="AC677" s="463">
        <v>90</v>
      </c>
      <c r="AD677" s="472" t="s">
        <v>1962</v>
      </c>
      <c r="AE677" s="463" t="s">
        <v>539</v>
      </c>
      <c r="AF677" s="463" t="s">
        <v>539</v>
      </c>
      <c r="AG677" s="463" t="s">
        <v>375</v>
      </c>
      <c r="AH677" s="476"/>
      <c r="AI677" s="472" t="s">
        <v>1963</v>
      </c>
      <c r="AJ677" s="472" t="s">
        <v>543</v>
      </c>
    </row>
    <row r="678" spans="1:36" ht="24" hidden="1" customHeight="1">
      <c r="B678" s="463">
        <v>565</v>
      </c>
      <c r="C678" s="464" t="s">
        <v>534</v>
      </c>
      <c r="D678" s="464" t="s">
        <v>544</v>
      </c>
      <c r="E678" s="464" t="s">
        <v>535</v>
      </c>
      <c r="F678" s="464"/>
      <c r="G678" s="464" t="s">
        <v>283</v>
      </c>
      <c r="H678" s="464" t="s">
        <v>1964</v>
      </c>
      <c r="I678" s="465" t="s">
        <v>537</v>
      </c>
      <c r="J678" s="466">
        <v>60000</v>
      </c>
      <c r="K678" s="465" t="s">
        <v>537</v>
      </c>
      <c r="L678" s="465" t="s">
        <v>537</v>
      </c>
      <c r="M678" s="466">
        <v>60000</v>
      </c>
      <c r="N678" s="465" t="s">
        <v>537</v>
      </c>
      <c r="O678" s="463" t="s">
        <v>537</v>
      </c>
      <c r="P678" s="463" t="s">
        <v>537</v>
      </c>
      <c r="Q678" s="465">
        <v>0</v>
      </c>
      <c r="R678" s="470">
        <v>241671</v>
      </c>
      <c r="S678" s="463" t="s">
        <v>1965</v>
      </c>
      <c r="T678" s="463">
        <v>0</v>
      </c>
      <c r="U678" s="463">
        <v>100</v>
      </c>
      <c r="V678" s="463">
        <v>0</v>
      </c>
      <c r="W678" s="463">
        <v>0</v>
      </c>
      <c r="X678" s="463">
        <v>91</v>
      </c>
      <c r="Y678" s="463">
        <v>0</v>
      </c>
      <c r="Z678" s="463">
        <v>86.67</v>
      </c>
      <c r="AA678" s="472" t="s">
        <v>547</v>
      </c>
      <c r="AB678" s="463" t="s">
        <v>539</v>
      </c>
      <c r="AC678" s="463" t="s">
        <v>539</v>
      </c>
      <c r="AD678" s="472" t="s">
        <v>548</v>
      </c>
      <c r="AE678" s="463">
        <v>80</v>
      </c>
      <c r="AF678" s="463">
        <v>85.29</v>
      </c>
      <c r="AG678" s="463" t="s">
        <v>375</v>
      </c>
      <c r="AH678" s="476"/>
      <c r="AI678" s="472" t="s">
        <v>1966</v>
      </c>
      <c r="AJ678" s="464"/>
    </row>
    <row r="679" spans="1:36" ht="24" hidden="1" customHeight="1">
      <c r="B679" s="463">
        <v>566</v>
      </c>
      <c r="C679" s="464" t="s">
        <v>165</v>
      </c>
      <c r="D679" s="464" t="s">
        <v>544</v>
      </c>
      <c r="E679" s="464" t="s">
        <v>535</v>
      </c>
      <c r="F679" s="464"/>
      <c r="G679" s="464" t="s">
        <v>283</v>
      </c>
      <c r="H679" s="464" t="s">
        <v>1967</v>
      </c>
      <c r="I679" s="465" t="s">
        <v>537</v>
      </c>
      <c r="J679" s="466">
        <v>20000</v>
      </c>
      <c r="K679" s="465" t="s">
        <v>537</v>
      </c>
      <c r="L679" s="465" t="s">
        <v>537</v>
      </c>
      <c r="M679" s="466">
        <v>20000</v>
      </c>
      <c r="N679" s="465" t="s">
        <v>537</v>
      </c>
      <c r="O679" s="463" t="s">
        <v>537</v>
      </c>
      <c r="P679" s="463" t="s">
        <v>537</v>
      </c>
      <c r="Q679" s="465">
        <v>0</v>
      </c>
      <c r="R679" s="470">
        <v>241397</v>
      </c>
      <c r="S679" s="471">
        <v>22254</v>
      </c>
      <c r="T679" s="463">
        <v>0</v>
      </c>
      <c r="U679" s="463">
        <v>100</v>
      </c>
      <c r="V679" s="463">
        <v>0</v>
      </c>
      <c r="W679" s="463">
        <v>0</v>
      </c>
      <c r="X679" s="463">
        <v>150</v>
      </c>
      <c r="Y679" s="463">
        <v>0</v>
      </c>
      <c r="Z679" s="463">
        <v>85</v>
      </c>
      <c r="AA679" s="472" t="s">
        <v>547</v>
      </c>
      <c r="AB679" s="463" t="s">
        <v>539</v>
      </c>
      <c r="AC679" s="463" t="s">
        <v>539</v>
      </c>
      <c r="AD679" s="472" t="s">
        <v>548</v>
      </c>
      <c r="AE679" s="463">
        <v>80</v>
      </c>
      <c r="AF679" s="463">
        <v>85</v>
      </c>
      <c r="AG679" s="463" t="s">
        <v>375</v>
      </c>
      <c r="AH679" s="476"/>
      <c r="AI679" s="472" t="s">
        <v>1968</v>
      </c>
      <c r="AJ679" s="464"/>
    </row>
    <row r="680" spans="1:36" ht="24" hidden="1" customHeight="1">
      <c r="B680" s="463">
        <v>567</v>
      </c>
      <c r="C680" s="464" t="s">
        <v>165</v>
      </c>
      <c r="D680" s="464" t="s">
        <v>544</v>
      </c>
      <c r="E680" s="464" t="s">
        <v>535</v>
      </c>
      <c r="F680" s="464"/>
      <c r="G680" s="464" t="s">
        <v>283</v>
      </c>
      <c r="H680" s="464" t="s">
        <v>1969</v>
      </c>
      <c r="I680" s="465" t="s">
        <v>537</v>
      </c>
      <c r="J680" s="466">
        <v>100000</v>
      </c>
      <c r="K680" s="465" t="s">
        <v>537</v>
      </c>
      <c r="L680" s="465" t="s">
        <v>537</v>
      </c>
      <c r="M680" s="466">
        <v>100000</v>
      </c>
      <c r="N680" s="465" t="s">
        <v>537</v>
      </c>
      <c r="O680" s="463" t="s">
        <v>537</v>
      </c>
      <c r="P680" s="463" t="s">
        <v>537</v>
      </c>
      <c r="Q680" s="465">
        <v>0</v>
      </c>
      <c r="R680" s="470">
        <v>241671</v>
      </c>
      <c r="S680" s="471">
        <v>22548</v>
      </c>
      <c r="T680" s="463">
        <v>100</v>
      </c>
      <c r="U680" s="463">
        <v>50</v>
      </c>
      <c r="V680" s="463">
        <v>100</v>
      </c>
      <c r="W680" s="463">
        <v>979</v>
      </c>
      <c r="X680" s="463">
        <v>136</v>
      </c>
      <c r="Y680" s="463">
        <v>314</v>
      </c>
      <c r="Z680" s="464"/>
      <c r="AA680" s="472" t="s">
        <v>547</v>
      </c>
      <c r="AB680" s="463" t="s">
        <v>539</v>
      </c>
      <c r="AC680" s="463" t="s">
        <v>539</v>
      </c>
      <c r="AD680" s="472" t="s">
        <v>548</v>
      </c>
      <c r="AE680" s="463" t="s">
        <v>620</v>
      </c>
      <c r="AF680" s="463">
        <v>97.85</v>
      </c>
      <c r="AG680" s="463" t="s">
        <v>376</v>
      </c>
      <c r="AH680" s="476"/>
      <c r="AI680" s="472" t="s">
        <v>1970</v>
      </c>
      <c r="AJ680" s="464"/>
    </row>
    <row r="681" spans="1:36" ht="24" hidden="1" customHeight="1">
      <c r="B681" s="463">
        <v>568</v>
      </c>
      <c r="C681" s="464" t="s">
        <v>165</v>
      </c>
      <c r="D681" s="464" t="s">
        <v>544</v>
      </c>
      <c r="E681" s="464" t="s">
        <v>535</v>
      </c>
      <c r="F681" s="464"/>
      <c r="G681" s="464" t="s">
        <v>283</v>
      </c>
      <c r="H681" s="464" t="s">
        <v>1971</v>
      </c>
      <c r="I681" s="465" t="s">
        <v>537</v>
      </c>
      <c r="J681" s="466">
        <v>10000</v>
      </c>
      <c r="K681" s="465" t="s">
        <v>537</v>
      </c>
      <c r="L681" s="465" t="s">
        <v>537</v>
      </c>
      <c r="M681" s="466">
        <v>10000</v>
      </c>
      <c r="N681" s="465" t="s">
        <v>537</v>
      </c>
      <c r="O681" s="463" t="s">
        <v>537</v>
      </c>
      <c r="P681" s="463" t="s">
        <v>537</v>
      </c>
      <c r="Q681" s="465">
        <v>0</v>
      </c>
      <c r="R681" s="470">
        <v>241579</v>
      </c>
      <c r="S681" s="471">
        <v>22452</v>
      </c>
      <c r="T681" s="463">
        <v>900</v>
      </c>
      <c r="U681" s="463">
        <v>100</v>
      </c>
      <c r="V681" s="463">
        <v>0</v>
      </c>
      <c r="W681" s="463">
        <v>900</v>
      </c>
      <c r="X681" s="463">
        <v>100</v>
      </c>
      <c r="Y681" s="464"/>
      <c r="Z681" s="463">
        <v>84.87</v>
      </c>
      <c r="AA681" s="472" t="s">
        <v>547</v>
      </c>
      <c r="AB681" s="463" t="s">
        <v>539</v>
      </c>
      <c r="AC681" s="463" t="s">
        <v>539</v>
      </c>
      <c r="AD681" s="472" t="s">
        <v>548</v>
      </c>
      <c r="AE681" s="463" t="s">
        <v>620</v>
      </c>
      <c r="AF681" s="463">
        <v>85.45</v>
      </c>
      <c r="AG681" s="463" t="s">
        <v>376</v>
      </c>
      <c r="AH681" s="476"/>
      <c r="AI681" s="472" t="s">
        <v>1933</v>
      </c>
      <c r="AJ681" s="464"/>
    </row>
    <row r="682" spans="1:36" ht="24" hidden="1" customHeight="1">
      <c r="B682" s="463">
        <v>569</v>
      </c>
      <c r="C682" s="464" t="s">
        <v>165</v>
      </c>
      <c r="D682" s="464" t="s">
        <v>544</v>
      </c>
      <c r="E682" s="464" t="s">
        <v>535</v>
      </c>
      <c r="F682" s="464"/>
      <c r="G682" s="464" t="s">
        <v>283</v>
      </c>
      <c r="H682" s="464" t="s">
        <v>1972</v>
      </c>
      <c r="I682" s="465" t="s">
        <v>537</v>
      </c>
      <c r="J682" s="466">
        <v>80000</v>
      </c>
      <c r="K682" s="465" t="s">
        <v>537</v>
      </c>
      <c r="L682" s="465" t="s">
        <v>537</v>
      </c>
      <c r="M682" s="466">
        <v>80000</v>
      </c>
      <c r="N682" s="465" t="s">
        <v>537</v>
      </c>
      <c r="O682" s="463" t="s">
        <v>537</v>
      </c>
      <c r="P682" s="463" t="s">
        <v>537</v>
      </c>
      <c r="Q682" s="465">
        <v>0</v>
      </c>
      <c r="R682" s="470">
        <v>241397</v>
      </c>
      <c r="S682" s="471">
        <v>22277</v>
      </c>
      <c r="T682" s="463">
        <v>0</v>
      </c>
      <c r="U682" s="463">
        <v>240</v>
      </c>
      <c r="V682" s="463">
        <v>0</v>
      </c>
      <c r="W682" s="463">
        <v>0</v>
      </c>
      <c r="X682" s="463">
        <v>240</v>
      </c>
      <c r="Y682" s="463">
        <v>0</v>
      </c>
      <c r="Z682" s="463">
        <v>93.9</v>
      </c>
      <c r="AA682" s="472" t="s">
        <v>547</v>
      </c>
      <c r="AB682" s="463" t="s">
        <v>539</v>
      </c>
      <c r="AC682" s="463" t="s">
        <v>539</v>
      </c>
      <c r="AD682" s="472" t="s">
        <v>548</v>
      </c>
      <c r="AE682" s="463">
        <v>80</v>
      </c>
      <c r="AF682" s="463">
        <v>93.9</v>
      </c>
      <c r="AG682" s="463" t="s">
        <v>375</v>
      </c>
      <c r="AH682" s="476"/>
      <c r="AI682" s="472" t="s">
        <v>1933</v>
      </c>
      <c r="AJ682" s="464"/>
    </row>
    <row r="683" spans="1:36" ht="24" hidden="1" customHeight="1">
      <c r="B683" s="463">
        <v>570</v>
      </c>
      <c r="C683" s="464" t="s">
        <v>165</v>
      </c>
      <c r="D683" s="464" t="s">
        <v>544</v>
      </c>
      <c r="E683" s="464" t="s">
        <v>535</v>
      </c>
      <c r="F683" s="464"/>
      <c r="G683" s="464" t="s">
        <v>283</v>
      </c>
      <c r="H683" s="464" t="s">
        <v>1973</v>
      </c>
      <c r="I683" s="465" t="s">
        <v>537</v>
      </c>
      <c r="J683" s="466">
        <v>68000</v>
      </c>
      <c r="K683" s="465" t="s">
        <v>537</v>
      </c>
      <c r="L683" s="465" t="s">
        <v>537</v>
      </c>
      <c r="M683" s="466">
        <v>68000</v>
      </c>
      <c r="N683" s="465" t="s">
        <v>537</v>
      </c>
      <c r="O683" s="463" t="s">
        <v>537</v>
      </c>
      <c r="P683" s="463" t="s">
        <v>537</v>
      </c>
      <c r="Q683" s="465">
        <v>0</v>
      </c>
      <c r="R683" s="470">
        <v>241459</v>
      </c>
      <c r="S683" s="463" t="s">
        <v>732</v>
      </c>
      <c r="T683" s="463">
        <v>0</v>
      </c>
      <c r="U683" s="463">
        <v>45</v>
      </c>
      <c r="V683" s="463">
        <v>0</v>
      </c>
      <c r="W683" s="463">
        <v>0</v>
      </c>
      <c r="X683" s="463">
        <v>45</v>
      </c>
      <c r="Y683" s="463">
        <v>0</v>
      </c>
      <c r="Z683" s="463">
        <v>91.11</v>
      </c>
      <c r="AA683" s="472" t="s">
        <v>547</v>
      </c>
      <c r="AB683" s="463" t="s">
        <v>539</v>
      </c>
      <c r="AC683" s="463" t="s">
        <v>539</v>
      </c>
      <c r="AD683" s="472" t="s">
        <v>548</v>
      </c>
      <c r="AE683" s="463">
        <v>80</v>
      </c>
      <c r="AF683" s="463">
        <v>91.39</v>
      </c>
      <c r="AG683" s="463" t="s">
        <v>375</v>
      </c>
      <c r="AH683" s="476"/>
      <c r="AI683" s="472" t="s">
        <v>1933</v>
      </c>
      <c r="AJ683" s="464"/>
    </row>
    <row r="684" spans="1:36" ht="24" hidden="1" customHeight="1">
      <c r="B684" s="463">
        <v>571</v>
      </c>
      <c r="C684" s="464" t="s">
        <v>165</v>
      </c>
      <c r="D684" s="464" t="s">
        <v>544</v>
      </c>
      <c r="E684" s="464" t="s">
        <v>535</v>
      </c>
      <c r="F684" s="464"/>
      <c r="G684" s="464" t="s">
        <v>283</v>
      </c>
      <c r="H684" s="464" t="s">
        <v>1974</v>
      </c>
      <c r="I684" s="465" t="s">
        <v>537</v>
      </c>
      <c r="J684" s="466">
        <v>60000</v>
      </c>
      <c r="K684" s="465" t="s">
        <v>537</v>
      </c>
      <c r="L684" s="465" t="s">
        <v>537</v>
      </c>
      <c r="M684" s="466">
        <v>60000</v>
      </c>
      <c r="N684" s="465" t="s">
        <v>537</v>
      </c>
      <c r="O684" s="463" t="s">
        <v>537</v>
      </c>
      <c r="P684" s="463" t="s">
        <v>537</v>
      </c>
      <c r="Q684" s="465">
        <v>0</v>
      </c>
      <c r="R684" s="470">
        <v>241671</v>
      </c>
      <c r="S684" s="471">
        <v>22541</v>
      </c>
      <c r="T684" s="463">
        <v>0</v>
      </c>
      <c r="U684" s="463">
        <v>100</v>
      </c>
      <c r="V684" s="463">
        <v>0</v>
      </c>
      <c r="W684" s="463">
        <v>0</v>
      </c>
      <c r="X684" s="463">
        <v>121</v>
      </c>
      <c r="Y684" s="463">
        <v>0</v>
      </c>
      <c r="Z684" s="463">
        <v>92.55</v>
      </c>
      <c r="AA684" s="472" t="s">
        <v>547</v>
      </c>
      <c r="AB684" s="463" t="s">
        <v>539</v>
      </c>
      <c r="AC684" s="463" t="s">
        <v>539</v>
      </c>
      <c r="AD684" s="472" t="s">
        <v>548</v>
      </c>
      <c r="AE684" s="463">
        <v>80</v>
      </c>
      <c r="AF684" s="463">
        <v>95.84</v>
      </c>
      <c r="AG684" s="463" t="s">
        <v>375</v>
      </c>
      <c r="AH684" s="476"/>
      <c r="AI684" s="472" t="s">
        <v>1975</v>
      </c>
      <c r="AJ684" s="464"/>
    </row>
    <row r="685" spans="1:36" ht="24" hidden="1" customHeight="1">
      <c r="B685" s="463">
        <v>572</v>
      </c>
      <c r="C685" s="464" t="s">
        <v>534</v>
      </c>
      <c r="D685" s="464"/>
      <c r="E685" s="464" t="s">
        <v>535</v>
      </c>
      <c r="F685" s="464"/>
      <c r="G685" s="464" t="s">
        <v>283</v>
      </c>
      <c r="H685" s="464" t="s">
        <v>1976</v>
      </c>
      <c r="I685" s="466">
        <v>50000</v>
      </c>
      <c r="J685" s="465" t="s">
        <v>537</v>
      </c>
      <c r="K685" s="465" t="s">
        <v>537</v>
      </c>
      <c r="L685" s="466">
        <v>50000</v>
      </c>
      <c r="M685" s="465" t="s">
        <v>537</v>
      </c>
      <c r="N685" s="465" t="s">
        <v>537</v>
      </c>
      <c r="O685" s="463" t="s">
        <v>537</v>
      </c>
      <c r="P685" s="463" t="s">
        <v>537</v>
      </c>
      <c r="Q685" s="465">
        <v>0</v>
      </c>
      <c r="R685" s="470">
        <v>241428</v>
      </c>
      <c r="S685" s="471">
        <v>22305</v>
      </c>
      <c r="T685" s="463">
        <v>150</v>
      </c>
      <c r="U685" s="463">
        <v>50</v>
      </c>
      <c r="V685" s="463">
        <v>0</v>
      </c>
      <c r="W685" s="463">
        <v>151</v>
      </c>
      <c r="X685" s="463">
        <v>49</v>
      </c>
      <c r="Y685" s="463">
        <v>0</v>
      </c>
      <c r="Z685" s="463">
        <v>87.71</v>
      </c>
      <c r="AA685" s="472" t="s">
        <v>547</v>
      </c>
      <c r="AB685" s="463" t="s">
        <v>539</v>
      </c>
      <c r="AC685" s="463" t="s">
        <v>539</v>
      </c>
      <c r="AD685" s="472" t="s">
        <v>548</v>
      </c>
      <c r="AE685" s="463" t="s">
        <v>620</v>
      </c>
      <c r="AF685" s="463">
        <v>87.71</v>
      </c>
      <c r="AG685" s="463" t="s">
        <v>376</v>
      </c>
      <c r="AH685" s="476"/>
      <c r="AI685" s="472">
        <v>840561256</v>
      </c>
      <c r="AJ685" s="464"/>
    </row>
    <row r="686" spans="1:36" ht="24" hidden="1" customHeight="1">
      <c r="B686" s="463">
        <v>573</v>
      </c>
      <c r="C686" s="464" t="s">
        <v>534</v>
      </c>
      <c r="D686" s="464"/>
      <c r="E686" s="464" t="s">
        <v>535</v>
      </c>
      <c r="F686" s="464"/>
      <c r="G686" s="464" t="s">
        <v>283</v>
      </c>
      <c r="H686" s="464" t="s">
        <v>1977</v>
      </c>
      <c r="I686" s="466">
        <v>50000</v>
      </c>
      <c r="J686" s="465" t="s">
        <v>537</v>
      </c>
      <c r="K686" s="465" t="s">
        <v>537</v>
      </c>
      <c r="L686" s="466">
        <v>50000</v>
      </c>
      <c r="M686" s="465" t="s">
        <v>537</v>
      </c>
      <c r="N686" s="465" t="s">
        <v>537</v>
      </c>
      <c r="O686" s="463" t="s">
        <v>537</v>
      </c>
      <c r="P686" s="463" t="s">
        <v>537</v>
      </c>
      <c r="Q686" s="465">
        <v>0</v>
      </c>
      <c r="R686" s="470">
        <v>241397</v>
      </c>
      <c r="S686" s="471">
        <v>22276</v>
      </c>
      <c r="T686" s="463">
        <v>0</v>
      </c>
      <c r="U686" s="463">
        <v>150</v>
      </c>
      <c r="V686" s="463">
        <v>0</v>
      </c>
      <c r="W686" s="463">
        <v>19</v>
      </c>
      <c r="X686" s="463">
        <v>181</v>
      </c>
      <c r="Y686" s="464"/>
      <c r="Z686" s="463">
        <v>95.03</v>
      </c>
      <c r="AA686" s="472" t="s">
        <v>1978</v>
      </c>
      <c r="AB686" s="463" t="s">
        <v>539</v>
      </c>
      <c r="AC686" s="463">
        <v>95.03</v>
      </c>
      <c r="AD686" s="472" t="s">
        <v>565</v>
      </c>
      <c r="AE686" s="463" t="s">
        <v>620</v>
      </c>
      <c r="AF686" s="463">
        <v>95.03</v>
      </c>
      <c r="AG686" s="463" t="s">
        <v>376</v>
      </c>
      <c r="AH686" s="476"/>
      <c r="AI686" s="472">
        <v>908747090</v>
      </c>
      <c r="AJ686" s="464"/>
    </row>
    <row r="687" spans="1:36" ht="24" hidden="1" customHeight="1">
      <c r="B687" s="463">
        <v>574</v>
      </c>
      <c r="C687" s="464" t="s">
        <v>534</v>
      </c>
      <c r="D687" s="464"/>
      <c r="E687" s="464" t="s">
        <v>535</v>
      </c>
      <c r="F687" s="464"/>
      <c r="G687" s="464" t="s">
        <v>283</v>
      </c>
      <c r="H687" s="464" t="s">
        <v>1979</v>
      </c>
      <c r="I687" s="466">
        <v>50000</v>
      </c>
      <c r="J687" s="465" t="s">
        <v>537</v>
      </c>
      <c r="K687" s="465" t="s">
        <v>537</v>
      </c>
      <c r="L687" s="466">
        <v>47000</v>
      </c>
      <c r="M687" s="465" t="s">
        <v>537</v>
      </c>
      <c r="N687" s="465" t="s">
        <v>537</v>
      </c>
      <c r="O687" s="463" t="s">
        <v>537</v>
      </c>
      <c r="P687" s="463" t="s">
        <v>537</v>
      </c>
      <c r="Q687" s="468">
        <v>3000</v>
      </c>
      <c r="R687" s="463" t="s">
        <v>747</v>
      </c>
      <c r="S687" s="471">
        <v>22526</v>
      </c>
      <c r="T687" s="463">
        <v>100</v>
      </c>
      <c r="U687" s="463">
        <v>10</v>
      </c>
      <c r="V687" s="463">
        <v>0</v>
      </c>
      <c r="W687" s="463">
        <v>100</v>
      </c>
      <c r="X687" s="463">
        <v>15</v>
      </c>
      <c r="Y687" s="463">
        <v>0</v>
      </c>
      <c r="Z687" s="463">
        <v>93.18</v>
      </c>
      <c r="AA687" s="472" t="s">
        <v>547</v>
      </c>
      <c r="AB687" s="463" t="s">
        <v>539</v>
      </c>
      <c r="AC687" s="463" t="s">
        <v>539</v>
      </c>
      <c r="AD687" s="472" t="s">
        <v>699</v>
      </c>
      <c r="AE687" s="463" t="s">
        <v>1172</v>
      </c>
      <c r="AF687" s="463">
        <v>93.18</v>
      </c>
      <c r="AG687" s="463" t="s">
        <v>375</v>
      </c>
      <c r="AH687" s="476"/>
      <c r="AI687" s="472" t="s">
        <v>1931</v>
      </c>
      <c r="AJ687" s="464"/>
    </row>
    <row r="688" spans="1:36" ht="24" hidden="1" customHeight="1">
      <c r="B688" s="463">
        <v>575</v>
      </c>
      <c r="C688" s="464" t="s">
        <v>534</v>
      </c>
      <c r="D688" s="464"/>
      <c r="E688" s="464" t="s">
        <v>535</v>
      </c>
      <c r="F688" s="464"/>
      <c r="G688" s="464" t="s">
        <v>283</v>
      </c>
      <c r="H688" s="464" t="s">
        <v>1890</v>
      </c>
      <c r="I688" s="466">
        <v>100000</v>
      </c>
      <c r="J688" s="465" t="s">
        <v>537</v>
      </c>
      <c r="K688" s="465" t="s">
        <v>537</v>
      </c>
      <c r="L688" s="466">
        <v>100000</v>
      </c>
      <c r="M688" s="465" t="s">
        <v>537</v>
      </c>
      <c r="N688" s="465" t="s">
        <v>537</v>
      </c>
      <c r="O688" s="463" t="s">
        <v>537</v>
      </c>
      <c r="P688" s="463" t="s">
        <v>537</v>
      </c>
      <c r="Q688" s="465">
        <v>0</v>
      </c>
      <c r="R688" s="470">
        <v>241640</v>
      </c>
      <c r="S688" s="463" t="s">
        <v>1980</v>
      </c>
      <c r="T688" s="463">
        <v>200</v>
      </c>
      <c r="U688" s="463">
        <v>100</v>
      </c>
      <c r="V688" s="463">
        <v>0</v>
      </c>
      <c r="W688" s="463">
        <v>200</v>
      </c>
      <c r="X688" s="463">
        <v>100</v>
      </c>
      <c r="Y688" s="463">
        <v>0</v>
      </c>
      <c r="Z688" s="463">
        <v>95</v>
      </c>
      <c r="AA688" s="472" t="s">
        <v>547</v>
      </c>
      <c r="AB688" s="463" t="s">
        <v>539</v>
      </c>
      <c r="AC688" s="463" t="s">
        <v>539</v>
      </c>
      <c r="AD688" s="472" t="s">
        <v>548</v>
      </c>
      <c r="AE688" s="463" t="s">
        <v>620</v>
      </c>
      <c r="AF688" s="463">
        <v>93</v>
      </c>
      <c r="AG688" s="463" t="s">
        <v>376</v>
      </c>
      <c r="AH688" s="476"/>
      <c r="AI688" s="472" t="s">
        <v>1966</v>
      </c>
      <c r="AJ688" s="464"/>
    </row>
    <row r="689" spans="2:36" ht="24" hidden="1" customHeight="1">
      <c r="B689" s="463">
        <v>576</v>
      </c>
      <c r="C689" s="464" t="s">
        <v>534</v>
      </c>
      <c r="D689" s="464"/>
      <c r="E689" s="464" t="s">
        <v>535</v>
      </c>
      <c r="F689" s="464"/>
      <c r="G689" s="464" t="s">
        <v>283</v>
      </c>
      <c r="H689" s="464" t="s">
        <v>1981</v>
      </c>
      <c r="I689" s="466">
        <v>300000</v>
      </c>
      <c r="J689" s="465" t="s">
        <v>537</v>
      </c>
      <c r="K689" s="465" t="s">
        <v>537</v>
      </c>
      <c r="L689" s="466">
        <v>265920</v>
      </c>
      <c r="M689" s="465" t="s">
        <v>537</v>
      </c>
      <c r="N689" s="465" t="s">
        <v>537</v>
      </c>
      <c r="O689" s="463" t="s">
        <v>537</v>
      </c>
      <c r="P689" s="463" t="s">
        <v>537</v>
      </c>
      <c r="Q689" s="468">
        <v>34080</v>
      </c>
      <c r="R689" s="463" t="s">
        <v>552</v>
      </c>
      <c r="S689" s="463" t="s">
        <v>1982</v>
      </c>
      <c r="T689" s="463">
        <v>300</v>
      </c>
      <c r="U689" s="463">
        <v>50</v>
      </c>
      <c r="V689" s="463">
        <v>0</v>
      </c>
      <c r="W689" s="463">
        <v>368</v>
      </c>
      <c r="X689" s="463">
        <v>50</v>
      </c>
      <c r="Y689" s="463">
        <v>0</v>
      </c>
      <c r="Z689" s="463">
        <v>91.21</v>
      </c>
      <c r="AA689" s="472" t="s">
        <v>1907</v>
      </c>
      <c r="AB689" s="463" t="s">
        <v>539</v>
      </c>
      <c r="AC689" s="463" t="s">
        <v>539</v>
      </c>
      <c r="AD689" s="472" t="s">
        <v>565</v>
      </c>
      <c r="AE689" s="463" t="s">
        <v>620</v>
      </c>
      <c r="AF689" s="463">
        <v>91.21</v>
      </c>
      <c r="AG689" s="463" t="s">
        <v>376</v>
      </c>
      <c r="AH689" s="476"/>
      <c r="AI689" s="472">
        <v>994398448</v>
      </c>
      <c r="AJ689" s="464"/>
    </row>
    <row r="690" spans="2:36" ht="24" hidden="1" customHeight="1">
      <c r="B690" s="463">
        <v>577</v>
      </c>
      <c r="C690" s="464" t="s">
        <v>534</v>
      </c>
      <c r="D690" s="464"/>
      <c r="E690" s="464" t="s">
        <v>535</v>
      </c>
      <c r="F690" s="464"/>
      <c r="G690" s="464" t="s">
        <v>283</v>
      </c>
      <c r="H690" s="464" t="s">
        <v>1983</v>
      </c>
      <c r="I690" s="466">
        <v>100000</v>
      </c>
      <c r="J690" s="465" t="s">
        <v>537</v>
      </c>
      <c r="K690" s="465" t="s">
        <v>537</v>
      </c>
      <c r="L690" s="466">
        <v>90922.4</v>
      </c>
      <c r="M690" s="465" t="s">
        <v>537</v>
      </c>
      <c r="N690" s="465" t="s">
        <v>537</v>
      </c>
      <c r="O690" s="463" t="s">
        <v>537</v>
      </c>
      <c r="P690" s="463" t="s">
        <v>537</v>
      </c>
      <c r="Q690" s="468">
        <v>9078</v>
      </c>
      <c r="R690" s="463" t="s">
        <v>1984</v>
      </c>
      <c r="S690" s="463" t="s">
        <v>1985</v>
      </c>
      <c r="T690" s="463">
        <v>25</v>
      </c>
      <c r="U690" s="463">
        <v>15</v>
      </c>
      <c r="V690" s="463">
        <v>200</v>
      </c>
      <c r="W690" s="463">
        <v>30</v>
      </c>
      <c r="X690" s="463">
        <v>15</v>
      </c>
      <c r="Y690" s="463">
        <v>200</v>
      </c>
      <c r="Z690" s="463">
        <v>89</v>
      </c>
      <c r="AA690" s="472" t="s">
        <v>1181</v>
      </c>
      <c r="AB690" s="463" t="s">
        <v>539</v>
      </c>
      <c r="AC690" s="463" t="s">
        <v>539</v>
      </c>
      <c r="AD690" s="472" t="s">
        <v>1016</v>
      </c>
      <c r="AE690" s="463" t="s">
        <v>620</v>
      </c>
      <c r="AF690" s="463">
        <v>89</v>
      </c>
      <c r="AG690" s="463" t="s">
        <v>376</v>
      </c>
      <c r="AH690" s="476"/>
      <c r="AI690" s="472">
        <v>817194220</v>
      </c>
      <c r="AJ690" s="464"/>
    </row>
    <row r="691" spans="2:36" ht="24" hidden="1" customHeight="1">
      <c r="B691" s="463">
        <v>578</v>
      </c>
      <c r="C691" s="464" t="s">
        <v>534</v>
      </c>
      <c r="D691" s="464"/>
      <c r="E691" s="464" t="s">
        <v>535</v>
      </c>
      <c r="F691" s="464"/>
      <c r="G691" s="464" t="s">
        <v>283</v>
      </c>
      <c r="H691" s="464" t="s">
        <v>1986</v>
      </c>
      <c r="I691" s="466">
        <v>100000</v>
      </c>
      <c r="J691" s="465" t="s">
        <v>537</v>
      </c>
      <c r="K691" s="465" t="s">
        <v>537</v>
      </c>
      <c r="L691" s="466">
        <v>100000</v>
      </c>
      <c r="M691" s="465" t="s">
        <v>537</v>
      </c>
      <c r="N691" s="465" t="s">
        <v>537</v>
      </c>
      <c r="O691" s="463" t="s">
        <v>537</v>
      </c>
      <c r="P691" s="463" t="s">
        <v>537</v>
      </c>
      <c r="Q691" s="465">
        <v>0</v>
      </c>
      <c r="R691" s="470">
        <v>241459</v>
      </c>
      <c r="S691" s="463" t="s">
        <v>1987</v>
      </c>
      <c r="T691" s="463">
        <v>150</v>
      </c>
      <c r="U691" s="463">
        <v>30</v>
      </c>
      <c r="V691" s="463">
        <v>20</v>
      </c>
      <c r="W691" s="463">
        <v>210</v>
      </c>
      <c r="X691" s="463">
        <v>40</v>
      </c>
      <c r="Y691" s="463">
        <v>150</v>
      </c>
      <c r="Z691" s="463">
        <v>92.25</v>
      </c>
      <c r="AA691" s="472" t="s">
        <v>547</v>
      </c>
      <c r="AB691" s="463" t="s">
        <v>539</v>
      </c>
      <c r="AC691" s="463" t="s">
        <v>539</v>
      </c>
      <c r="AD691" s="472" t="s">
        <v>548</v>
      </c>
      <c r="AE691" s="463" t="s">
        <v>620</v>
      </c>
      <c r="AF691" s="463">
        <v>94.5</v>
      </c>
      <c r="AG691" s="463" t="s">
        <v>376</v>
      </c>
      <c r="AH691" s="476"/>
      <c r="AI691" s="472" t="s">
        <v>1933</v>
      </c>
      <c r="AJ691" s="464"/>
    </row>
    <row r="692" spans="2:36" ht="24" hidden="1" customHeight="1">
      <c r="B692" s="463">
        <v>579</v>
      </c>
      <c r="C692" s="464" t="s">
        <v>534</v>
      </c>
      <c r="D692" s="464"/>
      <c r="E692" s="464" t="s">
        <v>535</v>
      </c>
      <c r="F692" s="464"/>
      <c r="G692" s="464" t="s">
        <v>283</v>
      </c>
      <c r="H692" s="464" t="s">
        <v>1988</v>
      </c>
      <c r="I692" s="466">
        <v>300000</v>
      </c>
      <c r="J692" s="465" t="s">
        <v>537</v>
      </c>
      <c r="K692" s="465" t="s">
        <v>537</v>
      </c>
      <c r="L692" s="466">
        <v>284865.25</v>
      </c>
      <c r="M692" s="465" t="s">
        <v>537</v>
      </c>
      <c r="N692" s="465" t="s">
        <v>537</v>
      </c>
      <c r="O692" s="463" t="s">
        <v>537</v>
      </c>
      <c r="P692" s="463" t="s">
        <v>537</v>
      </c>
      <c r="Q692" s="468">
        <v>15135</v>
      </c>
      <c r="R692" s="463" t="s">
        <v>552</v>
      </c>
      <c r="S692" s="463" t="s">
        <v>1989</v>
      </c>
      <c r="T692" s="463">
        <v>655</v>
      </c>
      <c r="U692" s="463">
        <v>23</v>
      </c>
      <c r="V692" s="463">
        <v>0</v>
      </c>
      <c r="W692" s="463">
        <v>722</v>
      </c>
      <c r="X692" s="463">
        <v>23</v>
      </c>
      <c r="Y692" s="463">
        <v>0</v>
      </c>
      <c r="Z692" s="463">
        <v>94.5</v>
      </c>
      <c r="AA692" s="472" t="s">
        <v>1907</v>
      </c>
      <c r="AB692" s="463" t="s">
        <v>539</v>
      </c>
      <c r="AC692" s="463" t="s">
        <v>539</v>
      </c>
      <c r="AD692" s="472" t="s">
        <v>565</v>
      </c>
      <c r="AE692" s="463" t="s">
        <v>620</v>
      </c>
      <c r="AF692" s="463">
        <v>93.87</v>
      </c>
      <c r="AG692" s="463" t="s">
        <v>376</v>
      </c>
      <c r="AH692" s="476"/>
      <c r="AI692" s="472" t="s">
        <v>1970</v>
      </c>
      <c r="AJ692" s="464"/>
    </row>
    <row r="693" spans="2:36" ht="24" hidden="1" customHeight="1">
      <c r="B693" s="463">
        <v>580</v>
      </c>
      <c r="C693" s="464" t="s">
        <v>534</v>
      </c>
      <c r="D693" s="464"/>
      <c r="E693" s="464" t="s">
        <v>535</v>
      </c>
      <c r="F693" s="464"/>
      <c r="G693" s="464" t="s">
        <v>283</v>
      </c>
      <c r="H693" s="464" t="s">
        <v>1990</v>
      </c>
      <c r="I693" s="465" t="s">
        <v>537</v>
      </c>
      <c r="J693" s="465" t="s">
        <v>537</v>
      </c>
      <c r="K693" s="466">
        <v>1025320</v>
      </c>
      <c r="L693" s="465" t="s">
        <v>537</v>
      </c>
      <c r="M693" s="465" t="s">
        <v>537</v>
      </c>
      <c r="N693" s="466">
        <v>1018856.36</v>
      </c>
      <c r="O693" s="463" t="s">
        <v>537</v>
      </c>
      <c r="P693" s="463" t="s">
        <v>537</v>
      </c>
      <c r="Q693" s="468">
        <v>6464</v>
      </c>
      <c r="R693" s="470">
        <v>241428</v>
      </c>
      <c r="S693" s="463" t="s">
        <v>623</v>
      </c>
      <c r="T693" s="463">
        <v>0</v>
      </c>
      <c r="U693" s="463">
        <v>275</v>
      </c>
      <c r="V693" s="463">
        <v>1000</v>
      </c>
      <c r="W693" s="463">
        <v>68</v>
      </c>
      <c r="X693" s="463">
        <v>132</v>
      </c>
      <c r="Y693" s="463">
        <v>931</v>
      </c>
      <c r="Z693" s="463">
        <v>93.68</v>
      </c>
      <c r="AA693" s="472" t="s">
        <v>1077</v>
      </c>
      <c r="AB693" s="463">
        <v>80</v>
      </c>
      <c r="AC693" s="463" t="s">
        <v>539</v>
      </c>
      <c r="AD693" s="472" t="s">
        <v>571</v>
      </c>
      <c r="AE693" s="463">
        <v>80</v>
      </c>
      <c r="AF693" s="463">
        <v>90.52</v>
      </c>
      <c r="AG693" s="463" t="s">
        <v>375</v>
      </c>
      <c r="AH693" s="476"/>
      <c r="AI693" s="472" t="s">
        <v>1970</v>
      </c>
      <c r="AJ693" s="472" t="s">
        <v>543</v>
      </c>
    </row>
    <row r="694" spans="2:36" ht="24" hidden="1" customHeight="1">
      <c r="B694" s="463">
        <v>581</v>
      </c>
      <c r="C694" s="464" t="s">
        <v>534</v>
      </c>
      <c r="D694" s="464"/>
      <c r="E694" s="464" t="s">
        <v>535</v>
      </c>
      <c r="F694" s="464"/>
      <c r="G694" s="464" t="s">
        <v>283</v>
      </c>
      <c r="H694" s="464" t="s">
        <v>1991</v>
      </c>
      <c r="I694" s="465" t="s">
        <v>537</v>
      </c>
      <c r="J694" s="465" t="s">
        <v>537</v>
      </c>
      <c r="K694" s="466">
        <v>50000</v>
      </c>
      <c r="L694" s="465" t="s">
        <v>537</v>
      </c>
      <c r="M694" s="465" t="s">
        <v>537</v>
      </c>
      <c r="N694" s="466">
        <v>50000</v>
      </c>
      <c r="O694" s="463" t="s">
        <v>537</v>
      </c>
      <c r="P694" s="463" t="s">
        <v>537</v>
      </c>
      <c r="Q694" s="465">
        <v>0</v>
      </c>
      <c r="R694" s="470">
        <v>241397</v>
      </c>
      <c r="S694" s="471">
        <v>22276</v>
      </c>
      <c r="T694" s="463">
        <v>0</v>
      </c>
      <c r="U694" s="463">
        <v>200</v>
      </c>
      <c r="V694" s="463">
        <v>0</v>
      </c>
      <c r="W694" s="463">
        <v>0</v>
      </c>
      <c r="X694" s="463">
        <v>200</v>
      </c>
      <c r="Y694" s="463">
        <v>0</v>
      </c>
      <c r="Z694" s="463">
        <v>88.67</v>
      </c>
      <c r="AA694" s="472" t="s">
        <v>547</v>
      </c>
      <c r="AB694" s="463" t="s">
        <v>539</v>
      </c>
      <c r="AC694" s="463" t="s">
        <v>539</v>
      </c>
      <c r="AD694" s="472" t="s">
        <v>1075</v>
      </c>
      <c r="AE694" s="463">
        <v>80</v>
      </c>
      <c r="AF694" s="463">
        <v>87.2</v>
      </c>
      <c r="AG694" s="463" t="s">
        <v>375</v>
      </c>
      <c r="AH694" s="476"/>
      <c r="AI694" s="472" t="s">
        <v>1966</v>
      </c>
      <c r="AJ694" s="472" t="s">
        <v>543</v>
      </c>
    </row>
    <row r="695" spans="2:36" ht="24" hidden="1" customHeight="1">
      <c r="B695" s="463">
        <v>582</v>
      </c>
      <c r="C695" s="464" t="s">
        <v>534</v>
      </c>
      <c r="D695" s="464"/>
      <c r="E695" s="464" t="s">
        <v>535</v>
      </c>
      <c r="F695" s="464"/>
      <c r="G695" s="464" t="s">
        <v>283</v>
      </c>
      <c r="H695" s="464" t="s">
        <v>1992</v>
      </c>
      <c r="I695" s="465" t="s">
        <v>537</v>
      </c>
      <c r="J695" s="465" t="s">
        <v>537</v>
      </c>
      <c r="K695" s="466">
        <v>50000</v>
      </c>
      <c r="L695" s="465" t="s">
        <v>537</v>
      </c>
      <c r="M695" s="465" t="s">
        <v>537</v>
      </c>
      <c r="N695" s="466">
        <v>50000</v>
      </c>
      <c r="O695" s="463" t="s">
        <v>537</v>
      </c>
      <c r="P695" s="463" t="s">
        <v>537</v>
      </c>
      <c r="Q695" s="465">
        <v>0</v>
      </c>
      <c r="R695" s="470">
        <v>241397</v>
      </c>
      <c r="S695" s="471">
        <v>22278</v>
      </c>
      <c r="T695" s="463">
        <v>0</v>
      </c>
      <c r="U695" s="463">
        <v>200</v>
      </c>
      <c r="V695" s="463">
        <v>0</v>
      </c>
      <c r="W695" s="463">
        <v>0</v>
      </c>
      <c r="X695" s="463">
        <v>214</v>
      </c>
      <c r="Y695" s="463">
        <v>0</v>
      </c>
      <c r="Z695" s="463">
        <v>92.77</v>
      </c>
      <c r="AA695" s="472" t="s">
        <v>1907</v>
      </c>
      <c r="AB695" s="463" t="s">
        <v>539</v>
      </c>
      <c r="AC695" s="463" t="s">
        <v>539</v>
      </c>
      <c r="AD695" s="472" t="s">
        <v>606</v>
      </c>
      <c r="AE695" s="463">
        <v>80</v>
      </c>
      <c r="AF695" s="463">
        <v>94.56</v>
      </c>
      <c r="AG695" s="463" t="s">
        <v>375</v>
      </c>
      <c r="AH695" s="476"/>
      <c r="AI695" s="472" t="s">
        <v>1993</v>
      </c>
      <c r="AJ695" s="472" t="s">
        <v>543</v>
      </c>
    </row>
    <row r="696" spans="2:36" ht="24" hidden="1" customHeight="1">
      <c r="B696" s="463">
        <v>583</v>
      </c>
      <c r="C696" s="464" t="s">
        <v>534</v>
      </c>
      <c r="D696" s="464"/>
      <c r="E696" s="464" t="s">
        <v>535</v>
      </c>
      <c r="F696" s="464"/>
      <c r="G696" s="464" t="s">
        <v>283</v>
      </c>
      <c r="H696" s="464" t="s">
        <v>1994</v>
      </c>
      <c r="I696" s="465" t="s">
        <v>537</v>
      </c>
      <c r="J696" s="465" t="s">
        <v>537</v>
      </c>
      <c r="K696" s="466">
        <v>152000</v>
      </c>
      <c r="L696" s="465" t="s">
        <v>537</v>
      </c>
      <c r="M696" s="465" t="s">
        <v>537</v>
      </c>
      <c r="N696" s="466">
        <v>132000</v>
      </c>
      <c r="O696" s="463" t="s">
        <v>537</v>
      </c>
      <c r="P696" s="463" t="s">
        <v>537</v>
      </c>
      <c r="Q696" s="468">
        <v>20000</v>
      </c>
      <c r="R696" s="470">
        <v>241609</v>
      </c>
      <c r="S696" s="463" t="s">
        <v>1995</v>
      </c>
      <c r="T696" s="463">
        <v>20</v>
      </c>
      <c r="U696" s="463">
        <v>100</v>
      </c>
      <c r="V696" s="463">
        <v>0</v>
      </c>
      <c r="W696" s="463">
        <v>113</v>
      </c>
      <c r="X696" s="463">
        <v>44</v>
      </c>
      <c r="Y696" s="463">
        <v>98</v>
      </c>
      <c r="Z696" s="463">
        <v>92</v>
      </c>
      <c r="AA696" s="472" t="s">
        <v>1875</v>
      </c>
      <c r="AB696" s="463" t="s">
        <v>539</v>
      </c>
      <c r="AC696" s="463" t="s">
        <v>539</v>
      </c>
      <c r="AD696" s="472" t="s">
        <v>565</v>
      </c>
      <c r="AE696" s="463">
        <v>80</v>
      </c>
      <c r="AF696" s="463">
        <v>92</v>
      </c>
      <c r="AG696" s="463" t="s">
        <v>375</v>
      </c>
      <c r="AH696" s="476"/>
      <c r="AI696" s="472">
        <v>817194220</v>
      </c>
      <c r="AJ696" s="472" t="s">
        <v>543</v>
      </c>
    </row>
    <row r="697" spans="2:36" ht="24" hidden="1" customHeight="1">
      <c r="B697" s="463">
        <v>584</v>
      </c>
      <c r="C697" s="464" t="s">
        <v>534</v>
      </c>
      <c r="D697" s="464" t="s">
        <v>544</v>
      </c>
      <c r="E697" s="464" t="s">
        <v>535</v>
      </c>
      <c r="F697" s="464"/>
      <c r="G697" s="464" t="s">
        <v>283</v>
      </c>
      <c r="H697" s="464" t="s">
        <v>1996</v>
      </c>
      <c r="I697" s="465" t="s">
        <v>537</v>
      </c>
      <c r="J697" s="466">
        <v>70000</v>
      </c>
      <c r="K697" s="465" t="s">
        <v>537</v>
      </c>
      <c r="L697" s="465" t="s">
        <v>537</v>
      </c>
      <c r="M697" s="466">
        <v>70000</v>
      </c>
      <c r="N697" s="465" t="s">
        <v>537</v>
      </c>
      <c r="O697" s="463" t="s">
        <v>537</v>
      </c>
      <c r="P697" s="463" t="s">
        <v>537</v>
      </c>
      <c r="Q697" s="465">
        <v>0</v>
      </c>
      <c r="R697" s="470">
        <v>241671</v>
      </c>
      <c r="S697" s="463" t="s">
        <v>1997</v>
      </c>
      <c r="T697" s="463">
        <v>100</v>
      </c>
      <c r="U697" s="463">
        <v>20</v>
      </c>
      <c r="V697" s="463">
        <v>0</v>
      </c>
      <c r="W697" s="463">
        <v>160</v>
      </c>
      <c r="X697" s="463">
        <v>27</v>
      </c>
      <c r="Y697" s="463">
        <v>0</v>
      </c>
      <c r="Z697" s="463">
        <v>98</v>
      </c>
      <c r="AA697" s="472" t="s">
        <v>547</v>
      </c>
      <c r="AB697" s="463" t="s">
        <v>539</v>
      </c>
      <c r="AC697" s="463">
        <v>97</v>
      </c>
      <c r="AD697" s="472" t="s">
        <v>548</v>
      </c>
      <c r="AE697" s="463" t="s">
        <v>620</v>
      </c>
      <c r="AF697" s="463">
        <v>96.5</v>
      </c>
      <c r="AG697" s="463" t="s">
        <v>376</v>
      </c>
      <c r="AH697" s="476"/>
      <c r="AI697" s="472">
        <v>898747614</v>
      </c>
      <c r="AJ697" s="464"/>
    </row>
    <row r="698" spans="2:36" ht="24" hidden="1" customHeight="1">
      <c r="B698" s="463">
        <v>585</v>
      </c>
      <c r="C698" s="464" t="s">
        <v>534</v>
      </c>
      <c r="D698" s="464" t="s">
        <v>544</v>
      </c>
      <c r="E698" s="464" t="s">
        <v>535</v>
      </c>
      <c r="F698" s="464"/>
      <c r="G698" s="464" t="s">
        <v>283</v>
      </c>
      <c r="H698" s="464" t="s">
        <v>1998</v>
      </c>
      <c r="I698" s="465" t="s">
        <v>537</v>
      </c>
      <c r="J698" s="466">
        <v>10000</v>
      </c>
      <c r="K698" s="465" t="s">
        <v>537</v>
      </c>
      <c r="L698" s="465" t="s">
        <v>537</v>
      </c>
      <c r="M698" s="466">
        <v>10000</v>
      </c>
      <c r="N698" s="465" t="s">
        <v>537</v>
      </c>
      <c r="O698" s="463" t="s">
        <v>537</v>
      </c>
      <c r="P698" s="463" t="s">
        <v>537</v>
      </c>
      <c r="Q698" s="465">
        <v>0</v>
      </c>
      <c r="R698" s="470">
        <v>241579</v>
      </c>
      <c r="S698" s="463" t="s">
        <v>1999</v>
      </c>
      <c r="T698" s="463">
        <v>120</v>
      </c>
      <c r="U698" s="463">
        <v>20</v>
      </c>
      <c r="V698" s="463">
        <v>0</v>
      </c>
      <c r="W698" s="463">
        <v>142</v>
      </c>
      <c r="X698" s="463">
        <v>79</v>
      </c>
      <c r="Y698" s="463">
        <v>0</v>
      </c>
      <c r="Z698" s="463">
        <v>84.51</v>
      </c>
      <c r="AA698" s="472" t="s">
        <v>547</v>
      </c>
      <c r="AB698" s="463" t="s">
        <v>539</v>
      </c>
      <c r="AC698" s="463" t="s">
        <v>539</v>
      </c>
      <c r="AD698" s="472" t="s">
        <v>548</v>
      </c>
      <c r="AE698" s="463" t="s">
        <v>620</v>
      </c>
      <c r="AF698" s="463">
        <v>84.51</v>
      </c>
      <c r="AG698" s="463" t="s">
        <v>376</v>
      </c>
      <c r="AH698" s="476"/>
      <c r="AI698" s="472" t="s">
        <v>1931</v>
      </c>
      <c r="AJ698" s="464"/>
    </row>
    <row r="699" spans="2:36" ht="24" hidden="1" customHeight="1">
      <c r="B699" s="463">
        <v>586</v>
      </c>
      <c r="C699" s="464" t="s">
        <v>534</v>
      </c>
      <c r="D699" s="464" t="s">
        <v>544</v>
      </c>
      <c r="E699" s="464" t="s">
        <v>535</v>
      </c>
      <c r="F699" s="464"/>
      <c r="G699" s="464" t="s">
        <v>283</v>
      </c>
      <c r="H699" s="464" t="s">
        <v>2000</v>
      </c>
      <c r="I699" s="465" t="s">
        <v>537</v>
      </c>
      <c r="J699" s="466">
        <v>10000</v>
      </c>
      <c r="K699" s="465" t="s">
        <v>537</v>
      </c>
      <c r="L699" s="465" t="s">
        <v>537</v>
      </c>
      <c r="M699" s="466">
        <v>5520</v>
      </c>
      <c r="N699" s="465" t="s">
        <v>537</v>
      </c>
      <c r="O699" s="463" t="s">
        <v>537</v>
      </c>
      <c r="P699" s="463" t="s">
        <v>537</v>
      </c>
      <c r="Q699" s="468">
        <v>4480</v>
      </c>
      <c r="R699" s="470">
        <v>241459</v>
      </c>
      <c r="S699" s="471">
        <v>22354</v>
      </c>
      <c r="T699" s="463">
        <v>100</v>
      </c>
      <c r="U699" s="463">
        <v>20</v>
      </c>
      <c r="V699" s="463">
        <v>0</v>
      </c>
      <c r="W699" s="463">
        <v>115</v>
      </c>
      <c r="X699" s="463">
        <v>39</v>
      </c>
      <c r="Y699" s="464"/>
      <c r="Z699" s="463">
        <v>82.9</v>
      </c>
      <c r="AA699" s="472" t="s">
        <v>547</v>
      </c>
      <c r="AB699" s="463" t="s">
        <v>539</v>
      </c>
      <c r="AC699" s="463" t="s">
        <v>539</v>
      </c>
      <c r="AD699" s="472" t="s">
        <v>548</v>
      </c>
      <c r="AE699" s="463" t="s">
        <v>620</v>
      </c>
      <c r="AF699" s="463">
        <v>82.9</v>
      </c>
      <c r="AG699" s="463" t="s">
        <v>376</v>
      </c>
      <c r="AH699" s="476"/>
      <c r="AI699" s="472">
        <v>854748135</v>
      </c>
      <c r="AJ699" s="464"/>
    </row>
    <row r="700" spans="2:36" ht="24" hidden="1" customHeight="1">
      <c r="B700" s="463">
        <v>587</v>
      </c>
      <c r="C700" s="464" t="s">
        <v>534</v>
      </c>
      <c r="D700" s="464" t="s">
        <v>544</v>
      </c>
      <c r="E700" s="464" t="s">
        <v>535</v>
      </c>
      <c r="F700" s="464"/>
      <c r="G700" s="464" t="s">
        <v>283</v>
      </c>
      <c r="H700" s="464" t="s">
        <v>2001</v>
      </c>
      <c r="I700" s="465" t="s">
        <v>537</v>
      </c>
      <c r="J700" s="466">
        <v>50000</v>
      </c>
      <c r="K700" s="465" t="s">
        <v>537</v>
      </c>
      <c r="L700" s="465" t="s">
        <v>537</v>
      </c>
      <c r="M700" s="466">
        <v>49609</v>
      </c>
      <c r="N700" s="465" t="s">
        <v>537</v>
      </c>
      <c r="O700" s="463" t="s">
        <v>537</v>
      </c>
      <c r="P700" s="463" t="s">
        <v>537</v>
      </c>
      <c r="Q700" s="465">
        <v>391</v>
      </c>
      <c r="R700" s="463" t="s">
        <v>643</v>
      </c>
      <c r="S700" s="463" t="s">
        <v>2002</v>
      </c>
      <c r="T700" s="463">
        <v>0</v>
      </c>
      <c r="U700" s="463">
        <v>50</v>
      </c>
      <c r="V700" s="463">
        <v>0</v>
      </c>
      <c r="W700" s="463">
        <v>0</v>
      </c>
      <c r="X700" s="463">
        <v>50</v>
      </c>
      <c r="Y700" s="463">
        <v>0</v>
      </c>
      <c r="Z700" s="463">
        <v>86.6</v>
      </c>
      <c r="AA700" s="472" t="s">
        <v>547</v>
      </c>
      <c r="AB700" s="463" t="s">
        <v>539</v>
      </c>
      <c r="AC700" s="463" t="s">
        <v>539</v>
      </c>
      <c r="AD700" s="472" t="s">
        <v>548</v>
      </c>
      <c r="AE700" s="463" t="s">
        <v>620</v>
      </c>
      <c r="AF700" s="463">
        <v>84</v>
      </c>
      <c r="AG700" s="463" t="s">
        <v>376</v>
      </c>
      <c r="AH700" s="476"/>
      <c r="AI700" s="472" t="s">
        <v>1966</v>
      </c>
      <c r="AJ700" s="464"/>
    </row>
    <row r="701" spans="2:36" ht="24" hidden="1" customHeight="1">
      <c r="B701" s="463">
        <v>588</v>
      </c>
      <c r="C701" s="464" t="s">
        <v>534</v>
      </c>
      <c r="D701" s="464"/>
      <c r="E701" s="464" t="s">
        <v>577</v>
      </c>
      <c r="F701" s="464"/>
      <c r="G701" s="464" t="s">
        <v>274</v>
      </c>
      <c r="H701" s="464" t="s">
        <v>2003</v>
      </c>
      <c r="I701" s="465" t="s">
        <v>537</v>
      </c>
      <c r="J701" s="465" t="s">
        <v>537</v>
      </c>
      <c r="K701" s="466">
        <v>26000</v>
      </c>
      <c r="L701" s="465" t="s">
        <v>537</v>
      </c>
      <c r="M701" s="465" t="s">
        <v>537</v>
      </c>
      <c r="N701" s="466">
        <v>26000</v>
      </c>
      <c r="O701" s="463" t="s">
        <v>537</v>
      </c>
      <c r="P701" s="463" t="s">
        <v>537</v>
      </c>
      <c r="Q701" s="465">
        <v>0</v>
      </c>
      <c r="R701" s="463" t="s">
        <v>976</v>
      </c>
      <c r="S701" s="463" t="s">
        <v>2004</v>
      </c>
      <c r="T701" s="463">
        <v>0</v>
      </c>
      <c r="U701" s="463">
        <v>0</v>
      </c>
      <c r="V701" s="463">
        <v>0</v>
      </c>
      <c r="W701" s="463">
        <v>0</v>
      </c>
      <c r="X701" s="463">
        <v>6</v>
      </c>
      <c r="Y701" s="463">
        <v>0</v>
      </c>
      <c r="Z701" s="463">
        <v>80</v>
      </c>
      <c r="AA701" s="472" t="s">
        <v>2005</v>
      </c>
      <c r="AB701" s="463" t="s">
        <v>2006</v>
      </c>
      <c r="AC701" s="463" t="s">
        <v>539</v>
      </c>
      <c r="AD701" s="472" t="s">
        <v>2007</v>
      </c>
      <c r="AE701" s="463" t="s">
        <v>539</v>
      </c>
      <c r="AF701" s="463" t="s">
        <v>539</v>
      </c>
      <c r="AG701" s="463" t="s">
        <v>375</v>
      </c>
      <c r="AH701" s="476"/>
      <c r="AI701" s="472">
        <v>859845664</v>
      </c>
      <c r="AJ701" s="472" t="s">
        <v>543</v>
      </c>
    </row>
    <row r="702" spans="2:36" ht="24" hidden="1" customHeight="1">
      <c r="B702" s="701">
        <v>589</v>
      </c>
      <c r="C702" s="699" t="s">
        <v>337</v>
      </c>
      <c r="D702" s="699"/>
      <c r="E702" s="699" t="s">
        <v>545</v>
      </c>
      <c r="F702" s="699"/>
      <c r="G702" s="699" t="s">
        <v>274</v>
      </c>
      <c r="H702" s="699" t="s">
        <v>2008</v>
      </c>
      <c r="I702" s="712">
        <v>35000</v>
      </c>
      <c r="J702" s="709" t="s">
        <v>537</v>
      </c>
      <c r="K702" s="709" t="s">
        <v>537</v>
      </c>
      <c r="L702" s="712">
        <v>35000</v>
      </c>
      <c r="M702" s="709" t="s">
        <v>537</v>
      </c>
      <c r="N702" s="709" t="s">
        <v>537</v>
      </c>
      <c r="O702" s="701" t="s">
        <v>537</v>
      </c>
      <c r="P702" s="701" t="s">
        <v>537</v>
      </c>
      <c r="Q702" s="709">
        <v>0</v>
      </c>
      <c r="R702" s="707">
        <v>241487</v>
      </c>
      <c r="S702" s="721">
        <v>22362</v>
      </c>
      <c r="T702" s="701">
        <v>10</v>
      </c>
      <c r="U702" s="701">
        <v>10</v>
      </c>
      <c r="V702" s="701">
        <v>20</v>
      </c>
      <c r="W702" s="701">
        <v>10</v>
      </c>
      <c r="X702" s="701">
        <v>10</v>
      </c>
      <c r="Y702" s="701">
        <v>21</v>
      </c>
      <c r="Z702" s="701">
        <v>91.53</v>
      </c>
      <c r="AA702" s="458" t="s">
        <v>547</v>
      </c>
      <c r="AB702" s="459" t="s">
        <v>539</v>
      </c>
      <c r="AC702" s="459" t="s">
        <v>539</v>
      </c>
      <c r="AD702" s="458" t="s">
        <v>2009</v>
      </c>
      <c r="AE702" s="459">
        <v>80</v>
      </c>
      <c r="AF702" s="459">
        <v>91.87</v>
      </c>
      <c r="AG702" s="701" t="s">
        <v>375</v>
      </c>
      <c r="AH702" s="728"/>
      <c r="AI702" s="697" t="s">
        <v>2010</v>
      </c>
      <c r="AJ702" s="699"/>
    </row>
    <row r="703" spans="2:36" ht="24" hidden="1" customHeight="1">
      <c r="B703" s="702"/>
      <c r="C703" s="700"/>
      <c r="D703" s="700"/>
      <c r="E703" s="700"/>
      <c r="F703" s="700"/>
      <c r="G703" s="700"/>
      <c r="H703" s="700"/>
      <c r="I703" s="713"/>
      <c r="J703" s="710"/>
      <c r="K703" s="710"/>
      <c r="L703" s="713"/>
      <c r="M703" s="710"/>
      <c r="N703" s="710"/>
      <c r="O703" s="702"/>
      <c r="P703" s="702"/>
      <c r="Q703" s="710"/>
      <c r="R703" s="708"/>
      <c r="S703" s="722"/>
      <c r="T703" s="702"/>
      <c r="U703" s="702"/>
      <c r="V703" s="702"/>
      <c r="W703" s="702"/>
      <c r="X703" s="702"/>
      <c r="Y703" s="702"/>
      <c r="Z703" s="702"/>
      <c r="AA703" s="473" t="s">
        <v>2011</v>
      </c>
      <c r="AB703" s="474" t="s">
        <v>539</v>
      </c>
      <c r="AC703" s="474" t="s">
        <v>539</v>
      </c>
      <c r="AD703" s="473" t="s">
        <v>2012</v>
      </c>
      <c r="AE703" s="474" t="s">
        <v>539</v>
      </c>
      <c r="AF703" s="474" t="s">
        <v>539</v>
      </c>
      <c r="AG703" s="702"/>
      <c r="AH703" s="729"/>
      <c r="AI703" s="698"/>
      <c r="AJ703" s="700"/>
    </row>
    <row r="704" spans="2:36" ht="24" hidden="1" customHeight="1">
      <c r="B704" s="701">
        <v>590</v>
      </c>
      <c r="C704" s="699" t="s">
        <v>337</v>
      </c>
      <c r="D704" s="699"/>
      <c r="E704" s="699" t="s">
        <v>545</v>
      </c>
      <c r="F704" s="699"/>
      <c r="G704" s="699" t="s">
        <v>274</v>
      </c>
      <c r="H704" s="699" t="s">
        <v>2013</v>
      </c>
      <c r="I704" s="712">
        <v>50000</v>
      </c>
      <c r="J704" s="709" t="s">
        <v>537</v>
      </c>
      <c r="K704" s="709" t="s">
        <v>537</v>
      </c>
      <c r="L704" s="712">
        <v>50000</v>
      </c>
      <c r="M704" s="709" t="s">
        <v>537</v>
      </c>
      <c r="N704" s="709" t="s">
        <v>537</v>
      </c>
      <c r="O704" s="701" t="s">
        <v>537</v>
      </c>
      <c r="P704" s="701" t="s">
        <v>537</v>
      </c>
      <c r="Q704" s="709">
        <v>0</v>
      </c>
      <c r="R704" s="707">
        <v>241428</v>
      </c>
      <c r="S704" s="701" t="s">
        <v>821</v>
      </c>
      <c r="T704" s="701">
        <v>3</v>
      </c>
      <c r="U704" s="701">
        <v>2</v>
      </c>
      <c r="V704" s="701">
        <v>45</v>
      </c>
      <c r="W704" s="701">
        <v>5</v>
      </c>
      <c r="X704" s="701">
        <v>3</v>
      </c>
      <c r="Y704" s="701">
        <v>45</v>
      </c>
      <c r="Z704" s="701">
        <v>87</v>
      </c>
      <c r="AA704" s="458" t="s">
        <v>547</v>
      </c>
      <c r="AB704" s="459" t="s">
        <v>539</v>
      </c>
      <c r="AC704" s="459" t="s">
        <v>539</v>
      </c>
      <c r="AD704" s="458" t="s">
        <v>699</v>
      </c>
      <c r="AE704" s="459">
        <v>1</v>
      </c>
      <c r="AF704" s="459">
        <v>5</v>
      </c>
      <c r="AG704" s="701" t="s">
        <v>375</v>
      </c>
      <c r="AH704" s="728"/>
      <c r="AI704" s="697" t="s">
        <v>2014</v>
      </c>
      <c r="AJ704" s="699"/>
    </row>
    <row r="705" spans="1:36" ht="24" hidden="1" customHeight="1">
      <c r="B705" s="702"/>
      <c r="C705" s="700"/>
      <c r="D705" s="700"/>
      <c r="E705" s="700"/>
      <c r="F705" s="700"/>
      <c r="G705" s="700"/>
      <c r="H705" s="700"/>
      <c r="I705" s="713"/>
      <c r="J705" s="710"/>
      <c r="K705" s="710"/>
      <c r="L705" s="713"/>
      <c r="M705" s="710"/>
      <c r="N705" s="710"/>
      <c r="O705" s="702"/>
      <c r="P705" s="702"/>
      <c r="Q705" s="710"/>
      <c r="R705" s="708"/>
      <c r="S705" s="702"/>
      <c r="T705" s="702"/>
      <c r="U705" s="702"/>
      <c r="V705" s="702"/>
      <c r="W705" s="702"/>
      <c r="X705" s="702"/>
      <c r="Y705" s="702"/>
      <c r="Z705" s="702"/>
      <c r="AA705" s="473" t="s">
        <v>1279</v>
      </c>
      <c r="AB705" s="474" t="s">
        <v>539</v>
      </c>
      <c r="AC705" s="474" t="s">
        <v>539</v>
      </c>
      <c r="AD705" s="473" t="s">
        <v>2015</v>
      </c>
      <c r="AE705" s="474" t="s">
        <v>539</v>
      </c>
      <c r="AF705" s="474" t="s">
        <v>539</v>
      </c>
      <c r="AG705" s="702"/>
      <c r="AH705" s="729"/>
      <c r="AI705" s="698"/>
      <c r="AJ705" s="700"/>
    </row>
    <row r="706" spans="1:36" ht="24" hidden="1" customHeight="1">
      <c r="B706" s="701">
        <v>591</v>
      </c>
      <c r="C706" s="699" t="s">
        <v>337</v>
      </c>
      <c r="D706" s="699"/>
      <c r="E706" s="699" t="s">
        <v>545</v>
      </c>
      <c r="F706" s="699"/>
      <c r="G706" s="699" t="s">
        <v>274</v>
      </c>
      <c r="H706" s="699" t="s">
        <v>2016</v>
      </c>
      <c r="I706" s="712">
        <v>30000</v>
      </c>
      <c r="J706" s="709" t="s">
        <v>537</v>
      </c>
      <c r="K706" s="709" t="s">
        <v>537</v>
      </c>
      <c r="L706" s="712">
        <v>30000</v>
      </c>
      <c r="M706" s="709" t="s">
        <v>537</v>
      </c>
      <c r="N706" s="709" t="s">
        <v>537</v>
      </c>
      <c r="O706" s="701" t="s">
        <v>537</v>
      </c>
      <c r="P706" s="701" t="s">
        <v>537</v>
      </c>
      <c r="Q706" s="709">
        <v>0</v>
      </c>
      <c r="R706" s="707">
        <v>241459</v>
      </c>
      <c r="S706" s="721">
        <v>22325</v>
      </c>
      <c r="T706" s="701">
        <v>2</v>
      </c>
      <c r="U706" s="701">
        <v>3</v>
      </c>
      <c r="V706" s="701">
        <v>45</v>
      </c>
      <c r="W706" s="701">
        <v>2</v>
      </c>
      <c r="X706" s="701">
        <v>3</v>
      </c>
      <c r="Y706" s="701">
        <v>45</v>
      </c>
      <c r="Z706" s="701">
        <v>94.22</v>
      </c>
      <c r="AA706" s="697" t="s">
        <v>630</v>
      </c>
      <c r="AB706" s="701" t="s">
        <v>539</v>
      </c>
      <c r="AC706" s="701" t="s">
        <v>539</v>
      </c>
      <c r="AD706" s="458" t="s">
        <v>548</v>
      </c>
      <c r="AE706" s="459">
        <v>80</v>
      </c>
      <c r="AF706" s="459">
        <v>96.35</v>
      </c>
      <c r="AG706" s="701" t="s">
        <v>375</v>
      </c>
      <c r="AH706" s="728"/>
      <c r="AI706" s="697" t="s">
        <v>2017</v>
      </c>
      <c r="AJ706" s="699"/>
    </row>
    <row r="707" spans="1:36" ht="24" hidden="1" customHeight="1">
      <c r="B707" s="702"/>
      <c r="C707" s="700"/>
      <c r="D707" s="700"/>
      <c r="E707" s="700"/>
      <c r="F707" s="700"/>
      <c r="G707" s="700"/>
      <c r="H707" s="700"/>
      <c r="I707" s="713"/>
      <c r="J707" s="710"/>
      <c r="K707" s="710"/>
      <c r="L707" s="713"/>
      <c r="M707" s="710"/>
      <c r="N707" s="710"/>
      <c r="O707" s="702"/>
      <c r="P707" s="702"/>
      <c r="Q707" s="710"/>
      <c r="R707" s="708"/>
      <c r="S707" s="722"/>
      <c r="T707" s="702"/>
      <c r="U707" s="702"/>
      <c r="V707" s="702"/>
      <c r="W707" s="702"/>
      <c r="X707" s="702"/>
      <c r="Y707" s="702"/>
      <c r="Z707" s="702"/>
      <c r="AA707" s="698"/>
      <c r="AB707" s="702"/>
      <c r="AC707" s="702"/>
      <c r="AD707" s="473" t="s">
        <v>2018</v>
      </c>
      <c r="AE707" s="474" t="s">
        <v>539</v>
      </c>
      <c r="AF707" s="474" t="s">
        <v>539</v>
      </c>
      <c r="AG707" s="702"/>
      <c r="AH707" s="729"/>
      <c r="AI707" s="698"/>
      <c r="AJ707" s="700"/>
    </row>
    <row r="708" spans="1:36" ht="24" hidden="1" customHeight="1">
      <c r="B708" s="701">
        <v>592</v>
      </c>
      <c r="C708" s="699" t="s">
        <v>337</v>
      </c>
      <c r="D708" s="699"/>
      <c r="E708" s="699" t="s">
        <v>545</v>
      </c>
      <c r="F708" s="699"/>
      <c r="G708" s="699" t="s">
        <v>274</v>
      </c>
      <c r="H708" s="699" t="s">
        <v>2019</v>
      </c>
      <c r="I708" s="712">
        <v>30000</v>
      </c>
      <c r="J708" s="709" t="s">
        <v>537</v>
      </c>
      <c r="K708" s="709" t="s">
        <v>537</v>
      </c>
      <c r="L708" s="712">
        <v>30000</v>
      </c>
      <c r="M708" s="709" t="s">
        <v>537</v>
      </c>
      <c r="N708" s="709" t="s">
        <v>537</v>
      </c>
      <c r="O708" s="701" t="s">
        <v>537</v>
      </c>
      <c r="P708" s="701" t="s">
        <v>537</v>
      </c>
      <c r="Q708" s="709">
        <v>0</v>
      </c>
      <c r="R708" s="707">
        <v>241487</v>
      </c>
      <c r="S708" s="701" t="s">
        <v>2020</v>
      </c>
      <c r="T708" s="701">
        <v>1</v>
      </c>
      <c r="U708" s="701">
        <v>2</v>
      </c>
      <c r="V708" s="701">
        <v>30</v>
      </c>
      <c r="W708" s="701">
        <v>1</v>
      </c>
      <c r="X708" s="701">
        <v>2</v>
      </c>
      <c r="Y708" s="701">
        <v>30</v>
      </c>
      <c r="Z708" s="701">
        <v>93.9</v>
      </c>
      <c r="AA708" s="458" t="s">
        <v>547</v>
      </c>
      <c r="AB708" s="459" t="s">
        <v>539</v>
      </c>
      <c r="AC708" s="459" t="s">
        <v>539</v>
      </c>
      <c r="AD708" s="458" t="s">
        <v>548</v>
      </c>
      <c r="AE708" s="459">
        <v>80</v>
      </c>
      <c r="AF708" s="459">
        <v>93.9</v>
      </c>
      <c r="AG708" s="701" t="s">
        <v>375</v>
      </c>
      <c r="AH708" s="728"/>
      <c r="AI708" s="697" t="s">
        <v>2021</v>
      </c>
      <c r="AJ708" s="699"/>
    </row>
    <row r="709" spans="1:36" ht="24" hidden="1" customHeight="1">
      <c r="B709" s="702"/>
      <c r="C709" s="700"/>
      <c r="D709" s="700"/>
      <c r="E709" s="700"/>
      <c r="F709" s="700"/>
      <c r="G709" s="700"/>
      <c r="H709" s="700"/>
      <c r="I709" s="713"/>
      <c r="J709" s="710"/>
      <c r="K709" s="710"/>
      <c r="L709" s="713"/>
      <c r="M709" s="710"/>
      <c r="N709" s="710"/>
      <c r="O709" s="702"/>
      <c r="P709" s="702"/>
      <c r="Q709" s="710"/>
      <c r="R709" s="708"/>
      <c r="S709" s="702"/>
      <c r="T709" s="702"/>
      <c r="U709" s="702"/>
      <c r="V709" s="702"/>
      <c r="W709" s="702"/>
      <c r="X709" s="702"/>
      <c r="Y709" s="702"/>
      <c r="Z709" s="702"/>
      <c r="AA709" s="473" t="s">
        <v>2022</v>
      </c>
      <c r="AB709" s="474" t="s">
        <v>539</v>
      </c>
      <c r="AC709" s="474" t="s">
        <v>539</v>
      </c>
      <c r="AD709" s="473" t="s">
        <v>2023</v>
      </c>
      <c r="AE709" s="474" t="s">
        <v>539</v>
      </c>
      <c r="AF709" s="474" t="s">
        <v>539</v>
      </c>
      <c r="AG709" s="702"/>
      <c r="AH709" s="729"/>
      <c r="AI709" s="698"/>
      <c r="AJ709" s="700"/>
    </row>
    <row r="710" spans="1:36" ht="24" hidden="1" customHeight="1">
      <c r="B710" s="701">
        <v>593</v>
      </c>
      <c r="C710" s="699" t="s">
        <v>337</v>
      </c>
      <c r="D710" s="699"/>
      <c r="E710" s="699" t="s">
        <v>545</v>
      </c>
      <c r="F710" s="699"/>
      <c r="G710" s="699" t="s">
        <v>274</v>
      </c>
      <c r="H710" s="699" t="s">
        <v>2024</v>
      </c>
      <c r="I710" s="712">
        <v>40000</v>
      </c>
      <c r="J710" s="709" t="s">
        <v>537</v>
      </c>
      <c r="K710" s="709" t="s">
        <v>537</v>
      </c>
      <c r="L710" s="712">
        <v>39440</v>
      </c>
      <c r="M710" s="709" t="s">
        <v>537</v>
      </c>
      <c r="N710" s="709" t="s">
        <v>537</v>
      </c>
      <c r="O710" s="701" t="s">
        <v>537</v>
      </c>
      <c r="P710" s="701" t="s">
        <v>537</v>
      </c>
      <c r="Q710" s="709">
        <v>560</v>
      </c>
      <c r="R710" s="707">
        <v>241518</v>
      </c>
      <c r="S710" s="721">
        <v>22401</v>
      </c>
      <c r="T710" s="701">
        <v>5</v>
      </c>
      <c r="U710" s="701">
        <v>5</v>
      </c>
      <c r="V710" s="701">
        <v>25</v>
      </c>
      <c r="W710" s="701">
        <v>5</v>
      </c>
      <c r="X710" s="701">
        <v>7</v>
      </c>
      <c r="Y710" s="701">
        <v>25</v>
      </c>
      <c r="Z710" s="701">
        <v>85.29</v>
      </c>
      <c r="AA710" s="458" t="s">
        <v>547</v>
      </c>
      <c r="AB710" s="459" t="s">
        <v>539</v>
      </c>
      <c r="AC710" s="459" t="s">
        <v>539</v>
      </c>
      <c r="AD710" s="458" t="s">
        <v>548</v>
      </c>
      <c r="AE710" s="459">
        <v>80</v>
      </c>
      <c r="AF710" s="459">
        <v>84.71</v>
      </c>
      <c r="AG710" s="701" t="s">
        <v>375</v>
      </c>
      <c r="AH710" s="728"/>
      <c r="AI710" s="697" t="s">
        <v>2025</v>
      </c>
      <c r="AJ710" s="699"/>
    </row>
    <row r="711" spans="1:36" ht="24" hidden="1" customHeight="1">
      <c r="B711" s="715"/>
      <c r="C711" s="714"/>
      <c r="D711" s="714"/>
      <c r="E711" s="714"/>
      <c r="F711" s="714"/>
      <c r="G711" s="714"/>
      <c r="H711" s="714"/>
      <c r="I711" s="720"/>
      <c r="J711" s="717"/>
      <c r="K711" s="717"/>
      <c r="L711" s="720"/>
      <c r="M711" s="717"/>
      <c r="N711" s="717"/>
      <c r="O711" s="715"/>
      <c r="P711" s="715"/>
      <c r="Q711" s="717"/>
      <c r="R711" s="719"/>
      <c r="S711" s="731"/>
      <c r="T711" s="715"/>
      <c r="U711" s="715"/>
      <c r="V711" s="715"/>
      <c r="W711" s="715"/>
      <c r="X711" s="715"/>
      <c r="Y711" s="715"/>
      <c r="Z711" s="715"/>
      <c r="AA711" s="460" t="s">
        <v>2026</v>
      </c>
      <c r="AB711" s="461" t="s">
        <v>539</v>
      </c>
      <c r="AC711" s="461" t="s">
        <v>539</v>
      </c>
      <c r="AD711" s="460" t="s">
        <v>2027</v>
      </c>
      <c r="AE711" s="461" t="s">
        <v>539</v>
      </c>
      <c r="AF711" s="461" t="s">
        <v>539</v>
      </c>
      <c r="AG711" s="715"/>
      <c r="AH711" s="730"/>
      <c r="AI711" s="711"/>
      <c r="AJ711" s="714"/>
    </row>
    <row r="712" spans="1:36" ht="24" hidden="1" customHeight="1">
      <c r="B712" s="702"/>
      <c r="C712" s="700"/>
      <c r="D712" s="700"/>
      <c r="E712" s="700"/>
      <c r="F712" s="700"/>
      <c r="G712" s="700"/>
      <c r="H712" s="700"/>
      <c r="I712" s="713"/>
      <c r="J712" s="710"/>
      <c r="K712" s="710"/>
      <c r="L712" s="713"/>
      <c r="M712" s="710"/>
      <c r="N712" s="710"/>
      <c r="O712" s="702"/>
      <c r="P712" s="702"/>
      <c r="Q712" s="710"/>
      <c r="R712" s="708"/>
      <c r="S712" s="722"/>
      <c r="T712" s="702"/>
      <c r="U712" s="702"/>
      <c r="V712" s="702"/>
      <c r="W712" s="702"/>
      <c r="X712" s="702"/>
      <c r="Y712" s="702"/>
      <c r="Z712" s="702"/>
      <c r="AA712" s="473" t="s">
        <v>2028</v>
      </c>
      <c r="AB712" s="474" t="s">
        <v>539</v>
      </c>
      <c r="AC712" s="474" t="s">
        <v>539</v>
      </c>
      <c r="AD712" s="473" t="s">
        <v>2029</v>
      </c>
      <c r="AE712" s="474" t="s">
        <v>539</v>
      </c>
      <c r="AF712" s="474" t="s">
        <v>539</v>
      </c>
      <c r="AG712" s="702"/>
      <c r="AH712" s="729"/>
      <c r="AI712" s="698"/>
      <c r="AJ712" s="700"/>
    </row>
    <row r="713" spans="1:36" ht="24" hidden="1" customHeight="1">
      <c r="B713" s="463">
        <v>594</v>
      </c>
      <c r="C713" s="464" t="s">
        <v>337</v>
      </c>
      <c r="D713" s="464"/>
      <c r="E713" s="464" t="s">
        <v>545</v>
      </c>
      <c r="F713" s="464"/>
      <c r="G713" s="464" t="s">
        <v>274</v>
      </c>
      <c r="H713" s="464" t="s">
        <v>2030</v>
      </c>
      <c r="I713" s="465">
        <v>0</v>
      </c>
      <c r="J713" s="465" t="s">
        <v>537</v>
      </c>
      <c r="K713" s="465" t="s">
        <v>537</v>
      </c>
      <c r="L713" s="465">
        <v>0</v>
      </c>
      <c r="M713" s="465" t="s">
        <v>537</v>
      </c>
      <c r="N713" s="465" t="s">
        <v>537</v>
      </c>
      <c r="O713" s="463" t="s">
        <v>537</v>
      </c>
      <c r="P713" s="463" t="s">
        <v>537</v>
      </c>
      <c r="Q713" s="465">
        <v>0</v>
      </c>
      <c r="R713" s="463" t="s">
        <v>643</v>
      </c>
      <c r="S713" s="463" t="s">
        <v>2031</v>
      </c>
      <c r="T713" s="463">
        <v>0</v>
      </c>
      <c r="U713" s="463">
        <v>5</v>
      </c>
      <c r="V713" s="463">
        <v>45</v>
      </c>
      <c r="W713" s="463">
        <v>4</v>
      </c>
      <c r="X713" s="463">
        <v>5</v>
      </c>
      <c r="Y713" s="463">
        <v>9</v>
      </c>
      <c r="Z713" s="463">
        <v>92.7</v>
      </c>
      <c r="AA713" s="472" t="s">
        <v>547</v>
      </c>
      <c r="AB713" s="463" t="s">
        <v>539</v>
      </c>
      <c r="AC713" s="463" t="s">
        <v>539</v>
      </c>
      <c r="AD713" s="472" t="s">
        <v>2032</v>
      </c>
      <c r="AE713" s="463">
        <v>1</v>
      </c>
      <c r="AF713" s="463">
        <v>1</v>
      </c>
      <c r="AG713" s="463" t="s">
        <v>375</v>
      </c>
      <c r="AH713" s="476"/>
      <c r="AI713" s="472" t="s">
        <v>2033</v>
      </c>
      <c r="AJ713" s="464"/>
    </row>
    <row r="714" spans="1:36" ht="24" hidden="1" customHeight="1">
      <c r="B714" s="463">
        <v>595</v>
      </c>
      <c r="C714" s="464" t="s">
        <v>337</v>
      </c>
      <c r="D714" s="464"/>
      <c r="E714" s="464" t="s">
        <v>545</v>
      </c>
      <c r="F714" s="464"/>
      <c r="G714" s="464" t="s">
        <v>274</v>
      </c>
      <c r="H714" s="464" t="s">
        <v>2034</v>
      </c>
      <c r="I714" s="465" t="s">
        <v>537</v>
      </c>
      <c r="J714" s="465" t="s">
        <v>537</v>
      </c>
      <c r="K714" s="466">
        <v>15000</v>
      </c>
      <c r="L714" s="465" t="s">
        <v>537</v>
      </c>
      <c r="M714" s="465" t="s">
        <v>537</v>
      </c>
      <c r="N714" s="466">
        <v>15000</v>
      </c>
      <c r="O714" s="463" t="s">
        <v>537</v>
      </c>
      <c r="P714" s="463" t="s">
        <v>537</v>
      </c>
      <c r="Q714" s="465">
        <v>0</v>
      </c>
      <c r="R714" s="463" t="s">
        <v>643</v>
      </c>
      <c r="S714" s="463" t="s">
        <v>1030</v>
      </c>
      <c r="T714" s="463">
        <v>0</v>
      </c>
      <c r="U714" s="463">
        <v>4</v>
      </c>
      <c r="V714" s="463">
        <v>40</v>
      </c>
      <c r="W714" s="463">
        <v>12</v>
      </c>
      <c r="X714" s="463">
        <v>7</v>
      </c>
      <c r="Y714" s="463">
        <v>36</v>
      </c>
      <c r="Z714" s="463">
        <v>96.5</v>
      </c>
      <c r="AA714" s="472" t="s">
        <v>2035</v>
      </c>
      <c r="AB714" s="463" t="s">
        <v>539</v>
      </c>
      <c r="AC714" s="463" t="s">
        <v>539</v>
      </c>
      <c r="AD714" s="472" t="s">
        <v>2036</v>
      </c>
      <c r="AE714" s="463">
        <v>4</v>
      </c>
      <c r="AF714" s="463">
        <v>4</v>
      </c>
      <c r="AG714" s="463" t="s">
        <v>375</v>
      </c>
      <c r="AH714" s="476"/>
      <c r="AI714" s="472" t="s">
        <v>2033</v>
      </c>
      <c r="AJ714" s="472" t="s">
        <v>543</v>
      </c>
    </row>
    <row r="715" spans="1:36" ht="24" hidden="1" customHeight="1">
      <c r="B715" s="463">
        <v>596</v>
      </c>
      <c r="C715" s="464" t="s">
        <v>337</v>
      </c>
      <c r="D715" s="464"/>
      <c r="E715" s="464" t="s">
        <v>545</v>
      </c>
      <c r="F715" s="464"/>
      <c r="G715" s="464" t="s">
        <v>274</v>
      </c>
      <c r="H715" s="464" t="s">
        <v>2037</v>
      </c>
      <c r="I715" s="465" t="s">
        <v>537</v>
      </c>
      <c r="J715" s="465" t="s">
        <v>537</v>
      </c>
      <c r="K715" s="466">
        <v>30000</v>
      </c>
      <c r="L715" s="465" t="s">
        <v>537</v>
      </c>
      <c r="M715" s="465" t="s">
        <v>537</v>
      </c>
      <c r="N715" s="466">
        <v>30000</v>
      </c>
      <c r="O715" s="463" t="s">
        <v>537</v>
      </c>
      <c r="P715" s="463" t="s">
        <v>537</v>
      </c>
      <c r="Q715" s="465">
        <v>0</v>
      </c>
      <c r="R715" s="463" t="s">
        <v>643</v>
      </c>
      <c r="S715" s="463" t="s">
        <v>1718</v>
      </c>
      <c r="T715" s="463">
        <v>4</v>
      </c>
      <c r="U715" s="463">
        <v>4</v>
      </c>
      <c r="V715" s="463">
        <v>15</v>
      </c>
      <c r="W715" s="463">
        <v>0</v>
      </c>
      <c r="X715" s="463">
        <v>7</v>
      </c>
      <c r="Y715" s="463">
        <v>19</v>
      </c>
      <c r="Z715" s="463">
        <v>87</v>
      </c>
      <c r="AA715" s="472" t="s">
        <v>2038</v>
      </c>
      <c r="AB715" s="463" t="s">
        <v>539</v>
      </c>
      <c r="AC715" s="463" t="s">
        <v>539</v>
      </c>
      <c r="AD715" s="472" t="s">
        <v>2039</v>
      </c>
      <c r="AE715" s="463" t="s">
        <v>539</v>
      </c>
      <c r="AF715" s="463" t="s">
        <v>539</v>
      </c>
      <c r="AG715" s="463" t="s">
        <v>375</v>
      </c>
      <c r="AH715" s="476"/>
      <c r="AI715" s="472" t="s">
        <v>2033</v>
      </c>
      <c r="AJ715" s="472" t="s">
        <v>543</v>
      </c>
    </row>
    <row r="716" spans="1:36" ht="24" hidden="1" customHeight="1">
      <c r="B716" s="463">
        <v>597</v>
      </c>
      <c r="C716" s="464" t="s">
        <v>337</v>
      </c>
      <c r="D716" s="464"/>
      <c r="E716" s="464" t="s">
        <v>545</v>
      </c>
      <c r="F716" s="464"/>
      <c r="G716" s="464" t="s">
        <v>274</v>
      </c>
      <c r="H716" s="464" t="s">
        <v>2040</v>
      </c>
      <c r="I716" s="465" t="s">
        <v>537</v>
      </c>
      <c r="J716" s="465" t="s">
        <v>537</v>
      </c>
      <c r="K716" s="466">
        <v>19000</v>
      </c>
      <c r="L716" s="465" t="s">
        <v>537</v>
      </c>
      <c r="M716" s="465" t="s">
        <v>537</v>
      </c>
      <c r="N716" s="466">
        <v>19000</v>
      </c>
      <c r="O716" s="463" t="s">
        <v>537</v>
      </c>
      <c r="P716" s="463" t="s">
        <v>537</v>
      </c>
      <c r="Q716" s="465">
        <v>0</v>
      </c>
      <c r="R716" s="463" t="s">
        <v>643</v>
      </c>
      <c r="S716" s="463" t="s">
        <v>2041</v>
      </c>
      <c r="T716" s="463">
        <v>1</v>
      </c>
      <c r="U716" s="463">
        <v>2</v>
      </c>
      <c r="V716" s="463">
        <v>25</v>
      </c>
      <c r="W716" s="463">
        <v>2</v>
      </c>
      <c r="X716" s="463">
        <v>2</v>
      </c>
      <c r="Y716" s="463">
        <v>25</v>
      </c>
      <c r="Z716" s="463">
        <v>95.3</v>
      </c>
      <c r="AA716" s="472" t="s">
        <v>2042</v>
      </c>
      <c r="AB716" s="463" t="s">
        <v>539</v>
      </c>
      <c r="AC716" s="463" t="s">
        <v>539</v>
      </c>
      <c r="AD716" s="472" t="s">
        <v>2043</v>
      </c>
      <c r="AE716" s="463">
        <v>25</v>
      </c>
      <c r="AF716" s="463">
        <v>25</v>
      </c>
      <c r="AG716" s="463" t="s">
        <v>375</v>
      </c>
      <c r="AH716" s="476"/>
      <c r="AI716" s="472">
        <v>864753829</v>
      </c>
      <c r="AJ716" s="472" t="s">
        <v>543</v>
      </c>
    </row>
    <row r="717" spans="1:36" ht="24" customHeight="1">
      <c r="A717" s="452">
        <v>74</v>
      </c>
      <c r="B717" s="463">
        <v>598</v>
      </c>
      <c r="C717" s="464" t="s">
        <v>377</v>
      </c>
      <c r="D717" s="464"/>
      <c r="E717" s="464" t="s">
        <v>602</v>
      </c>
      <c r="F717" s="464"/>
      <c r="G717" s="464" t="s">
        <v>274</v>
      </c>
      <c r="H717" s="464" t="s">
        <v>2044</v>
      </c>
      <c r="I717" s="466">
        <v>20000</v>
      </c>
      <c r="J717" s="465" t="s">
        <v>537</v>
      </c>
      <c r="K717" s="465" t="s">
        <v>537</v>
      </c>
      <c r="L717" s="466">
        <v>20000</v>
      </c>
      <c r="M717" s="465" t="s">
        <v>537</v>
      </c>
      <c r="N717" s="465" t="s">
        <v>537</v>
      </c>
      <c r="O717" s="463" t="s">
        <v>537</v>
      </c>
      <c r="P717" s="463" t="s">
        <v>537</v>
      </c>
      <c r="Q717" s="465">
        <v>0</v>
      </c>
      <c r="R717" s="470">
        <v>241459</v>
      </c>
      <c r="S717" s="463" t="s">
        <v>2045</v>
      </c>
      <c r="T717" s="463">
        <v>65</v>
      </c>
      <c r="U717" s="463">
        <v>25</v>
      </c>
      <c r="V717" s="463">
        <v>10</v>
      </c>
      <c r="W717" s="463">
        <v>148</v>
      </c>
      <c r="X717" s="463">
        <v>35</v>
      </c>
      <c r="Y717" s="463">
        <v>8</v>
      </c>
      <c r="Z717" s="463">
        <v>91.6</v>
      </c>
      <c r="AA717" s="472" t="s">
        <v>612</v>
      </c>
      <c r="AB717" s="463" t="s">
        <v>539</v>
      </c>
      <c r="AC717" s="463" t="s">
        <v>539</v>
      </c>
      <c r="AD717" s="472" t="s">
        <v>565</v>
      </c>
      <c r="AE717" s="463">
        <v>80</v>
      </c>
      <c r="AF717" s="463">
        <v>91.6</v>
      </c>
      <c r="AG717" s="463" t="s">
        <v>375</v>
      </c>
      <c r="AH717" s="476"/>
      <c r="AI717" s="472">
        <v>819709234</v>
      </c>
      <c r="AJ717" s="464"/>
    </row>
    <row r="718" spans="1:36" ht="24" customHeight="1">
      <c r="A718" s="452">
        <v>75</v>
      </c>
      <c r="B718" s="463">
        <v>599</v>
      </c>
      <c r="C718" s="464" t="s">
        <v>377</v>
      </c>
      <c r="D718" s="464"/>
      <c r="E718" s="464" t="s">
        <v>602</v>
      </c>
      <c r="F718" s="464"/>
      <c r="G718" s="464" t="s">
        <v>274</v>
      </c>
      <c r="H718" s="464" t="s">
        <v>2046</v>
      </c>
      <c r="I718" s="466">
        <v>50000</v>
      </c>
      <c r="J718" s="465" t="s">
        <v>537</v>
      </c>
      <c r="K718" s="465" t="s">
        <v>537</v>
      </c>
      <c r="L718" s="466">
        <v>50000</v>
      </c>
      <c r="M718" s="465" t="s">
        <v>537</v>
      </c>
      <c r="N718" s="465" t="s">
        <v>537</v>
      </c>
      <c r="O718" s="463" t="s">
        <v>537</v>
      </c>
      <c r="P718" s="463" t="s">
        <v>537</v>
      </c>
      <c r="Q718" s="465">
        <v>0</v>
      </c>
      <c r="R718" s="470">
        <v>241428</v>
      </c>
      <c r="S718" s="471">
        <v>22324</v>
      </c>
      <c r="T718" s="463">
        <v>230</v>
      </c>
      <c r="U718" s="463">
        <v>20</v>
      </c>
      <c r="V718" s="463">
        <v>0</v>
      </c>
      <c r="W718" s="463">
        <v>230</v>
      </c>
      <c r="X718" s="463">
        <v>20</v>
      </c>
      <c r="Y718" s="463">
        <v>0</v>
      </c>
      <c r="Z718" s="463">
        <v>95</v>
      </c>
      <c r="AA718" s="472" t="s">
        <v>612</v>
      </c>
      <c r="AB718" s="463" t="s">
        <v>539</v>
      </c>
      <c r="AC718" s="463" t="s">
        <v>539</v>
      </c>
      <c r="AD718" s="472" t="s">
        <v>2047</v>
      </c>
      <c r="AE718" s="463">
        <v>80</v>
      </c>
      <c r="AF718" s="463">
        <v>95</v>
      </c>
      <c r="AG718" s="463" t="s">
        <v>375</v>
      </c>
      <c r="AH718" s="476"/>
      <c r="AI718" s="472" t="s">
        <v>2048</v>
      </c>
      <c r="AJ718" s="464"/>
    </row>
    <row r="719" spans="1:36" ht="24" customHeight="1">
      <c r="A719" s="452">
        <v>76</v>
      </c>
      <c r="B719" s="463">
        <v>600</v>
      </c>
      <c r="C719" s="464" t="s">
        <v>377</v>
      </c>
      <c r="D719" s="464"/>
      <c r="E719" s="464" t="s">
        <v>602</v>
      </c>
      <c r="F719" s="464"/>
      <c r="G719" s="464" t="s">
        <v>274</v>
      </c>
      <c r="H719" s="464" t="s">
        <v>2049</v>
      </c>
      <c r="I719" s="466">
        <v>50000</v>
      </c>
      <c r="J719" s="465" t="s">
        <v>537</v>
      </c>
      <c r="K719" s="465" t="s">
        <v>537</v>
      </c>
      <c r="L719" s="466">
        <v>50000</v>
      </c>
      <c r="M719" s="465" t="s">
        <v>537</v>
      </c>
      <c r="N719" s="465" t="s">
        <v>537</v>
      </c>
      <c r="O719" s="463" t="s">
        <v>537</v>
      </c>
      <c r="P719" s="463" t="s">
        <v>537</v>
      </c>
      <c r="Q719" s="465">
        <v>0</v>
      </c>
      <c r="R719" s="470">
        <v>241640</v>
      </c>
      <c r="S719" s="463" t="s">
        <v>1110</v>
      </c>
      <c r="T719" s="463">
        <v>20</v>
      </c>
      <c r="U719" s="463">
        <v>12</v>
      </c>
      <c r="V719" s="463">
        <v>10</v>
      </c>
      <c r="W719" s="463">
        <v>30</v>
      </c>
      <c r="X719" s="463">
        <v>20</v>
      </c>
      <c r="Y719" s="463">
        <v>10</v>
      </c>
      <c r="Z719" s="463">
        <v>95</v>
      </c>
      <c r="AA719" s="472" t="s">
        <v>612</v>
      </c>
      <c r="AB719" s="463" t="s">
        <v>539</v>
      </c>
      <c r="AC719" s="463" t="s">
        <v>539</v>
      </c>
      <c r="AD719" s="472" t="s">
        <v>2047</v>
      </c>
      <c r="AE719" s="463">
        <v>80</v>
      </c>
      <c r="AF719" s="463">
        <v>95</v>
      </c>
      <c r="AG719" s="463" t="s">
        <v>375</v>
      </c>
      <c r="AH719" s="476"/>
      <c r="AI719" s="472">
        <v>901023921</v>
      </c>
      <c r="AJ719" s="464"/>
    </row>
    <row r="720" spans="1:36" ht="24" customHeight="1">
      <c r="A720" s="452">
        <v>77</v>
      </c>
      <c r="B720" s="701">
        <v>601</v>
      </c>
      <c r="C720" s="699" t="s">
        <v>377</v>
      </c>
      <c r="D720" s="699"/>
      <c r="E720" s="699" t="s">
        <v>602</v>
      </c>
      <c r="F720" s="699"/>
      <c r="G720" s="699" t="s">
        <v>274</v>
      </c>
      <c r="H720" s="699" t="s">
        <v>2050</v>
      </c>
      <c r="I720" s="712">
        <v>50000</v>
      </c>
      <c r="J720" s="709" t="s">
        <v>537</v>
      </c>
      <c r="K720" s="709" t="s">
        <v>537</v>
      </c>
      <c r="L720" s="712">
        <v>50000</v>
      </c>
      <c r="M720" s="709" t="s">
        <v>537</v>
      </c>
      <c r="N720" s="709" t="s">
        <v>537</v>
      </c>
      <c r="O720" s="701" t="s">
        <v>537</v>
      </c>
      <c r="P720" s="701" t="s">
        <v>537</v>
      </c>
      <c r="Q720" s="709">
        <v>0</v>
      </c>
      <c r="R720" s="707">
        <v>241640</v>
      </c>
      <c r="S720" s="721">
        <v>22502</v>
      </c>
      <c r="T720" s="701">
        <v>110</v>
      </c>
      <c r="U720" s="701">
        <v>25</v>
      </c>
      <c r="V720" s="701">
        <v>5</v>
      </c>
      <c r="W720" s="701">
        <v>110</v>
      </c>
      <c r="X720" s="701">
        <v>25</v>
      </c>
      <c r="Y720" s="701">
        <v>5</v>
      </c>
      <c r="Z720" s="701">
        <v>86</v>
      </c>
      <c r="AA720" s="458" t="s">
        <v>612</v>
      </c>
      <c r="AB720" s="459" t="s">
        <v>539</v>
      </c>
      <c r="AC720" s="459" t="s">
        <v>539</v>
      </c>
      <c r="AD720" s="458" t="s">
        <v>2047</v>
      </c>
      <c r="AE720" s="459">
        <v>80</v>
      </c>
      <c r="AF720" s="459">
        <v>87</v>
      </c>
      <c r="AG720" s="701" t="s">
        <v>375</v>
      </c>
      <c r="AH720" s="728"/>
      <c r="AI720" s="697" t="s">
        <v>2051</v>
      </c>
      <c r="AJ720" s="699"/>
    </row>
    <row r="721" spans="1:36" ht="24" hidden="1" customHeight="1">
      <c r="B721" s="702"/>
      <c r="C721" s="700"/>
      <c r="D721" s="700"/>
      <c r="E721" s="700"/>
      <c r="F721" s="700"/>
      <c r="G721" s="700"/>
      <c r="H721" s="700"/>
      <c r="I721" s="713"/>
      <c r="J721" s="710"/>
      <c r="K721" s="710"/>
      <c r="L721" s="713"/>
      <c r="M721" s="710"/>
      <c r="N721" s="710"/>
      <c r="O721" s="702"/>
      <c r="P721" s="702"/>
      <c r="Q721" s="710"/>
      <c r="R721" s="708"/>
      <c r="S721" s="722"/>
      <c r="T721" s="702"/>
      <c r="U721" s="702"/>
      <c r="V721" s="702"/>
      <c r="W721" s="702"/>
      <c r="X721" s="702"/>
      <c r="Y721" s="702"/>
      <c r="Z721" s="702"/>
      <c r="AA721" s="473" t="s">
        <v>2052</v>
      </c>
      <c r="AB721" s="474" t="s">
        <v>539</v>
      </c>
      <c r="AC721" s="474" t="s">
        <v>539</v>
      </c>
      <c r="AD721" s="473" t="s">
        <v>2053</v>
      </c>
      <c r="AE721" s="474">
        <v>85</v>
      </c>
      <c r="AF721" s="474">
        <v>89</v>
      </c>
      <c r="AG721" s="702"/>
      <c r="AH721" s="729"/>
      <c r="AI721" s="698"/>
      <c r="AJ721" s="700"/>
    </row>
    <row r="722" spans="1:36" ht="24" customHeight="1">
      <c r="A722" s="452">
        <v>78</v>
      </c>
      <c r="B722" s="463">
        <v>602</v>
      </c>
      <c r="C722" s="464" t="s">
        <v>377</v>
      </c>
      <c r="D722" s="464"/>
      <c r="E722" s="464" t="s">
        <v>602</v>
      </c>
      <c r="F722" s="464"/>
      <c r="G722" s="464" t="s">
        <v>274</v>
      </c>
      <c r="H722" s="464" t="s">
        <v>2054</v>
      </c>
      <c r="I722" s="465" t="s">
        <v>537</v>
      </c>
      <c r="J722" s="465" t="s">
        <v>537</v>
      </c>
      <c r="K722" s="466">
        <v>100000</v>
      </c>
      <c r="L722" s="465" t="s">
        <v>537</v>
      </c>
      <c r="M722" s="465" t="s">
        <v>537</v>
      </c>
      <c r="N722" s="466">
        <v>100000</v>
      </c>
      <c r="O722" s="463" t="s">
        <v>537</v>
      </c>
      <c r="P722" s="463" t="s">
        <v>537</v>
      </c>
      <c r="Q722" s="465">
        <v>0</v>
      </c>
      <c r="R722" s="470">
        <v>241671</v>
      </c>
      <c r="S722" s="471">
        <v>22551</v>
      </c>
      <c r="T722" s="463">
        <v>15</v>
      </c>
      <c r="U722" s="463">
        <v>7</v>
      </c>
      <c r="V722" s="463">
        <v>0</v>
      </c>
      <c r="W722" s="463">
        <v>15</v>
      </c>
      <c r="X722" s="463">
        <v>7</v>
      </c>
      <c r="Y722" s="464"/>
      <c r="Z722" s="463">
        <v>95</v>
      </c>
      <c r="AA722" s="472" t="s">
        <v>2055</v>
      </c>
      <c r="AB722" s="463" t="s">
        <v>539</v>
      </c>
      <c r="AC722" s="463" t="s">
        <v>539</v>
      </c>
      <c r="AD722" s="472" t="s">
        <v>2056</v>
      </c>
      <c r="AE722" s="463">
        <v>80</v>
      </c>
      <c r="AF722" s="463">
        <v>95</v>
      </c>
      <c r="AG722" s="463" t="s">
        <v>375</v>
      </c>
      <c r="AH722" s="476"/>
      <c r="AI722" s="472">
        <v>815372300</v>
      </c>
      <c r="AJ722" s="472" t="s">
        <v>543</v>
      </c>
    </row>
    <row r="723" spans="1:36" ht="24" customHeight="1">
      <c r="A723" s="452">
        <v>79</v>
      </c>
      <c r="B723" s="701">
        <v>603</v>
      </c>
      <c r="C723" s="699" t="s">
        <v>377</v>
      </c>
      <c r="D723" s="699"/>
      <c r="E723" s="699" t="s">
        <v>602</v>
      </c>
      <c r="F723" s="699"/>
      <c r="G723" s="699" t="s">
        <v>274</v>
      </c>
      <c r="H723" s="699" t="s">
        <v>617</v>
      </c>
      <c r="I723" s="709" t="s">
        <v>537</v>
      </c>
      <c r="J723" s="712">
        <v>90000</v>
      </c>
      <c r="K723" s="709" t="s">
        <v>537</v>
      </c>
      <c r="L723" s="709" t="s">
        <v>537</v>
      </c>
      <c r="M723" s="712">
        <v>90000</v>
      </c>
      <c r="N723" s="709" t="s">
        <v>537</v>
      </c>
      <c r="O723" s="701" t="s">
        <v>537</v>
      </c>
      <c r="P723" s="701" t="s">
        <v>537</v>
      </c>
      <c r="Q723" s="709">
        <v>0</v>
      </c>
      <c r="R723" s="701" t="s">
        <v>643</v>
      </c>
      <c r="S723" s="701" t="s">
        <v>1449</v>
      </c>
      <c r="T723" s="701">
        <v>250</v>
      </c>
      <c r="U723" s="701">
        <v>50</v>
      </c>
      <c r="V723" s="701">
        <v>0</v>
      </c>
      <c r="W723" s="701">
        <v>320</v>
      </c>
      <c r="X723" s="701">
        <v>30</v>
      </c>
      <c r="Y723" s="701">
        <v>0</v>
      </c>
      <c r="Z723" s="701">
        <v>90.2</v>
      </c>
      <c r="AA723" s="458" t="s">
        <v>612</v>
      </c>
      <c r="AB723" s="459" t="s">
        <v>539</v>
      </c>
      <c r="AC723" s="459" t="s">
        <v>539</v>
      </c>
      <c r="AD723" s="458" t="s">
        <v>2047</v>
      </c>
      <c r="AE723" s="459">
        <v>80</v>
      </c>
      <c r="AF723" s="459">
        <v>90.2</v>
      </c>
      <c r="AG723" s="701" t="s">
        <v>375</v>
      </c>
      <c r="AH723" s="728"/>
      <c r="AI723" s="697">
        <v>874713007</v>
      </c>
      <c r="AJ723" s="699"/>
    </row>
    <row r="724" spans="1:36" ht="24" hidden="1" customHeight="1">
      <c r="B724" s="715"/>
      <c r="C724" s="714"/>
      <c r="D724" s="714"/>
      <c r="E724" s="714"/>
      <c r="F724" s="714"/>
      <c r="G724" s="714"/>
      <c r="H724" s="714"/>
      <c r="I724" s="717"/>
      <c r="J724" s="720"/>
      <c r="K724" s="717"/>
      <c r="L724" s="717"/>
      <c r="M724" s="720"/>
      <c r="N724" s="717"/>
      <c r="O724" s="715"/>
      <c r="P724" s="715"/>
      <c r="Q724" s="717"/>
      <c r="R724" s="715"/>
      <c r="S724" s="715"/>
      <c r="T724" s="715"/>
      <c r="U724" s="715"/>
      <c r="V724" s="715"/>
      <c r="W724" s="715"/>
      <c r="X724" s="715"/>
      <c r="Y724" s="715"/>
      <c r="Z724" s="715"/>
      <c r="AA724" s="460" t="s">
        <v>2057</v>
      </c>
      <c r="AB724" s="461">
        <v>80</v>
      </c>
      <c r="AC724" s="461">
        <v>86.4</v>
      </c>
      <c r="AD724" s="460" t="s">
        <v>2058</v>
      </c>
      <c r="AE724" s="461">
        <v>300</v>
      </c>
      <c r="AF724" s="461">
        <v>340</v>
      </c>
      <c r="AG724" s="715"/>
      <c r="AH724" s="730"/>
      <c r="AI724" s="711"/>
      <c r="AJ724" s="714"/>
    </row>
    <row r="725" spans="1:36" ht="24" hidden="1" customHeight="1">
      <c r="B725" s="715"/>
      <c r="C725" s="714"/>
      <c r="D725" s="714"/>
      <c r="E725" s="714"/>
      <c r="F725" s="714"/>
      <c r="G725" s="714"/>
      <c r="H725" s="714"/>
      <c r="I725" s="717"/>
      <c r="J725" s="720"/>
      <c r="K725" s="717"/>
      <c r="L725" s="717"/>
      <c r="M725" s="720"/>
      <c r="N725" s="717"/>
      <c r="O725" s="715"/>
      <c r="P725" s="715"/>
      <c r="Q725" s="717"/>
      <c r="R725" s="715"/>
      <c r="S725" s="715"/>
      <c r="T725" s="715"/>
      <c r="U725" s="715"/>
      <c r="V725" s="715"/>
      <c r="W725" s="715"/>
      <c r="X725" s="715"/>
      <c r="Y725" s="715"/>
      <c r="Z725" s="715"/>
      <c r="AA725" s="460" t="s">
        <v>2059</v>
      </c>
      <c r="AB725" s="461">
        <v>80</v>
      </c>
      <c r="AC725" s="461">
        <v>86.4</v>
      </c>
      <c r="AD725" s="460" t="s">
        <v>2060</v>
      </c>
      <c r="AE725" s="461">
        <v>85</v>
      </c>
      <c r="AF725" s="461">
        <v>85</v>
      </c>
      <c r="AG725" s="715"/>
      <c r="AH725" s="730"/>
      <c r="AI725" s="711"/>
      <c r="AJ725" s="714"/>
    </row>
    <row r="726" spans="1:36" ht="24" hidden="1" customHeight="1">
      <c r="B726" s="715"/>
      <c r="C726" s="714"/>
      <c r="D726" s="714"/>
      <c r="E726" s="714"/>
      <c r="F726" s="714"/>
      <c r="G726" s="714"/>
      <c r="H726" s="714"/>
      <c r="I726" s="717"/>
      <c r="J726" s="720"/>
      <c r="K726" s="717"/>
      <c r="L726" s="717"/>
      <c r="M726" s="720"/>
      <c r="N726" s="717"/>
      <c r="O726" s="715"/>
      <c r="P726" s="715"/>
      <c r="Q726" s="717"/>
      <c r="R726" s="715"/>
      <c r="S726" s="715"/>
      <c r="T726" s="715"/>
      <c r="U726" s="715"/>
      <c r="V726" s="715"/>
      <c r="W726" s="715"/>
      <c r="X726" s="715"/>
      <c r="Y726" s="715"/>
      <c r="Z726" s="715"/>
      <c r="AA726" s="460" t="s">
        <v>2061</v>
      </c>
      <c r="AB726" s="461" t="s">
        <v>539</v>
      </c>
      <c r="AC726" s="461" t="s">
        <v>539</v>
      </c>
      <c r="AD726" s="460" t="s">
        <v>2062</v>
      </c>
      <c r="AE726" s="461">
        <v>80</v>
      </c>
      <c r="AF726" s="461">
        <v>86.4</v>
      </c>
      <c r="AG726" s="715"/>
      <c r="AH726" s="730"/>
      <c r="AI726" s="711"/>
      <c r="AJ726" s="714"/>
    </row>
    <row r="727" spans="1:36" ht="24" hidden="1" customHeight="1">
      <c r="B727" s="702"/>
      <c r="C727" s="700"/>
      <c r="D727" s="700"/>
      <c r="E727" s="700"/>
      <c r="F727" s="700"/>
      <c r="G727" s="700"/>
      <c r="H727" s="700"/>
      <c r="I727" s="710"/>
      <c r="J727" s="713"/>
      <c r="K727" s="710"/>
      <c r="L727" s="710"/>
      <c r="M727" s="713"/>
      <c r="N727" s="710"/>
      <c r="O727" s="702"/>
      <c r="P727" s="702"/>
      <c r="Q727" s="710"/>
      <c r="R727" s="702"/>
      <c r="S727" s="702"/>
      <c r="T727" s="702"/>
      <c r="U727" s="702"/>
      <c r="V727" s="702"/>
      <c r="W727" s="702"/>
      <c r="X727" s="702"/>
      <c r="Y727" s="702"/>
      <c r="Z727" s="702"/>
      <c r="AA727" s="473" t="s">
        <v>2063</v>
      </c>
      <c r="AB727" s="474" t="s">
        <v>539</v>
      </c>
      <c r="AC727" s="474" t="s">
        <v>539</v>
      </c>
      <c r="AD727" s="462"/>
      <c r="AE727" s="462"/>
      <c r="AF727" s="462"/>
      <c r="AG727" s="702"/>
      <c r="AH727" s="729"/>
      <c r="AI727" s="698"/>
      <c r="AJ727" s="700"/>
    </row>
    <row r="728" spans="1:36" ht="24" hidden="1" customHeight="1">
      <c r="B728" s="701">
        <v>604</v>
      </c>
      <c r="C728" s="699" t="s">
        <v>534</v>
      </c>
      <c r="D728" s="699"/>
      <c r="E728" s="699" t="s">
        <v>535</v>
      </c>
      <c r="F728" s="699"/>
      <c r="G728" s="699" t="s">
        <v>274</v>
      </c>
      <c r="H728" s="699" t="s">
        <v>2064</v>
      </c>
      <c r="I728" s="709" t="s">
        <v>537</v>
      </c>
      <c r="J728" s="712">
        <v>31900</v>
      </c>
      <c r="K728" s="709" t="s">
        <v>537</v>
      </c>
      <c r="L728" s="709" t="s">
        <v>537</v>
      </c>
      <c r="M728" s="712">
        <v>24032</v>
      </c>
      <c r="N728" s="709" t="s">
        <v>537</v>
      </c>
      <c r="O728" s="701" t="s">
        <v>537</v>
      </c>
      <c r="P728" s="701" t="s">
        <v>537</v>
      </c>
      <c r="Q728" s="705">
        <v>7868</v>
      </c>
      <c r="R728" s="707">
        <v>241518</v>
      </c>
      <c r="S728" s="701" t="s">
        <v>2065</v>
      </c>
      <c r="T728" s="701">
        <v>0</v>
      </c>
      <c r="U728" s="701">
        <v>50</v>
      </c>
      <c r="V728" s="701">
        <v>0</v>
      </c>
      <c r="W728" s="701">
        <v>0</v>
      </c>
      <c r="X728" s="701">
        <v>49</v>
      </c>
      <c r="Y728" s="701">
        <v>4</v>
      </c>
      <c r="Z728" s="701">
        <v>90</v>
      </c>
      <c r="AA728" s="458" t="s">
        <v>1181</v>
      </c>
      <c r="AB728" s="459" t="s">
        <v>539</v>
      </c>
      <c r="AC728" s="459" t="s">
        <v>539</v>
      </c>
      <c r="AD728" s="458" t="s">
        <v>1016</v>
      </c>
      <c r="AE728" s="459">
        <v>80</v>
      </c>
      <c r="AF728" s="459">
        <v>90</v>
      </c>
      <c r="AG728" s="701" t="s">
        <v>375</v>
      </c>
      <c r="AH728" s="728"/>
      <c r="AI728" s="697">
        <v>952575587</v>
      </c>
      <c r="AJ728" s="699"/>
    </row>
    <row r="729" spans="1:36" ht="24" hidden="1" customHeight="1">
      <c r="B729" s="702"/>
      <c r="C729" s="700"/>
      <c r="D729" s="700"/>
      <c r="E729" s="700"/>
      <c r="F729" s="700"/>
      <c r="G729" s="700"/>
      <c r="H729" s="700"/>
      <c r="I729" s="710"/>
      <c r="J729" s="713"/>
      <c r="K729" s="710"/>
      <c r="L729" s="710"/>
      <c r="M729" s="713"/>
      <c r="N729" s="710"/>
      <c r="O729" s="702"/>
      <c r="P729" s="702"/>
      <c r="Q729" s="706"/>
      <c r="R729" s="708"/>
      <c r="S729" s="702"/>
      <c r="T729" s="702"/>
      <c r="U729" s="702"/>
      <c r="V729" s="702"/>
      <c r="W729" s="702"/>
      <c r="X729" s="702"/>
      <c r="Y729" s="702"/>
      <c r="Z729" s="702"/>
      <c r="AA729" s="473" t="s">
        <v>2066</v>
      </c>
      <c r="AB729" s="474" t="s">
        <v>539</v>
      </c>
      <c r="AC729" s="474" t="s">
        <v>539</v>
      </c>
      <c r="AD729" s="473" t="s">
        <v>2067</v>
      </c>
      <c r="AE729" s="474">
        <v>1</v>
      </c>
      <c r="AF729" s="474">
        <v>2</v>
      </c>
      <c r="AG729" s="702"/>
      <c r="AH729" s="729"/>
      <c r="AI729" s="698"/>
      <c r="AJ729" s="700"/>
    </row>
    <row r="730" spans="1:36" ht="24" hidden="1" customHeight="1">
      <c r="B730" s="463">
        <v>605</v>
      </c>
      <c r="C730" s="464" t="s">
        <v>534</v>
      </c>
      <c r="D730" s="464"/>
      <c r="E730" s="464" t="s">
        <v>535</v>
      </c>
      <c r="F730" s="464"/>
      <c r="G730" s="464" t="s">
        <v>274</v>
      </c>
      <c r="H730" s="464" t="s">
        <v>2068</v>
      </c>
      <c r="I730" s="465" t="s">
        <v>537</v>
      </c>
      <c r="J730" s="466">
        <v>106000</v>
      </c>
      <c r="K730" s="465" t="s">
        <v>537</v>
      </c>
      <c r="L730" s="465" t="s">
        <v>537</v>
      </c>
      <c r="M730" s="466">
        <v>105460</v>
      </c>
      <c r="N730" s="465" t="s">
        <v>537</v>
      </c>
      <c r="O730" s="463" t="s">
        <v>537</v>
      </c>
      <c r="P730" s="463" t="s">
        <v>537</v>
      </c>
      <c r="Q730" s="465">
        <v>540</v>
      </c>
      <c r="R730" s="470">
        <v>241579</v>
      </c>
      <c r="S730" s="463" t="s">
        <v>2069</v>
      </c>
      <c r="T730" s="463">
        <v>0</v>
      </c>
      <c r="U730" s="463">
        <v>100</v>
      </c>
      <c r="V730" s="463">
        <v>0</v>
      </c>
      <c r="W730" s="463">
        <v>0</v>
      </c>
      <c r="X730" s="463">
        <v>102</v>
      </c>
      <c r="Y730" s="463">
        <v>0</v>
      </c>
      <c r="Z730" s="463">
        <v>93</v>
      </c>
      <c r="AA730" s="472" t="s">
        <v>547</v>
      </c>
      <c r="AB730" s="463" t="s">
        <v>539</v>
      </c>
      <c r="AC730" s="463" t="s">
        <v>539</v>
      </c>
      <c r="AD730" s="472" t="s">
        <v>548</v>
      </c>
      <c r="AE730" s="463">
        <v>80</v>
      </c>
      <c r="AF730" s="463">
        <v>93</v>
      </c>
      <c r="AG730" s="463" t="s">
        <v>375</v>
      </c>
      <c r="AH730" s="476"/>
      <c r="AI730" s="472" t="s">
        <v>2070</v>
      </c>
      <c r="AJ730" s="464"/>
    </row>
    <row r="731" spans="1:36" ht="24" hidden="1" customHeight="1">
      <c r="B731" s="701">
        <v>606</v>
      </c>
      <c r="C731" s="699" t="s">
        <v>534</v>
      </c>
      <c r="D731" s="699"/>
      <c r="E731" s="699" t="s">
        <v>535</v>
      </c>
      <c r="F731" s="699"/>
      <c r="G731" s="699" t="s">
        <v>274</v>
      </c>
      <c r="H731" s="699" t="s">
        <v>668</v>
      </c>
      <c r="I731" s="709" t="s">
        <v>537</v>
      </c>
      <c r="J731" s="712">
        <v>41500</v>
      </c>
      <c r="K731" s="709" t="s">
        <v>537</v>
      </c>
      <c r="L731" s="709" t="s">
        <v>537</v>
      </c>
      <c r="M731" s="712">
        <v>41500</v>
      </c>
      <c r="N731" s="709" t="s">
        <v>537</v>
      </c>
      <c r="O731" s="701" t="s">
        <v>537</v>
      </c>
      <c r="P731" s="701" t="s">
        <v>537</v>
      </c>
      <c r="Q731" s="709">
        <v>0</v>
      </c>
      <c r="R731" s="707">
        <v>241518</v>
      </c>
      <c r="S731" s="721">
        <v>22335</v>
      </c>
      <c r="T731" s="701">
        <v>223</v>
      </c>
      <c r="U731" s="701">
        <v>27</v>
      </c>
      <c r="V731" s="701">
        <v>0</v>
      </c>
      <c r="W731" s="701">
        <v>251</v>
      </c>
      <c r="X731" s="701">
        <v>21</v>
      </c>
      <c r="Y731" s="701">
        <v>0</v>
      </c>
      <c r="Z731" s="701">
        <v>90.6</v>
      </c>
      <c r="AA731" s="458" t="s">
        <v>2071</v>
      </c>
      <c r="AB731" s="459" t="s">
        <v>539</v>
      </c>
      <c r="AC731" s="459" t="s">
        <v>539</v>
      </c>
      <c r="AD731" s="697" t="s">
        <v>561</v>
      </c>
      <c r="AE731" s="701">
        <v>85</v>
      </c>
      <c r="AF731" s="701">
        <v>90.6</v>
      </c>
      <c r="AG731" s="701" t="s">
        <v>375</v>
      </c>
      <c r="AH731" s="728"/>
      <c r="AI731" s="697" t="s">
        <v>2072</v>
      </c>
      <c r="AJ731" s="699"/>
    </row>
    <row r="732" spans="1:36" ht="24" hidden="1" customHeight="1">
      <c r="B732" s="702"/>
      <c r="C732" s="700"/>
      <c r="D732" s="700"/>
      <c r="E732" s="700"/>
      <c r="F732" s="700"/>
      <c r="G732" s="700"/>
      <c r="H732" s="700"/>
      <c r="I732" s="710"/>
      <c r="J732" s="713"/>
      <c r="K732" s="710"/>
      <c r="L732" s="710"/>
      <c r="M732" s="713"/>
      <c r="N732" s="710"/>
      <c r="O732" s="702"/>
      <c r="P732" s="702"/>
      <c r="Q732" s="710"/>
      <c r="R732" s="708"/>
      <c r="S732" s="722"/>
      <c r="T732" s="702"/>
      <c r="U732" s="702"/>
      <c r="V732" s="702"/>
      <c r="W732" s="702"/>
      <c r="X732" s="702"/>
      <c r="Y732" s="702"/>
      <c r="Z732" s="702"/>
      <c r="AA732" s="473" t="s">
        <v>2073</v>
      </c>
      <c r="AB732" s="474" t="s">
        <v>539</v>
      </c>
      <c r="AC732" s="474" t="s">
        <v>539</v>
      </c>
      <c r="AD732" s="698"/>
      <c r="AE732" s="702"/>
      <c r="AF732" s="702"/>
      <c r="AG732" s="702"/>
      <c r="AH732" s="729"/>
      <c r="AI732" s="698"/>
      <c r="AJ732" s="700"/>
    </row>
    <row r="733" spans="1:36" ht="24" hidden="1" customHeight="1">
      <c r="B733" s="701">
        <v>607</v>
      </c>
      <c r="C733" s="699" t="s">
        <v>534</v>
      </c>
      <c r="D733" s="699"/>
      <c r="E733" s="699" t="s">
        <v>535</v>
      </c>
      <c r="F733" s="699"/>
      <c r="G733" s="699" t="s">
        <v>274</v>
      </c>
      <c r="H733" s="699" t="s">
        <v>667</v>
      </c>
      <c r="I733" s="709" t="s">
        <v>537</v>
      </c>
      <c r="J733" s="712">
        <v>39600</v>
      </c>
      <c r="K733" s="709" t="s">
        <v>537</v>
      </c>
      <c r="L733" s="709" t="s">
        <v>537</v>
      </c>
      <c r="M733" s="712">
        <v>39150</v>
      </c>
      <c r="N733" s="709" t="s">
        <v>537</v>
      </c>
      <c r="O733" s="701" t="s">
        <v>537</v>
      </c>
      <c r="P733" s="701" t="s">
        <v>537</v>
      </c>
      <c r="Q733" s="709">
        <v>450</v>
      </c>
      <c r="R733" s="701" t="s">
        <v>643</v>
      </c>
      <c r="S733" s="721">
        <v>22449</v>
      </c>
      <c r="T733" s="701">
        <v>250</v>
      </c>
      <c r="U733" s="701">
        <v>30</v>
      </c>
      <c r="V733" s="701">
        <v>0</v>
      </c>
      <c r="W733" s="701">
        <v>320</v>
      </c>
      <c r="X733" s="701">
        <v>30</v>
      </c>
      <c r="Y733" s="701">
        <v>0</v>
      </c>
      <c r="Z733" s="701">
        <v>90.2</v>
      </c>
      <c r="AA733" s="458" t="s">
        <v>2074</v>
      </c>
      <c r="AB733" s="459">
        <v>85</v>
      </c>
      <c r="AC733" s="459">
        <v>86.4</v>
      </c>
      <c r="AD733" s="458" t="s">
        <v>2075</v>
      </c>
      <c r="AE733" s="459">
        <v>280</v>
      </c>
      <c r="AF733" s="459">
        <v>350</v>
      </c>
      <c r="AG733" s="701" t="s">
        <v>375</v>
      </c>
      <c r="AH733" s="728"/>
      <c r="AI733" s="697">
        <v>808813393</v>
      </c>
      <c r="AJ733" s="699"/>
    </row>
    <row r="734" spans="1:36" ht="24" hidden="1" customHeight="1">
      <c r="B734" s="715"/>
      <c r="C734" s="714"/>
      <c r="D734" s="714"/>
      <c r="E734" s="714"/>
      <c r="F734" s="714"/>
      <c r="G734" s="714"/>
      <c r="H734" s="714"/>
      <c r="I734" s="717"/>
      <c r="J734" s="720"/>
      <c r="K734" s="717"/>
      <c r="L734" s="717"/>
      <c r="M734" s="720"/>
      <c r="N734" s="717"/>
      <c r="O734" s="715"/>
      <c r="P734" s="715"/>
      <c r="Q734" s="717"/>
      <c r="R734" s="715"/>
      <c r="S734" s="731"/>
      <c r="T734" s="715"/>
      <c r="U734" s="715"/>
      <c r="V734" s="715"/>
      <c r="W734" s="715"/>
      <c r="X734" s="715"/>
      <c r="Y734" s="715"/>
      <c r="Z734" s="715"/>
      <c r="AA734" s="460" t="s">
        <v>1279</v>
      </c>
      <c r="AB734" s="461" t="s">
        <v>539</v>
      </c>
      <c r="AC734" s="461" t="s">
        <v>539</v>
      </c>
      <c r="AD734" s="460" t="s">
        <v>2053</v>
      </c>
      <c r="AE734" s="461">
        <v>85</v>
      </c>
      <c r="AF734" s="461">
        <v>86.4</v>
      </c>
      <c r="AG734" s="715"/>
      <c r="AH734" s="730"/>
      <c r="AI734" s="711"/>
      <c r="AJ734" s="714"/>
    </row>
    <row r="735" spans="1:36" ht="24" hidden="1" customHeight="1">
      <c r="B735" s="702"/>
      <c r="C735" s="700"/>
      <c r="D735" s="700"/>
      <c r="E735" s="700"/>
      <c r="F735" s="700"/>
      <c r="G735" s="700"/>
      <c r="H735" s="700"/>
      <c r="I735" s="710"/>
      <c r="J735" s="713"/>
      <c r="K735" s="710"/>
      <c r="L735" s="710"/>
      <c r="M735" s="713"/>
      <c r="N735" s="710"/>
      <c r="O735" s="702"/>
      <c r="P735" s="702"/>
      <c r="Q735" s="710"/>
      <c r="R735" s="702"/>
      <c r="S735" s="722"/>
      <c r="T735" s="702"/>
      <c r="U735" s="702"/>
      <c r="V735" s="702"/>
      <c r="W735" s="702"/>
      <c r="X735" s="702"/>
      <c r="Y735" s="702"/>
      <c r="Z735" s="702"/>
      <c r="AA735" s="462"/>
      <c r="AB735" s="462"/>
      <c r="AC735" s="462"/>
      <c r="AD735" s="473" t="s">
        <v>2076</v>
      </c>
      <c r="AE735" s="474">
        <v>80</v>
      </c>
      <c r="AF735" s="474">
        <v>86.4</v>
      </c>
      <c r="AG735" s="702"/>
      <c r="AH735" s="729"/>
      <c r="AI735" s="698"/>
      <c r="AJ735" s="700"/>
    </row>
    <row r="736" spans="1:36" ht="24" hidden="1" customHeight="1">
      <c r="B736" s="701">
        <v>608</v>
      </c>
      <c r="C736" s="699" t="s">
        <v>534</v>
      </c>
      <c r="D736" s="699"/>
      <c r="E736" s="699" t="s">
        <v>535</v>
      </c>
      <c r="F736" s="699"/>
      <c r="G736" s="699" t="s">
        <v>274</v>
      </c>
      <c r="H736" s="699" t="s">
        <v>2077</v>
      </c>
      <c r="I736" s="709" t="s">
        <v>537</v>
      </c>
      <c r="J736" s="712">
        <v>71700</v>
      </c>
      <c r="K736" s="709" t="s">
        <v>537</v>
      </c>
      <c r="L736" s="709" t="s">
        <v>537</v>
      </c>
      <c r="M736" s="712">
        <v>71700</v>
      </c>
      <c r="N736" s="709" t="s">
        <v>537</v>
      </c>
      <c r="O736" s="701" t="s">
        <v>537</v>
      </c>
      <c r="P736" s="701" t="s">
        <v>537</v>
      </c>
      <c r="Q736" s="709">
        <v>0</v>
      </c>
      <c r="R736" s="707">
        <v>241609</v>
      </c>
      <c r="S736" s="721">
        <v>22498</v>
      </c>
      <c r="T736" s="701">
        <v>100</v>
      </c>
      <c r="U736" s="701">
        <v>10</v>
      </c>
      <c r="V736" s="701">
        <v>0</v>
      </c>
      <c r="W736" s="701">
        <v>104</v>
      </c>
      <c r="X736" s="701">
        <v>64</v>
      </c>
      <c r="Y736" s="699"/>
      <c r="Z736" s="701">
        <v>98</v>
      </c>
      <c r="AA736" s="458" t="s">
        <v>1304</v>
      </c>
      <c r="AB736" s="459" t="s">
        <v>539</v>
      </c>
      <c r="AC736" s="459" t="s">
        <v>539</v>
      </c>
      <c r="AD736" s="458" t="s">
        <v>2078</v>
      </c>
      <c r="AE736" s="459">
        <v>110</v>
      </c>
      <c r="AF736" s="459">
        <v>120</v>
      </c>
      <c r="AG736" s="701" t="s">
        <v>375</v>
      </c>
      <c r="AH736" s="728"/>
      <c r="AI736" s="697">
        <v>810822522</v>
      </c>
      <c r="AJ736" s="699"/>
    </row>
    <row r="737" spans="2:36" ht="24" hidden="1" customHeight="1">
      <c r="B737" s="715"/>
      <c r="C737" s="714"/>
      <c r="D737" s="714"/>
      <c r="E737" s="714"/>
      <c r="F737" s="714"/>
      <c r="G737" s="714"/>
      <c r="H737" s="714"/>
      <c r="I737" s="717"/>
      <c r="J737" s="720"/>
      <c r="K737" s="717"/>
      <c r="L737" s="717"/>
      <c r="M737" s="720"/>
      <c r="N737" s="717"/>
      <c r="O737" s="715"/>
      <c r="P737" s="715"/>
      <c r="Q737" s="717"/>
      <c r="R737" s="719"/>
      <c r="S737" s="731"/>
      <c r="T737" s="715"/>
      <c r="U737" s="715"/>
      <c r="V737" s="715"/>
      <c r="W737" s="715"/>
      <c r="X737" s="715"/>
      <c r="Y737" s="714"/>
      <c r="Z737" s="715"/>
      <c r="AA737" s="460" t="s">
        <v>2079</v>
      </c>
      <c r="AB737" s="461">
        <v>85</v>
      </c>
      <c r="AC737" s="461">
        <v>95</v>
      </c>
      <c r="AD737" s="460" t="s">
        <v>2053</v>
      </c>
      <c r="AE737" s="461">
        <v>85</v>
      </c>
      <c r="AF737" s="461">
        <v>95</v>
      </c>
      <c r="AG737" s="715"/>
      <c r="AH737" s="730"/>
      <c r="AI737" s="711"/>
      <c r="AJ737" s="714"/>
    </row>
    <row r="738" spans="2:36" ht="24" hidden="1" customHeight="1">
      <c r="B738" s="702"/>
      <c r="C738" s="700"/>
      <c r="D738" s="700"/>
      <c r="E738" s="700"/>
      <c r="F738" s="700"/>
      <c r="G738" s="700"/>
      <c r="H738" s="700"/>
      <c r="I738" s="710"/>
      <c r="J738" s="713"/>
      <c r="K738" s="710"/>
      <c r="L738" s="710"/>
      <c r="M738" s="713"/>
      <c r="N738" s="710"/>
      <c r="O738" s="702"/>
      <c r="P738" s="702"/>
      <c r="Q738" s="710"/>
      <c r="R738" s="708"/>
      <c r="S738" s="722"/>
      <c r="T738" s="702"/>
      <c r="U738" s="702"/>
      <c r="V738" s="702"/>
      <c r="W738" s="702"/>
      <c r="X738" s="702"/>
      <c r="Y738" s="700"/>
      <c r="Z738" s="702"/>
      <c r="AA738" s="473" t="s">
        <v>2080</v>
      </c>
      <c r="AB738" s="474">
        <v>1</v>
      </c>
      <c r="AC738" s="474">
        <v>1</v>
      </c>
      <c r="AD738" s="473" t="s">
        <v>2081</v>
      </c>
      <c r="AE738" s="474">
        <v>80</v>
      </c>
      <c r="AF738" s="474">
        <v>95</v>
      </c>
      <c r="AG738" s="702"/>
      <c r="AH738" s="729"/>
      <c r="AI738" s="698"/>
      <c r="AJ738" s="700"/>
    </row>
    <row r="739" spans="2:36" ht="24" hidden="1" customHeight="1">
      <c r="B739" s="701">
        <v>609</v>
      </c>
      <c r="C739" s="699" t="s">
        <v>534</v>
      </c>
      <c r="D739" s="699"/>
      <c r="E739" s="699" t="s">
        <v>535</v>
      </c>
      <c r="F739" s="699"/>
      <c r="G739" s="699" t="s">
        <v>274</v>
      </c>
      <c r="H739" s="699" t="s">
        <v>2082</v>
      </c>
      <c r="I739" s="709" t="s">
        <v>537</v>
      </c>
      <c r="J739" s="712">
        <v>78300</v>
      </c>
      <c r="K739" s="709" t="s">
        <v>537</v>
      </c>
      <c r="L739" s="709" t="s">
        <v>537</v>
      </c>
      <c r="M739" s="712">
        <v>78300</v>
      </c>
      <c r="N739" s="709" t="s">
        <v>537</v>
      </c>
      <c r="O739" s="701" t="s">
        <v>537</v>
      </c>
      <c r="P739" s="701" t="s">
        <v>537</v>
      </c>
      <c r="Q739" s="709">
        <v>0</v>
      </c>
      <c r="R739" s="707">
        <v>241609</v>
      </c>
      <c r="S739" s="721">
        <v>22504</v>
      </c>
      <c r="T739" s="701">
        <v>95</v>
      </c>
      <c r="U739" s="701">
        <v>5</v>
      </c>
      <c r="V739" s="701">
        <v>0</v>
      </c>
      <c r="W739" s="701">
        <v>95</v>
      </c>
      <c r="X739" s="701">
        <v>5</v>
      </c>
      <c r="Y739" s="699"/>
      <c r="Z739" s="701">
        <v>95</v>
      </c>
      <c r="AA739" s="458" t="s">
        <v>1304</v>
      </c>
      <c r="AB739" s="459" t="s">
        <v>539</v>
      </c>
      <c r="AC739" s="459" t="s">
        <v>539</v>
      </c>
      <c r="AD739" s="458" t="s">
        <v>2083</v>
      </c>
      <c r="AE739" s="459">
        <v>100</v>
      </c>
      <c r="AF739" s="459">
        <v>110</v>
      </c>
      <c r="AG739" s="701" t="s">
        <v>375</v>
      </c>
      <c r="AH739" s="728"/>
      <c r="AI739" s="697">
        <v>810822522</v>
      </c>
      <c r="AJ739" s="699"/>
    </row>
    <row r="740" spans="2:36" ht="24" hidden="1" customHeight="1">
      <c r="B740" s="715"/>
      <c r="C740" s="714"/>
      <c r="D740" s="714"/>
      <c r="E740" s="714"/>
      <c r="F740" s="714"/>
      <c r="G740" s="714"/>
      <c r="H740" s="714"/>
      <c r="I740" s="717"/>
      <c r="J740" s="720"/>
      <c r="K740" s="717"/>
      <c r="L740" s="717"/>
      <c r="M740" s="720"/>
      <c r="N740" s="717"/>
      <c r="O740" s="715"/>
      <c r="P740" s="715"/>
      <c r="Q740" s="717"/>
      <c r="R740" s="719"/>
      <c r="S740" s="731"/>
      <c r="T740" s="715"/>
      <c r="U740" s="715"/>
      <c r="V740" s="715"/>
      <c r="W740" s="715"/>
      <c r="X740" s="715"/>
      <c r="Y740" s="714"/>
      <c r="Z740" s="715"/>
      <c r="AA740" s="460" t="s">
        <v>2079</v>
      </c>
      <c r="AB740" s="461">
        <v>85</v>
      </c>
      <c r="AC740" s="461">
        <v>98</v>
      </c>
      <c r="AD740" s="460" t="s">
        <v>2053</v>
      </c>
      <c r="AE740" s="461">
        <v>85</v>
      </c>
      <c r="AF740" s="461">
        <v>95</v>
      </c>
      <c r="AG740" s="715"/>
      <c r="AH740" s="730"/>
      <c r="AI740" s="711"/>
      <c r="AJ740" s="714"/>
    </row>
    <row r="741" spans="2:36" ht="24" hidden="1" customHeight="1">
      <c r="B741" s="702"/>
      <c r="C741" s="700"/>
      <c r="D741" s="700"/>
      <c r="E741" s="700"/>
      <c r="F741" s="700"/>
      <c r="G741" s="700"/>
      <c r="H741" s="700"/>
      <c r="I741" s="710"/>
      <c r="J741" s="713"/>
      <c r="K741" s="710"/>
      <c r="L741" s="710"/>
      <c r="M741" s="713"/>
      <c r="N741" s="710"/>
      <c r="O741" s="702"/>
      <c r="P741" s="702"/>
      <c r="Q741" s="710"/>
      <c r="R741" s="708"/>
      <c r="S741" s="722"/>
      <c r="T741" s="702"/>
      <c r="U741" s="702"/>
      <c r="V741" s="702"/>
      <c r="W741" s="702"/>
      <c r="X741" s="702"/>
      <c r="Y741" s="700"/>
      <c r="Z741" s="702"/>
      <c r="AA741" s="473" t="s">
        <v>2084</v>
      </c>
      <c r="AB741" s="474" t="s">
        <v>539</v>
      </c>
      <c r="AC741" s="474" t="s">
        <v>539</v>
      </c>
      <c r="AD741" s="473" t="s">
        <v>2081</v>
      </c>
      <c r="AE741" s="474">
        <v>80</v>
      </c>
      <c r="AF741" s="474">
        <v>95</v>
      </c>
      <c r="AG741" s="702"/>
      <c r="AH741" s="729"/>
      <c r="AI741" s="698"/>
      <c r="AJ741" s="700"/>
    </row>
    <row r="742" spans="2:36" ht="24" hidden="1" customHeight="1">
      <c r="B742" s="701">
        <v>610</v>
      </c>
      <c r="C742" s="699" t="s">
        <v>534</v>
      </c>
      <c r="D742" s="699"/>
      <c r="E742" s="699" t="s">
        <v>535</v>
      </c>
      <c r="F742" s="699"/>
      <c r="G742" s="699" t="s">
        <v>274</v>
      </c>
      <c r="H742" s="699" t="s">
        <v>2085</v>
      </c>
      <c r="I742" s="709" t="s">
        <v>537</v>
      </c>
      <c r="J742" s="712">
        <v>20000</v>
      </c>
      <c r="K742" s="709" t="s">
        <v>537</v>
      </c>
      <c r="L742" s="709" t="s">
        <v>537</v>
      </c>
      <c r="M742" s="712">
        <v>20000</v>
      </c>
      <c r="N742" s="709" t="s">
        <v>537</v>
      </c>
      <c r="O742" s="701" t="s">
        <v>537</v>
      </c>
      <c r="P742" s="701" t="s">
        <v>537</v>
      </c>
      <c r="Q742" s="709">
        <v>0</v>
      </c>
      <c r="R742" s="707">
        <v>241459</v>
      </c>
      <c r="S742" s="701" t="s">
        <v>682</v>
      </c>
      <c r="T742" s="701">
        <v>40</v>
      </c>
      <c r="U742" s="701">
        <v>10</v>
      </c>
      <c r="V742" s="701">
        <v>0</v>
      </c>
      <c r="W742" s="701">
        <v>102</v>
      </c>
      <c r="X742" s="701">
        <v>12</v>
      </c>
      <c r="Y742" s="701">
        <v>0</v>
      </c>
      <c r="Z742" s="701">
        <v>87.18</v>
      </c>
      <c r="AA742" s="458" t="s">
        <v>2086</v>
      </c>
      <c r="AB742" s="459" t="s">
        <v>539</v>
      </c>
      <c r="AC742" s="459" t="s">
        <v>539</v>
      </c>
      <c r="AD742" s="458" t="s">
        <v>635</v>
      </c>
      <c r="AE742" s="459" t="s">
        <v>539</v>
      </c>
      <c r="AF742" s="459" t="s">
        <v>539</v>
      </c>
      <c r="AG742" s="701" t="s">
        <v>375</v>
      </c>
      <c r="AH742" s="728"/>
      <c r="AI742" s="697" t="s">
        <v>2033</v>
      </c>
      <c r="AJ742" s="699"/>
    </row>
    <row r="743" spans="2:36" ht="24" hidden="1" customHeight="1">
      <c r="B743" s="702"/>
      <c r="C743" s="700"/>
      <c r="D743" s="700"/>
      <c r="E743" s="700"/>
      <c r="F743" s="700"/>
      <c r="G743" s="700"/>
      <c r="H743" s="700"/>
      <c r="I743" s="710"/>
      <c r="J743" s="713"/>
      <c r="K743" s="710"/>
      <c r="L743" s="710"/>
      <c r="M743" s="713"/>
      <c r="N743" s="710"/>
      <c r="O743" s="702"/>
      <c r="P743" s="702"/>
      <c r="Q743" s="710"/>
      <c r="R743" s="708"/>
      <c r="S743" s="702"/>
      <c r="T743" s="702"/>
      <c r="U743" s="702"/>
      <c r="V743" s="702"/>
      <c r="W743" s="702"/>
      <c r="X743" s="702"/>
      <c r="Y743" s="702"/>
      <c r="Z743" s="702"/>
      <c r="AA743" s="473" t="s">
        <v>2087</v>
      </c>
      <c r="AB743" s="474" t="s">
        <v>539</v>
      </c>
      <c r="AC743" s="474" t="s">
        <v>539</v>
      </c>
      <c r="AD743" s="473" t="s">
        <v>2088</v>
      </c>
      <c r="AE743" s="474" t="s">
        <v>539</v>
      </c>
      <c r="AF743" s="474" t="s">
        <v>539</v>
      </c>
      <c r="AG743" s="702"/>
      <c r="AH743" s="729"/>
      <c r="AI743" s="698"/>
      <c r="AJ743" s="700"/>
    </row>
    <row r="744" spans="2:36" ht="24" hidden="1" customHeight="1">
      <c r="B744" s="463">
        <v>611</v>
      </c>
      <c r="C744" s="464" t="s">
        <v>165</v>
      </c>
      <c r="D744" s="464"/>
      <c r="E744" s="464" t="s">
        <v>535</v>
      </c>
      <c r="F744" s="464"/>
      <c r="G744" s="464" t="s">
        <v>274</v>
      </c>
      <c r="H744" s="464" t="s">
        <v>2089</v>
      </c>
      <c r="I744" s="465" t="s">
        <v>537</v>
      </c>
      <c r="J744" s="465" t="s">
        <v>537</v>
      </c>
      <c r="K744" s="466">
        <v>7550</v>
      </c>
      <c r="L744" s="465" t="s">
        <v>537</v>
      </c>
      <c r="M744" s="465" t="s">
        <v>537</v>
      </c>
      <c r="N744" s="466">
        <v>7550</v>
      </c>
      <c r="O744" s="463" t="s">
        <v>537</v>
      </c>
      <c r="P744" s="463" t="s">
        <v>537</v>
      </c>
      <c r="Q744" s="465">
        <v>0</v>
      </c>
      <c r="R744" s="470">
        <v>241609</v>
      </c>
      <c r="S744" s="463" t="s">
        <v>2090</v>
      </c>
      <c r="T744" s="463">
        <v>30</v>
      </c>
      <c r="U744" s="463">
        <v>8</v>
      </c>
      <c r="V744" s="463">
        <v>0</v>
      </c>
      <c r="W744" s="463">
        <v>30</v>
      </c>
      <c r="X744" s="463">
        <v>8</v>
      </c>
      <c r="Y744" s="463">
        <v>0</v>
      </c>
      <c r="Z744" s="463">
        <v>87</v>
      </c>
      <c r="AA744" s="472" t="s">
        <v>2091</v>
      </c>
      <c r="AB744" s="463" t="s">
        <v>539</v>
      </c>
      <c r="AC744" s="463" t="s">
        <v>539</v>
      </c>
      <c r="AD744" s="472" t="s">
        <v>2092</v>
      </c>
      <c r="AE744" s="463">
        <v>80</v>
      </c>
      <c r="AF744" s="463">
        <v>87</v>
      </c>
      <c r="AG744" s="463" t="s">
        <v>375</v>
      </c>
      <c r="AH744" s="476"/>
      <c r="AI744" s="472">
        <v>817504341</v>
      </c>
      <c r="AJ744" s="472" t="s">
        <v>543</v>
      </c>
    </row>
    <row r="745" spans="2:36" ht="24" hidden="1" customHeight="1">
      <c r="B745" s="463">
        <v>612</v>
      </c>
      <c r="C745" s="464" t="s">
        <v>165</v>
      </c>
      <c r="D745" s="464"/>
      <c r="E745" s="464" t="s">
        <v>535</v>
      </c>
      <c r="F745" s="464"/>
      <c r="G745" s="464" t="s">
        <v>274</v>
      </c>
      <c r="H745" s="464" t="s">
        <v>2093</v>
      </c>
      <c r="I745" s="465" t="s">
        <v>537</v>
      </c>
      <c r="J745" s="465" t="s">
        <v>537</v>
      </c>
      <c r="K745" s="466">
        <v>19450</v>
      </c>
      <c r="L745" s="465" t="s">
        <v>537</v>
      </c>
      <c r="M745" s="465" t="s">
        <v>537</v>
      </c>
      <c r="N745" s="466">
        <v>19450</v>
      </c>
      <c r="O745" s="463" t="s">
        <v>537</v>
      </c>
      <c r="P745" s="463" t="s">
        <v>537</v>
      </c>
      <c r="Q745" s="465">
        <v>0</v>
      </c>
      <c r="R745" s="470">
        <v>241609</v>
      </c>
      <c r="S745" s="463" t="s">
        <v>2094</v>
      </c>
      <c r="T745" s="463">
        <v>200</v>
      </c>
      <c r="U745" s="463">
        <v>0</v>
      </c>
      <c r="V745" s="463">
        <v>0</v>
      </c>
      <c r="W745" s="463">
        <v>200</v>
      </c>
      <c r="X745" s="463">
        <v>0</v>
      </c>
      <c r="Y745" s="463">
        <v>0</v>
      </c>
      <c r="Z745" s="463">
        <v>85</v>
      </c>
      <c r="AA745" s="472" t="s">
        <v>547</v>
      </c>
      <c r="AB745" s="463" t="s">
        <v>539</v>
      </c>
      <c r="AC745" s="463" t="s">
        <v>539</v>
      </c>
      <c r="AD745" s="472" t="s">
        <v>2095</v>
      </c>
      <c r="AE745" s="463">
        <v>80</v>
      </c>
      <c r="AF745" s="463">
        <v>85</v>
      </c>
      <c r="AG745" s="463" t="s">
        <v>375</v>
      </c>
      <c r="AH745" s="476"/>
      <c r="AI745" s="472">
        <v>878866316</v>
      </c>
      <c r="AJ745" s="472" t="s">
        <v>543</v>
      </c>
    </row>
    <row r="746" spans="2:36" ht="24" hidden="1" customHeight="1">
      <c r="B746" s="463">
        <v>613</v>
      </c>
      <c r="C746" s="464" t="s">
        <v>534</v>
      </c>
      <c r="D746" s="464"/>
      <c r="E746" s="464" t="s">
        <v>535</v>
      </c>
      <c r="F746" s="464"/>
      <c r="G746" s="464" t="s">
        <v>274</v>
      </c>
      <c r="H746" s="464" t="s">
        <v>2096</v>
      </c>
      <c r="I746" s="465" t="s">
        <v>537</v>
      </c>
      <c r="J746" s="465" t="s">
        <v>537</v>
      </c>
      <c r="K746" s="466">
        <v>250000</v>
      </c>
      <c r="L746" s="465" t="s">
        <v>537</v>
      </c>
      <c r="M746" s="465" t="s">
        <v>537</v>
      </c>
      <c r="N746" s="466">
        <v>247695</v>
      </c>
      <c r="O746" s="463" t="s">
        <v>537</v>
      </c>
      <c r="P746" s="463" t="s">
        <v>537</v>
      </c>
      <c r="Q746" s="468">
        <v>2305</v>
      </c>
      <c r="R746" s="470">
        <v>241428</v>
      </c>
      <c r="S746" s="463" t="s">
        <v>623</v>
      </c>
      <c r="T746" s="463">
        <v>40</v>
      </c>
      <c r="U746" s="463">
        <v>60</v>
      </c>
      <c r="V746" s="463">
        <v>400</v>
      </c>
      <c r="W746" s="463">
        <v>65</v>
      </c>
      <c r="X746" s="463">
        <v>90</v>
      </c>
      <c r="Y746" s="463">
        <v>910</v>
      </c>
      <c r="Z746" s="463">
        <v>88.4</v>
      </c>
      <c r="AA746" s="472" t="s">
        <v>1491</v>
      </c>
      <c r="AB746" s="463" t="s">
        <v>539</v>
      </c>
      <c r="AC746" s="463" t="s">
        <v>539</v>
      </c>
      <c r="AD746" s="472" t="s">
        <v>1016</v>
      </c>
      <c r="AE746" s="463">
        <v>80</v>
      </c>
      <c r="AF746" s="463">
        <v>88.4</v>
      </c>
      <c r="AG746" s="463" t="s">
        <v>375</v>
      </c>
      <c r="AH746" s="476"/>
      <c r="AI746" s="472">
        <v>918263476</v>
      </c>
      <c r="AJ746" s="472" t="s">
        <v>543</v>
      </c>
    </row>
    <row r="747" spans="2:36" ht="24" hidden="1" customHeight="1">
      <c r="B747" s="463">
        <v>614</v>
      </c>
      <c r="C747" s="464" t="s">
        <v>534</v>
      </c>
      <c r="D747" s="464"/>
      <c r="E747" s="464" t="s">
        <v>535</v>
      </c>
      <c r="F747" s="464"/>
      <c r="G747" s="464" t="s">
        <v>274</v>
      </c>
      <c r="H747" s="464" t="s">
        <v>2097</v>
      </c>
      <c r="I747" s="465" t="s">
        <v>537</v>
      </c>
      <c r="J747" s="465" t="s">
        <v>537</v>
      </c>
      <c r="K747" s="466">
        <v>30000</v>
      </c>
      <c r="L747" s="465" t="s">
        <v>537</v>
      </c>
      <c r="M747" s="465" t="s">
        <v>537</v>
      </c>
      <c r="N747" s="466">
        <v>29999</v>
      </c>
      <c r="O747" s="463" t="s">
        <v>537</v>
      </c>
      <c r="P747" s="463" t="s">
        <v>537</v>
      </c>
      <c r="Q747" s="465">
        <v>1</v>
      </c>
      <c r="R747" s="470">
        <v>241459</v>
      </c>
      <c r="S747" s="463" t="s">
        <v>1243</v>
      </c>
      <c r="T747" s="463">
        <v>25</v>
      </c>
      <c r="U747" s="463">
        <v>5</v>
      </c>
      <c r="V747" s="463">
        <v>0</v>
      </c>
      <c r="W747" s="463">
        <v>25</v>
      </c>
      <c r="X747" s="463">
        <v>7</v>
      </c>
      <c r="Y747" s="463">
        <v>0</v>
      </c>
      <c r="Z747" s="463">
        <v>95.27</v>
      </c>
      <c r="AA747" s="472" t="s">
        <v>2098</v>
      </c>
      <c r="AB747" s="463" t="s">
        <v>539</v>
      </c>
      <c r="AC747" s="463" t="s">
        <v>539</v>
      </c>
      <c r="AD747" s="472" t="s">
        <v>2099</v>
      </c>
      <c r="AE747" s="463" t="s">
        <v>539</v>
      </c>
      <c r="AF747" s="463" t="s">
        <v>539</v>
      </c>
      <c r="AG747" s="463" t="s">
        <v>375</v>
      </c>
      <c r="AH747" s="476"/>
      <c r="AI747" s="472">
        <v>953131156</v>
      </c>
      <c r="AJ747" s="472" t="s">
        <v>543</v>
      </c>
    </row>
    <row r="748" spans="2:36" ht="24" hidden="1" customHeight="1">
      <c r="B748" s="463">
        <v>615</v>
      </c>
      <c r="C748" s="464" t="s">
        <v>534</v>
      </c>
      <c r="D748" s="464"/>
      <c r="E748" s="464" t="s">
        <v>535</v>
      </c>
      <c r="F748" s="464"/>
      <c r="G748" s="464" t="s">
        <v>274</v>
      </c>
      <c r="H748" s="464" t="s">
        <v>2100</v>
      </c>
      <c r="I748" s="465" t="s">
        <v>537</v>
      </c>
      <c r="J748" s="465" t="s">
        <v>537</v>
      </c>
      <c r="K748" s="466">
        <v>20000</v>
      </c>
      <c r="L748" s="465" t="s">
        <v>537</v>
      </c>
      <c r="M748" s="465" t="s">
        <v>537</v>
      </c>
      <c r="N748" s="466">
        <v>20000</v>
      </c>
      <c r="O748" s="463" t="s">
        <v>537</v>
      </c>
      <c r="P748" s="463" t="s">
        <v>537</v>
      </c>
      <c r="Q748" s="465">
        <v>0</v>
      </c>
      <c r="R748" s="463" t="s">
        <v>1342</v>
      </c>
      <c r="S748" s="463" t="s">
        <v>2101</v>
      </c>
      <c r="T748" s="463">
        <v>25</v>
      </c>
      <c r="U748" s="463">
        <v>10</v>
      </c>
      <c r="V748" s="463">
        <v>0</v>
      </c>
      <c r="W748" s="463">
        <v>20</v>
      </c>
      <c r="X748" s="463">
        <v>10</v>
      </c>
      <c r="Y748" s="463">
        <v>0</v>
      </c>
      <c r="Z748" s="463">
        <v>92</v>
      </c>
      <c r="AA748" s="472" t="s">
        <v>2102</v>
      </c>
      <c r="AB748" s="479">
        <v>0.8</v>
      </c>
      <c r="AC748" s="463">
        <v>85.71</v>
      </c>
      <c r="AD748" s="472" t="s">
        <v>2103</v>
      </c>
      <c r="AE748" s="479">
        <v>1</v>
      </c>
      <c r="AF748" s="463">
        <v>85.71</v>
      </c>
      <c r="AG748" s="463" t="s">
        <v>375</v>
      </c>
      <c r="AH748" s="476"/>
      <c r="AI748" s="472">
        <v>817194220</v>
      </c>
      <c r="AJ748" s="472" t="s">
        <v>543</v>
      </c>
    </row>
    <row r="749" spans="2:36" ht="24" hidden="1" customHeight="1">
      <c r="B749" s="701">
        <v>616</v>
      </c>
      <c r="C749" s="699" t="s">
        <v>534</v>
      </c>
      <c r="D749" s="699"/>
      <c r="E749" s="699" t="s">
        <v>535</v>
      </c>
      <c r="F749" s="699"/>
      <c r="G749" s="699" t="s">
        <v>274</v>
      </c>
      <c r="H749" s="699" t="s">
        <v>2104</v>
      </c>
      <c r="I749" s="712">
        <v>95000</v>
      </c>
      <c r="J749" s="709" t="s">
        <v>537</v>
      </c>
      <c r="K749" s="709" t="s">
        <v>537</v>
      </c>
      <c r="L749" s="712">
        <v>93800</v>
      </c>
      <c r="M749" s="709" t="s">
        <v>537</v>
      </c>
      <c r="N749" s="709" t="s">
        <v>537</v>
      </c>
      <c r="O749" s="701" t="s">
        <v>537</v>
      </c>
      <c r="P749" s="701" t="s">
        <v>537</v>
      </c>
      <c r="Q749" s="705">
        <v>1200</v>
      </c>
      <c r="R749" s="701" t="s">
        <v>643</v>
      </c>
      <c r="S749" s="701" t="s">
        <v>2105</v>
      </c>
      <c r="T749" s="701">
        <v>20</v>
      </c>
      <c r="U749" s="701">
        <v>10</v>
      </c>
      <c r="V749" s="701">
        <v>250</v>
      </c>
      <c r="W749" s="701">
        <v>26</v>
      </c>
      <c r="X749" s="701">
        <v>19</v>
      </c>
      <c r="Y749" s="701">
        <v>193</v>
      </c>
      <c r="Z749" s="701">
        <v>84.8</v>
      </c>
      <c r="AA749" s="458" t="s">
        <v>2106</v>
      </c>
      <c r="AB749" s="459" t="s">
        <v>539</v>
      </c>
      <c r="AC749" s="459" t="s">
        <v>539</v>
      </c>
      <c r="AD749" s="697" t="s">
        <v>548</v>
      </c>
      <c r="AE749" s="701">
        <v>80</v>
      </c>
      <c r="AF749" s="701">
        <v>84.8</v>
      </c>
      <c r="AG749" s="701" t="s">
        <v>375</v>
      </c>
      <c r="AH749" s="728"/>
      <c r="AI749" s="697" t="s">
        <v>2107</v>
      </c>
      <c r="AJ749" s="699"/>
    </row>
    <row r="750" spans="2:36" ht="24" hidden="1" customHeight="1">
      <c r="B750" s="702"/>
      <c r="C750" s="700"/>
      <c r="D750" s="700"/>
      <c r="E750" s="700"/>
      <c r="F750" s="700"/>
      <c r="G750" s="700"/>
      <c r="H750" s="700"/>
      <c r="I750" s="713"/>
      <c r="J750" s="710"/>
      <c r="K750" s="710"/>
      <c r="L750" s="713"/>
      <c r="M750" s="710"/>
      <c r="N750" s="710"/>
      <c r="O750" s="702"/>
      <c r="P750" s="702"/>
      <c r="Q750" s="706"/>
      <c r="R750" s="702"/>
      <c r="S750" s="702"/>
      <c r="T750" s="702"/>
      <c r="U750" s="702"/>
      <c r="V750" s="702"/>
      <c r="W750" s="702"/>
      <c r="X750" s="702"/>
      <c r="Y750" s="702"/>
      <c r="Z750" s="702"/>
      <c r="AA750" s="473" t="s">
        <v>1279</v>
      </c>
      <c r="AB750" s="474" t="s">
        <v>539</v>
      </c>
      <c r="AC750" s="474" t="s">
        <v>539</v>
      </c>
      <c r="AD750" s="698"/>
      <c r="AE750" s="702"/>
      <c r="AF750" s="702"/>
      <c r="AG750" s="702"/>
      <c r="AH750" s="729"/>
      <c r="AI750" s="698"/>
      <c r="AJ750" s="700"/>
    </row>
    <row r="751" spans="2:36" ht="24" hidden="1" customHeight="1">
      <c r="B751" s="463">
        <v>617</v>
      </c>
      <c r="C751" s="464" t="s">
        <v>534</v>
      </c>
      <c r="D751" s="464"/>
      <c r="E751" s="464" t="s">
        <v>535</v>
      </c>
      <c r="F751" s="464"/>
      <c r="G751" s="464" t="s">
        <v>274</v>
      </c>
      <c r="H751" s="464" t="s">
        <v>2108</v>
      </c>
      <c r="I751" s="466">
        <v>70000</v>
      </c>
      <c r="J751" s="465" t="s">
        <v>537</v>
      </c>
      <c r="K751" s="465" t="s">
        <v>537</v>
      </c>
      <c r="L751" s="466">
        <v>49750</v>
      </c>
      <c r="M751" s="465" t="s">
        <v>537</v>
      </c>
      <c r="N751" s="465" t="s">
        <v>537</v>
      </c>
      <c r="O751" s="463" t="s">
        <v>537</v>
      </c>
      <c r="P751" s="463" t="s">
        <v>537</v>
      </c>
      <c r="Q751" s="468">
        <v>20250</v>
      </c>
      <c r="R751" s="463" t="s">
        <v>2109</v>
      </c>
      <c r="S751" s="463" t="s">
        <v>2110</v>
      </c>
      <c r="T751" s="463">
        <v>60</v>
      </c>
      <c r="U751" s="463">
        <v>25</v>
      </c>
      <c r="V751" s="463">
        <v>0</v>
      </c>
      <c r="W751" s="463">
        <v>164</v>
      </c>
      <c r="X751" s="463">
        <v>55</v>
      </c>
      <c r="Y751" s="463">
        <v>0</v>
      </c>
      <c r="Z751" s="463">
        <v>95</v>
      </c>
      <c r="AA751" s="472" t="s">
        <v>633</v>
      </c>
      <c r="AB751" s="463" t="s">
        <v>539</v>
      </c>
      <c r="AC751" s="463" t="s">
        <v>539</v>
      </c>
      <c r="AD751" s="472" t="s">
        <v>635</v>
      </c>
      <c r="AE751" s="463" t="s">
        <v>539</v>
      </c>
      <c r="AF751" s="463" t="s">
        <v>539</v>
      </c>
      <c r="AG751" s="463" t="s">
        <v>375</v>
      </c>
      <c r="AH751" s="476"/>
      <c r="AI751" s="472">
        <v>840583641</v>
      </c>
      <c r="AJ751" s="464"/>
    </row>
    <row r="752" spans="2:36" ht="24" hidden="1" customHeight="1">
      <c r="B752" s="463">
        <v>618</v>
      </c>
      <c r="C752" s="464" t="s">
        <v>534</v>
      </c>
      <c r="D752" s="464"/>
      <c r="E752" s="464" t="s">
        <v>535</v>
      </c>
      <c r="F752" s="464"/>
      <c r="G752" s="464" t="s">
        <v>274</v>
      </c>
      <c r="H752" s="464" t="s">
        <v>2111</v>
      </c>
      <c r="I752" s="466">
        <v>100000</v>
      </c>
      <c r="J752" s="465" t="s">
        <v>537</v>
      </c>
      <c r="K752" s="465" t="s">
        <v>537</v>
      </c>
      <c r="L752" s="466">
        <v>100000</v>
      </c>
      <c r="M752" s="465" t="s">
        <v>537</v>
      </c>
      <c r="N752" s="465" t="s">
        <v>537</v>
      </c>
      <c r="O752" s="463" t="s">
        <v>537</v>
      </c>
      <c r="P752" s="463" t="s">
        <v>537</v>
      </c>
      <c r="Q752" s="465">
        <v>0</v>
      </c>
      <c r="R752" s="470">
        <v>241487</v>
      </c>
      <c r="S752" s="463" t="s">
        <v>2112</v>
      </c>
      <c r="T752" s="463">
        <v>200</v>
      </c>
      <c r="U752" s="463">
        <v>40</v>
      </c>
      <c r="V752" s="463">
        <v>0</v>
      </c>
      <c r="W752" s="463">
        <v>207</v>
      </c>
      <c r="X752" s="463">
        <v>80</v>
      </c>
      <c r="Y752" s="463">
        <v>0</v>
      </c>
      <c r="Z752" s="463">
        <v>87</v>
      </c>
      <c r="AA752" s="472" t="s">
        <v>547</v>
      </c>
      <c r="AB752" s="463" t="s">
        <v>539</v>
      </c>
      <c r="AC752" s="463" t="s">
        <v>539</v>
      </c>
      <c r="AD752" s="472" t="s">
        <v>548</v>
      </c>
      <c r="AE752" s="463">
        <v>80</v>
      </c>
      <c r="AF752" s="463">
        <v>85</v>
      </c>
      <c r="AG752" s="463" t="s">
        <v>375</v>
      </c>
      <c r="AH752" s="476"/>
      <c r="AI752" s="472" t="s">
        <v>2113</v>
      </c>
      <c r="AJ752" s="464"/>
    </row>
    <row r="753" spans="2:36" ht="24" hidden="1" customHeight="1">
      <c r="B753" s="463">
        <v>619</v>
      </c>
      <c r="C753" s="464" t="s">
        <v>534</v>
      </c>
      <c r="D753" s="464"/>
      <c r="E753" s="464" t="s">
        <v>535</v>
      </c>
      <c r="F753" s="464"/>
      <c r="G753" s="464" t="s">
        <v>274</v>
      </c>
      <c r="H753" s="464" t="s">
        <v>2114</v>
      </c>
      <c r="I753" s="466">
        <v>150000</v>
      </c>
      <c r="J753" s="465" t="s">
        <v>537</v>
      </c>
      <c r="K753" s="465" t="s">
        <v>537</v>
      </c>
      <c r="L753" s="466">
        <v>149640</v>
      </c>
      <c r="M753" s="465" t="s">
        <v>537</v>
      </c>
      <c r="N753" s="465" t="s">
        <v>537</v>
      </c>
      <c r="O753" s="463" t="s">
        <v>537</v>
      </c>
      <c r="P753" s="463" t="s">
        <v>537</v>
      </c>
      <c r="Q753" s="465">
        <v>360</v>
      </c>
      <c r="R753" s="463" t="s">
        <v>2109</v>
      </c>
      <c r="S753" s="471">
        <v>22276</v>
      </c>
      <c r="T753" s="463">
        <v>50</v>
      </c>
      <c r="U753" s="463">
        <v>10</v>
      </c>
      <c r="V753" s="463">
        <v>0</v>
      </c>
      <c r="W753" s="463">
        <v>6</v>
      </c>
      <c r="X753" s="463">
        <v>2</v>
      </c>
      <c r="Y753" s="463" t="s">
        <v>537</v>
      </c>
      <c r="Z753" s="463">
        <v>90</v>
      </c>
      <c r="AA753" s="472" t="s">
        <v>547</v>
      </c>
      <c r="AB753" s="463" t="s">
        <v>539</v>
      </c>
      <c r="AC753" s="463" t="s">
        <v>539</v>
      </c>
      <c r="AD753" s="472" t="s">
        <v>1357</v>
      </c>
      <c r="AE753" s="463">
        <v>1</v>
      </c>
      <c r="AF753" s="463">
        <v>1</v>
      </c>
      <c r="AG753" s="463" t="s">
        <v>375</v>
      </c>
      <c r="AH753" s="476"/>
      <c r="AI753" s="472" t="s">
        <v>2115</v>
      </c>
      <c r="AJ753" s="464"/>
    </row>
    <row r="754" spans="2:36" ht="24" hidden="1" customHeight="1">
      <c r="B754" s="463">
        <v>620</v>
      </c>
      <c r="C754" s="464" t="s">
        <v>534</v>
      </c>
      <c r="D754" s="464"/>
      <c r="E754" s="464" t="s">
        <v>535</v>
      </c>
      <c r="F754" s="464"/>
      <c r="G754" s="464" t="s">
        <v>274</v>
      </c>
      <c r="H754" s="464" t="s">
        <v>2116</v>
      </c>
      <c r="I754" s="466">
        <v>200000</v>
      </c>
      <c r="J754" s="465" t="s">
        <v>537</v>
      </c>
      <c r="K754" s="465" t="s">
        <v>537</v>
      </c>
      <c r="L754" s="466">
        <v>200000</v>
      </c>
      <c r="M754" s="465" t="s">
        <v>537</v>
      </c>
      <c r="N754" s="465" t="s">
        <v>537</v>
      </c>
      <c r="O754" s="463" t="s">
        <v>537</v>
      </c>
      <c r="P754" s="463" t="s">
        <v>537</v>
      </c>
      <c r="Q754" s="465">
        <v>0</v>
      </c>
      <c r="R754" s="470">
        <v>241579</v>
      </c>
      <c r="S754" s="463" t="s">
        <v>2117</v>
      </c>
      <c r="T754" s="463">
        <v>650</v>
      </c>
      <c r="U754" s="463">
        <v>110</v>
      </c>
      <c r="V754" s="463">
        <v>1240</v>
      </c>
      <c r="W754" s="463">
        <v>3705</v>
      </c>
      <c r="X754" s="463">
        <v>101</v>
      </c>
      <c r="Y754" s="463">
        <v>3604</v>
      </c>
      <c r="Z754" s="463">
        <v>87.13</v>
      </c>
      <c r="AA754" s="472" t="s">
        <v>547</v>
      </c>
      <c r="AB754" s="463" t="s">
        <v>539</v>
      </c>
      <c r="AC754" s="463" t="s">
        <v>539</v>
      </c>
      <c r="AD754" s="472" t="s">
        <v>925</v>
      </c>
      <c r="AE754" s="463">
        <v>80</v>
      </c>
      <c r="AF754" s="463">
        <v>87.13</v>
      </c>
      <c r="AG754" s="463" t="s">
        <v>375</v>
      </c>
      <c r="AH754" s="476"/>
      <c r="AI754" s="472">
        <v>918263476</v>
      </c>
      <c r="AJ754" s="464"/>
    </row>
    <row r="755" spans="2:36" ht="24" hidden="1" customHeight="1">
      <c r="B755" s="701">
        <v>621</v>
      </c>
      <c r="C755" s="699" t="s">
        <v>534</v>
      </c>
      <c r="D755" s="699"/>
      <c r="E755" s="699" t="s">
        <v>535</v>
      </c>
      <c r="F755" s="699"/>
      <c r="G755" s="699" t="s">
        <v>274</v>
      </c>
      <c r="H755" s="699" t="s">
        <v>636</v>
      </c>
      <c r="I755" s="712">
        <v>200000</v>
      </c>
      <c r="J755" s="709" t="s">
        <v>537</v>
      </c>
      <c r="K755" s="709" t="s">
        <v>537</v>
      </c>
      <c r="L755" s="712">
        <v>200000</v>
      </c>
      <c r="M755" s="709" t="s">
        <v>537</v>
      </c>
      <c r="N755" s="709" t="s">
        <v>537</v>
      </c>
      <c r="O755" s="701" t="s">
        <v>537</v>
      </c>
      <c r="P755" s="701" t="s">
        <v>537</v>
      </c>
      <c r="Q755" s="709">
        <v>0</v>
      </c>
      <c r="R755" s="707">
        <v>241609</v>
      </c>
      <c r="S755" s="701" t="s">
        <v>637</v>
      </c>
      <c r="T755" s="701">
        <v>65</v>
      </c>
      <c r="U755" s="701">
        <v>0</v>
      </c>
      <c r="V755" s="701">
        <v>0</v>
      </c>
      <c r="W755" s="701">
        <v>55</v>
      </c>
      <c r="X755" s="701">
        <v>10</v>
      </c>
      <c r="Y755" s="701">
        <v>0</v>
      </c>
      <c r="Z755" s="701">
        <v>98</v>
      </c>
      <c r="AA755" s="458" t="s">
        <v>1304</v>
      </c>
      <c r="AB755" s="459" t="s">
        <v>539</v>
      </c>
      <c r="AC755" s="459" t="s">
        <v>539</v>
      </c>
      <c r="AD755" s="697" t="s">
        <v>606</v>
      </c>
      <c r="AE755" s="701">
        <v>80</v>
      </c>
      <c r="AF755" s="701">
        <v>95</v>
      </c>
      <c r="AG755" s="701" t="s">
        <v>375</v>
      </c>
      <c r="AH755" s="728"/>
      <c r="AI755" s="697">
        <v>864753829</v>
      </c>
      <c r="AJ755" s="699"/>
    </row>
    <row r="756" spans="2:36" ht="24" hidden="1" customHeight="1">
      <c r="B756" s="702"/>
      <c r="C756" s="700"/>
      <c r="D756" s="700"/>
      <c r="E756" s="700"/>
      <c r="F756" s="700"/>
      <c r="G756" s="700"/>
      <c r="H756" s="700"/>
      <c r="I756" s="713"/>
      <c r="J756" s="710"/>
      <c r="K756" s="710"/>
      <c r="L756" s="713"/>
      <c r="M756" s="710"/>
      <c r="N756" s="710"/>
      <c r="O756" s="702"/>
      <c r="P756" s="702"/>
      <c r="Q756" s="710"/>
      <c r="R756" s="708"/>
      <c r="S756" s="702"/>
      <c r="T756" s="702"/>
      <c r="U756" s="702"/>
      <c r="V756" s="702"/>
      <c r="W756" s="702"/>
      <c r="X756" s="702"/>
      <c r="Y756" s="702"/>
      <c r="Z756" s="702"/>
      <c r="AA756" s="473" t="s">
        <v>2118</v>
      </c>
      <c r="AB756" s="474">
        <v>1</v>
      </c>
      <c r="AC756" s="474">
        <v>41</v>
      </c>
      <c r="AD756" s="698"/>
      <c r="AE756" s="702"/>
      <c r="AF756" s="702"/>
      <c r="AG756" s="702"/>
      <c r="AH756" s="729"/>
      <c r="AI756" s="698"/>
      <c r="AJ756" s="700"/>
    </row>
    <row r="757" spans="2:36" ht="24" hidden="1" customHeight="1">
      <c r="B757" s="701">
        <v>622</v>
      </c>
      <c r="C757" s="699" t="s">
        <v>534</v>
      </c>
      <c r="D757" s="699"/>
      <c r="E757" s="699" t="s">
        <v>535</v>
      </c>
      <c r="F757" s="699"/>
      <c r="G757" s="699" t="s">
        <v>274</v>
      </c>
      <c r="H757" s="699" t="s">
        <v>2119</v>
      </c>
      <c r="I757" s="712">
        <v>30000</v>
      </c>
      <c r="J757" s="709" t="s">
        <v>537</v>
      </c>
      <c r="K757" s="709" t="s">
        <v>537</v>
      </c>
      <c r="L757" s="712">
        <v>30000</v>
      </c>
      <c r="M757" s="709" t="s">
        <v>537</v>
      </c>
      <c r="N757" s="709" t="s">
        <v>537</v>
      </c>
      <c r="O757" s="701" t="s">
        <v>537</v>
      </c>
      <c r="P757" s="701" t="s">
        <v>537</v>
      </c>
      <c r="Q757" s="709">
        <v>0</v>
      </c>
      <c r="R757" s="707">
        <v>241459</v>
      </c>
      <c r="S757" s="721">
        <v>22340</v>
      </c>
      <c r="T757" s="701">
        <v>40</v>
      </c>
      <c r="U757" s="701">
        <v>14</v>
      </c>
      <c r="V757" s="701">
        <v>0</v>
      </c>
      <c r="W757" s="701">
        <v>42</v>
      </c>
      <c r="X757" s="701">
        <v>13</v>
      </c>
      <c r="Y757" s="701">
        <v>0</v>
      </c>
      <c r="Z757" s="701">
        <v>84.64</v>
      </c>
      <c r="AA757" s="458" t="s">
        <v>2120</v>
      </c>
      <c r="AB757" s="459" t="s">
        <v>539</v>
      </c>
      <c r="AC757" s="459" t="s">
        <v>539</v>
      </c>
      <c r="AD757" s="458" t="s">
        <v>548</v>
      </c>
      <c r="AE757" s="459">
        <v>80</v>
      </c>
      <c r="AF757" s="459">
        <v>90.87</v>
      </c>
      <c r="AG757" s="701" t="s">
        <v>375</v>
      </c>
      <c r="AH757" s="728"/>
      <c r="AI757" s="697" t="s">
        <v>2121</v>
      </c>
      <c r="AJ757" s="699"/>
    </row>
    <row r="758" spans="2:36" ht="24" hidden="1" customHeight="1">
      <c r="B758" s="715"/>
      <c r="C758" s="714"/>
      <c r="D758" s="714"/>
      <c r="E758" s="714"/>
      <c r="F758" s="714"/>
      <c r="G758" s="714"/>
      <c r="H758" s="714"/>
      <c r="I758" s="720"/>
      <c r="J758" s="717"/>
      <c r="K758" s="717"/>
      <c r="L758" s="720"/>
      <c r="M758" s="717"/>
      <c r="N758" s="717"/>
      <c r="O758" s="715"/>
      <c r="P758" s="715"/>
      <c r="Q758" s="717"/>
      <c r="R758" s="719"/>
      <c r="S758" s="731"/>
      <c r="T758" s="715"/>
      <c r="U758" s="715"/>
      <c r="V758" s="715"/>
      <c r="W758" s="715"/>
      <c r="X758" s="715"/>
      <c r="Y758" s="715"/>
      <c r="Z758" s="715"/>
      <c r="AA758" s="460" t="s">
        <v>2122</v>
      </c>
      <c r="AB758" s="461" t="s">
        <v>539</v>
      </c>
      <c r="AC758" s="461" t="s">
        <v>539</v>
      </c>
      <c r="AD758" s="460" t="s">
        <v>2123</v>
      </c>
      <c r="AE758" s="461">
        <v>6</v>
      </c>
      <c r="AF758" s="461">
        <v>6</v>
      </c>
      <c r="AG758" s="715"/>
      <c r="AH758" s="730"/>
      <c r="AI758" s="711"/>
      <c r="AJ758" s="714"/>
    </row>
    <row r="759" spans="2:36" ht="24" hidden="1" customHeight="1">
      <c r="B759" s="702"/>
      <c r="C759" s="700"/>
      <c r="D759" s="700"/>
      <c r="E759" s="700"/>
      <c r="F759" s="700"/>
      <c r="G759" s="700"/>
      <c r="H759" s="700"/>
      <c r="I759" s="713"/>
      <c r="J759" s="710"/>
      <c r="K759" s="710"/>
      <c r="L759" s="713"/>
      <c r="M759" s="710"/>
      <c r="N759" s="710"/>
      <c r="O759" s="702"/>
      <c r="P759" s="702"/>
      <c r="Q759" s="710"/>
      <c r="R759" s="708"/>
      <c r="S759" s="722"/>
      <c r="T759" s="702"/>
      <c r="U759" s="702"/>
      <c r="V759" s="702"/>
      <c r="W759" s="702"/>
      <c r="X759" s="702"/>
      <c r="Y759" s="702"/>
      <c r="Z759" s="702"/>
      <c r="AA759" s="462"/>
      <c r="AB759" s="462"/>
      <c r="AC759" s="462"/>
      <c r="AD759" s="473" t="s">
        <v>2124</v>
      </c>
      <c r="AE759" s="474">
        <v>54</v>
      </c>
      <c r="AF759" s="474">
        <v>55</v>
      </c>
      <c r="AG759" s="702"/>
      <c r="AH759" s="729"/>
      <c r="AI759" s="698"/>
      <c r="AJ759" s="700"/>
    </row>
    <row r="760" spans="2:36" ht="24" hidden="1" customHeight="1">
      <c r="B760" s="463">
        <v>623</v>
      </c>
      <c r="C760" s="464" t="s">
        <v>534</v>
      </c>
      <c r="D760" s="464"/>
      <c r="E760" s="464" t="s">
        <v>535</v>
      </c>
      <c r="F760" s="464"/>
      <c r="G760" s="464" t="s">
        <v>274</v>
      </c>
      <c r="H760" s="464" t="s">
        <v>2125</v>
      </c>
      <c r="I760" s="466">
        <v>30000</v>
      </c>
      <c r="J760" s="465" t="s">
        <v>537</v>
      </c>
      <c r="K760" s="465" t="s">
        <v>537</v>
      </c>
      <c r="L760" s="466">
        <v>30000</v>
      </c>
      <c r="M760" s="465" t="s">
        <v>537</v>
      </c>
      <c r="N760" s="465" t="s">
        <v>537</v>
      </c>
      <c r="O760" s="463" t="s">
        <v>537</v>
      </c>
      <c r="P760" s="463" t="s">
        <v>537</v>
      </c>
      <c r="Q760" s="465">
        <v>0</v>
      </c>
      <c r="R760" s="470">
        <v>241428</v>
      </c>
      <c r="S760" s="463" t="s">
        <v>1915</v>
      </c>
      <c r="T760" s="463">
        <v>270</v>
      </c>
      <c r="U760" s="463">
        <v>0</v>
      </c>
      <c r="V760" s="463">
        <v>0</v>
      </c>
      <c r="W760" s="463">
        <v>270</v>
      </c>
      <c r="X760" s="463">
        <v>0</v>
      </c>
      <c r="Y760" s="463">
        <v>0</v>
      </c>
      <c r="Z760" s="463">
        <v>96.2</v>
      </c>
      <c r="AA760" s="472" t="s">
        <v>547</v>
      </c>
      <c r="AB760" s="463" t="s">
        <v>539</v>
      </c>
      <c r="AC760" s="463" t="s">
        <v>539</v>
      </c>
      <c r="AD760" s="472" t="s">
        <v>548</v>
      </c>
      <c r="AE760" s="463">
        <v>80</v>
      </c>
      <c r="AF760" s="463">
        <v>93.5</v>
      </c>
      <c r="AG760" s="463" t="s">
        <v>375</v>
      </c>
      <c r="AH760" s="476"/>
      <c r="AI760" s="472" t="s">
        <v>2126</v>
      </c>
      <c r="AJ760" s="464"/>
    </row>
    <row r="761" spans="2:36" ht="24" hidden="1" customHeight="1">
      <c r="B761" s="463">
        <v>624</v>
      </c>
      <c r="C761" s="464" t="s">
        <v>534</v>
      </c>
      <c r="D761" s="464"/>
      <c r="E761" s="464" t="s">
        <v>535</v>
      </c>
      <c r="F761" s="464"/>
      <c r="G761" s="464" t="s">
        <v>274</v>
      </c>
      <c r="H761" s="464" t="s">
        <v>2127</v>
      </c>
      <c r="I761" s="466">
        <v>9000</v>
      </c>
      <c r="J761" s="465" t="s">
        <v>537</v>
      </c>
      <c r="K761" s="465" t="s">
        <v>537</v>
      </c>
      <c r="L761" s="466">
        <v>9000</v>
      </c>
      <c r="M761" s="465" t="s">
        <v>537</v>
      </c>
      <c r="N761" s="465" t="s">
        <v>537</v>
      </c>
      <c r="O761" s="463" t="s">
        <v>537</v>
      </c>
      <c r="P761" s="463" t="s">
        <v>537</v>
      </c>
      <c r="Q761" s="465">
        <v>0</v>
      </c>
      <c r="R761" s="470">
        <v>241487</v>
      </c>
      <c r="S761" s="471">
        <v>22333</v>
      </c>
      <c r="T761" s="463">
        <v>100</v>
      </c>
      <c r="U761" s="463">
        <v>50</v>
      </c>
      <c r="V761" s="463">
        <v>0</v>
      </c>
      <c r="W761" s="463">
        <v>100</v>
      </c>
      <c r="X761" s="463">
        <v>50</v>
      </c>
      <c r="Y761" s="463">
        <v>0</v>
      </c>
      <c r="Z761" s="463">
        <v>87</v>
      </c>
      <c r="AA761" s="472" t="s">
        <v>547</v>
      </c>
      <c r="AB761" s="463" t="s">
        <v>539</v>
      </c>
      <c r="AC761" s="463" t="s">
        <v>539</v>
      </c>
      <c r="AD761" s="472" t="s">
        <v>548</v>
      </c>
      <c r="AE761" s="463">
        <v>80</v>
      </c>
      <c r="AF761" s="463">
        <v>87.4</v>
      </c>
      <c r="AG761" s="463" t="s">
        <v>375</v>
      </c>
      <c r="AH761" s="476"/>
      <c r="AI761" s="472" t="s">
        <v>2128</v>
      </c>
      <c r="AJ761" s="464"/>
    </row>
    <row r="762" spans="2:36" ht="24" hidden="1" customHeight="1">
      <c r="B762" s="463">
        <v>625</v>
      </c>
      <c r="C762" s="464" t="s">
        <v>534</v>
      </c>
      <c r="D762" s="464"/>
      <c r="E762" s="464" t="s">
        <v>535</v>
      </c>
      <c r="F762" s="464"/>
      <c r="G762" s="464" t="s">
        <v>274</v>
      </c>
      <c r="H762" s="464" t="s">
        <v>2129</v>
      </c>
      <c r="I762" s="466">
        <v>6000</v>
      </c>
      <c r="J762" s="465" t="s">
        <v>537</v>
      </c>
      <c r="K762" s="465" t="s">
        <v>537</v>
      </c>
      <c r="L762" s="466">
        <v>6000</v>
      </c>
      <c r="M762" s="465" t="s">
        <v>537</v>
      </c>
      <c r="N762" s="465" t="s">
        <v>537</v>
      </c>
      <c r="O762" s="463" t="s">
        <v>537</v>
      </c>
      <c r="P762" s="463" t="s">
        <v>537</v>
      </c>
      <c r="Q762" s="465">
        <v>0</v>
      </c>
      <c r="R762" s="463" t="s">
        <v>643</v>
      </c>
      <c r="S762" s="471">
        <v>22394</v>
      </c>
      <c r="T762" s="463">
        <v>0</v>
      </c>
      <c r="U762" s="463">
        <v>60</v>
      </c>
      <c r="V762" s="463">
        <v>0</v>
      </c>
      <c r="W762" s="463">
        <v>0</v>
      </c>
      <c r="X762" s="463">
        <v>71</v>
      </c>
      <c r="Y762" s="463">
        <v>0</v>
      </c>
      <c r="Z762" s="463">
        <v>88.9</v>
      </c>
      <c r="AA762" s="472" t="s">
        <v>547</v>
      </c>
      <c r="AB762" s="463" t="s">
        <v>539</v>
      </c>
      <c r="AC762" s="463" t="s">
        <v>539</v>
      </c>
      <c r="AD762" s="472" t="s">
        <v>548</v>
      </c>
      <c r="AE762" s="463">
        <v>80</v>
      </c>
      <c r="AF762" s="463">
        <v>85</v>
      </c>
      <c r="AG762" s="463" t="s">
        <v>375</v>
      </c>
      <c r="AH762" s="476"/>
      <c r="AI762" s="472" t="s">
        <v>2128</v>
      </c>
      <c r="AJ762" s="464"/>
    </row>
    <row r="763" spans="2:36" ht="24" hidden="1" customHeight="1">
      <c r="B763" s="463">
        <v>626</v>
      </c>
      <c r="C763" s="464" t="s">
        <v>534</v>
      </c>
      <c r="D763" s="464"/>
      <c r="E763" s="464" t="s">
        <v>535</v>
      </c>
      <c r="F763" s="464"/>
      <c r="G763" s="464" t="s">
        <v>274</v>
      </c>
      <c r="H763" s="464" t="s">
        <v>2130</v>
      </c>
      <c r="I763" s="466">
        <v>6000</v>
      </c>
      <c r="J763" s="465" t="s">
        <v>537</v>
      </c>
      <c r="K763" s="465" t="s">
        <v>537</v>
      </c>
      <c r="L763" s="466">
        <v>6000</v>
      </c>
      <c r="M763" s="465" t="s">
        <v>537</v>
      </c>
      <c r="N763" s="465" t="s">
        <v>537</v>
      </c>
      <c r="O763" s="463" t="s">
        <v>537</v>
      </c>
      <c r="P763" s="463" t="s">
        <v>537</v>
      </c>
      <c r="Q763" s="465">
        <v>0</v>
      </c>
      <c r="R763" s="470">
        <v>241518</v>
      </c>
      <c r="S763" s="471">
        <v>22395</v>
      </c>
      <c r="T763" s="463">
        <v>0</v>
      </c>
      <c r="U763" s="463">
        <v>60</v>
      </c>
      <c r="V763" s="463">
        <v>0</v>
      </c>
      <c r="W763" s="463">
        <v>0</v>
      </c>
      <c r="X763" s="463">
        <v>73</v>
      </c>
      <c r="Y763" s="463">
        <v>0</v>
      </c>
      <c r="Z763" s="463">
        <v>89</v>
      </c>
      <c r="AA763" s="472" t="s">
        <v>547</v>
      </c>
      <c r="AB763" s="463" t="s">
        <v>539</v>
      </c>
      <c r="AC763" s="463" t="s">
        <v>539</v>
      </c>
      <c r="AD763" s="472" t="s">
        <v>548</v>
      </c>
      <c r="AE763" s="463">
        <v>80</v>
      </c>
      <c r="AF763" s="463">
        <v>87</v>
      </c>
      <c r="AG763" s="463" t="s">
        <v>375</v>
      </c>
      <c r="AH763" s="476"/>
      <c r="AI763" s="472" t="s">
        <v>2128</v>
      </c>
      <c r="AJ763" s="464"/>
    </row>
    <row r="764" spans="2:36" ht="24" hidden="1" customHeight="1">
      <c r="B764" s="463">
        <v>627</v>
      </c>
      <c r="C764" s="464" t="s">
        <v>534</v>
      </c>
      <c r="D764" s="464"/>
      <c r="E764" s="464" t="s">
        <v>535</v>
      </c>
      <c r="F764" s="464"/>
      <c r="G764" s="464" t="s">
        <v>274</v>
      </c>
      <c r="H764" s="464" t="s">
        <v>2131</v>
      </c>
      <c r="I764" s="466">
        <v>4000</v>
      </c>
      <c r="J764" s="465" t="s">
        <v>537</v>
      </c>
      <c r="K764" s="465" t="s">
        <v>537</v>
      </c>
      <c r="L764" s="466">
        <v>4000</v>
      </c>
      <c r="M764" s="465" t="s">
        <v>537</v>
      </c>
      <c r="N764" s="465" t="s">
        <v>537</v>
      </c>
      <c r="O764" s="463" t="s">
        <v>537</v>
      </c>
      <c r="P764" s="463" t="s">
        <v>537</v>
      </c>
      <c r="Q764" s="465">
        <v>0</v>
      </c>
      <c r="R764" s="463" t="s">
        <v>643</v>
      </c>
      <c r="S764" s="463" t="s">
        <v>2105</v>
      </c>
      <c r="T764" s="463">
        <v>0</v>
      </c>
      <c r="U764" s="463">
        <v>60</v>
      </c>
      <c r="V764" s="463">
        <v>0</v>
      </c>
      <c r="W764" s="463">
        <v>0</v>
      </c>
      <c r="X764" s="463">
        <v>42</v>
      </c>
      <c r="Y764" s="463">
        <v>0</v>
      </c>
      <c r="Z764" s="463">
        <v>83</v>
      </c>
      <c r="AA764" s="472" t="s">
        <v>547</v>
      </c>
      <c r="AB764" s="463" t="s">
        <v>539</v>
      </c>
      <c r="AC764" s="463" t="s">
        <v>539</v>
      </c>
      <c r="AD764" s="472" t="s">
        <v>548</v>
      </c>
      <c r="AE764" s="463">
        <v>80</v>
      </c>
      <c r="AF764" s="463">
        <v>83</v>
      </c>
      <c r="AG764" s="463" t="s">
        <v>375</v>
      </c>
      <c r="AH764" s="476"/>
      <c r="AI764" s="472">
        <v>897312276</v>
      </c>
      <c r="AJ764" s="464"/>
    </row>
    <row r="765" spans="2:36" ht="24" hidden="1" customHeight="1">
      <c r="B765" s="463">
        <v>628</v>
      </c>
      <c r="C765" s="464" t="s">
        <v>534</v>
      </c>
      <c r="D765" s="464"/>
      <c r="E765" s="464" t="s">
        <v>535</v>
      </c>
      <c r="F765" s="464"/>
      <c r="G765" s="464" t="s">
        <v>274</v>
      </c>
      <c r="H765" s="464" t="s">
        <v>2132</v>
      </c>
      <c r="I765" s="466">
        <v>5000</v>
      </c>
      <c r="J765" s="465" t="s">
        <v>537</v>
      </c>
      <c r="K765" s="465" t="s">
        <v>537</v>
      </c>
      <c r="L765" s="466">
        <v>5000</v>
      </c>
      <c r="M765" s="465" t="s">
        <v>537</v>
      </c>
      <c r="N765" s="465" t="s">
        <v>537</v>
      </c>
      <c r="O765" s="463" t="s">
        <v>537</v>
      </c>
      <c r="P765" s="463" t="s">
        <v>537</v>
      </c>
      <c r="Q765" s="465">
        <v>0</v>
      </c>
      <c r="R765" s="463" t="s">
        <v>643</v>
      </c>
      <c r="S765" s="463" t="s">
        <v>959</v>
      </c>
      <c r="T765" s="463">
        <v>0</v>
      </c>
      <c r="U765" s="463">
        <v>50</v>
      </c>
      <c r="V765" s="463">
        <v>0</v>
      </c>
      <c r="W765" s="463">
        <v>0</v>
      </c>
      <c r="X765" s="463">
        <v>60</v>
      </c>
      <c r="Y765" s="463">
        <v>0</v>
      </c>
      <c r="Z765" s="463">
        <v>84</v>
      </c>
      <c r="AA765" s="472" t="s">
        <v>547</v>
      </c>
      <c r="AB765" s="463" t="s">
        <v>539</v>
      </c>
      <c r="AC765" s="463" t="s">
        <v>539</v>
      </c>
      <c r="AD765" s="472" t="s">
        <v>548</v>
      </c>
      <c r="AE765" s="463">
        <v>80</v>
      </c>
      <c r="AF765" s="463">
        <v>84</v>
      </c>
      <c r="AG765" s="463" t="s">
        <v>375</v>
      </c>
      <c r="AH765" s="476"/>
      <c r="AI765" s="472" t="s">
        <v>2128</v>
      </c>
      <c r="AJ765" s="464"/>
    </row>
    <row r="766" spans="2:36" ht="24" hidden="1" customHeight="1">
      <c r="B766" s="701">
        <v>629</v>
      </c>
      <c r="C766" s="699" t="s">
        <v>534</v>
      </c>
      <c r="D766" s="699"/>
      <c r="E766" s="699" t="s">
        <v>535</v>
      </c>
      <c r="F766" s="699"/>
      <c r="G766" s="699" t="s">
        <v>274</v>
      </c>
      <c r="H766" s="699" t="s">
        <v>2133</v>
      </c>
      <c r="I766" s="712">
        <v>10000</v>
      </c>
      <c r="J766" s="709" t="s">
        <v>537</v>
      </c>
      <c r="K766" s="709" t="s">
        <v>537</v>
      </c>
      <c r="L766" s="712">
        <v>10000</v>
      </c>
      <c r="M766" s="709" t="s">
        <v>537</v>
      </c>
      <c r="N766" s="709" t="s">
        <v>537</v>
      </c>
      <c r="O766" s="701" t="s">
        <v>537</v>
      </c>
      <c r="P766" s="701" t="s">
        <v>537</v>
      </c>
      <c r="Q766" s="709">
        <v>0</v>
      </c>
      <c r="R766" s="701" t="s">
        <v>877</v>
      </c>
      <c r="S766" s="701" t="s">
        <v>2134</v>
      </c>
      <c r="T766" s="701">
        <v>30</v>
      </c>
      <c r="U766" s="701">
        <v>8</v>
      </c>
      <c r="V766" s="701">
        <v>0</v>
      </c>
      <c r="W766" s="701">
        <v>30</v>
      </c>
      <c r="X766" s="701">
        <v>8</v>
      </c>
      <c r="Y766" s="701">
        <v>0</v>
      </c>
      <c r="Z766" s="701">
        <v>85.6</v>
      </c>
      <c r="AA766" s="458" t="s">
        <v>2120</v>
      </c>
      <c r="AB766" s="459" t="s">
        <v>539</v>
      </c>
      <c r="AC766" s="459" t="s">
        <v>539</v>
      </c>
      <c r="AD766" s="458" t="s">
        <v>548</v>
      </c>
      <c r="AE766" s="459">
        <v>80</v>
      </c>
      <c r="AF766" s="459">
        <v>80</v>
      </c>
      <c r="AG766" s="701" t="s">
        <v>375</v>
      </c>
      <c r="AH766" s="728"/>
      <c r="AI766" s="697" t="s">
        <v>2135</v>
      </c>
      <c r="AJ766" s="699"/>
    </row>
    <row r="767" spans="2:36" ht="24" hidden="1" customHeight="1">
      <c r="B767" s="702"/>
      <c r="C767" s="700"/>
      <c r="D767" s="700"/>
      <c r="E767" s="700"/>
      <c r="F767" s="700"/>
      <c r="G767" s="700"/>
      <c r="H767" s="700"/>
      <c r="I767" s="713"/>
      <c r="J767" s="710"/>
      <c r="K767" s="710"/>
      <c r="L767" s="713"/>
      <c r="M767" s="710"/>
      <c r="N767" s="710"/>
      <c r="O767" s="702"/>
      <c r="P767" s="702"/>
      <c r="Q767" s="710"/>
      <c r="R767" s="702"/>
      <c r="S767" s="702"/>
      <c r="T767" s="702"/>
      <c r="U767" s="702"/>
      <c r="V767" s="702"/>
      <c r="W767" s="702"/>
      <c r="X767" s="702"/>
      <c r="Y767" s="702"/>
      <c r="Z767" s="702"/>
      <c r="AA767" s="473" t="s">
        <v>2136</v>
      </c>
      <c r="AB767" s="474" t="s">
        <v>539</v>
      </c>
      <c r="AC767" s="474" t="s">
        <v>539</v>
      </c>
      <c r="AD767" s="473" t="s">
        <v>2137</v>
      </c>
      <c r="AE767" s="474">
        <v>80</v>
      </c>
      <c r="AF767" s="474">
        <v>80</v>
      </c>
      <c r="AG767" s="702"/>
      <c r="AH767" s="729"/>
      <c r="AI767" s="698"/>
      <c r="AJ767" s="700"/>
    </row>
    <row r="768" spans="2:36" ht="24" hidden="1" customHeight="1">
      <c r="B768" s="463">
        <v>630</v>
      </c>
      <c r="C768" s="464" t="s">
        <v>534</v>
      </c>
      <c r="D768" s="464"/>
      <c r="E768" s="464" t="s">
        <v>535</v>
      </c>
      <c r="F768" s="464"/>
      <c r="G768" s="464" t="s">
        <v>274</v>
      </c>
      <c r="H768" s="464" t="s">
        <v>642</v>
      </c>
      <c r="I768" s="466">
        <v>60000</v>
      </c>
      <c r="J768" s="465" t="s">
        <v>537</v>
      </c>
      <c r="K768" s="465" t="s">
        <v>537</v>
      </c>
      <c r="L768" s="466">
        <v>59520</v>
      </c>
      <c r="M768" s="465" t="s">
        <v>537</v>
      </c>
      <c r="N768" s="465" t="s">
        <v>537</v>
      </c>
      <c r="O768" s="463" t="s">
        <v>537</v>
      </c>
      <c r="P768" s="463" t="s">
        <v>537</v>
      </c>
      <c r="Q768" s="465">
        <v>480</v>
      </c>
      <c r="R768" s="470">
        <v>241428</v>
      </c>
      <c r="S768" s="463" t="s">
        <v>2138</v>
      </c>
      <c r="T768" s="463">
        <v>0</v>
      </c>
      <c r="U768" s="463">
        <v>45</v>
      </c>
      <c r="V768" s="463">
        <v>0</v>
      </c>
      <c r="W768" s="463">
        <v>0</v>
      </c>
      <c r="X768" s="463">
        <v>45</v>
      </c>
      <c r="Y768" s="463">
        <v>0</v>
      </c>
      <c r="Z768" s="463">
        <v>95</v>
      </c>
      <c r="AA768" s="472" t="s">
        <v>633</v>
      </c>
      <c r="AB768" s="463" t="s">
        <v>539</v>
      </c>
      <c r="AC768" s="463" t="s">
        <v>539</v>
      </c>
      <c r="AD768" s="472" t="s">
        <v>635</v>
      </c>
      <c r="AE768" s="463" t="s">
        <v>539</v>
      </c>
      <c r="AF768" s="463" t="s">
        <v>539</v>
      </c>
      <c r="AG768" s="463" t="s">
        <v>375</v>
      </c>
      <c r="AH768" s="476"/>
      <c r="AI768" s="472" t="s">
        <v>2139</v>
      </c>
      <c r="AJ768" s="464"/>
    </row>
    <row r="769" spans="1:36" ht="24" hidden="1" customHeight="1">
      <c r="B769" s="463">
        <v>631</v>
      </c>
      <c r="C769" s="464" t="s">
        <v>165</v>
      </c>
      <c r="D769" s="464"/>
      <c r="E769" s="464" t="s">
        <v>535</v>
      </c>
      <c r="F769" s="464"/>
      <c r="G769" s="464" t="s">
        <v>274</v>
      </c>
      <c r="H769" s="464" t="s">
        <v>2140</v>
      </c>
      <c r="I769" s="466">
        <v>18000</v>
      </c>
      <c r="J769" s="465" t="s">
        <v>537</v>
      </c>
      <c r="K769" s="465" t="s">
        <v>537</v>
      </c>
      <c r="L769" s="466">
        <v>17501.599999999999</v>
      </c>
      <c r="M769" s="465" t="s">
        <v>537</v>
      </c>
      <c r="N769" s="465" t="s">
        <v>537</v>
      </c>
      <c r="O769" s="463" t="s">
        <v>537</v>
      </c>
      <c r="P769" s="463" t="s">
        <v>537</v>
      </c>
      <c r="Q769" s="465">
        <v>498</v>
      </c>
      <c r="R769" s="463" t="s">
        <v>646</v>
      </c>
      <c r="S769" s="463" t="s">
        <v>2141</v>
      </c>
      <c r="T769" s="463">
        <v>5</v>
      </c>
      <c r="U769" s="463">
        <v>6</v>
      </c>
      <c r="V769" s="463">
        <v>500</v>
      </c>
      <c r="W769" s="463">
        <v>500</v>
      </c>
      <c r="X769" s="463">
        <v>8</v>
      </c>
      <c r="Y769" s="463" t="s">
        <v>537</v>
      </c>
      <c r="Z769" s="463">
        <v>92</v>
      </c>
      <c r="AA769" s="472" t="s">
        <v>547</v>
      </c>
      <c r="AB769" s="463" t="s">
        <v>539</v>
      </c>
      <c r="AC769" s="463" t="s">
        <v>539</v>
      </c>
      <c r="AD769" s="472" t="s">
        <v>548</v>
      </c>
      <c r="AE769" s="463">
        <v>80</v>
      </c>
      <c r="AF769" s="463">
        <v>92</v>
      </c>
      <c r="AG769" s="463" t="s">
        <v>375</v>
      </c>
      <c r="AH769" s="476"/>
      <c r="AI769" s="472" t="s">
        <v>2142</v>
      </c>
      <c r="AJ769" s="464"/>
    </row>
    <row r="770" spans="1:36" ht="24" hidden="1" customHeight="1">
      <c r="B770" s="463">
        <v>632</v>
      </c>
      <c r="C770" s="464" t="s">
        <v>165</v>
      </c>
      <c r="D770" s="464"/>
      <c r="E770" s="464" t="s">
        <v>535</v>
      </c>
      <c r="F770" s="464"/>
      <c r="G770" s="464" t="s">
        <v>274</v>
      </c>
      <c r="H770" s="464" t="s">
        <v>2143</v>
      </c>
      <c r="I770" s="466">
        <v>10000</v>
      </c>
      <c r="J770" s="465" t="s">
        <v>537</v>
      </c>
      <c r="K770" s="465" t="s">
        <v>537</v>
      </c>
      <c r="L770" s="466">
        <v>10000</v>
      </c>
      <c r="M770" s="465" t="s">
        <v>537</v>
      </c>
      <c r="N770" s="465" t="s">
        <v>537</v>
      </c>
      <c r="O770" s="463" t="s">
        <v>537</v>
      </c>
      <c r="P770" s="463" t="s">
        <v>537</v>
      </c>
      <c r="Q770" s="465">
        <v>0</v>
      </c>
      <c r="R770" s="470">
        <v>241671</v>
      </c>
      <c r="S770" s="471">
        <v>22334</v>
      </c>
      <c r="T770" s="463">
        <v>70</v>
      </c>
      <c r="U770" s="463">
        <v>10</v>
      </c>
      <c r="V770" s="463">
        <v>2</v>
      </c>
      <c r="W770" s="463">
        <v>70</v>
      </c>
      <c r="X770" s="463">
        <v>10</v>
      </c>
      <c r="Y770" s="463">
        <v>2</v>
      </c>
      <c r="Z770" s="463">
        <v>93.2</v>
      </c>
      <c r="AA770" s="472" t="s">
        <v>547</v>
      </c>
      <c r="AB770" s="463" t="s">
        <v>539</v>
      </c>
      <c r="AC770" s="463" t="s">
        <v>539</v>
      </c>
      <c r="AD770" s="472" t="s">
        <v>733</v>
      </c>
      <c r="AE770" s="463">
        <v>1</v>
      </c>
      <c r="AF770" s="463">
        <v>1</v>
      </c>
      <c r="AG770" s="463" t="s">
        <v>375</v>
      </c>
      <c r="AH770" s="476"/>
      <c r="AI770" s="472" t="s">
        <v>2144</v>
      </c>
      <c r="AJ770" s="464"/>
    </row>
    <row r="771" spans="1:36" ht="24" hidden="1" customHeight="1">
      <c r="B771" s="463">
        <v>633</v>
      </c>
      <c r="C771" s="464" t="s">
        <v>10</v>
      </c>
      <c r="D771" s="464"/>
      <c r="E771" s="464" t="s">
        <v>558</v>
      </c>
      <c r="F771" s="464"/>
      <c r="G771" s="464" t="s">
        <v>274</v>
      </c>
      <c r="H771" s="464" t="s">
        <v>2145</v>
      </c>
      <c r="I771" s="465" t="s">
        <v>537</v>
      </c>
      <c r="J771" s="465" t="s">
        <v>537</v>
      </c>
      <c r="K771" s="466">
        <v>50000</v>
      </c>
      <c r="L771" s="465" t="s">
        <v>537</v>
      </c>
      <c r="M771" s="465" t="s">
        <v>537</v>
      </c>
      <c r="N771" s="466">
        <v>50000</v>
      </c>
      <c r="O771" s="463" t="s">
        <v>537</v>
      </c>
      <c r="P771" s="463" t="s">
        <v>537</v>
      </c>
      <c r="Q771" s="465">
        <v>0</v>
      </c>
      <c r="R771" s="470">
        <v>241671</v>
      </c>
      <c r="S771" s="463" t="s">
        <v>1997</v>
      </c>
      <c r="T771" s="463">
        <v>10</v>
      </c>
      <c r="U771" s="463">
        <v>110</v>
      </c>
      <c r="V771" s="463">
        <v>0</v>
      </c>
      <c r="W771" s="463">
        <v>10</v>
      </c>
      <c r="X771" s="463">
        <v>110</v>
      </c>
      <c r="Y771" s="464"/>
      <c r="Z771" s="463">
        <v>95</v>
      </c>
      <c r="AA771" s="472" t="s">
        <v>899</v>
      </c>
      <c r="AB771" s="463" t="s">
        <v>539</v>
      </c>
      <c r="AC771" s="463" t="s">
        <v>539</v>
      </c>
      <c r="AD771" s="472" t="s">
        <v>548</v>
      </c>
      <c r="AE771" s="463">
        <v>80</v>
      </c>
      <c r="AF771" s="463">
        <v>95</v>
      </c>
      <c r="AG771" s="463" t="s">
        <v>375</v>
      </c>
      <c r="AH771" s="476"/>
      <c r="AI771" s="472" t="s">
        <v>2113</v>
      </c>
      <c r="AJ771" s="472" t="s">
        <v>562</v>
      </c>
    </row>
    <row r="772" spans="1:36" ht="24" customHeight="1">
      <c r="A772" s="452">
        <v>80</v>
      </c>
      <c r="B772" s="701">
        <v>634</v>
      </c>
      <c r="C772" s="699" t="s">
        <v>377</v>
      </c>
      <c r="D772" s="699"/>
      <c r="E772" s="699" t="s">
        <v>602</v>
      </c>
      <c r="F772" s="699"/>
      <c r="G772" s="699" t="s">
        <v>55</v>
      </c>
      <c r="H772" s="699" t="s">
        <v>2146</v>
      </c>
      <c r="I772" s="712">
        <v>30000</v>
      </c>
      <c r="J772" s="709" t="s">
        <v>537</v>
      </c>
      <c r="K772" s="709" t="s">
        <v>537</v>
      </c>
      <c r="L772" s="712">
        <v>26620</v>
      </c>
      <c r="M772" s="709" t="s">
        <v>537</v>
      </c>
      <c r="N772" s="709" t="s">
        <v>537</v>
      </c>
      <c r="O772" s="701" t="s">
        <v>537</v>
      </c>
      <c r="P772" s="701" t="s">
        <v>537</v>
      </c>
      <c r="Q772" s="705">
        <v>3380</v>
      </c>
      <c r="R772" s="707">
        <v>241459</v>
      </c>
      <c r="S772" s="721">
        <v>22350</v>
      </c>
      <c r="T772" s="701">
        <v>48</v>
      </c>
      <c r="U772" s="701">
        <v>2</v>
      </c>
      <c r="V772" s="701">
        <v>0</v>
      </c>
      <c r="W772" s="701">
        <v>51</v>
      </c>
      <c r="X772" s="701">
        <v>2</v>
      </c>
      <c r="Y772" s="701">
        <v>0</v>
      </c>
      <c r="Z772" s="701">
        <v>92</v>
      </c>
      <c r="AA772" s="458" t="s">
        <v>2147</v>
      </c>
      <c r="AB772" s="459" t="s">
        <v>539</v>
      </c>
      <c r="AC772" s="459" t="s">
        <v>539</v>
      </c>
      <c r="AD772" s="458" t="s">
        <v>2148</v>
      </c>
      <c r="AE772" s="459">
        <v>80</v>
      </c>
      <c r="AF772" s="459">
        <v>92</v>
      </c>
      <c r="AG772" s="701" t="s">
        <v>375</v>
      </c>
      <c r="AH772" s="728"/>
      <c r="AI772" s="697">
        <v>812538812</v>
      </c>
      <c r="AJ772" s="699"/>
    </row>
    <row r="773" spans="1:36" ht="24" hidden="1" customHeight="1">
      <c r="B773" s="702"/>
      <c r="C773" s="700"/>
      <c r="D773" s="700"/>
      <c r="E773" s="700"/>
      <c r="F773" s="700"/>
      <c r="G773" s="700"/>
      <c r="H773" s="700"/>
      <c r="I773" s="713"/>
      <c r="J773" s="710"/>
      <c r="K773" s="710"/>
      <c r="L773" s="713"/>
      <c r="M773" s="710"/>
      <c r="N773" s="710"/>
      <c r="O773" s="702"/>
      <c r="P773" s="702"/>
      <c r="Q773" s="706"/>
      <c r="R773" s="708"/>
      <c r="S773" s="722"/>
      <c r="T773" s="702"/>
      <c r="U773" s="702"/>
      <c r="V773" s="702"/>
      <c r="W773" s="702"/>
      <c r="X773" s="702"/>
      <c r="Y773" s="702"/>
      <c r="Z773" s="702"/>
      <c r="AA773" s="473" t="s">
        <v>2149</v>
      </c>
      <c r="AB773" s="474">
        <v>80</v>
      </c>
      <c r="AC773" s="474">
        <v>88</v>
      </c>
      <c r="AD773" s="473" t="s">
        <v>2150</v>
      </c>
      <c r="AE773" s="474">
        <v>50</v>
      </c>
      <c r="AF773" s="474">
        <v>51</v>
      </c>
      <c r="AG773" s="702"/>
      <c r="AH773" s="729"/>
      <c r="AI773" s="698"/>
      <c r="AJ773" s="700"/>
    </row>
    <row r="774" spans="1:36" ht="24" customHeight="1">
      <c r="A774" s="452">
        <v>81</v>
      </c>
      <c r="B774" s="701">
        <v>635</v>
      </c>
      <c r="C774" s="699" t="s">
        <v>377</v>
      </c>
      <c r="D774" s="699"/>
      <c r="E774" s="699" t="s">
        <v>602</v>
      </c>
      <c r="F774" s="699"/>
      <c r="G774" s="699" t="s">
        <v>55</v>
      </c>
      <c r="H774" s="699" t="s">
        <v>2151</v>
      </c>
      <c r="I774" s="712">
        <v>30000</v>
      </c>
      <c r="J774" s="709" t="s">
        <v>537</v>
      </c>
      <c r="K774" s="709" t="s">
        <v>537</v>
      </c>
      <c r="L774" s="712">
        <v>30000</v>
      </c>
      <c r="M774" s="709" t="s">
        <v>537</v>
      </c>
      <c r="N774" s="709" t="s">
        <v>537</v>
      </c>
      <c r="O774" s="701" t="s">
        <v>537</v>
      </c>
      <c r="P774" s="701" t="s">
        <v>537</v>
      </c>
      <c r="Q774" s="709">
        <v>0</v>
      </c>
      <c r="R774" s="707">
        <v>241609</v>
      </c>
      <c r="S774" s="721">
        <v>22437</v>
      </c>
      <c r="T774" s="701">
        <v>20</v>
      </c>
      <c r="U774" s="701">
        <v>5</v>
      </c>
      <c r="V774" s="701">
        <v>5</v>
      </c>
      <c r="W774" s="701">
        <v>100</v>
      </c>
      <c r="X774" s="701">
        <v>10</v>
      </c>
      <c r="Y774" s="701">
        <v>23</v>
      </c>
      <c r="Z774" s="701">
        <v>92.5</v>
      </c>
      <c r="AA774" s="458" t="s">
        <v>2147</v>
      </c>
      <c r="AB774" s="459" t="s">
        <v>539</v>
      </c>
      <c r="AC774" s="459" t="s">
        <v>539</v>
      </c>
      <c r="AD774" s="697" t="s">
        <v>2148</v>
      </c>
      <c r="AE774" s="701">
        <v>80</v>
      </c>
      <c r="AF774" s="701">
        <v>80</v>
      </c>
      <c r="AG774" s="701" t="s">
        <v>375</v>
      </c>
      <c r="AH774" s="728"/>
      <c r="AI774" s="697">
        <v>890148348</v>
      </c>
      <c r="AJ774" s="699"/>
    </row>
    <row r="775" spans="1:36" ht="24" hidden="1" customHeight="1">
      <c r="B775" s="702"/>
      <c r="C775" s="700"/>
      <c r="D775" s="700"/>
      <c r="E775" s="700"/>
      <c r="F775" s="700"/>
      <c r="G775" s="700"/>
      <c r="H775" s="700"/>
      <c r="I775" s="713"/>
      <c r="J775" s="710"/>
      <c r="K775" s="710"/>
      <c r="L775" s="713"/>
      <c r="M775" s="710"/>
      <c r="N775" s="710"/>
      <c r="O775" s="702"/>
      <c r="P775" s="702"/>
      <c r="Q775" s="710"/>
      <c r="R775" s="708"/>
      <c r="S775" s="722"/>
      <c r="T775" s="702"/>
      <c r="U775" s="702"/>
      <c r="V775" s="702"/>
      <c r="W775" s="702"/>
      <c r="X775" s="702"/>
      <c r="Y775" s="702"/>
      <c r="Z775" s="702"/>
      <c r="AA775" s="473" t="s">
        <v>2152</v>
      </c>
      <c r="AB775" s="474">
        <v>80</v>
      </c>
      <c r="AC775" s="474">
        <v>80</v>
      </c>
      <c r="AD775" s="698"/>
      <c r="AE775" s="702"/>
      <c r="AF775" s="702"/>
      <c r="AG775" s="702"/>
      <c r="AH775" s="729"/>
      <c r="AI775" s="698"/>
      <c r="AJ775" s="700"/>
    </row>
    <row r="776" spans="1:36" ht="24" customHeight="1">
      <c r="A776" s="452">
        <v>82</v>
      </c>
      <c r="B776" s="701">
        <v>636</v>
      </c>
      <c r="C776" s="699" t="s">
        <v>377</v>
      </c>
      <c r="D776" s="699"/>
      <c r="E776" s="699" t="s">
        <v>602</v>
      </c>
      <c r="F776" s="699"/>
      <c r="G776" s="699" t="s">
        <v>55</v>
      </c>
      <c r="H776" s="699" t="s">
        <v>2153</v>
      </c>
      <c r="I776" s="709" t="s">
        <v>537</v>
      </c>
      <c r="J776" s="709" t="s">
        <v>537</v>
      </c>
      <c r="K776" s="709">
        <v>0</v>
      </c>
      <c r="L776" s="709" t="s">
        <v>537</v>
      </c>
      <c r="M776" s="709" t="s">
        <v>537</v>
      </c>
      <c r="N776" s="709">
        <v>0</v>
      </c>
      <c r="O776" s="701" t="s">
        <v>537</v>
      </c>
      <c r="P776" s="701" t="s">
        <v>537</v>
      </c>
      <c r="Q776" s="709">
        <v>0</v>
      </c>
      <c r="R776" s="701" t="s">
        <v>984</v>
      </c>
      <c r="S776" s="701" t="s">
        <v>2154</v>
      </c>
      <c r="T776" s="701">
        <v>0</v>
      </c>
      <c r="U776" s="701">
        <v>0</v>
      </c>
      <c r="V776" s="701">
        <v>20</v>
      </c>
      <c r="W776" s="701">
        <v>5</v>
      </c>
      <c r="X776" s="701">
        <v>10</v>
      </c>
      <c r="Y776" s="701">
        <v>5</v>
      </c>
      <c r="Z776" s="701">
        <v>92</v>
      </c>
      <c r="AA776" s="458" t="s">
        <v>2155</v>
      </c>
      <c r="AB776" s="459" t="s">
        <v>539</v>
      </c>
      <c r="AC776" s="459" t="s">
        <v>539</v>
      </c>
      <c r="AD776" s="697" t="s">
        <v>606</v>
      </c>
      <c r="AE776" s="701">
        <v>80</v>
      </c>
      <c r="AF776" s="701">
        <v>80</v>
      </c>
      <c r="AG776" s="701" t="s">
        <v>375</v>
      </c>
      <c r="AH776" s="728"/>
      <c r="AI776" s="697">
        <v>899780788</v>
      </c>
      <c r="AJ776" s="697" t="s">
        <v>543</v>
      </c>
    </row>
    <row r="777" spans="1:36" ht="24" hidden="1" customHeight="1">
      <c r="B777" s="702"/>
      <c r="C777" s="700"/>
      <c r="D777" s="700"/>
      <c r="E777" s="700"/>
      <c r="F777" s="700"/>
      <c r="G777" s="700"/>
      <c r="H777" s="700"/>
      <c r="I777" s="710"/>
      <c r="J777" s="710"/>
      <c r="K777" s="710"/>
      <c r="L777" s="710"/>
      <c r="M777" s="710"/>
      <c r="N777" s="710"/>
      <c r="O777" s="702"/>
      <c r="P777" s="702"/>
      <c r="Q777" s="710"/>
      <c r="R777" s="702"/>
      <c r="S777" s="702"/>
      <c r="T777" s="702"/>
      <c r="U777" s="702"/>
      <c r="V777" s="702"/>
      <c r="W777" s="702"/>
      <c r="X777" s="702"/>
      <c r="Y777" s="702"/>
      <c r="Z777" s="702"/>
      <c r="AA777" s="473" t="s">
        <v>2156</v>
      </c>
      <c r="AB777" s="474">
        <v>80</v>
      </c>
      <c r="AC777" s="474">
        <v>80</v>
      </c>
      <c r="AD777" s="698"/>
      <c r="AE777" s="702"/>
      <c r="AF777" s="702"/>
      <c r="AG777" s="702"/>
      <c r="AH777" s="729"/>
      <c r="AI777" s="698"/>
      <c r="AJ777" s="698"/>
    </row>
    <row r="778" spans="1:36" ht="24" customHeight="1">
      <c r="A778" s="452">
        <v>83</v>
      </c>
      <c r="B778" s="463">
        <v>637</v>
      </c>
      <c r="C778" s="464" t="s">
        <v>377</v>
      </c>
      <c r="D778" s="464"/>
      <c r="E778" s="464" t="s">
        <v>602</v>
      </c>
      <c r="F778" s="464"/>
      <c r="G778" s="464" t="s">
        <v>55</v>
      </c>
      <c r="H778" s="464" t="s">
        <v>2157</v>
      </c>
      <c r="I778" s="465" t="s">
        <v>537</v>
      </c>
      <c r="J778" s="465" t="s">
        <v>537</v>
      </c>
      <c r="K778" s="465">
        <v>0</v>
      </c>
      <c r="L778" s="465" t="s">
        <v>537</v>
      </c>
      <c r="M778" s="465" t="s">
        <v>537</v>
      </c>
      <c r="N778" s="465">
        <v>0</v>
      </c>
      <c r="O778" s="463" t="s">
        <v>537</v>
      </c>
      <c r="P778" s="463" t="s">
        <v>537</v>
      </c>
      <c r="Q778" s="465">
        <v>0</v>
      </c>
      <c r="R778" s="470">
        <v>241609</v>
      </c>
      <c r="S778" s="471">
        <v>22480</v>
      </c>
      <c r="T778" s="463">
        <v>45</v>
      </c>
      <c r="U778" s="463">
        <v>15</v>
      </c>
      <c r="V778" s="463">
        <v>0</v>
      </c>
      <c r="W778" s="463">
        <v>45</v>
      </c>
      <c r="X778" s="463">
        <v>15</v>
      </c>
      <c r="Y778" s="463">
        <v>0</v>
      </c>
      <c r="Z778" s="463">
        <v>92.5</v>
      </c>
      <c r="AA778" s="472" t="s">
        <v>547</v>
      </c>
      <c r="AB778" s="463" t="s">
        <v>539</v>
      </c>
      <c r="AC778" s="463" t="s">
        <v>539</v>
      </c>
      <c r="AD778" s="472" t="s">
        <v>548</v>
      </c>
      <c r="AE778" s="463">
        <v>80</v>
      </c>
      <c r="AF778" s="463">
        <v>80</v>
      </c>
      <c r="AG778" s="463" t="s">
        <v>375</v>
      </c>
      <c r="AH778" s="476"/>
      <c r="AI778" s="472">
        <v>813689638</v>
      </c>
      <c r="AJ778" s="472" t="s">
        <v>543</v>
      </c>
    </row>
    <row r="779" spans="1:36" ht="24" customHeight="1">
      <c r="A779" s="452">
        <v>84</v>
      </c>
      <c r="B779" s="463">
        <v>638</v>
      </c>
      <c r="C779" s="464" t="s">
        <v>377</v>
      </c>
      <c r="D779" s="464"/>
      <c r="E779" s="464" t="s">
        <v>602</v>
      </c>
      <c r="F779" s="464"/>
      <c r="G779" s="464" t="s">
        <v>55</v>
      </c>
      <c r="H779" s="464" t="s">
        <v>2158</v>
      </c>
      <c r="I779" s="465" t="s">
        <v>537</v>
      </c>
      <c r="J779" s="465" t="s">
        <v>537</v>
      </c>
      <c r="K779" s="465">
        <v>0</v>
      </c>
      <c r="L779" s="465" t="s">
        <v>537</v>
      </c>
      <c r="M779" s="465" t="s">
        <v>537</v>
      </c>
      <c r="N779" s="465">
        <v>0</v>
      </c>
      <c r="O779" s="463" t="s">
        <v>537</v>
      </c>
      <c r="P779" s="463" t="s">
        <v>537</v>
      </c>
      <c r="Q779" s="465">
        <v>0</v>
      </c>
      <c r="R779" s="470">
        <v>241640</v>
      </c>
      <c r="S779" s="471">
        <v>22322</v>
      </c>
      <c r="T779" s="463">
        <v>0</v>
      </c>
      <c r="U779" s="463">
        <v>0</v>
      </c>
      <c r="V779" s="463">
        <v>0</v>
      </c>
      <c r="W779" s="463">
        <v>41</v>
      </c>
      <c r="X779" s="463">
        <v>0</v>
      </c>
      <c r="Y779" s="463">
        <v>0</v>
      </c>
      <c r="Z779" s="463">
        <v>91.72</v>
      </c>
      <c r="AA779" s="472" t="s">
        <v>547</v>
      </c>
      <c r="AB779" s="463" t="s">
        <v>539</v>
      </c>
      <c r="AC779" s="463" t="s">
        <v>539</v>
      </c>
      <c r="AD779" s="472" t="s">
        <v>548</v>
      </c>
      <c r="AE779" s="463">
        <v>80</v>
      </c>
      <c r="AF779" s="463">
        <v>91.6</v>
      </c>
      <c r="AG779" s="463" t="s">
        <v>375</v>
      </c>
      <c r="AH779" s="476"/>
      <c r="AI779" s="472">
        <v>813689638</v>
      </c>
      <c r="AJ779" s="472" t="s">
        <v>543</v>
      </c>
    </row>
    <row r="780" spans="1:36" ht="24" customHeight="1">
      <c r="A780" s="452">
        <v>85</v>
      </c>
      <c r="B780" s="463">
        <v>639</v>
      </c>
      <c r="C780" s="464" t="s">
        <v>377</v>
      </c>
      <c r="D780" s="464"/>
      <c r="E780" s="464" t="s">
        <v>602</v>
      </c>
      <c r="F780" s="464"/>
      <c r="G780" s="464" t="s">
        <v>55</v>
      </c>
      <c r="H780" s="464" t="s">
        <v>2159</v>
      </c>
      <c r="I780" s="465" t="s">
        <v>537</v>
      </c>
      <c r="J780" s="465" t="s">
        <v>537</v>
      </c>
      <c r="K780" s="465">
        <v>0</v>
      </c>
      <c r="L780" s="465" t="s">
        <v>537</v>
      </c>
      <c r="M780" s="465" t="s">
        <v>537</v>
      </c>
      <c r="N780" s="465">
        <v>0</v>
      </c>
      <c r="O780" s="463" t="s">
        <v>537</v>
      </c>
      <c r="P780" s="463" t="s">
        <v>537</v>
      </c>
      <c r="Q780" s="465">
        <v>0</v>
      </c>
      <c r="R780" s="470">
        <v>241459</v>
      </c>
      <c r="S780" s="471">
        <v>22319</v>
      </c>
      <c r="T780" s="463">
        <v>50</v>
      </c>
      <c r="U780" s="463">
        <v>10</v>
      </c>
      <c r="V780" s="463">
        <v>20</v>
      </c>
      <c r="W780" s="463">
        <v>10</v>
      </c>
      <c r="X780" s="463">
        <v>50</v>
      </c>
      <c r="Y780" s="463">
        <v>0</v>
      </c>
      <c r="Z780" s="463">
        <v>91.66</v>
      </c>
      <c r="AA780" s="472" t="s">
        <v>2160</v>
      </c>
      <c r="AB780" s="463" t="s">
        <v>539</v>
      </c>
      <c r="AC780" s="463" t="s">
        <v>539</v>
      </c>
      <c r="AD780" s="472" t="s">
        <v>2161</v>
      </c>
      <c r="AE780" s="463">
        <v>90</v>
      </c>
      <c r="AF780" s="463">
        <v>91.6</v>
      </c>
      <c r="AG780" s="463" t="s">
        <v>375</v>
      </c>
      <c r="AH780" s="476"/>
      <c r="AI780" s="472">
        <v>864702858</v>
      </c>
      <c r="AJ780" s="472" t="s">
        <v>543</v>
      </c>
    </row>
    <row r="781" spans="1:36" ht="24" customHeight="1">
      <c r="A781" s="452">
        <v>86</v>
      </c>
      <c r="B781" s="463">
        <v>640</v>
      </c>
      <c r="C781" s="464" t="s">
        <v>377</v>
      </c>
      <c r="D781" s="464"/>
      <c r="E781" s="464" t="s">
        <v>602</v>
      </c>
      <c r="F781" s="464"/>
      <c r="G781" s="464" t="s">
        <v>55</v>
      </c>
      <c r="H781" s="464" t="s">
        <v>2162</v>
      </c>
      <c r="I781" s="465" t="s">
        <v>537</v>
      </c>
      <c r="J781" s="466">
        <v>30000</v>
      </c>
      <c r="K781" s="465" t="s">
        <v>537</v>
      </c>
      <c r="L781" s="465" t="s">
        <v>537</v>
      </c>
      <c r="M781" s="466">
        <v>29200</v>
      </c>
      <c r="N781" s="465" t="s">
        <v>537</v>
      </c>
      <c r="O781" s="463" t="s">
        <v>537</v>
      </c>
      <c r="P781" s="463" t="s">
        <v>537</v>
      </c>
      <c r="Q781" s="465">
        <v>800</v>
      </c>
      <c r="R781" s="470">
        <v>241579</v>
      </c>
      <c r="S781" s="463" t="s">
        <v>988</v>
      </c>
      <c r="T781" s="463">
        <v>90</v>
      </c>
      <c r="U781" s="463">
        <v>10</v>
      </c>
      <c r="V781" s="463">
        <v>0</v>
      </c>
      <c r="W781" s="463">
        <v>132</v>
      </c>
      <c r="X781" s="463">
        <v>16</v>
      </c>
      <c r="Y781" s="463">
        <v>0</v>
      </c>
      <c r="Z781" s="463">
        <v>90</v>
      </c>
      <c r="AA781" s="472" t="s">
        <v>612</v>
      </c>
      <c r="AB781" s="463" t="s">
        <v>539</v>
      </c>
      <c r="AC781" s="463" t="s">
        <v>539</v>
      </c>
      <c r="AD781" s="472" t="s">
        <v>2163</v>
      </c>
      <c r="AE781" s="463">
        <v>80</v>
      </c>
      <c r="AF781" s="463">
        <v>80</v>
      </c>
      <c r="AG781" s="463" t="s">
        <v>375</v>
      </c>
      <c r="AH781" s="476"/>
      <c r="AI781" s="472">
        <v>814797319</v>
      </c>
      <c r="AJ781" s="464"/>
    </row>
    <row r="782" spans="1:36" ht="24" hidden="1" customHeight="1">
      <c r="B782" s="701">
        <v>641</v>
      </c>
      <c r="C782" s="699" t="s">
        <v>534</v>
      </c>
      <c r="D782" s="699"/>
      <c r="E782" s="699" t="s">
        <v>535</v>
      </c>
      <c r="F782" s="699"/>
      <c r="G782" s="699" t="s">
        <v>55</v>
      </c>
      <c r="H782" s="699" t="s">
        <v>2164</v>
      </c>
      <c r="I782" s="709" t="s">
        <v>537</v>
      </c>
      <c r="J782" s="712">
        <v>270000</v>
      </c>
      <c r="K782" s="709" t="s">
        <v>537</v>
      </c>
      <c r="L782" s="709" t="s">
        <v>537</v>
      </c>
      <c r="M782" s="712">
        <v>256396.22</v>
      </c>
      <c r="N782" s="709" t="s">
        <v>537</v>
      </c>
      <c r="O782" s="701" t="s">
        <v>537</v>
      </c>
      <c r="P782" s="701" t="s">
        <v>537</v>
      </c>
      <c r="Q782" s="705">
        <v>13604</v>
      </c>
      <c r="R782" s="701" t="s">
        <v>646</v>
      </c>
      <c r="S782" s="701" t="s">
        <v>2165</v>
      </c>
      <c r="T782" s="701">
        <v>4</v>
      </c>
      <c r="U782" s="701">
        <v>5</v>
      </c>
      <c r="V782" s="701">
        <v>0</v>
      </c>
      <c r="W782" s="701">
        <v>4</v>
      </c>
      <c r="X782" s="701">
        <v>5</v>
      </c>
      <c r="Y782" s="701">
        <v>0</v>
      </c>
      <c r="Z782" s="701">
        <v>95</v>
      </c>
      <c r="AA782" s="458" t="s">
        <v>1907</v>
      </c>
      <c r="AB782" s="459" t="s">
        <v>539</v>
      </c>
      <c r="AC782" s="459" t="s">
        <v>539</v>
      </c>
      <c r="AD782" s="458" t="s">
        <v>565</v>
      </c>
      <c r="AE782" s="459">
        <v>80</v>
      </c>
      <c r="AF782" s="459">
        <v>80</v>
      </c>
      <c r="AG782" s="701" t="s">
        <v>375</v>
      </c>
      <c r="AH782" s="728"/>
      <c r="AI782" s="697">
        <v>815404295</v>
      </c>
      <c r="AJ782" s="699"/>
    </row>
    <row r="783" spans="1:36" ht="24" hidden="1" customHeight="1">
      <c r="B783" s="702"/>
      <c r="C783" s="700"/>
      <c r="D783" s="700"/>
      <c r="E783" s="700"/>
      <c r="F783" s="700"/>
      <c r="G783" s="700"/>
      <c r="H783" s="700"/>
      <c r="I783" s="710"/>
      <c r="J783" s="713"/>
      <c r="K783" s="710"/>
      <c r="L783" s="710"/>
      <c r="M783" s="713"/>
      <c r="N783" s="710"/>
      <c r="O783" s="702"/>
      <c r="P783" s="702"/>
      <c r="Q783" s="706"/>
      <c r="R783" s="702"/>
      <c r="S783" s="702"/>
      <c r="T783" s="702"/>
      <c r="U783" s="702"/>
      <c r="V783" s="702"/>
      <c r="W783" s="702"/>
      <c r="X783" s="702"/>
      <c r="Y783" s="702"/>
      <c r="Z783" s="702"/>
      <c r="AA783" s="473" t="s">
        <v>1279</v>
      </c>
      <c r="AB783" s="474" t="s">
        <v>539</v>
      </c>
      <c r="AC783" s="474" t="s">
        <v>539</v>
      </c>
      <c r="AD783" s="473" t="s">
        <v>2166</v>
      </c>
      <c r="AE783" s="474">
        <v>1</v>
      </c>
      <c r="AF783" s="474">
        <v>1</v>
      </c>
      <c r="AG783" s="702"/>
      <c r="AH783" s="729"/>
      <c r="AI783" s="698"/>
      <c r="AJ783" s="700"/>
    </row>
    <row r="784" spans="1:36" ht="24" hidden="1" customHeight="1">
      <c r="B784" s="463">
        <v>642</v>
      </c>
      <c r="C784" s="464" t="s">
        <v>534</v>
      </c>
      <c r="D784" s="464"/>
      <c r="E784" s="464" t="s">
        <v>535</v>
      </c>
      <c r="F784" s="464"/>
      <c r="G784" s="464" t="s">
        <v>55</v>
      </c>
      <c r="H784" s="464" t="s">
        <v>667</v>
      </c>
      <c r="I784" s="465" t="s">
        <v>537</v>
      </c>
      <c r="J784" s="466">
        <v>20000</v>
      </c>
      <c r="K784" s="465" t="s">
        <v>537</v>
      </c>
      <c r="L784" s="465" t="s">
        <v>537</v>
      </c>
      <c r="M784" s="466">
        <v>19500</v>
      </c>
      <c r="N784" s="465" t="s">
        <v>537</v>
      </c>
      <c r="O784" s="463" t="s">
        <v>537</v>
      </c>
      <c r="P784" s="463" t="s">
        <v>537</v>
      </c>
      <c r="Q784" s="465">
        <v>500</v>
      </c>
      <c r="R784" s="470">
        <v>241579</v>
      </c>
      <c r="S784" s="471">
        <v>22451</v>
      </c>
      <c r="T784" s="463">
        <v>100</v>
      </c>
      <c r="U784" s="463">
        <v>0</v>
      </c>
      <c r="V784" s="463">
        <v>0</v>
      </c>
      <c r="W784" s="463">
        <v>134</v>
      </c>
      <c r="X784" s="463">
        <v>45</v>
      </c>
      <c r="Y784" s="463">
        <v>0</v>
      </c>
      <c r="Z784" s="463">
        <v>90</v>
      </c>
      <c r="AA784" s="472" t="s">
        <v>1712</v>
      </c>
      <c r="AB784" s="463" t="s">
        <v>539</v>
      </c>
      <c r="AC784" s="463" t="s">
        <v>539</v>
      </c>
      <c r="AD784" s="472" t="s">
        <v>548</v>
      </c>
      <c r="AE784" s="463">
        <v>80</v>
      </c>
      <c r="AF784" s="463">
        <v>85</v>
      </c>
      <c r="AG784" s="463" t="s">
        <v>375</v>
      </c>
      <c r="AH784" s="476"/>
      <c r="AI784" s="472">
        <v>957938784</v>
      </c>
      <c r="AJ784" s="464"/>
    </row>
    <row r="785" spans="2:36" ht="24" hidden="1" customHeight="1">
      <c r="B785" s="463">
        <v>643</v>
      </c>
      <c r="C785" s="464" t="s">
        <v>534</v>
      </c>
      <c r="D785" s="464"/>
      <c r="E785" s="464" t="s">
        <v>535</v>
      </c>
      <c r="F785" s="464"/>
      <c r="G785" s="464" t="s">
        <v>55</v>
      </c>
      <c r="H785" s="464" t="s">
        <v>668</v>
      </c>
      <c r="I785" s="465" t="s">
        <v>537</v>
      </c>
      <c r="J785" s="466">
        <v>20000</v>
      </c>
      <c r="K785" s="465" t="s">
        <v>537</v>
      </c>
      <c r="L785" s="465" t="s">
        <v>537</v>
      </c>
      <c r="M785" s="466">
        <v>19800</v>
      </c>
      <c r="N785" s="465" t="s">
        <v>537</v>
      </c>
      <c r="O785" s="463" t="s">
        <v>537</v>
      </c>
      <c r="P785" s="463" t="s">
        <v>537</v>
      </c>
      <c r="Q785" s="465">
        <v>200</v>
      </c>
      <c r="R785" s="470">
        <v>241459</v>
      </c>
      <c r="S785" s="471">
        <v>22361</v>
      </c>
      <c r="T785" s="463">
        <v>120</v>
      </c>
      <c r="U785" s="463">
        <v>0</v>
      </c>
      <c r="V785" s="463">
        <v>0</v>
      </c>
      <c r="W785" s="463">
        <v>139</v>
      </c>
      <c r="X785" s="463">
        <v>0</v>
      </c>
      <c r="Y785" s="463">
        <v>0</v>
      </c>
      <c r="Z785" s="463">
        <v>90.2</v>
      </c>
      <c r="AA785" s="472" t="s">
        <v>1712</v>
      </c>
      <c r="AB785" s="463" t="s">
        <v>539</v>
      </c>
      <c r="AC785" s="463" t="s">
        <v>539</v>
      </c>
      <c r="AD785" s="472" t="s">
        <v>548</v>
      </c>
      <c r="AE785" s="463">
        <v>80</v>
      </c>
      <c r="AF785" s="463">
        <v>80</v>
      </c>
      <c r="AG785" s="463" t="s">
        <v>375</v>
      </c>
      <c r="AH785" s="476"/>
      <c r="AI785" s="472">
        <v>957938784</v>
      </c>
      <c r="AJ785" s="464"/>
    </row>
    <row r="786" spans="2:36" ht="24" hidden="1" customHeight="1">
      <c r="B786" s="701">
        <v>644</v>
      </c>
      <c r="C786" s="699" t="s">
        <v>534</v>
      </c>
      <c r="D786" s="699"/>
      <c r="E786" s="699" t="s">
        <v>535</v>
      </c>
      <c r="F786" s="699"/>
      <c r="G786" s="699" t="s">
        <v>55</v>
      </c>
      <c r="H786" s="699" t="s">
        <v>2167</v>
      </c>
      <c r="I786" s="709" t="s">
        <v>537</v>
      </c>
      <c r="J786" s="712">
        <v>50000</v>
      </c>
      <c r="K786" s="709" t="s">
        <v>537</v>
      </c>
      <c r="L786" s="709" t="s">
        <v>537</v>
      </c>
      <c r="M786" s="712">
        <v>3423</v>
      </c>
      <c r="N786" s="709" t="s">
        <v>537</v>
      </c>
      <c r="O786" s="701" t="s">
        <v>537</v>
      </c>
      <c r="P786" s="701" t="s">
        <v>537</v>
      </c>
      <c r="Q786" s="705">
        <v>46577</v>
      </c>
      <c r="R786" s="701" t="s">
        <v>643</v>
      </c>
      <c r="S786" s="701" t="s">
        <v>2168</v>
      </c>
      <c r="T786" s="701">
        <v>0</v>
      </c>
      <c r="U786" s="701">
        <v>5</v>
      </c>
      <c r="V786" s="701">
        <v>0</v>
      </c>
      <c r="W786" s="701">
        <v>0</v>
      </c>
      <c r="X786" s="701">
        <v>7</v>
      </c>
      <c r="Y786" s="701">
        <v>0</v>
      </c>
      <c r="Z786" s="701">
        <v>98</v>
      </c>
      <c r="AA786" s="458" t="s">
        <v>633</v>
      </c>
      <c r="AB786" s="459" t="s">
        <v>539</v>
      </c>
      <c r="AC786" s="459" t="s">
        <v>539</v>
      </c>
      <c r="AD786" s="458" t="s">
        <v>635</v>
      </c>
      <c r="AE786" s="459" t="s">
        <v>539</v>
      </c>
      <c r="AF786" s="459" t="s">
        <v>539</v>
      </c>
      <c r="AG786" s="701" t="s">
        <v>375</v>
      </c>
      <c r="AH786" s="728"/>
      <c r="AI786" s="697">
        <v>808651389</v>
      </c>
      <c r="AJ786" s="699"/>
    </row>
    <row r="787" spans="2:36" ht="24" hidden="1" customHeight="1">
      <c r="B787" s="702"/>
      <c r="C787" s="700"/>
      <c r="D787" s="700"/>
      <c r="E787" s="700"/>
      <c r="F787" s="700"/>
      <c r="G787" s="700"/>
      <c r="H787" s="700"/>
      <c r="I787" s="710"/>
      <c r="J787" s="713"/>
      <c r="K787" s="710"/>
      <c r="L787" s="710"/>
      <c r="M787" s="713"/>
      <c r="N787" s="710"/>
      <c r="O787" s="702"/>
      <c r="P787" s="702"/>
      <c r="Q787" s="706"/>
      <c r="R787" s="702"/>
      <c r="S787" s="702"/>
      <c r="T787" s="702"/>
      <c r="U787" s="702"/>
      <c r="V787" s="702"/>
      <c r="W787" s="702"/>
      <c r="X787" s="702"/>
      <c r="Y787" s="702"/>
      <c r="Z787" s="702"/>
      <c r="AA787" s="473" t="s">
        <v>2169</v>
      </c>
      <c r="AB787" s="474" t="s">
        <v>539</v>
      </c>
      <c r="AC787" s="474" t="s">
        <v>539</v>
      </c>
      <c r="AD787" s="473" t="s">
        <v>2170</v>
      </c>
      <c r="AE787" s="474">
        <v>3</v>
      </c>
      <c r="AF787" s="474">
        <v>3</v>
      </c>
      <c r="AG787" s="702"/>
      <c r="AH787" s="729"/>
      <c r="AI787" s="698"/>
      <c r="AJ787" s="700"/>
    </row>
    <row r="788" spans="2:36" ht="24" hidden="1" customHeight="1">
      <c r="B788" s="463">
        <v>645</v>
      </c>
      <c r="C788" s="464" t="s">
        <v>534</v>
      </c>
      <c r="D788" s="464"/>
      <c r="E788" s="464" t="s">
        <v>535</v>
      </c>
      <c r="F788" s="464"/>
      <c r="G788" s="464" t="s">
        <v>55</v>
      </c>
      <c r="H788" s="464" t="s">
        <v>2171</v>
      </c>
      <c r="I788" s="465" t="s">
        <v>537</v>
      </c>
      <c r="J788" s="465" t="s">
        <v>537</v>
      </c>
      <c r="K788" s="466">
        <v>200000</v>
      </c>
      <c r="L788" s="465" t="s">
        <v>537</v>
      </c>
      <c r="M788" s="465" t="s">
        <v>537</v>
      </c>
      <c r="N788" s="466">
        <v>142025</v>
      </c>
      <c r="O788" s="463" t="s">
        <v>537</v>
      </c>
      <c r="P788" s="463" t="s">
        <v>537</v>
      </c>
      <c r="Q788" s="468">
        <v>57975</v>
      </c>
      <c r="R788" s="470">
        <v>241428</v>
      </c>
      <c r="S788" s="463" t="s">
        <v>623</v>
      </c>
      <c r="T788" s="463">
        <v>35</v>
      </c>
      <c r="U788" s="463">
        <v>17</v>
      </c>
      <c r="V788" s="463">
        <v>0</v>
      </c>
      <c r="W788" s="463">
        <v>35</v>
      </c>
      <c r="X788" s="463">
        <v>23</v>
      </c>
      <c r="Y788" s="463">
        <v>0</v>
      </c>
      <c r="Z788" s="463">
        <v>90</v>
      </c>
      <c r="AA788" s="472" t="s">
        <v>624</v>
      </c>
      <c r="AB788" s="463" t="s">
        <v>539</v>
      </c>
      <c r="AC788" s="463" t="s">
        <v>539</v>
      </c>
      <c r="AD788" s="472" t="s">
        <v>571</v>
      </c>
      <c r="AE788" s="463">
        <v>80</v>
      </c>
      <c r="AF788" s="463">
        <v>85</v>
      </c>
      <c r="AG788" s="463" t="s">
        <v>375</v>
      </c>
      <c r="AH788" s="476"/>
      <c r="AI788" s="472">
        <v>853824948</v>
      </c>
      <c r="AJ788" s="472" t="s">
        <v>543</v>
      </c>
    </row>
    <row r="789" spans="2:36" ht="24" hidden="1" customHeight="1">
      <c r="B789" s="701">
        <v>646</v>
      </c>
      <c r="C789" s="699" t="s">
        <v>534</v>
      </c>
      <c r="D789" s="699"/>
      <c r="E789" s="699" t="s">
        <v>535</v>
      </c>
      <c r="F789" s="699"/>
      <c r="G789" s="699" t="s">
        <v>55</v>
      </c>
      <c r="H789" s="699" t="s">
        <v>2172</v>
      </c>
      <c r="I789" s="712">
        <v>30000</v>
      </c>
      <c r="J789" s="709" t="s">
        <v>537</v>
      </c>
      <c r="K789" s="709" t="s">
        <v>537</v>
      </c>
      <c r="L789" s="712">
        <v>26600</v>
      </c>
      <c r="M789" s="709" t="s">
        <v>537</v>
      </c>
      <c r="N789" s="709" t="s">
        <v>537</v>
      </c>
      <c r="O789" s="723">
        <v>3400</v>
      </c>
      <c r="P789" s="701" t="s">
        <v>537</v>
      </c>
      <c r="Q789" s="709">
        <v>0</v>
      </c>
      <c r="R789" s="701" t="s">
        <v>643</v>
      </c>
      <c r="S789" s="701" t="s">
        <v>2173</v>
      </c>
      <c r="T789" s="701">
        <v>0</v>
      </c>
      <c r="U789" s="701">
        <v>1</v>
      </c>
      <c r="V789" s="701">
        <v>0</v>
      </c>
      <c r="W789" s="701">
        <v>0</v>
      </c>
      <c r="X789" s="701">
        <v>1</v>
      </c>
      <c r="Y789" s="701">
        <v>0</v>
      </c>
      <c r="Z789" s="701">
        <v>98</v>
      </c>
      <c r="AA789" s="458" t="s">
        <v>2174</v>
      </c>
      <c r="AB789" s="459" t="s">
        <v>539</v>
      </c>
      <c r="AC789" s="459" t="s">
        <v>539</v>
      </c>
      <c r="AD789" s="458" t="s">
        <v>2175</v>
      </c>
      <c r="AE789" s="459" t="s">
        <v>539</v>
      </c>
      <c r="AF789" s="459" t="s">
        <v>539</v>
      </c>
      <c r="AG789" s="701" t="s">
        <v>375</v>
      </c>
      <c r="AH789" s="728"/>
      <c r="AI789" s="697">
        <v>817544949</v>
      </c>
      <c r="AJ789" s="699"/>
    </row>
    <row r="790" spans="2:36" ht="24" hidden="1" customHeight="1">
      <c r="B790" s="702"/>
      <c r="C790" s="700"/>
      <c r="D790" s="700"/>
      <c r="E790" s="700"/>
      <c r="F790" s="700"/>
      <c r="G790" s="700"/>
      <c r="H790" s="700"/>
      <c r="I790" s="713"/>
      <c r="J790" s="710"/>
      <c r="K790" s="710"/>
      <c r="L790" s="713"/>
      <c r="M790" s="710"/>
      <c r="N790" s="710"/>
      <c r="O790" s="724"/>
      <c r="P790" s="702"/>
      <c r="Q790" s="710"/>
      <c r="R790" s="702"/>
      <c r="S790" s="702"/>
      <c r="T790" s="702"/>
      <c r="U790" s="702"/>
      <c r="V790" s="702"/>
      <c r="W790" s="702"/>
      <c r="X790" s="702"/>
      <c r="Y790" s="702"/>
      <c r="Z790" s="702"/>
      <c r="AA790" s="473" t="s">
        <v>2176</v>
      </c>
      <c r="AB790" s="474" t="s">
        <v>539</v>
      </c>
      <c r="AC790" s="474" t="s">
        <v>539</v>
      </c>
      <c r="AD790" s="473" t="s">
        <v>2177</v>
      </c>
      <c r="AE790" s="474" t="s">
        <v>539</v>
      </c>
      <c r="AF790" s="474" t="s">
        <v>539</v>
      </c>
      <c r="AG790" s="702"/>
      <c r="AH790" s="729"/>
      <c r="AI790" s="698"/>
      <c r="AJ790" s="700"/>
    </row>
    <row r="791" spans="2:36" ht="24" hidden="1" customHeight="1">
      <c r="B791" s="463">
        <v>647</v>
      </c>
      <c r="C791" s="464" t="s">
        <v>534</v>
      </c>
      <c r="D791" s="464"/>
      <c r="E791" s="464" t="s">
        <v>535</v>
      </c>
      <c r="F791" s="464"/>
      <c r="G791" s="464" t="s">
        <v>55</v>
      </c>
      <c r="H791" s="464" t="s">
        <v>2178</v>
      </c>
      <c r="I791" s="465" t="s">
        <v>537</v>
      </c>
      <c r="J791" s="465" t="s">
        <v>537</v>
      </c>
      <c r="K791" s="466">
        <v>130000</v>
      </c>
      <c r="L791" s="465" t="s">
        <v>537</v>
      </c>
      <c r="M791" s="465" t="s">
        <v>537</v>
      </c>
      <c r="N791" s="466">
        <v>89600</v>
      </c>
      <c r="O791" s="463" t="s">
        <v>537</v>
      </c>
      <c r="P791" s="463" t="s">
        <v>537</v>
      </c>
      <c r="Q791" s="468">
        <v>40400</v>
      </c>
      <c r="R791" s="463" t="s">
        <v>984</v>
      </c>
      <c r="S791" s="463" t="s">
        <v>2179</v>
      </c>
      <c r="T791" s="463">
        <v>0</v>
      </c>
      <c r="U791" s="463">
        <v>40</v>
      </c>
      <c r="V791" s="463">
        <v>0</v>
      </c>
      <c r="W791" s="463">
        <v>0</v>
      </c>
      <c r="X791" s="463">
        <v>38</v>
      </c>
      <c r="Y791" s="463">
        <v>0</v>
      </c>
      <c r="Z791" s="463">
        <v>94.4</v>
      </c>
      <c r="AA791" s="472" t="s">
        <v>630</v>
      </c>
      <c r="AB791" s="463" t="s">
        <v>539</v>
      </c>
      <c r="AC791" s="463" t="s">
        <v>539</v>
      </c>
      <c r="AD791" s="472" t="s">
        <v>548</v>
      </c>
      <c r="AE791" s="463">
        <v>80</v>
      </c>
      <c r="AF791" s="463">
        <v>80</v>
      </c>
      <c r="AG791" s="463" t="s">
        <v>375</v>
      </c>
      <c r="AH791" s="476"/>
      <c r="AI791" s="472">
        <v>819697103</v>
      </c>
      <c r="AJ791" s="472" t="s">
        <v>543</v>
      </c>
    </row>
    <row r="792" spans="2:36" ht="24" hidden="1" customHeight="1">
      <c r="B792" s="463">
        <v>648</v>
      </c>
      <c r="C792" s="464" t="s">
        <v>534</v>
      </c>
      <c r="D792" s="464"/>
      <c r="E792" s="464" t="s">
        <v>535</v>
      </c>
      <c r="F792" s="464"/>
      <c r="G792" s="464" t="s">
        <v>55</v>
      </c>
      <c r="H792" s="464" t="s">
        <v>2180</v>
      </c>
      <c r="I792" s="465" t="s">
        <v>537</v>
      </c>
      <c r="J792" s="465" t="s">
        <v>537</v>
      </c>
      <c r="K792" s="466">
        <v>3000</v>
      </c>
      <c r="L792" s="465" t="s">
        <v>537</v>
      </c>
      <c r="M792" s="465" t="s">
        <v>537</v>
      </c>
      <c r="N792" s="466">
        <v>2100</v>
      </c>
      <c r="O792" s="463">
        <v>900</v>
      </c>
      <c r="P792" s="463" t="s">
        <v>537</v>
      </c>
      <c r="Q792" s="465">
        <v>0</v>
      </c>
      <c r="R792" s="463" t="s">
        <v>984</v>
      </c>
      <c r="S792" s="463" t="s">
        <v>2181</v>
      </c>
      <c r="T792" s="463">
        <v>0</v>
      </c>
      <c r="U792" s="463">
        <v>19</v>
      </c>
      <c r="V792" s="463">
        <v>0</v>
      </c>
      <c r="W792" s="463">
        <v>19</v>
      </c>
      <c r="X792" s="463">
        <v>0</v>
      </c>
      <c r="Y792" s="463">
        <v>0</v>
      </c>
      <c r="Z792" s="463">
        <v>92.5</v>
      </c>
      <c r="AA792" s="472" t="s">
        <v>2182</v>
      </c>
      <c r="AB792" s="463" t="s">
        <v>539</v>
      </c>
      <c r="AC792" s="463" t="s">
        <v>539</v>
      </c>
      <c r="AD792" s="472" t="s">
        <v>2183</v>
      </c>
      <c r="AE792" s="463" t="s">
        <v>539</v>
      </c>
      <c r="AF792" s="463" t="s">
        <v>539</v>
      </c>
      <c r="AG792" s="463" t="s">
        <v>375</v>
      </c>
      <c r="AH792" s="476"/>
      <c r="AI792" s="472">
        <v>950714488</v>
      </c>
      <c r="AJ792" s="472" t="s">
        <v>543</v>
      </c>
    </row>
    <row r="793" spans="2:36" ht="24" hidden="1" customHeight="1">
      <c r="B793" s="463">
        <v>649</v>
      </c>
      <c r="C793" s="464" t="s">
        <v>534</v>
      </c>
      <c r="D793" s="464"/>
      <c r="E793" s="464" t="s">
        <v>535</v>
      </c>
      <c r="F793" s="464"/>
      <c r="G793" s="464" t="s">
        <v>55</v>
      </c>
      <c r="H793" s="464" t="s">
        <v>2184</v>
      </c>
      <c r="I793" s="465" t="s">
        <v>537</v>
      </c>
      <c r="J793" s="465" t="s">
        <v>537</v>
      </c>
      <c r="K793" s="466">
        <v>138200</v>
      </c>
      <c r="L793" s="465" t="s">
        <v>537</v>
      </c>
      <c r="M793" s="465" t="s">
        <v>537</v>
      </c>
      <c r="N793" s="466">
        <v>138000</v>
      </c>
      <c r="O793" s="463">
        <v>200</v>
      </c>
      <c r="P793" s="463" t="s">
        <v>537</v>
      </c>
      <c r="Q793" s="465">
        <v>0</v>
      </c>
      <c r="R793" s="463" t="s">
        <v>646</v>
      </c>
      <c r="S793" s="463" t="s">
        <v>2185</v>
      </c>
      <c r="T793" s="463">
        <v>16</v>
      </c>
      <c r="U793" s="463">
        <v>7</v>
      </c>
      <c r="V793" s="463">
        <v>0</v>
      </c>
      <c r="W793" s="463">
        <v>24</v>
      </c>
      <c r="X793" s="463">
        <v>7</v>
      </c>
      <c r="Y793" s="463">
        <v>0</v>
      </c>
      <c r="Z793" s="463">
        <v>92.5</v>
      </c>
      <c r="AA793" s="472" t="s">
        <v>2186</v>
      </c>
      <c r="AB793" s="463" t="s">
        <v>539</v>
      </c>
      <c r="AC793" s="463" t="s">
        <v>539</v>
      </c>
      <c r="AD793" s="472" t="s">
        <v>2187</v>
      </c>
      <c r="AE793" s="463">
        <v>16</v>
      </c>
      <c r="AF793" s="463">
        <v>24</v>
      </c>
      <c r="AG793" s="463" t="s">
        <v>375</v>
      </c>
      <c r="AH793" s="476"/>
      <c r="AI793" s="472">
        <v>950731555</v>
      </c>
      <c r="AJ793" s="472" t="s">
        <v>543</v>
      </c>
    </row>
    <row r="794" spans="2:36" ht="24" hidden="1" customHeight="1">
      <c r="B794" s="701">
        <v>650</v>
      </c>
      <c r="C794" s="699" t="s">
        <v>534</v>
      </c>
      <c r="D794" s="699"/>
      <c r="E794" s="699" t="s">
        <v>535</v>
      </c>
      <c r="F794" s="699"/>
      <c r="G794" s="699" t="s">
        <v>55</v>
      </c>
      <c r="H794" s="699" t="s">
        <v>2188</v>
      </c>
      <c r="I794" s="709" t="s">
        <v>537</v>
      </c>
      <c r="J794" s="709" t="s">
        <v>537</v>
      </c>
      <c r="K794" s="712">
        <v>17100</v>
      </c>
      <c r="L794" s="709" t="s">
        <v>537</v>
      </c>
      <c r="M794" s="709" t="s">
        <v>537</v>
      </c>
      <c r="N794" s="712">
        <v>17100</v>
      </c>
      <c r="O794" s="701" t="s">
        <v>537</v>
      </c>
      <c r="P794" s="701" t="s">
        <v>537</v>
      </c>
      <c r="Q794" s="709">
        <v>0</v>
      </c>
      <c r="R794" s="701" t="s">
        <v>775</v>
      </c>
      <c r="S794" s="701" t="s">
        <v>2189</v>
      </c>
      <c r="T794" s="701">
        <v>50</v>
      </c>
      <c r="U794" s="701">
        <v>18</v>
      </c>
      <c r="V794" s="701">
        <v>27</v>
      </c>
      <c r="W794" s="701">
        <v>0</v>
      </c>
      <c r="X794" s="701">
        <v>40</v>
      </c>
      <c r="Y794" s="701">
        <v>12</v>
      </c>
      <c r="Z794" s="701">
        <v>92.8</v>
      </c>
      <c r="AA794" s="458" t="s">
        <v>2190</v>
      </c>
      <c r="AB794" s="459">
        <v>80</v>
      </c>
      <c r="AC794" s="459">
        <v>87</v>
      </c>
      <c r="AD794" s="458" t="s">
        <v>2191</v>
      </c>
      <c r="AE794" s="459">
        <v>80</v>
      </c>
      <c r="AF794" s="459">
        <v>85</v>
      </c>
      <c r="AG794" s="701" t="s">
        <v>375</v>
      </c>
      <c r="AH794" s="728"/>
      <c r="AI794" s="697">
        <v>994067289</v>
      </c>
      <c r="AJ794" s="697" t="s">
        <v>543</v>
      </c>
    </row>
    <row r="795" spans="2:36" ht="24" hidden="1" customHeight="1">
      <c r="B795" s="702"/>
      <c r="C795" s="700"/>
      <c r="D795" s="700"/>
      <c r="E795" s="700"/>
      <c r="F795" s="700"/>
      <c r="G795" s="700"/>
      <c r="H795" s="700"/>
      <c r="I795" s="710"/>
      <c r="J795" s="710"/>
      <c r="K795" s="713"/>
      <c r="L795" s="710"/>
      <c r="M795" s="710"/>
      <c r="N795" s="713"/>
      <c r="O795" s="702"/>
      <c r="P795" s="702"/>
      <c r="Q795" s="710"/>
      <c r="R795" s="702"/>
      <c r="S795" s="702"/>
      <c r="T795" s="702"/>
      <c r="U795" s="702"/>
      <c r="V795" s="702"/>
      <c r="W795" s="702"/>
      <c r="X795" s="702"/>
      <c r="Y795" s="702"/>
      <c r="Z795" s="702"/>
      <c r="AA795" s="473" t="s">
        <v>2192</v>
      </c>
      <c r="AB795" s="474">
        <v>80</v>
      </c>
      <c r="AC795" s="474">
        <v>89</v>
      </c>
      <c r="AD795" s="473" t="s">
        <v>2193</v>
      </c>
      <c r="AE795" s="474">
        <v>80</v>
      </c>
      <c r="AF795" s="474">
        <v>90</v>
      </c>
      <c r="AG795" s="702"/>
      <c r="AH795" s="729"/>
      <c r="AI795" s="698"/>
      <c r="AJ795" s="698"/>
    </row>
    <row r="796" spans="2:36" ht="24" hidden="1" customHeight="1">
      <c r="B796" s="701">
        <v>651</v>
      </c>
      <c r="C796" s="699" t="s">
        <v>534</v>
      </c>
      <c r="D796" s="699"/>
      <c r="E796" s="699" t="s">
        <v>535</v>
      </c>
      <c r="F796" s="699"/>
      <c r="G796" s="699" t="s">
        <v>55</v>
      </c>
      <c r="H796" s="699" t="s">
        <v>2194</v>
      </c>
      <c r="I796" s="709" t="s">
        <v>537</v>
      </c>
      <c r="J796" s="709" t="s">
        <v>537</v>
      </c>
      <c r="K796" s="712">
        <v>9000</v>
      </c>
      <c r="L796" s="709" t="s">
        <v>537</v>
      </c>
      <c r="M796" s="709" t="s">
        <v>537</v>
      </c>
      <c r="N796" s="712">
        <v>8100</v>
      </c>
      <c r="O796" s="701" t="s">
        <v>537</v>
      </c>
      <c r="P796" s="701" t="s">
        <v>537</v>
      </c>
      <c r="Q796" s="709">
        <v>900</v>
      </c>
      <c r="R796" s="701" t="s">
        <v>727</v>
      </c>
      <c r="S796" s="721">
        <v>22487</v>
      </c>
      <c r="T796" s="701">
        <v>37</v>
      </c>
      <c r="U796" s="701">
        <v>9</v>
      </c>
      <c r="V796" s="701">
        <v>4</v>
      </c>
      <c r="W796" s="701">
        <v>7</v>
      </c>
      <c r="X796" s="701">
        <v>29</v>
      </c>
      <c r="Y796" s="701">
        <v>4</v>
      </c>
      <c r="Z796" s="701">
        <v>97</v>
      </c>
      <c r="AA796" s="458" t="s">
        <v>2190</v>
      </c>
      <c r="AB796" s="459">
        <v>80</v>
      </c>
      <c r="AC796" s="459">
        <v>80</v>
      </c>
      <c r="AD796" s="458" t="s">
        <v>2191</v>
      </c>
      <c r="AE796" s="459">
        <v>80</v>
      </c>
      <c r="AF796" s="459">
        <v>80</v>
      </c>
      <c r="AG796" s="701" t="s">
        <v>375</v>
      </c>
      <c r="AH796" s="728"/>
      <c r="AI796" s="697" t="s">
        <v>2195</v>
      </c>
      <c r="AJ796" s="697" t="s">
        <v>543</v>
      </c>
    </row>
    <row r="797" spans="2:36" ht="24" hidden="1" customHeight="1">
      <c r="B797" s="702"/>
      <c r="C797" s="700"/>
      <c r="D797" s="700"/>
      <c r="E797" s="700"/>
      <c r="F797" s="700"/>
      <c r="G797" s="700"/>
      <c r="H797" s="700"/>
      <c r="I797" s="710"/>
      <c r="J797" s="710"/>
      <c r="K797" s="713"/>
      <c r="L797" s="710"/>
      <c r="M797" s="710"/>
      <c r="N797" s="713"/>
      <c r="O797" s="702"/>
      <c r="P797" s="702"/>
      <c r="Q797" s="710"/>
      <c r="R797" s="702"/>
      <c r="S797" s="722"/>
      <c r="T797" s="702"/>
      <c r="U797" s="702"/>
      <c r="V797" s="702"/>
      <c r="W797" s="702"/>
      <c r="X797" s="702"/>
      <c r="Y797" s="702"/>
      <c r="Z797" s="702"/>
      <c r="AA797" s="473" t="s">
        <v>2192</v>
      </c>
      <c r="AB797" s="474">
        <v>80</v>
      </c>
      <c r="AC797" s="474">
        <v>80</v>
      </c>
      <c r="AD797" s="473" t="s">
        <v>2193</v>
      </c>
      <c r="AE797" s="474">
        <v>80</v>
      </c>
      <c r="AF797" s="474">
        <v>80</v>
      </c>
      <c r="AG797" s="702"/>
      <c r="AH797" s="729"/>
      <c r="AI797" s="698"/>
      <c r="AJ797" s="698"/>
    </row>
    <row r="798" spans="2:36" ht="24" hidden="1" customHeight="1">
      <c r="B798" s="701">
        <v>652</v>
      </c>
      <c r="C798" s="699" t="s">
        <v>534</v>
      </c>
      <c r="D798" s="699"/>
      <c r="E798" s="699" t="s">
        <v>535</v>
      </c>
      <c r="F798" s="699"/>
      <c r="G798" s="699" t="s">
        <v>55</v>
      </c>
      <c r="H798" s="699" t="s">
        <v>2196</v>
      </c>
      <c r="I798" s="709" t="s">
        <v>537</v>
      </c>
      <c r="J798" s="709" t="s">
        <v>537</v>
      </c>
      <c r="K798" s="712">
        <v>4320</v>
      </c>
      <c r="L798" s="709" t="s">
        <v>537</v>
      </c>
      <c r="M798" s="709" t="s">
        <v>537</v>
      </c>
      <c r="N798" s="712">
        <v>3520</v>
      </c>
      <c r="O798" s="701" t="s">
        <v>537</v>
      </c>
      <c r="P798" s="701" t="s">
        <v>537</v>
      </c>
      <c r="Q798" s="709">
        <v>800</v>
      </c>
      <c r="R798" s="707">
        <v>241518</v>
      </c>
      <c r="S798" s="721">
        <v>22397</v>
      </c>
      <c r="T798" s="701">
        <v>14</v>
      </c>
      <c r="U798" s="701">
        <v>0</v>
      </c>
      <c r="V798" s="701">
        <v>10</v>
      </c>
      <c r="W798" s="701">
        <v>0</v>
      </c>
      <c r="X798" s="701">
        <v>13</v>
      </c>
      <c r="Y798" s="701">
        <v>9</v>
      </c>
      <c r="Z798" s="701">
        <v>92</v>
      </c>
      <c r="AA798" s="458" t="s">
        <v>2190</v>
      </c>
      <c r="AB798" s="459">
        <v>80</v>
      </c>
      <c r="AC798" s="459">
        <v>80</v>
      </c>
      <c r="AD798" s="458" t="s">
        <v>2191</v>
      </c>
      <c r="AE798" s="459">
        <v>80</v>
      </c>
      <c r="AF798" s="459">
        <v>80</v>
      </c>
      <c r="AG798" s="701" t="s">
        <v>375</v>
      </c>
      <c r="AH798" s="728"/>
      <c r="AI798" s="697">
        <v>994067289</v>
      </c>
      <c r="AJ798" s="697" t="s">
        <v>543</v>
      </c>
    </row>
    <row r="799" spans="2:36" ht="24" hidden="1" customHeight="1">
      <c r="B799" s="702"/>
      <c r="C799" s="700"/>
      <c r="D799" s="700"/>
      <c r="E799" s="700"/>
      <c r="F799" s="700"/>
      <c r="G799" s="700"/>
      <c r="H799" s="700"/>
      <c r="I799" s="710"/>
      <c r="J799" s="710"/>
      <c r="K799" s="713"/>
      <c r="L799" s="710"/>
      <c r="M799" s="710"/>
      <c r="N799" s="713"/>
      <c r="O799" s="702"/>
      <c r="P799" s="702"/>
      <c r="Q799" s="710"/>
      <c r="R799" s="708"/>
      <c r="S799" s="722"/>
      <c r="T799" s="702"/>
      <c r="U799" s="702"/>
      <c r="V799" s="702"/>
      <c r="W799" s="702"/>
      <c r="X799" s="702"/>
      <c r="Y799" s="702"/>
      <c r="Z799" s="702"/>
      <c r="AA799" s="473" t="s">
        <v>2192</v>
      </c>
      <c r="AB799" s="474">
        <v>80</v>
      </c>
      <c r="AC799" s="474">
        <v>80</v>
      </c>
      <c r="AD799" s="473" t="s">
        <v>2193</v>
      </c>
      <c r="AE799" s="474">
        <v>80</v>
      </c>
      <c r="AF799" s="474">
        <v>80</v>
      </c>
      <c r="AG799" s="702"/>
      <c r="AH799" s="729"/>
      <c r="AI799" s="698"/>
      <c r="AJ799" s="698"/>
    </row>
    <row r="800" spans="2:36" ht="24" hidden="1" customHeight="1">
      <c r="B800" s="701">
        <v>653</v>
      </c>
      <c r="C800" s="699" t="s">
        <v>534</v>
      </c>
      <c r="D800" s="699"/>
      <c r="E800" s="699" t="s">
        <v>535</v>
      </c>
      <c r="F800" s="699"/>
      <c r="G800" s="699" t="s">
        <v>55</v>
      </c>
      <c r="H800" s="699" t="s">
        <v>2197</v>
      </c>
      <c r="I800" s="709" t="s">
        <v>537</v>
      </c>
      <c r="J800" s="709" t="s">
        <v>537</v>
      </c>
      <c r="K800" s="712">
        <v>24000</v>
      </c>
      <c r="L800" s="709" t="s">
        <v>537</v>
      </c>
      <c r="M800" s="709" t="s">
        <v>537</v>
      </c>
      <c r="N800" s="712">
        <v>10960</v>
      </c>
      <c r="O800" s="723">
        <v>13040</v>
      </c>
      <c r="P800" s="701" t="s">
        <v>537</v>
      </c>
      <c r="Q800" s="709">
        <v>0</v>
      </c>
      <c r="R800" s="701" t="s">
        <v>643</v>
      </c>
      <c r="S800" s="701" t="s">
        <v>1257</v>
      </c>
      <c r="T800" s="701">
        <v>0</v>
      </c>
      <c r="U800" s="701">
        <v>42</v>
      </c>
      <c r="V800" s="701">
        <v>1</v>
      </c>
      <c r="W800" s="701">
        <v>0</v>
      </c>
      <c r="X800" s="701">
        <v>36</v>
      </c>
      <c r="Y800" s="701">
        <v>1</v>
      </c>
      <c r="Z800" s="701">
        <v>87.4</v>
      </c>
      <c r="AA800" s="458" t="s">
        <v>2198</v>
      </c>
      <c r="AB800" s="459">
        <v>80</v>
      </c>
      <c r="AC800" s="459">
        <v>81.400000000000006</v>
      </c>
      <c r="AD800" s="458" t="s">
        <v>2191</v>
      </c>
      <c r="AE800" s="459">
        <v>80</v>
      </c>
      <c r="AF800" s="459">
        <v>95</v>
      </c>
      <c r="AG800" s="701" t="s">
        <v>375</v>
      </c>
      <c r="AH800" s="728"/>
      <c r="AI800" s="697">
        <v>994067289</v>
      </c>
      <c r="AJ800" s="697" t="s">
        <v>543</v>
      </c>
    </row>
    <row r="801" spans="2:36" ht="24" hidden="1" customHeight="1">
      <c r="B801" s="702"/>
      <c r="C801" s="700"/>
      <c r="D801" s="700"/>
      <c r="E801" s="700"/>
      <c r="F801" s="700"/>
      <c r="G801" s="700"/>
      <c r="H801" s="700"/>
      <c r="I801" s="710"/>
      <c r="J801" s="710"/>
      <c r="K801" s="713"/>
      <c r="L801" s="710"/>
      <c r="M801" s="710"/>
      <c r="N801" s="713"/>
      <c r="O801" s="724"/>
      <c r="P801" s="702"/>
      <c r="Q801" s="710"/>
      <c r="R801" s="702"/>
      <c r="S801" s="702"/>
      <c r="T801" s="702"/>
      <c r="U801" s="702"/>
      <c r="V801" s="702"/>
      <c r="W801" s="702"/>
      <c r="X801" s="702"/>
      <c r="Y801" s="702"/>
      <c r="Z801" s="702"/>
      <c r="AA801" s="473" t="s">
        <v>2192</v>
      </c>
      <c r="AB801" s="474">
        <v>80</v>
      </c>
      <c r="AC801" s="474">
        <v>87.4</v>
      </c>
      <c r="AD801" s="473" t="s">
        <v>2199</v>
      </c>
      <c r="AE801" s="474">
        <v>80</v>
      </c>
      <c r="AF801" s="474">
        <v>80</v>
      </c>
      <c r="AG801" s="702"/>
      <c r="AH801" s="729"/>
      <c r="AI801" s="698"/>
      <c r="AJ801" s="698"/>
    </row>
    <row r="802" spans="2:36" ht="24" hidden="1" customHeight="1">
      <c r="B802" s="463">
        <v>654</v>
      </c>
      <c r="C802" s="464" t="s">
        <v>534</v>
      </c>
      <c r="D802" s="464"/>
      <c r="E802" s="464" t="s">
        <v>535</v>
      </c>
      <c r="F802" s="464"/>
      <c r="G802" s="464" t="s">
        <v>55</v>
      </c>
      <c r="H802" s="464" t="s">
        <v>2200</v>
      </c>
      <c r="I802" s="465" t="s">
        <v>537</v>
      </c>
      <c r="J802" s="465" t="s">
        <v>537</v>
      </c>
      <c r="K802" s="466">
        <v>33000</v>
      </c>
      <c r="L802" s="465" t="s">
        <v>537</v>
      </c>
      <c r="M802" s="465" t="s">
        <v>537</v>
      </c>
      <c r="N802" s="466">
        <v>9552</v>
      </c>
      <c r="O802" s="463" t="s">
        <v>537</v>
      </c>
      <c r="P802" s="463" t="s">
        <v>537</v>
      </c>
      <c r="Q802" s="468">
        <v>23448</v>
      </c>
      <c r="R802" s="470">
        <v>241579</v>
      </c>
      <c r="S802" s="463" t="s">
        <v>2201</v>
      </c>
      <c r="T802" s="463">
        <v>0</v>
      </c>
      <c r="U802" s="463">
        <v>48</v>
      </c>
      <c r="V802" s="463">
        <v>10</v>
      </c>
      <c r="W802" s="463">
        <v>0</v>
      </c>
      <c r="X802" s="463">
        <v>53</v>
      </c>
      <c r="Y802" s="463">
        <v>3</v>
      </c>
      <c r="Z802" s="463">
        <v>97.5</v>
      </c>
      <c r="AA802" s="472" t="s">
        <v>693</v>
      </c>
      <c r="AB802" s="463">
        <v>100</v>
      </c>
      <c r="AC802" s="463">
        <v>100</v>
      </c>
      <c r="AD802" s="472" t="s">
        <v>2202</v>
      </c>
      <c r="AE802" s="463">
        <v>100</v>
      </c>
      <c r="AF802" s="463">
        <v>100</v>
      </c>
      <c r="AG802" s="463" t="s">
        <v>375</v>
      </c>
      <c r="AH802" s="476"/>
      <c r="AI802" s="472">
        <v>819583057</v>
      </c>
      <c r="AJ802" s="472" t="s">
        <v>543</v>
      </c>
    </row>
    <row r="803" spans="2:36" ht="24" hidden="1" customHeight="1">
      <c r="B803" s="701">
        <v>655</v>
      </c>
      <c r="C803" s="699" t="s">
        <v>534</v>
      </c>
      <c r="D803" s="699"/>
      <c r="E803" s="699" t="s">
        <v>535</v>
      </c>
      <c r="F803" s="699"/>
      <c r="G803" s="699" t="s">
        <v>55</v>
      </c>
      <c r="H803" s="699" t="s">
        <v>2203</v>
      </c>
      <c r="I803" s="712">
        <v>27600</v>
      </c>
      <c r="J803" s="709" t="s">
        <v>537</v>
      </c>
      <c r="K803" s="709" t="s">
        <v>537</v>
      </c>
      <c r="L803" s="712">
        <v>24988</v>
      </c>
      <c r="M803" s="709" t="s">
        <v>537</v>
      </c>
      <c r="N803" s="709" t="s">
        <v>537</v>
      </c>
      <c r="O803" s="723">
        <v>2612</v>
      </c>
      <c r="P803" s="701" t="s">
        <v>537</v>
      </c>
      <c r="Q803" s="709">
        <v>0</v>
      </c>
      <c r="R803" s="707">
        <v>241487</v>
      </c>
      <c r="S803" s="721">
        <v>22341</v>
      </c>
      <c r="T803" s="701">
        <v>45</v>
      </c>
      <c r="U803" s="701">
        <v>0</v>
      </c>
      <c r="V803" s="701">
        <v>0</v>
      </c>
      <c r="W803" s="701">
        <v>40</v>
      </c>
      <c r="X803" s="701">
        <v>0</v>
      </c>
      <c r="Y803" s="701">
        <v>0</v>
      </c>
      <c r="Z803" s="701">
        <v>91.2</v>
      </c>
      <c r="AA803" s="458" t="s">
        <v>547</v>
      </c>
      <c r="AB803" s="459" t="s">
        <v>539</v>
      </c>
      <c r="AC803" s="459" t="s">
        <v>539</v>
      </c>
      <c r="AD803" s="458" t="s">
        <v>2204</v>
      </c>
      <c r="AE803" s="459">
        <v>80</v>
      </c>
      <c r="AF803" s="459">
        <v>89</v>
      </c>
      <c r="AG803" s="701" t="s">
        <v>375</v>
      </c>
      <c r="AH803" s="728"/>
      <c r="AI803" s="697">
        <v>866481205</v>
      </c>
      <c r="AJ803" s="699"/>
    </row>
    <row r="804" spans="2:36" ht="24" hidden="1" customHeight="1">
      <c r="B804" s="702"/>
      <c r="C804" s="700"/>
      <c r="D804" s="700"/>
      <c r="E804" s="700"/>
      <c r="F804" s="700"/>
      <c r="G804" s="700"/>
      <c r="H804" s="700"/>
      <c r="I804" s="713"/>
      <c r="J804" s="710"/>
      <c r="K804" s="710"/>
      <c r="L804" s="713"/>
      <c r="M804" s="710"/>
      <c r="N804" s="710"/>
      <c r="O804" s="724"/>
      <c r="P804" s="702"/>
      <c r="Q804" s="710"/>
      <c r="R804" s="708"/>
      <c r="S804" s="722"/>
      <c r="T804" s="702"/>
      <c r="U804" s="702"/>
      <c r="V804" s="702"/>
      <c r="W804" s="702"/>
      <c r="X804" s="702"/>
      <c r="Y804" s="702"/>
      <c r="Z804" s="702"/>
      <c r="AA804" s="473" t="s">
        <v>2205</v>
      </c>
      <c r="AB804" s="474" t="s">
        <v>539</v>
      </c>
      <c r="AC804" s="474" t="s">
        <v>539</v>
      </c>
      <c r="AD804" s="473" t="s">
        <v>2206</v>
      </c>
      <c r="AE804" s="474">
        <v>3</v>
      </c>
      <c r="AF804" s="474">
        <v>11</v>
      </c>
      <c r="AG804" s="702"/>
      <c r="AH804" s="729"/>
      <c r="AI804" s="698"/>
      <c r="AJ804" s="700"/>
    </row>
    <row r="805" spans="2:36" ht="24" hidden="1" customHeight="1">
      <c r="B805" s="701">
        <v>656</v>
      </c>
      <c r="C805" s="699" t="s">
        <v>534</v>
      </c>
      <c r="D805" s="699"/>
      <c r="E805" s="699" t="s">
        <v>535</v>
      </c>
      <c r="F805" s="699"/>
      <c r="G805" s="699" t="s">
        <v>55</v>
      </c>
      <c r="H805" s="699" t="s">
        <v>2207</v>
      </c>
      <c r="I805" s="712">
        <v>52400</v>
      </c>
      <c r="J805" s="709" t="s">
        <v>537</v>
      </c>
      <c r="K805" s="709" t="s">
        <v>537</v>
      </c>
      <c r="L805" s="712">
        <v>48085</v>
      </c>
      <c r="M805" s="709" t="s">
        <v>537</v>
      </c>
      <c r="N805" s="709" t="s">
        <v>537</v>
      </c>
      <c r="O805" s="723">
        <v>4315</v>
      </c>
      <c r="P805" s="701" t="s">
        <v>537</v>
      </c>
      <c r="Q805" s="709">
        <v>0</v>
      </c>
      <c r="R805" s="707">
        <v>241487</v>
      </c>
      <c r="S805" s="701" t="s">
        <v>732</v>
      </c>
      <c r="T805" s="701">
        <v>40</v>
      </c>
      <c r="U805" s="701">
        <v>5</v>
      </c>
      <c r="V805" s="701">
        <v>0</v>
      </c>
      <c r="W805" s="701">
        <v>48</v>
      </c>
      <c r="X805" s="701">
        <v>7</v>
      </c>
      <c r="Y805" s="701">
        <v>0</v>
      </c>
      <c r="Z805" s="701">
        <v>82</v>
      </c>
      <c r="AA805" s="458" t="s">
        <v>2208</v>
      </c>
      <c r="AB805" s="459" t="s">
        <v>539</v>
      </c>
      <c r="AC805" s="459" t="s">
        <v>539</v>
      </c>
      <c r="AD805" s="458" t="s">
        <v>733</v>
      </c>
      <c r="AE805" s="459">
        <v>1</v>
      </c>
      <c r="AF805" s="459">
        <v>1</v>
      </c>
      <c r="AG805" s="701" t="s">
        <v>375</v>
      </c>
      <c r="AH805" s="728"/>
      <c r="AI805" s="697">
        <v>806481205</v>
      </c>
      <c r="AJ805" s="699"/>
    </row>
    <row r="806" spans="2:36" ht="24" hidden="1" customHeight="1">
      <c r="B806" s="702"/>
      <c r="C806" s="700"/>
      <c r="D806" s="700"/>
      <c r="E806" s="700"/>
      <c r="F806" s="700"/>
      <c r="G806" s="700"/>
      <c r="H806" s="700"/>
      <c r="I806" s="713"/>
      <c r="J806" s="710"/>
      <c r="K806" s="710"/>
      <c r="L806" s="713"/>
      <c r="M806" s="710"/>
      <c r="N806" s="710"/>
      <c r="O806" s="724"/>
      <c r="P806" s="702"/>
      <c r="Q806" s="710"/>
      <c r="R806" s="708"/>
      <c r="S806" s="702"/>
      <c r="T806" s="702"/>
      <c r="U806" s="702"/>
      <c r="V806" s="702"/>
      <c r="W806" s="702"/>
      <c r="X806" s="702"/>
      <c r="Y806" s="702"/>
      <c r="Z806" s="702"/>
      <c r="AA806" s="473" t="s">
        <v>2205</v>
      </c>
      <c r="AB806" s="474" t="s">
        <v>539</v>
      </c>
      <c r="AC806" s="474" t="s">
        <v>539</v>
      </c>
      <c r="AD806" s="473" t="s">
        <v>2209</v>
      </c>
      <c r="AE806" s="474">
        <v>3</v>
      </c>
      <c r="AF806" s="474">
        <v>11</v>
      </c>
      <c r="AG806" s="702"/>
      <c r="AH806" s="729"/>
      <c r="AI806" s="698"/>
      <c r="AJ806" s="700"/>
    </row>
    <row r="807" spans="2:36" ht="24" hidden="1" customHeight="1">
      <c r="B807" s="701">
        <v>657</v>
      </c>
      <c r="C807" s="699" t="s">
        <v>534</v>
      </c>
      <c r="D807" s="699"/>
      <c r="E807" s="699" t="s">
        <v>535</v>
      </c>
      <c r="F807" s="699"/>
      <c r="G807" s="699" t="s">
        <v>55</v>
      </c>
      <c r="H807" s="699" t="s">
        <v>2210</v>
      </c>
      <c r="I807" s="712">
        <v>30000</v>
      </c>
      <c r="J807" s="709" t="s">
        <v>537</v>
      </c>
      <c r="K807" s="709" t="s">
        <v>537</v>
      </c>
      <c r="L807" s="712">
        <v>30000</v>
      </c>
      <c r="M807" s="709" t="s">
        <v>537</v>
      </c>
      <c r="N807" s="709" t="s">
        <v>537</v>
      </c>
      <c r="O807" s="701" t="s">
        <v>537</v>
      </c>
      <c r="P807" s="701" t="s">
        <v>537</v>
      </c>
      <c r="Q807" s="709">
        <v>0</v>
      </c>
      <c r="R807" s="707">
        <v>241518</v>
      </c>
      <c r="S807" s="701" t="s">
        <v>2211</v>
      </c>
      <c r="T807" s="701">
        <v>0</v>
      </c>
      <c r="U807" s="701">
        <v>1</v>
      </c>
      <c r="V807" s="701">
        <v>0</v>
      </c>
      <c r="W807" s="701">
        <v>0</v>
      </c>
      <c r="X807" s="701">
        <v>1</v>
      </c>
      <c r="Y807" s="701">
        <v>0</v>
      </c>
      <c r="Z807" s="701">
        <v>98</v>
      </c>
      <c r="AA807" s="458" t="s">
        <v>633</v>
      </c>
      <c r="AB807" s="459" t="s">
        <v>539</v>
      </c>
      <c r="AC807" s="459" t="s">
        <v>539</v>
      </c>
      <c r="AD807" s="458" t="s">
        <v>2212</v>
      </c>
      <c r="AE807" s="459" t="s">
        <v>539</v>
      </c>
      <c r="AF807" s="459" t="s">
        <v>539</v>
      </c>
      <c r="AG807" s="701" t="s">
        <v>375</v>
      </c>
      <c r="AH807" s="728"/>
      <c r="AI807" s="697">
        <v>817544949</v>
      </c>
      <c r="AJ807" s="699"/>
    </row>
    <row r="808" spans="2:36" ht="24" hidden="1" customHeight="1">
      <c r="B808" s="702"/>
      <c r="C808" s="700"/>
      <c r="D808" s="700"/>
      <c r="E808" s="700"/>
      <c r="F808" s="700"/>
      <c r="G808" s="700"/>
      <c r="H808" s="700"/>
      <c r="I808" s="713"/>
      <c r="J808" s="710"/>
      <c r="K808" s="710"/>
      <c r="L808" s="713"/>
      <c r="M808" s="710"/>
      <c r="N808" s="710"/>
      <c r="O808" s="702"/>
      <c r="P808" s="702"/>
      <c r="Q808" s="710"/>
      <c r="R808" s="708"/>
      <c r="S808" s="702"/>
      <c r="T808" s="702"/>
      <c r="U808" s="702"/>
      <c r="V808" s="702"/>
      <c r="W808" s="702"/>
      <c r="X808" s="702"/>
      <c r="Y808" s="702"/>
      <c r="Z808" s="702"/>
      <c r="AA808" s="473" t="s">
        <v>2213</v>
      </c>
      <c r="AB808" s="474" t="s">
        <v>539</v>
      </c>
      <c r="AC808" s="474" t="s">
        <v>539</v>
      </c>
      <c r="AD808" s="473" t="s">
        <v>2214</v>
      </c>
      <c r="AE808" s="474" t="s">
        <v>539</v>
      </c>
      <c r="AF808" s="474" t="s">
        <v>539</v>
      </c>
      <c r="AG808" s="702"/>
      <c r="AH808" s="729"/>
      <c r="AI808" s="698"/>
      <c r="AJ808" s="700"/>
    </row>
    <row r="809" spans="2:36" ht="24" hidden="1" customHeight="1">
      <c r="B809" s="701">
        <v>658</v>
      </c>
      <c r="C809" s="699" t="s">
        <v>534</v>
      </c>
      <c r="D809" s="699"/>
      <c r="E809" s="699" t="s">
        <v>535</v>
      </c>
      <c r="F809" s="699"/>
      <c r="G809" s="699" t="s">
        <v>55</v>
      </c>
      <c r="H809" s="699" t="s">
        <v>2215</v>
      </c>
      <c r="I809" s="712">
        <v>50000</v>
      </c>
      <c r="J809" s="709" t="s">
        <v>537</v>
      </c>
      <c r="K809" s="709" t="s">
        <v>537</v>
      </c>
      <c r="L809" s="712">
        <v>50000</v>
      </c>
      <c r="M809" s="709" t="s">
        <v>537</v>
      </c>
      <c r="N809" s="709" t="s">
        <v>537</v>
      </c>
      <c r="O809" s="701" t="s">
        <v>537</v>
      </c>
      <c r="P809" s="701" t="s">
        <v>537</v>
      </c>
      <c r="Q809" s="709">
        <v>0</v>
      </c>
      <c r="R809" s="701" t="s">
        <v>984</v>
      </c>
      <c r="S809" s="701" t="s">
        <v>2216</v>
      </c>
      <c r="T809" s="701">
        <v>50</v>
      </c>
      <c r="U809" s="701">
        <v>2</v>
      </c>
      <c r="V809" s="701">
        <v>8</v>
      </c>
      <c r="W809" s="701">
        <v>38</v>
      </c>
      <c r="X809" s="701">
        <v>2</v>
      </c>
      <c r="Y809" s="701">
        <v>0</v>
      </c>
      <c r="Z809" s="701">
        <v>92.5</v>
      </c>
      <c r="AA809" s="458" t="s">
        <v>547</v>
      </c>
      <c r="AB809" s="459" t="s">
        <v>539</v>
      </c>
      <c r="AC809" s="459" t="s">
        <v>539</v>
      </c>
      <c r="AD809" s="458" t="s">
        <v>548</v>
      </c>
      <c r="AE809" s="459">
        <v>80</v>
      </c>
      <c r="AF809" s="459">
        <v>80</v>
      </c>
      <c r="AG809" s="701" t="s">
        <v>375</v>
      </c>
      <c r="AH809" s="728"/>
      <c r="AI809" s="697">
        <v>812538812</v>
      </c>
      <c r="AJ809" s="699"/>
    </row>
    <row r="810" spans="2:36" ht="24" hidden="1" customHeight="1">
      <c r="B810" s="702"/>
      <c r="C810" s="700"/>
      <c r="D810" s="700"/>
      <c r="E810" s="700"/>
      <c r="F810" s="700"/>
      <c r="G810" s="700"/>
      <c r="H810" s="700"/>
      <c r="I810" s="713"/>
      <c r="J810" s="710"/>
      <c r="K810" s="710"/>
      <c r="L810" s="713"/>
      <c r="M810" s="710"/>
      <c r="N810" s="710"/>
      <c r="O810" s="702"/>
      <c r="P810" s="702"/>
      <c r="Q810" s="710"/>
      <c r="R810" s="702"/>
      <c r="S810" s="702"/>
      <c r="T810" s="702"/>
      <c r="U810" s="702"/>
      <c r="V810" s="702"/>
      <c r="W810" s="702"/>
      <c r="X810" s="702"/>
      <c r="Y810" s="702"/>
      <c r="Z810" s="702"/>
      <c r="AA810" s="473" t="s">
        <v>2152</v>
      </c>
      <c r="AB810" s="474" t="s">
        <v>539</v>
      </c>
      <c r="AC810" s="474" t="s">
        <v>539</v>
      </c>
      <c r="AD810" s="473" t="s">
        <v>2217</v>
      </c>
      <c r="AE810" s="474">
        <v>40</v>
      </c>
      <c r="AF810" s="474">
        <v>40</v>
      </c>
      <c r="AG810" s="702"/>
      <c r="AH810" s="729"/>
      <c r="AI810" s="698"/>
      <c r="AJ810" s="700"/>
    </row>
    <row r="811" spans="2:36" ht="24" hidden="1" customHeight="1">
      <c r="B811" s="701">
        <v>659</v>
      </c>
      <c r="C811" s="699" t="s">
        <v>534</v>
      </c>
      <c r="D811" s="699"/>
      <c r="E811" s="699" t="s">
        <v>535</v>
      </c>
      <c r="F811" s="699"/>
      <c r="G811" s="699" t="s">
        <v>55</v>
      </c>
      <c r="H811" s="699" t="s">
        <v>2218</v>
      </c>
      <c r="I811" s="712">
        <v>30000</v>
      </c>
      <c r="J811" s="709" t="s">
        <v>537</v>
      </c>
      <c r="K811" s="709" t="s">
        <v>537</v>
      </c>
      <c r="L811" s="712">
        <v>26700</v>
      </c>
      <c r="M811" s="709" t="s">
        <v>537</v>
      </c>
      <c r="N811" s="709" t="s">
        <v>537</v>
      </c>
      <c r="O811" s="701" t="s">
        <v>537</v>
      </c>
      <c r="P811" s="701" t="s">
        <v>537</v>
      </c>
      <c r="Q811" s="705">
        <v>3300</v>
      </c>
      <c r="R811" s="707">
        <v>241609</v>
      </c>
      <c r="S811" s="721">
        <v>22479</v>
      </c>
      <c r="T811" s="701">
        <v>20</v>
      </c>
      <c r="U811" s="701">
        <v>5</v>
      </c>
      <c r="V811" s="701">
        <v>5</v>
      </c>
      <c r="W811" s="701">
        <v>26</v>
      </c>
      <c r="X811" s="701">
        <v>9</v>
      </c>
      <c r="Y811" s="701">
        <v>5</v>
      </c>
      <c r="Z811" s="701">
        <v>90</v>
      </c>
      <c r="AA811" s="697" t="s">
        <v>547</v>
      </c>
      <c r="AB811" s="701" t="s">
        <v>539</v>
      </c>
      <c r="AC811" s="701" t="s">
        <v>539</v>
      </c>
      <c r="AD811" s="458" t="s">
        <v>2219</v>
      </c>
      <c r="AE811" s="459">
        <v>80</v>
      </c>
      <c r="AF811" s="459">
        <v>90</v>
      </c>
      <c r="AG811" s="701" t="s">
        <v>376</v>
      </c>
      <c r="AH811" s="728"/>
      <c r="AI811" s="697">
        <v>890148348</v>
      </c>
      <c r="AJ811" s="699"/>
    </row>
    <row r="812" spans="2:36" ht="24" hidden="1" customHeight="1">
      <c r="B812" s="702"/>
      <c r="C812" s="700"/>
      <c r="D812" s="700"/>
      <c r="E812" s="700"/>
      <c r="F812" s="700"/>
      <c r="G812" s="700"/>
      <c r="H812" s="700"/>
      <c r="I812" s="713"/>
      <c r="J812" s="710"/>
      <c r="K812" s="710"/>
      <c r="L812" s="713"/>
      <c r="M812" s="710"/>
      <c r="N812" s="710"/>
      <c r="O812" s="702"/>
      <c r="P812" s="702"/>
      <c r="Q812" s="706"/>
      <c r="R812" s="708"/>
      <c r="S812" s="722"/>
      <c r="T812" s="702"/>
      <c r="U812" s="702"/>
      <c r="V812" s="702"/>
      <c r="W812" s="702"/>
      <c r="X812" s="702"/>
      <c r="Y812" s="702"/>
      <c r="Z812" s="702"/>
      <c r="AA812" s="698"/>
      <c r="AB812" s="702"/>
      <c r="AC812" s="702"/>
      <c r="AD812" s="473" t="s">
        <v>2220</v>
      </c>
      <c r="AE812" s="474">
        <v>50</v>
      </c>
      <c r="AF812" s="474">
        <v>40</v>
      </c>
      <c r="AG812" s="702"/>
      <c r="AH812" s="729"/>
      <c r="AI812" s="698"/>
      <c r="AJ812" s="700"/>
    </row>
    <row r="813" spans="2:36" ht="24" hidden="1" customHeight="1">
      <c r="B813" s="701">
        <v>660</v>
      </c>
      <c r="C813" s="699" t="s">
        <v>534</v>
      </c>
      <c r="D813" s="699"/>
      <c r="E813" s="699" t="s">
        <v>535</v>
      </c>
      <c r="F813" s="699"/>
      <c r="G813" s="699" t="s">
        <v>55</v>
      </c>
      <c r="H813" s="699" t="s">
        <v>636</v>
      </c>
      <c r="I813" s="712">
        <v>200000</v>
      </c>
      <c r="J813" s="709" t="s">
        <v>537</v>
      </c>
      <c r="K813" s="709" t="s">
        <v>537</v>
      </c>
      <c r="L813" s="712">
        <v>197155</v>
      </c>
      <c r="M813" s="709" t="s">
        <v>537</v>
      </c>
      <c r="N813" s="709" t="s">
        <v>537</v>
      </c>
      <c r="O813" s="701" t="s">
        <v>537</v>
      </c>
      <c r="P813" s="701" t="s">
        <v>537</v>
      </c>
      <c r="Q813" s="705">
        <v>2845</v>
      </c>
      <c r="R813" s="707">
        <v>241609</v>
      </c>
      <c r="S813" s="701" t="s">
        <v>637</v>
      </c>
      <c r="T813" s="701">
        <v>69</v>
      </c>
      <c r="U813" s="701">
        <v>11</v>
      </c>
      <c r="V813" s="701">
        <v>0</v>
      </c>
      <c r="W813" s="701">
        <v>57</v>
      </c>
      <c r="X813" s="701">
        <v>13</v>
      </c>
      <c r="Y813" s="701">
        <v>0</v>
      </c>
      <c r="Z813" s="701">
        <v>95</v>
      </c>
      <c r="AA813" s="458" t="s">
        <v>728</v>
      </c>
      <c r="AB813" s="459">
        <v>1</v>
      </c>
      <c r="AC813" s="459">
        <v>9</v>
      </c>
      <c r="AD813" s="458" t="s">
        <v>651</v>
      </c>
      <c r="AE813" s="459">
        <v>1</v>
      </c>
      <c r="AF813" s="459">
        <v>1</v>
      </c>
      <c r="AG813" s="701" t="s">
        <v>375</v>
      </c>
      <c r="AH813" s="728"/>
      <c r="AI813" s="697" t="s">
        <v>2221</v>
      </c>
      <c r="AJ813" s="699"/>
    </row>
    <row r="814" spans="2:36" ht="24" hidden="1" customHeight="1">
      <c r="B814" s="702"/>
      <c r="C814" s="700"/>
      <c r="D814" s="700"/>
      <c r="E814" s="700"/>
      <c r="F814" s="700"/>
      <c r="G814" s="700"/>
      <c r="H814" s="700"/>
      <c r="I814" s="713"/>
      <c r="J814" s="710"/>
      <c r="K814" s="710"/>
      <c r="L814" s="713"/>
      <c r="M814" s="710"/>
      <c r="N814" s="710"/>
      <c r="O814" s="702"/>
      <c r="P814" s="702"/>
      <c r="Q814" s="706"/>
      <c r="R814" s="708"/>
      <c r="S814" s="702"/>
      <c r="T814" s="702"/>
      <c r="U814" s="702"/>
      <c r="V814" s="702"/>
      <c r="W814" s="702"/>
      <c r="X814" s="702"/>
      <c r="Y814" s="702"/>
      <c r="Z814" s="702"/>
      <c r="AA814" s="473" t="s">
        <v>2222</v>
      </c>
      <c r="AB814" s="474">
        <v>85</v>
      </c>
      <c r="AC814" s="474">
        <v>98</v>
      </c>
      <c r="AD814" s="473" t="s">
        <v>2223</v>
      </c>
      <c r="AE814" s="474">
        <v>2</v>
      </c>
      <c r="AF814" s="474">
        <v>9</v>
      </c>
      <c r="AG814" s="702"/>
      <c r="AH814" s="729"/>
      <c r="AI814" s="698"/>
      <c r="AJ814" s="700"/>
    </row>
    <row r="815" spans="2:36" ht="24" hidden="1" customHeight="1">
      <c r="B815" s="701">
        <v>661</v>
      </c>
      <c r="C815" s="699" t="s">
        <v>534</v>
      </c>
      <c r="D815" s="699"/>
      <c r="E815" s="699" t="s">
        <v>535</v>
      </c>
      <c r="F815" s="699"/>
      <c r="G815" s="699" t="s">
        <v>55</v>
      </c>
      <c r="H815" s="699" t="s">
        <v>2224</v>
      </c>
      <c r="I815" s="712">
        <v>40000</v>
      </c>
      <c r="J815" s="709" t="s">
        <v>537</v>
      </c>
      <c r="K815" s="709" t="s">
        <v>537</v>
      </c>
      <c r="L815" s="712">
        <v>37000</v>
      </c>
      <c r="M815" s="709" t="s">
        <v>537</v>
      </c>
      <c r="N815" s="709" t="s">
        <v>537</v>
      </c>
      <c r="O815" s="723">
        <v>3000</v>
      </c>
      <c r="P815" s="701" t="s">
        <v>537</v>
      </c>
      <c r="Q815" s="709">
        <v>0</v>
      </c>
      <c r="R815" s="701" t="s">
        <v>643</v>
      </c>
      <c r="S815" s="701" t="s">
        <v>2225</v>
      </c>
      <c r="T815" s="701">
        <v>0</v>
      </c>
      <c r="U815" s="701">
        <v>5</v>
      </c>
      <c r="V815" s="701">
        <v>3</v>
      </c>
      <c r="W815" s="701">
        <v>149</v>
      </c>
      <c r="X815" s="701">
        <v>34</v>
      </c>
      <c r="Y815" s="701">
        <v>0</v>
      </c>
      <c r="Z815" s="701">
        <v>94.2</v>
      </c>
      <c r="AA815" s="458" t="s">
        <v>1304</v>
      </c>
      <c r="AB815" s="459" t="s">
        <v>539</v>
      </c>
      <c r="AC815" s="459" t="s">
        <v>539</v>
      </c>
      <c r="AD815" s="458" t="s">
        <v>606</v>
      </c>
      <c r="AE815" s="459">
        <v>80</v>
      </c>
      <c r="AF815" s="459">
        <v>80</v>
      </c>
      <c r="AG815" s="701" t="s">
        <v>375</v>
      </c>
      <c r="AH815" s="728"/>
      <c r="AI815" s="697" t="s">
        <v>2226</v>
      </c>
      <c r="AJ815" s="699"/>
    </row>
    <row r="816" spans="2:36" ht="24" hidden="1" customHeight="1">
      <c r="B816" s="702"/>
      <c r="C816" s="700"/>
      <c r="D816" s="700"/>
      <c r="E816" s="700"/>
      <c r="F816" s="700"/>
      <c r="G816" s="700"/>
      <c r="H816" s="700"/>
      <c r="I816" s="713"/>
      <c r="J816" s="710"/>
      <c r="K816" s="710"/>
      <c r="L816" s="713"/>
      <c r="M816" s="710"/>
      <c r="N816" s="710"/>
      <c r="O816" s="724"/>
      <c r="P816" s="702"/>
      <c r="Q816" s="710"/>
      <c r="R816" s="702"/>
      <c r="S816" s="702"/>
      <c r="T816" s="702"/>
      <c r="U816" s="702"/>
      <c r="V816" s="702"/>
      <c r="W816" s="702"/>
      <c r="X816" s="702"/>
      <c r="Y816" s="702"/>
      <c r="Z816" s="702"/>
      <c r="AA816" s="473" t="s">
        <v>2227</v>
      </c>
      <c r="AB816" s="474" t="s">
        <v>539</v>
      </c>
      <c r="AC816" s="474" t="s">
        <v>539</v>
      </c>
      <c r="AD816" s="473" t="s">
        <v>2228</v>
      </c>
      <c r="AE816" s="474" t="s">
        <v>539</v>
      </c>
      <c r="AF816" s="474" t="s">
        <v>539</v>
      </c>
      <c r="AG816" s="702"/>
      <c r="AH816" s="729"/>
      <c r="AI816" s="698"/>
      <c r="AJ816" s="700"/>
    </row>
    <row r="817" spans="2:36" ht="24" hidden="1" customHeight="1">
      <c r="B817" s="701">
        <v>662</v>
      </c>
      <c r="C817" s="699" t="s">
        <v>534</v>
      </c>
      <c r="D817" s="699"/>
      <c r="E817" s="699" t="s">
        <v>535</v>
      </c>
      <c r="F817" s="699"/>
      <c r="G817" s="699" t="s">
        <v>55</v>
      </c>
      <c r="H817" s="699" t="s">
        <v>2229</v>
      </c>
      <c r="I817" s="712">
        <v>100000</v>
      </c>
      <c r="J817" s="709" t="s">
        <v>537</v>
      </c>
      <c r="K817" s="709" t="s">
        <v>537</v>
      </c>
      <c r="L817" s="712">
        <v>85040</v>
      </c>
      <c r="M817" s="709" t="s">
        <v>537</v>
      </c>
      <c r="N817" s="709" t="s">
        <v>537</v>
      </c>
      <c r="O817" s="723">
        <v>14960</v>
      </c>
      <c r="P817" s="701" t="s">
        <v>537</v>
      </c>
      <c r="Q817" s="709">
        <v>0</v>
      </c>
      <c r="R817" s="707">
        <v>241459</v>
      </c>
      <c r="S817" s="701" t="s">
        <v>1248</v>
      </c>
      <c r="T817" s="701">
        <v>120</v>
      </c>
      <c r="U817" s="701">
        <v>30</v>
      </c>
      <c r="V817" s="701">
        <v>0</v>
      </c>
      <c r="W817" s="701">
        <v>102</v>
      </c>
      <c r="X817" s="701">
        <v>32</v>
      </c>
      <c r="Y817" s="701">
        <v>0</v>
      </c>
      <c r="Z817" s="701">
        <v>93</v>
      </c>
      <c r="AA817" s="458" t="s">
        <v>547</v>
      </c>
      <c r="AB817" s="459" t="s">
        <v>539</v>
      </c>
      <c r="AC817" s="459" t="s">
        <v>539</v>
      </c>
      <c r="AD817" s="458" t="s">
        <v>733</v>
      </c>
      <c r="AE817" s="459">
        <v>1</v>
      </c>
      <c r="AF817" s="459">
        <v>1</v>
      </c>
      <c r="AG817" s="701" t="s">
        <v>375</v>
      </c>
      <c r="AH817" s="728"/>
      <c r="AI817" s="697">
        <v>819583057</v>
      </c>
      <c r="AJ817" s="699"/>
    </row>
    <row r="818" spans="2:36" ht="24" hidden="1" customHeight="1">
      <c r="B818" s="702"/>
      <c r="C818" s="700"/>
      <c r="D818" s="700"/>
      <c r="E818" s="700"/>
      <c r="F818" s="700"/>
      <c r="G818" s="700"/>
      <c r="H818" s="700"/>
      <c r="I818" s="713"/>
      <c r="J818" s="710"/>
      <c r="K818" s="710"/>
      <c r="L818" s="713"/>
      <c r="M818" s="710"/>
      <c r="N818" s="710"/>
      <c r="O818" s="724"/>
      <c r="P818" s="702"/>
      <c r="Q818" s="710"/>
      <c r="R818" s="708"/>
      <c r="S818" s="702"/>
      <c r="T818" s="702"/>
      <c r="U818" s="702"/>
      <c r="V818" s="702"/>
      <c r="W818" s="702"/>
      <c r="X818" s="702"/>
      <c r="Y818" s="702"/>
      <c r="Z818" s="702"/>
      <c r="AA818" s="473" t="s">
        <v>2230</v>
      </c>
      <c r="AB818" s="474" t="s">
        <v>539</v>
      </c>
      <c r="AC818" s="474" t="s">
        <v>539</v>
      </c>
      <c r="AD818" s="473" t="s">
        <v>2231</v>
      </c>
      <c r="AE818" s="474" t="s">
        <v>539</v>
      </c>
      <c r="AF818" s="474" t="s">
        <v>539</v>
      </c>
      <c r="AG818" s="702"/>
      <c r="AH818" s="729"/>
      <c r="AI818" s="698"/>
      <c r="AJ818" s="700"/>
    </row>
    <row r="819" spans="2:36" ht="24" hidden="1" customHeight="1">
      <c r="B819" s="701">
        <v>663</v>
      </c>
      <c r="C819" s="699" t="s">
        <v>534</v>
      </c>
      <c r="D819" s="699"/>
      <c r="E819" s="699" t="s">
        <v>535</v>
      </c>
      <c r="F819" s="699"/>
      <c r="G819" s="699" t="s">
        <v>55</v>
      </c>
      <c r="H819" s="699" t="s">
        <v>2232</v>
      </c>
      <c r="I819" s="712">
        <v>18000</v>
      </c>
      <c r="J819" s="709" t="s">
        <v>537</v>
      </c>
      <c r="K819" s="709" t="s">
        <v>537</v>
      </c>
      <c r="L819" s="712">
        <v>18000</v>
      </c>
      <c r="M819" s="709" t="s">
        <v>537</v>
      </c>
      <c r="N819" s="709" t="s">
        <v>537</v>
      </c>
      <c r="O819" s="701" t="s">
        <v>537</v>
      </c>
      <c r="P819" s="701" t="s">
        <v>537</v>
      </c>
      <c r="Q819" s="709">
        <v>0</v>
      </c>
      <c r="R819" s="707">
        <v>241609</v>
      </c>
      <c r="S819" s="701" t="s">
        <v>2233</v>
      </c>
      <c r="T819" s="701">
        <v>20</v>
      </c>
      <c r="U819" s="701">
        <v>0</v>
      </c>
      <c r="V819" s="701">
        <v>0</v>
      </c>
      <c r="W819" s="701">
        <v>20</v>
      </c>
      <c r="X819" s="701">
        <v>0</v>
      </c>
      <c r="Y819" s="701">
        <v>0</v>
      </c>
      <c r="Z819" s="701">
        <v>95</v>
      </c>
      <c r="AA819" s="458" t="s">
        <v>2234</v>
      </c>
      <c r="AB819" s="459" t="s">
        <v>539</v>
      </c>
      <c r="AC819" s="459" t="s">
        <v>539</v>
      </c>
      <c r="AD819" s="458" t="s">
        <v>548</v>
      </c>
      <c r="AE819" s="459">
        <v>80</v>
      </c>
      <c r="AF819" s="459">
        <v>80</v>
      </c>
      <c r="AG819" s="701" t="s">
        <v>375</v>
      </c>
      <c r="AH819" s="728"/>
      <c r="AI819" s="697">
        <v>816775908</v>
      </c>
      <c r="AJ819" s="699"/>
    </row>
    <row r="820" spans="2:36" ht="24" hidden="1" customHeight="1">
      <c r="B820" s="702"/>
      <c r="C820" s="700"/>
      <c r="D820" s="700"/>
      <c r="E820" s="700"/>
      <c r="F820" s="700"/>
      <c r="G820" s="700"/>
      <c r="H820" s="700"/>
      <c r="I820" s="713"/>
      <c r="J820" s="710"/>
      <c r="K820" s="710"/>
      <c r="L820" s="713"/>
      <c r="M820" s="710"/>
      <c r="N820" s="710"/>
      <c r="O820" s="702"/>
      <c r="P820" s="702"/>
      <c r="Q820" s="710"/>
      <c r="R820" s="708"/>
      <c r="S820" s="702"/>
      <c r="T820" s="702"/>
      <c r="U820" s="702"/>
      <c r="V820" s="702"/>
      <c r="W820" s="702"/>
      <c r="X820" s="702"/>
      <c r="Y820" s="702"/>
      <c r="Z820" s="702"/>
      <c r="AA820" s="473" t="s">
        <v>2235</v>
      </c>
      <c r="AB820" s="474" t="s">
        <v>539</v>
      </c>
      <c r="AC820" s="474" t="s">
        <v>539</v>
      </c>
      <c r="AD820" s="473" t="s">
        <v>2236</v>
      </c>
      <c r="AE820" s="474" t="s">
        <v>539</v>
      </c>
      <c r="AF820" s="474" t="s">
        <v>539</v>
      </c>
      <c r="AG820" s="702"/>
      <c r="AH820" s="729"/>
      <c r="AI820" s="698"/>
      <c r="AJ820" s="700"/>
    </row>
    <row r="821" spans="2:36" ht="24" hidden="1" customHeight="1">
      <c r="B821" s="701">
        <v>664</v>
      </c>
      <c r="C821" s="699" t="s">
        <v>534</v>
      </c>
      <c r="D821" s="699"/>
      <c r="E821" s="699" t="s">
        <v>535</v>
      </c>
      <c r="F821" s="699"/>
      <c r="G821" s="699" t="s">
        <v>55</v>
      </c>
      <c r="H821" s="699" t="s">
        <v>2237</v>
      </c>
      <c r="I821" s="712">
        <v>18000</v>
      </c>
      <c r="J821" s="709" t="s">
        <v>537</v>
      </c>
      <c r="K821" s="709" t="s">
        <v>537</v>
      </c>
      <c r="L821" s="712">
        <v>17830</v>
      </c>
      <c r="M821" s="709" t="s">
        <v>537</v>
      </c>
      <c r="N821" s="709" t="s">
        <v>537</v>
      </c>
      <c r="O821" s="701" t="s">
        <v>537</v>
      </c>
      <c r="P821" s="701" t="s">
        <v>537</v>
      </c>
      <c r="Q821" s="709">
        <v>170</v>
      </c>
      <c r="R821" s="707">
        <v>241459</v>
      </c>
      <c r="S821" s="701" t="s">
        <v>2238</v>
      </c>
      <c r="T821" s="701">
        <v>56</v>
      </c>
      <c r="U821" s="701">
        <v>0</v>
      </c>
      <c r="V821" s="701">
        <v>0</v>
      </c>
      <c r="W821" s="701">
        <v>56</v>
      </c>
      <c r="X821" s="701">
        <v>0</v>
      </c>
      <c r="Y821" s="701">
        <v>0</v>
      </c>
      <c r="Z821" s="701">
        <v>94.6</v>
      </c>
      <c r="AA821" s="458" t="s">
        <v>2234</v>
      </c>
      <c r="AB821" s="459" t="s">
        <v>539</v>
      </c>
      <c r="AC821" s="459" t="s">
        <v>539</v>
      </c>
      <c r="AD821" s="458" t="s">
        <v>548</v>
      </c>
      <c r="AE821" s="459">
        <v>80</v>
      </c>
      <c r="AF821" s="459">
        <v>80</v>
      </c>
      <c r="AG821" s="701" t="s">
        <v>375</v>
      </c>
      <c r="AH821" s="728"/>
      <c r="AI821" s="697">
        <v>899086454</v>
      </c>
      <c r="AJ821" s="699"/>
    </row>
    <row r="822" spans="2:36" ht="24" hidden="1" customHeight="1">
      <c r="B822" s="702"/>
      <c r="C822" s="700"/>
      <c r="D822" s="700"/>
      <c r="E822" s="700"/>
      <c r="F822" s="700"/>
      <c r="G822" s="700"/>
      <c r="H822" s="700"/>
      <c r="I822" s="713"/>
      <c r="J822" s="710"/>
      <c r="K822" s="710"/>
      <c r="L822" s="713"/>
      <c r="M822" s="710"/>
      <c r="N822" s="710"/>
      <c r="O822" s="702"/>
      <c r="P822" s="702"/>
      <c r="Q822" s="710"/>
      <c r="R822" s="708"/>
      <c r="S822" s="702"/>
      <c r="T822" s="702"/>
      <c r="U822" s="702"/>
      <c r="V822" s="702"/>
      <c r="W822" s="702"/>
      <c r="X822" s="702"/>
      <c r="Y822" s="702"/>
      <c r="Z822" s="702"/>
      <c r="AA822" s="473" t="s">
        <v>2235</v>
      </c>
      <c r="AB822" s="474">
        <v>80</v>
      </c>
      <c r="AC822" s="474">
        <v>80</v>
      </c>
      <c r="AD822" s="473" t="s">
        <v>2236</v>
      </c>
      <c r="AE822" s="474" t="s">
        <v>539</v>
      </c>
      <c r="AF822" s="474" t="s">
        <v>539</v>
      </c>
      <c r="AG822" s="702"/>
      <c r="AH822" s="729"/>
      <c r="AI822" s="698"/>
      <c r="AJ822" s="700"/>
    </row>
    <row r="823" spans="2:36" ht="24" hidden="1" customHeight="1">
      <c r="B823" s="701">
        <v>665</v>
      </c>
      <c r="C823" s="699" t="s">
        <v>534</v>
      </c>
      <c r="D823" s="699"/>
      <c r="E823" s="699" t="s">
        <v>535</v>
      </c>
      <c r="F823" s="699"/>
      <c r="G823" s="699" t="s">
        <v>55</v>
      </c>
      <c r="H823" s="699" t="s">
        <v>2239</v>
      </c>
      <c r="I823" s="712">
        <v>18000</v>
      </c>
      <c r="J823" s="709" t="s">
        <v>537</v>
      </c>
      <c r="K823" s="709" t="s">
        <v>537</v>
      </c>
      <c r="L823" s="712">
        <v>17930</v>
      </c>
      <c r="M823" s="709" t="s">
        <v>537</v>
      </c>
      <c r="N823" s="709" t="s">
        <v>537</v>
      </c>
      <c r="O823" s="701" t="s">
        <v>537</v>
      </c>
      <c r="P823" s="701" t="s">
        <v>537</v>
      </c>
      <c r="Q823" s="709">
        <v>70</v>
      </c>
      <c r="R823" s="701" t="s">
        <v>818</v>
      </c>
      <c r="S823" s="701" t="s">
        <v>2240</v>
      </c>
      <c r="T823" s="701">
        <v>26</v>
      </c>
      <c r="U823" s="701">
        <v>0</v>
      </c>
      <c r="V823" s="701">
        <v>0</v>
      </c>
      <c r="W823" s="701">
        <v>26</v>
      </c>
      <c r="X823" s="701">
        <v>0</v>
      </c>
      <c r="Y823" s="701">
        <v>0</v>
      </c>
      <c r="Z823" s="701">
        <v>89.87</v>
      </c>
      <c r="AA823" s="458" t="s">
        <v>2234</v>
      </c>
      <c r="AB823" s="459" t="s">
        <v>539</v>
      </c>
      <c r="AC823" s="459" t="s">
        <v>539</v>
      </c>
      <c r="AD823" s="458" t="s">
        <v>548</v>
      </c>
      <c r="AE823" s="459">
        <v>80</v>
      </c>
      <c r="AF823" s="459">
        <v>80</v>
      </c>
      <c r="AG823" s="701" t="s">
        <v>375</v>
      </c>
      <c r="AH823" s="728"/>
      <c r="AI823" s="697">
        <v>814789381</v>
      </c>
      <c r="AJ823" s="699"/>
    </row>
    <row r="824" spans="2:36" ht="24" hidden="1" customHeight="1">
      <c r="B824" s="702"/>
      <c r="C824" s="700"/>
      <c r="D824" s="700"/>
      <c r="E824" s="700"/>
      <c r="F824" s="700"/>
      <c r="G824" s="700"/>
      <c r="H824" s="700"/>
      <c r="I824" s="713"/>
      <c r="J824" s="710"/>
      <c r="K824" s="710"/>
      <c r="L824" s="713"/>
      <c r="M824" s="710"/>
      <c r="N824" s="710"/>
      <c r="O824" s="702"/>
      <c r="P824" s="702"/>
      <c r="Q824" s="710"/>
      <c r="R824" s="702"/>
      <c r="S824" s="702"/>
      <c r="T824" s="702"/>
      <c r="U824" s="702"/>
      <c r="V824" s="702"/>
      <c r="W824" s="702"/>
      <c r="X824" s="702"/>
      <c r="Y824" s="702"/>
      <c r="Z824" s="702"/>
      <c r="AA824" s="473" t="s">
        <v>2235</v>
      </c>
      <c r="AB824" s="474">
        <v>80</v>
      </c>
      <c r="AC824" s="474">
        <v>88</v>
      </c>
      <c r="AD824" s="473" t="s">
        <v>2236</v>
      </c>
      <c r="AE824" s="474" t="s">
        <v>539</v>
      </c>
      <c r="AF824" s="474" t="s">
        <v>539</v>
      </c>
      <c r="AG824" s="702"/>
      <c r="AH824" s="729"/>
      <c r="AI824" s="698"/>
      <c r="AJ824" s="700"/>
    </row>
    <row r="825" spans="2:36" ht="24" hidden="1" customHeight="1">
      <c r="B825" s="701">
        <v>666</v>
      </c>
      <c r="C825" s="699" t="s">
        <v>534</v>
      </c>
      <c r="D825" s="699"/>
      <c r="E825" s="699" t="s">
        <v>535</v>
      </c>
      <c r="F825" s="699"/>
      <c r="G825" s="699" t="s">
        <v>55</v>
      </c>
      <c r="H825" s="699" t="s">
        <v>2241</v>
      </c>
      <c r="I825" s="712">
        <v>78000</v>
      </c>
      <c r="J825" s="709" t="s">
        <v>537</v>
      </c>
      <c r="K825" s="709" t="s">
        <v>537</v>
      </c>
      <c r="L825" s="712">
        <v>78000</v>
      </c>
      <c r="M825" s="709" t="s">
        <v>537</v>
      </c>
      <c r="N825" s="709" t="s">
        <v>537</v>
      </c>
      <c r="O825" s="701" t="s">
        <v>537</v>
      </c>
      <c r="P825" s="701" t="s">
        <v>537</v>
      </c>
      <c r="Q825" s="709">
        <v>0</v>
      </c>
      <c r="R825" s="707">
        <v>241487</v>
      </c>
      <c r="S825" s="701" t="s">
        <v>2242</v>
      </c>
      <c r="T825" s="701">
        <v>10</v>
      </c>
      <c r="U825" s="701">
        <v>0</v>
      </c>
      <c r="V825" s="701">
        <v>0</v>
      </c>
      <c r="W825" s="701">
        <v>14</v>
      </c>
      <c r="X825" s="701">
        <v>1</v>
      </c>
      <c r="Y825" s="701">
        <v>0</v>
      </c>
      <c r="Z825" s="701">
        <v>90</v>
      </c>
      <c r="AA825" s="458" t="s">
        <v>2234</v>
      </c>
      <c r="AB825" s="459" t="s">
        <v>539</v>
      </c>
      <c r="AC825" s="459" t="s">
        <v>539</v>
      </c>
      <c r="AD825" s="458" t="s">
        <v>548</v>
      </c>
      <c r="AE825" s="459">
        <v>80</v>
      </c>
      <c r="AF825" s="459">
        <v>80</v>
      </c>
      <c r="AG825" s="701" t="s">
        <v>375</v>
      </c>
      <c r="AH825" s="728"/>
      <c r="AI825" s="697">
        <v>950731555</v>
      </c>
      <c r="AJ825" s="699"/>
    </row>
    <row r="826" spans="2:36" ht="24" hidden="1" customHeight="1">
      <c r="B826" s="702"/>
      <c r="C826" s="700"/>
      <c r="D826" s="700"/>
      <c r="E826" s="700"/>
      <c r="F826" s="700"/>
      <c r="G826" s="700"/>
      <c r="H826" s="700"/>
      <c r="I826" s="713"/>
      <c r="J826" s="710"/>
      <c r="K826" s="710"/>
      <c r="L826" s="713"/>
      <c r="M826" s="710"/>
      <c r="N826" s="710"/>
      <c r="O826" s="702"/>
      <c r="P826" s="702"/>
      <c r="Q826" s="710"/>
      <c r="R826" s="708"/>
      <c r="S826" s="702"/>
      <c r="T826" s="702"/>
      <c r="U826" s="702"/>
      <c r="V826" s="702"/>
      <c r="W826" s="702"/>
      <c r="X826" s="702"/>
      <c r="Y826" s="702"/>
      <c r="Z826" s="702"/>
      <c r="AA826" s="473" t="s">
        <v>2235</v>
      </c>
      <c r="AB826" s="474">
        <v>80</v>
      </c>
      <c r="AC826" s="474">
        <v>80</v>
      </c>
      <c r="AD826" s="473" t="s">
        <v>2236</v>
      </c>
      <c r="AE826" s="474" t="s">
        <v>539</v>
      </c>
      <c r="AF826" s="474" t="s">
        <v>539</v>
      </c>
      <c r="AG826" s="702"/>
      <c r="AH826" s="729"/>
      <c r="AI826" s="698"/>
      <c r="AJ826" s="700"/>
    </row>
    <row r="827" spans="2:36" ht="24" hidden="1" customHeight="1">
      <c r="B827" s="701">
        <v>667</v>
      </c>
      <c r="C827" s="699" t="s">
        <v>534</v>
      </c>
      <c r="D827" s="699"/>
      <c r="E827" s="699" t="s">
        <v>535</v>
      </c>
      <c r="F827" s="699"/>
      <c r="G827" s="699" t="s">
        <v>55</v>
      </c>
      <c r="H827" s="699" t="s">
        <v>2243</v>
      </c>
      <c r="I827" s="712">
        <v>18000</v>
      </c>
      <c r="J827" s="709" t="s">
        <v>537</v>
      </c>
      <c r="K827" s="709" t="s">
        <v>537</v>
      </c>
      <c r="L827" s="712">
        <v>17920</v>
      </c>
      <c r="M827" s="709" t="s">
        <v>537</v>
      </c>
      <c r="N827" s="709" t="s">
        <v>537</v>
      </c>
      <c r="O827" s="701" t="s">
        <v>537</v>
      </c>
      <c r="P827" s="701" t="s">
        <v>537</v>
      </c>
      <c r="Q827" s="709">
        <v>80</v>
      </c>
      <c r="R827" s="701" t="s">
        <v>646</v>
      </c>
      <c r="S827" s="701" t="s">
        <v>2244</v>
      </c>
      <c r="T827" s="701">
        <v>16</v>
      </c>
      <c r="U827" s="701">
        <v>0</v>
      </c>
      <c r="V827" s="701">
        <v>0</v>
      </c>
      <c r="W827" s="701">
        <v>17</v>
      </c>
      <c r="X827" s="701">
        <v>0</v>
      </c>
      <c r="Y827" s="701">
        <v>0</v>
      </c>
      <c r="Z827" s="701">
        <v>92.5</v>
      </c>
      <c r="AA827" s="458" t="s">
        <v>2234</v>
      </c>
      <c r="AB827" s="459" t="s">
        <v>539</v>
      </c>
      <c r="AC827" s="459" t="s">
        <v>539</v>
      </c>
      <c r="AD827" s="458" t="s">
        <v>548</v>
      </c>
      <c r="AE827" s="459">
        <v>80</v>
      </c>
      <c r="AF827" s="459">
        <v>80</v>
      </c>
      <c r="AG827" s="701" t="s">
        <v>375</v>
      </c>
      <c r="AH827" s="728"/>
      <c r="AI827" s="697">
        <v>950731555</v>
      </c>
      <c r="AJ827" s="699"/>
    </row>
    <row r="828" spans="2:36" ht="24" hidden="1" customHeight="1">
      <c r="B828" s="702"/>
      <c r="C828" s="700"/>
      <c r="D828" s="700"/>
      <c r="E828" s="700"/>
      <c r="F828" s="700"/>
      <c r="G828" s="700"/>
      <c r="H828" s="700"/>
      <c r="I828" s="713"/>
      <c r="J828" s="710"/>
      <c r="K828" s="710"/>
      <c r="L828" s="713"/>
      <c r="M828" s="710"/>
      <c r="N828" s="710"/>
      <c r="O828" s="702"/>
      <c r="P828" s="702"/>
      <c r="Q828" s="710"/>
      <c r="R828" s="702"/>
      <c r="S828" s="702"/>
      <c r="T828" s="702"/>
      <c r="U828" s="702"/>
      <c r="V828" s="702"/>
      <c r="W828" s="702"/>
      <c r="X828" s="702"/>
      <c r="Y828" s="702"/>
      <c r="Z828" s="702"/>
      <c r="AA828" s="473" t="s">
        <v>2235</v>
      </c>
      <c r="AB828" s="474">
        <v>80</v>
      </c>
      <c r="AC828" s="474">
        <v>80</v>
      </c>
      <c r="AD828" s="473" t="s">
        <v>2236</v>
      </c>
      <c r="AE828" s="474" t="s">
        <v>539</v>
      </c>
      <c r="AF828" s="474" t="s">
        <v>539</v>
      </c>
      <c r="AG828" s="702"/>
      <c r="AH828" s="729"/>
      <c r="AI828" s="698"/>
      <c r="AJ828" s="700"/>
    </row>
    <row r="829" spans="2:36" ht="24" hidden="1" customHeight="1">
      <c r="B829" s="701">
        <v>668</v>
      </c>
      <c r="C829" s="699" t="s">
        <v>534</v>
      </c>
      <c r="D829" s="699"/>
      <c r="E829" s="699" t="s">
        <v>535</v>
      </c>
      <c r="F829" s="699"/>
      <c r="G829" s="699" t="s">
        <v>55</v>
      </c>
      <c r="H829" s="699" t="s">
        <v>2245</v>
      </c>
      <c r="I829" s="712">
        <v>150000</v>
      </c>
      <c r="J829" s="709" t="s">
        <v>537</v>
      </c>
      <c r="K829" s="709" t="s">
        <v>537</v>
      </c>
      <c r="L829" s="712">
        <v>148399</v>
      </c>
      <c r="M829" s="709" t="s">
        <v>537</v>
      </c>
      <c r="N829" s="709" t="s">
        <v>537</v>
      </c>
      <c r="O829" s="701" t="s">
        <v>537</v>
      </c>
      <c r="P829" s="701" t="s">
        <v>537</v>
      </c>
      <c r="Q829" s="705">
        <v>1601</v>
      </c>
      <c r="R829" s="707">
        <v>241579</v>
      </c>
      <c r="S829" s="701" t="s">
        <v>2246</v>
      </c>
      <c r="T829" s="701">
        <v>14</v>
      </c>
      <c r="U829" s="701">
        <v>0</v>
      </c>
      <c r="V829" s="701">
        <v>6</v>
      </c>
      <c r="W829" s="701">
        <v>10</v>
      </c>
      <c r="X829" s="701">
        <v>0</v>
      </c>
      <c r="Y829" s="701">
        <v>12</v>
      </c>
      <c r="Z829" s="701">
        <v>90</v>
      </c>
      <c r="AA829" s="458" t="s">
        <v>2234</v>
      </c>
      <c r="AB829" s="459" t="s">
        <v>539</v>
      </c>
      <c r="AC829" s="459" t="s">
        <v>539</v>
      </c>
      <c r="AD829" s="458" t="s">
        <v>548</v>
      </c>
      <c r="AE829" s="459">
        <v>80</v>
      </c>
      <c r="AF829" s="459">
        <v>80</v>
      </c>
      <c r="AG829" s="701" t="s">
        <v>375</v>
      </c>
      <c r="AH829" s="728"/>
      <c r="AI829" s="697">
        <v>817544949</v>
      </c>
      <c r="AJ829" s="699"/>
    </row>
    <row r="830" spans="2:36" ht="24" hidden="1" customHeight="1">
      <c r="B830" s="702"/>
      <c r="C830" s="700"/>
      <c r="D830" s="700"/>
      <c r="E830" s="700"/>
      <c r="F830" s="700"/>
      <c r="G830" s="700"/>
      <c r="H830" s="700"/>
      <c r="I830" s="713"/>
      <c r="J830" s="710"/>
      <c r="K830" s="710"/>
      <c r="L830" s="713"/>
      <c r="M830" s="710"/>
      <c r="N830" s="710"/>
      <c r="O830" s="702"/>
      <c r="P830" s="702"/>
      <c r="Q830" s="706"/>
      <c r="R830" s="708"/>
      <c r="S830" s="702"/>
      <c r="T830" s="702"/>
      <c r="U830" s="702"/>
      <c r="V830" s="702"/>
      <c r="W830" s="702"/>
      <c r="X830" s="702"/>
      <c r="Y830" s="702"/>
      <c r="Z830" s="702"/>
      <c r="AA830" s="473" t="s">
        <v>2235</v>
      </c>
      <c r="AB830" s="474">
        <v>80</v>
      </c>
      <c r="AC830" s="474">
        <v>80</v>
      </c>
      <c r="AD830" s="473" t="s">
        <v>2236</v>
      </c>
      <c r="AE830" s="474" t="s">
        <v>539</v>
      </c>
      <c r="AF830" s="474" t="s">
        <v>539</v>
      </c>
      <c r="AG830" s="702"/>
      <c r="AH830" s="729"/>
      <c r="AI830" s="698"/>
      <c r="AJ830" s="700"/>
    </row>
    <row r="831" spans="2:36" ht="24" hidden="1" customHeight="1">
      <c r="B831" s="463">
        <v>669</v>
      </c>
      <c r="C831" s="464" t="s">
        <v>534</v>
      </c>
      <c r="D831" s="464"/>
      <c r="E831" s="464" t="s">
        <v>577</v>
      </c>
      <c r="F831" s="464"/>
      <c r="G831" s="464" t="s">
        <v>55</v>
      </c>
      <c r="H831" s="464" t="s">
        <v>2247</v>
      </c>
      <c r="I831" s="465" t="s">
        <v>537</v>
      </c>
      <c r="J831" s="465" t="s">
        <v>537</v>
      </c>
      <c r="K831" s="466">
        <v>60000</v>
      </c>
      <c r="L831" s="465" t="s">
        <v>537</v>
      </c>
      <c r="M831" s="465" t="s">
        <v>537</v>
      </c>
      <c r="N831" s="466">
        <v>60000</v>
      </c>
      <c r="O831" s="463" t="s">
        <v>537</v>
      </c>
      <c r="P831" s="463" t="s">
        <v>537</v>
      </c>
      <c r="Q831" s="465">
        <v>0</v>
      </c>
      <c r="R831" s="470">
        <v>241428</v>
      </c>
      <c r="S831" s="463" t="s">
        <v>2112</v>
      </c>
      <c r="T831" s="463">
        <v>0</v>
      </c>
      <c r="U831" s="463">
        <v>0</v>
      </c>
      <c r="V831" s="463">
        <v>0</v>
      </c>
      <c r="W831" s="463">
        <v>0</v>
      </c>
      <c r="X831" s="463">
        <v>0</v>
      </c>
      <c r="Y831" s="463">
        <v>0</v>
      </c>
      <c r="Z831" s="463">
        <v>90</v>
      </c>
      <c r="AA831" s="472" t="s">
        <v>2248</v>
      </c>
      <c r="AB831" s="463" t="s">
        <v>539</v>
      </c>
      <c r="AC831" s="463" t="s">
        <v>539</v>
      </c>
      <c r="AD831" s="472" t="s">
        <v>2249</v>
      </c>
      <c r="AE831" s="463" t="s">
        <v>539</v>
      </c>
      <c r="AF831" s="463" t="s">
        <v>539</v>
      </c>
      <c r="AG831" s="463" t="s">
        <v>375</v>
      </c>
      <c r="AH831" s="476"/>
      <c r="AI831" s="472" t="s">
        <v>2250</v>
      </c>
      <c r="AJ831" s="472" t="s">
        <v>543</v>
      </c>
    </row>
    <row r="832" spans="2:36" ht="24" hidden="1" customHeight="1">
      <c r="B832" s="701">
        <v>670</v>
      </c>
      <c r="C832" s="699" t="s">
        <v>534</v>
      </c>
      <c r="D832" s="699"/>
      <c r="E832" s="699" t="s">
        <v>577</v>
      </c>
      <c r="F832" s="699"/>
      <c r="G832" s="699" t="s">
        <v>55</v>
      </c>
      <c r="H832" s="699" t="s">
        <v>2251</v>
      </c>
      <c r="I832" s="709" t="s">
        <v>537</v>
      </c>
      <c r="J832" s="709" t="s">
        <v>537</v>
      </c>
      <c r="K832" s="712">
        <v>40000</v>
      </c>
      <c r="L832" s="709" t="s">
        <v>537</v>
      </c>
      <c r="M832" s="709" t="s">
        <v>537</v>
      </c>
      <c r="N832" s="712">
        <v>40000</v>
      </c>
      <c r="O832" s="701" t="s">
        <v>537</v>
      </c>
      <c r="P832" s="701" t="s">
        <v>537</v>
      </c>
      <c r="Q832" s="709">
        <v>0</v>
      </c>
      <c r="R832" s="707">
        <v>241428</v>
      </c>
      <c r="S832" s="701" t="s">
        <v>2252</v>
      </c>
      <c r="T832" s="701">
        <v>0</v>
      </c>
      <c r="U832" s="701">
        <v>0</v>
      </c>
      <c r="V832" s="701">
        <v>0</v>
      </c>
      <c r="W832" s="701">
        <v>0</v>
      </c>
      <c r="X832" s="701">
        <v>0</v>
      </c>
      <c r="Y832" s="701">
        <v>0</v>
      </c>
      <c r="Z832" s="701">
        <v>89</v>
      </c>
      <c r="AA832" s="697" t="s">
        <v>2253</v>
      </c>
      <c r="AB832" s="701" t="s">
        <v>539</v>
      </c>
      <c r="AC832" s="701" t="s">
        <v>539</v>
      </c>
      <c r="AD832" s="458" t="s">
        <v>2254</v>
      </c>
      <c r="AE832" s="459">
        <v>1</v>
      </c>
      <c r="AF832" s="459">
        <v>1</v>
      </c>
      <c r="AG832" s="701" t="s">
        <v>375</v>
      </c>
      <c r="AH832" s="728"/>
      <c r="AI832" s="697" t="s">
        <v>2255</v>
      </c>
      <c r="AJ832" s="697" t="s">
        <v>543</v>
      </c>
    </row>
    <row r="833" spans="2:36" ht="24" hidden="1" customHeight="1">
      <c r="B833" s="702"/>
      <c r="C833" s="700"/>
      <c r="D833" s="700"/>
      <c r="E833" s="700"/>
      <c r="F833" s="700"/>
      <c r="G833" s="700"/>
      <c r="H833" s="700"/>
      <c r="I833" s="710"/>
      <c r="J833" s="710"/>
      <c r="K833" s="713"/>
      <c r="L833" s="710"/>
      <c r="M833" s="710"/>
      <c r="N833" s="713"/>
      <c r="O833" s="702"/>
      <c r="P833" s="702"/>
      <c r="Q833" s="710"/>
      <c r="R833" s="708"/>
      <c r="S833" s="702"/>
      <c r="T833" s="702"/>
      <c r="U833" s="702"/>
      <c r="V833" s="702"/>
      <c r="W833" s="702"/>
      <c r="X833" s="702"/>
      <c r="Y833" s="702"/>
      <c r="Z833" s="702"/>
      <c r="AA833" s="698"/>
      <c r="AB833" s="702"/>
      <c r="AC833" s="702"/>
      <c r="AD833" s="473" t="s">
        <v>2256</v>
      </c>
      <c r="AE833" s="474">
        <v>1</v>
      </c>
      <c r="AF833" s="474">
        <v>1</v>
      </c>
      <c r="AG833" s="702"/>
      <c r="AH833" s="729"/>
      <c r="AI833" s="698"/>
      <c r="AJ833" s="698"/>
    </row>
    <row r="834" spans="2:36" ht="24" hidden="1" customHeight="1">
      <c r="B834" s="701">
        <v>671</v>
      </c>
      <c r="C834" s="699" t="s">
        <v>534</v>
      </c>
      <c r="D834" s="699"/>
      <c r="E834" s="699" t="s">
        <v>577</v>
      </c>
      <c r="F834" s="699"/>
      <c r="G834" s="699" t="s">
        <v>55</v>
      </c>
      <c r="H834" s="699" t="s">
        <v>2257</v>
      </c>
      <c r="I834" s="709" t="s">
        <v>537</v>
      </c>
      <c r="J834" s="709" t="s">
        <v>537</v>
      </c>
      <c r="K834" s="712">
        <v>40000</v>
      </c>
      <c r="L834" s="709" t="s">
        <v>537</v>
      </c>
      <c r="M834" s="709" t="s">
        <v>537</v>
      </c>
      <c r="N834" s="712">
        <v>40000</v>
      </c>
      <c r="O834" s="701" t="s">
        <v>537</v>
      </c>
      <c r="P834" s="701" t="s">
        <v>537</v>
      </c>
      <c r="Q834" s="709">
        <v>0</v>
      </c>
      <c r="R834" s="701" t="s">
        <v>771</v>
      </c>
      <c r="S834" s="701" t="s">
        <v>2258</v>
      </c>
      <c r="T834" s="701">
        <v>0</v>
      </c>
      <c r="U834" s="701">
        <v>0</v>
      </c>
      <c r="V834" s="701">
        <v>0</v>
      </c>
      <c r="W834" s="701">
        <v>0</v>
      </c>
      <c r="X834" s="701">
        <v>0</v>
      </c>
      <c r="Y834" s="701">
        <v>0</v>
      </c>
      <c r="Z834" s="701">
        <v>92</v>
      </c>
      <c r="AA834" s="697" t="s">
        <v>2259</v>
      </c>
      <c r="AB834" s="701" t="s">
        <v>539</v>
      </c>
      <c r="AC834" s="701" t="s">
        <v>539</v>
      </c>
      <c r="AD834" s="458" t="s">
        <v>2260</v>
      </c>
      <c r="AE834" s="459">
        <v>15</v>
      </c>
      <c r="AF834" s="459">
        <v>15</v>
      </c>
      <c r="AG834" s="701" t="s">
        <v>375</v>
      </c>
      <c r="AH834" s="728"/>
      <c r="AI834" s="697" t="s">
        <v>2261</v>
      </c>
      <c r="AJ834" s="697" t="s">
        <v>543</v>
      </c>
    </row>
    <row r="835" spans="2:36" ht="24" hidden="1" customHeight="1">
      <c r="B835" s="702"/>
      <c r="C835" s="700"/>
      <c r="D835" s="700"/>
      <c r="E835" s="700"/>
      <c r="F835" s="700"/>
      <c r="G835" s="700"/>
      <c r="H835" s="700"/>
      <c r="I835" s="710"/>
      <c r="J835" s="710"/>
      <c r="K835" s="713"/>
      <c r="L835" s="710"/>
      <c r="M835" s="710"/>
      <c r="N835" s="713"/>
      <c r="O835" s="702"/>
      <c r="P835" s="702"/>
      <c r="Q835" s="710"/>
      <c r="R835" s="702"/>
      <c r="S835" s="702"/>
      <c r="T835" s="702"/>
      <c r="U835" s="702"/>
      <c r="V835" s="702"/>
      <c r="W835" s="702"/>
      <c r="X835" s="702"/>
      <c r="Y835" s="702"/>
      <c r="Z835" s="702"/>
      <c r="AA835" s="698"/>
      <c r="AB835" s="702"/>
      <c r="AC835" s="702"/>
      <c r="AD835" s="473" t="s">
        <v>2262</v>
      </c>
      <c r="AE835" s="474" t="s">
        <v>539</v>
      </c>
      <c r="AF835" s="474" t="s">
        <v>539</v>
      </c>
      <c r="AG835" s="702"/>
      <c r="AH835" s="729"/>
      <c r="AI835" s="698"/>
      <c r="AJ835" s="698"/>
    </row>
    <row r="836" spans="2:36" ht="24" hidden="1" customHeight="1">
      <c r="B836" s="463">
        <v>672</v>
      </c>
      <c r="C836" s="464" t="s">
        <v>534</v>
      </c>
      <c r="D836" s="464"/>
      <c r="E836" s="464" t="s">
        <v>577</v>
      </c>
      <c r="F836" s="464"/>
      <c r="G836" s="464" t="s">
        <v>55</v>
      </c>
      <c r="H836" s="464" t="s">
        <v>2263</v>
      </c>
      <c r="I836" s="465" t="s">
        <v>537</v>
      </c>
      <c r="J836" s="465" t="s">
        <v>537</v>
      </c>
      <c r="K836" s="466">
        <v>40000</v>
      </c>
      <c r="L836" s="465" t="s">
        <v>537</v>
      </c>
      <c r="M836" s="465" t="s">
        <v>537</v>
      </c>
      <c r="N836" s="466">
        <v>39508</v>
      </c>
      <c r="O836" s="463" t="s">
        <v>537</v>
      </c>
      <c r="P836" s="463" t="s">
        <v>537</v>
      </c>
      <c r="Q836" s="465">
        <v>492</v>
      </c>
      <c r="R836" s="463" t="s">
        <v>2264</v>
      </c>
      <c r="S836" s="463" t="s">
        <v>2265</v>
      </c>
      <c r="T836" s="463">
        <v>0</v>
      </c>
      <c r="U836" s="463">
        <v>0</v>
      </c>
      <c r="V836" s="463">
        <v>0</v>
      </c>
      <c r="W836" s="463">
        <v>0</v>
      </c>
      <c r="X836" s="463">
        <v>0</v>
      </c>
      <c r="Y836" s="463">
        <v>0</v>
      </c>
      <c r="Z836" s="463">
        <v>90</v>
      </c>
      <c r="AA836" s="472" t="s">
        <v>2266</v>
      </c>
      <c r="AB836" s="463">
        <v>3</v>
      </c>
      <c r="AC836" s="463">
        <v>3</v>
      </c>
      <c r="AD836" s="472" t="s">
        <v>2267</v>
      </c>
      <c r="AE836" s="463" t="s">
        <v>539</v>
      </c>
      <c r="AF836" s="463" t="s">
        <v>539</v>
      </c>
      <c r="AG836" s="463" t="s">
        <v>375</v>
      </c>
      <c r="AH836" s="476"/>
      <c r="AI836" s="472">
        <v>814797319</v>
      </c>
      <c r="AJ836" s="472" t="s">
        <v>543</v>
      </c>
    </row>
    <row r="837" spans="2:36" ht="24" hidden="1" customHeight="1">
      <c r="B837" s="463">
        <v>673</v>
      </c>
      <c r="C837" s="464" t="s">
        <v>534</v>
      </c>
      <c r="D837" s="464"/>
      <c r="E837" s="464" t="s">
        <v>577</v>
      </c>
      <c r="F837" s="464"/>
      <c r="G837" s="464" t="s">
        <v>55</v>
      </c>
      <c r="H837" s="464" t="s">
        <v>2268</v>
      </c>
      <c r="I837" s="465" t="s">
        <v>537</v>
      </c>
      <c r="J837" s="465" t="s">
        <v>537</v>
      </c>
      <c r="K837" s="466">
        <v>50000</v>
      </c>
      <c r="L837" s="465" t="s">
        <v>537</v>
      </c>
      <c r="M837" s="465" t="s">
        <v>537</v>
      </c>
      <c r="N837" s="466">
        <v>49452.6</v>
      </c>
      <c r="O837" s="463" t="s">
        <v>537</v>
      </c>
      <c r="P837" s="463" t="s">
        <v>537</v>
      </c>
      <c r="Q837" s="465">
        <v>547</v>
      </c>
      <c r="R837" s="463" t="s">
        <v>877</v>
      </c>
      <c r="S837" s="463" t="s">
        <v>2269</v>
      </c>
      <c r="T837" s="463">
        <v>0</v>
      </c>
      <c r="U837" s="463">
        <v>0</v>
      </c>
      <c r="V837" s="463">
        <v>0</v>
      </c>
      <c r="W837" s="463">
        <v>0</v>
      </c>
      <c r="X837" s="463">
        <v>0</v>
      </c>
      <c r="Y837" s="463">
        <v>0</v>
      </c>
      <c r="Z837" s="463">
        <v>95</v>
      </c>
      <c r="AA837" s="472" t="s">
        <v>2270</v>
      </c>
      <c r="AB837" s="463" t="s">
        <v>539</v>
      </c>
      <c r="AC837" s="463" t="s">
        <v>539</v>
      </c>
      <c r="AD837" s="472" t="s">
        <v>2271</v>
      </c>
      <c r="AE837" s="463" t="s">
        <v>539</v>
      </c>
      <c r="AF837" s="463" t="s">
        <v>539</v>
      </c>
      <c r="AG837" s="463" t="s">
        <v>375</v>
      </c>
      <c r="AH837" s="476"/>
      <c r="AI837" s="472">
        <v>952596136</v>
      </c>
      <c r="AJ837" s="472" t="s">
        <v>543</v>
      </c>
    </row>
    <row r="838" spans="2:36" ht="24" hidden="1" customHeight="1">
      <c r="B838" s="463">
        <v>674</v>
      </c>
      <c r="C838" s="464" t="s">
        <v>534</v>
      </c>
      <c r="D838" s="464"/>
      <c r="E838" s="464" t="s">
        <v>577</v>
      </c>
      <c r="F838" s="464"/>
      <c r="G838" s="464" t="s">
        <v>55</v>
      </c>
      <c r="H838" s="464" t="s">
        <v>2272</v>
      </c>
      <c r="I838" s="465" t="s">
        <v>537</v>
      </c>
      <c r="J838" s="465" t="s">
        <v>537</v>
      </c>
      <c r="K838" s="466">
        <v>40000</v>
      </c>
      <c r="L838" s="465" t="s">
        <v>537</v>
      </c>
      <c r="M838" s="465" t="s">
        <v>537</v>
      </c>
      <c r="N838" s="466">
        <v>40000</v>
      </c>
      <c r="O838" s="463" t="s">
        <v>537</v>
      </c>
      <c r="P838" s="463" t="s">
        <v>537</v>
      </c>
      <c r="Q838" s="465">
        <v>0</v>
      </c>
      <c r="R838" s="463" t="s">
        <v>877</v>
      </c>
      <c r="S838" s="463" t="s">
        <v>2273</v>
      </c>
      <c r="T838" s="463">
        <v>0</v>
      </c>
      <c r="U838" s="463">
        <v>0</v>
      </c>
      <c r="V838" s="463">
        <v>0</v>
      </c>
      <c r="W838" s="463">
        <v>0</v>
      </c>
      <c r="X838" s="463">
        <v>0</v>
      </c>
      <c r="Y838" s="463">
        <v>0</v>
      </c>
      <c r="Z838" s="463">
        <v>90</v>
      </c>
      <c r="AA838" s="472" t="s">
        <v>2274</v>
      </c>
      <c r="AB838" s="463" t="s">
        <v>539</v>
      </c>
      <c r="AC838" s="463" t="s">
        <v>539</v>
      </c>
      <c r="AD838" s="472" t="s">
        <v>2275</v>
      </c>
      <c r="AE838" s="463">
        <v>300</v>
      </c>
      <c r="AF838" s="463">
        <v>300</v>
      </c>
      <c r="AG838" s="463" t="s">
        <v>375</v>
      </c>
      <c r="AH838" s="476"/>
      <c r="AI838" s="472">
        <v>897243043</v>
      </c>
      <c r="AJ838" s="472" t="s">
        <v>543</v>
      </c>
    </row>
    <row r="839" spans="2:36" ht="24" hidden="1" customHeight="1">
      <c r="B839" s="463">
        <v>675</v>
      </c>
      <c r="C839" s="464" t="s">
        <v>534</v>
      </c>
      <c r="D839" s="464"/>
      <c r="E839" s="464" t="s">
        <v>577</v>
      </c>
      <c r="F839" s="464"/>
      <c r="G839" s="464" t="s">
        <v>55</v>
      </c>
      <c r="H839" s="464" t="s">
        <v>2276</v>
      </c>
      <c r="I839" s="465" t="s">
        <v>537</v>
      </c>
      <c r="J839" s="465" t="s">
        <v>537</v>
      </c>
      <c r="K839" s="466">
        <v>50000</v>
      </c>
      <c r="L839" s="465" t="s">
        <v>537</v>
      </c>
      <c r="M839" s="465" t="s">
        <v>537</v>
      </c>
      <c r="N839" s="466">
        <v>50000</v>
      </c>
      <c r="O839" s="463" t="s">
        <v>537</v>
      </c>
      <c r="P839" s="463" t="s">
        <v>537</v>
      </c>
      <c r="Q839" s="465">
        <v>0</v>
      </c>
      <c r="R839" s="470">
        <v>241579</v>
      </c>
      <c r="S839" s="463" t="s">
        <v>2277</v>
      </c>
      <c r="T839" s="463">
        <v>0</v>
      </c>
      <c r="U839" s="463">
        <v>0</v>
      </c>
      <c r="V839" s="463">
        <v>0</v>
      </c>
      <c r="W839" s="463">
        <v>0</v>
      </c>
      <c r="X839" s="463">
        <v>0</v>
      </c>
      <c r="Y839" s="463">
        <v>0</v>
      </c>
      <c r="Z839" s="463">
        <v>95</v>
      </c>
      <c r="AA839" s="472" t="s">
        <v>2278</v>
      </c>
      <c r="AB839" s="463" t="s">
        <v>539</v>
      </c>
      <c r="AC839" s="463" t="s">
        <v>539</v>
      </c>
      <c r="AD839" s="472" t="s">
        <v>2279</v>
      </c>
      <c r="AE839" s="463" t="s">
        <v>539</v>
      </c>
      <c r="AF839" s="463" t="s">
        <v>539</v>
      </c>
      <c r="AG839" s="463" t="s">
        <v>375</v>
      </c>
      <c r="AH839" s="476"/>
      <c r="AI839" s="472">
        <v>812739694</v>
      </c>
      <c r="AJ839" s="472" t="s">
        <v>543</v>
      </c>
    </row>
    <row r="840" spans="2:36" ht="24" hidden="1" customHeight="1">
      <c r="B840" s="701">
        <v>676</v>
      </c>
      <c r="C840" s="699" t="s">
        <v>337</v>
      </c>
      <c r="D840" s="699"/>
      <c r="E840" s="699" t="s">
        <v>545</v>
      </c>
      <c r="F840" s="699"/>
      <c r="G840" s="699" t="s">
        <v>55</v>
      </c>
      <c r="H840" s="699" t="s">
        <v>2280</v>
      </c>
      <c r="I840" s="712">
        <v>25000</v>
      </c>
      <c r="J840" s="709" t="s">
        <v>537</v>
      </c>
      <c r="K840" s="709" t="s">
        <v>537</v>
      </c>
      <c r="L840" s="712">
        <v>24759</v>
      </c>
      <c r="M840" s="709" t="s">
        <v>537</v>
      </c>
      <c r="N840" s="709" t="s">
        <v>537</v>
      </c>
      <c r="O840" s="701" t="s">
        <v>537</v>
      </c>
      <c r="P840" s="701" t="s">
        <v>537</v>
      </c>
      <c r="Q840" s="709">
        <v>241</v>
      </c>
      <c r="R840" s="707">
        <v>241428</v>
      </c>
      <c r="S840" s="701" t="s">
        <v>1495</v>
      </c>
      <c r="T840" s="701">
        <v>0</v>
      </c>
      <c r="U840" s="701">
        <v>0</v>
      </c>
      <c r="V840" s="701">
        <v>25</v>
      </c>
      <c r="W840" s="701">
        <v>0</v>
      </c>
      <c r="X840" s="701">
        <v>0</v>
      </c>
      <c r="Y840" s="701">
        <v>25</v>
      </c>
      <c r="Z840" s="701">
        <v>98</v>
      </c>
      <c r="AA840" s="458" t="s">
        <v>2281</v>
      </c>
      <c r="AB840" s="459" t="s">
        <v>539</v>
      </c>
      <c r="AC840" s="459" t="s">
        <v>539</v>
      </c>
      <c r="AD840" s="697" t="s">
        <v>2282</v>
      </c>
      <c r="AE840" s="701">
        <v>1</v>
      </c>
      <c r="AF840" s="701">
        <v>1</v>
      </c>
      <c r="AG840" s="701" t="s">
        <v>375</v>
      </c>
      <c r="AH840" s="728"/>
      <c r="AI840" s="697" t="s">
        <v>2261</v>
      </c>
      <c r="AJ840" s="699"/>
    </row>
    <row r="841" spans="2:36" ht="24" hidden="1" customHeight="1">
      <c r="B841" s="715"/>
      <c r="C841" s="714"/>
      <c r="D841" s="714"/>
      <c r="E841" s="714"/>
      <c r="F841" s="714"/>
      <c r="G841" s="714"/>
      <c r="H841" s="714"/>
      <c r="I841" s="720"/>
      <c r="J841" s="717"/>
      <c r="K841" s="717"/>
      <c r="L841" s="720"/>
      <c r="M841" s="717"/>
      <c r="N841" s="717"/>
      <c r="O841" s="715"/>
      <c r="P841" s="715"/>
      <c r="Q841" s="717"/>
      <c r="R841" s="719"/>
      <c r="S841" s="715"/>
      <c r="T841" s="715"/>
      <c r="U841" s="715"/>
      <c r="V841" s="715"/>
      <c r="W841" s="715"/>
      <c r="X841" s="715"/>
      <c r="Y841" s="715"/>
      <c r="Z841" s="715"/>
      <c r="AA841" s="460" t="s">
        <v>2283</v>
      </c>
      <c r="AB841" s="461" t="s">
        <v>539</v>
      </c>
      <c r="AC841" s="461" t="s">
        <v>539</v>
      </c>
      <c r="AD841" s="711"/>
      <c r="AE841" s="715"/>
      <c r="AF841" s="715"/>
      <c r="AG841" s="715"/>
      <c r="AH841" s="730"/>
      <c r="AI841" s="711"/>
      <c r="AJ841" s="714"/>
    </row>
    <row r="842" spans="2:36" ht="24" hidden="1" customHeight="1">
      <c r="B842" s="702"/>
      <c r="C842" s="700"/>
      <c r="D842" s="700"/>
      <c r="E842" s="700"/>
      <c r="F842" s="700"/>
      <c r="G842" s="700"/>
      <c r="H842" s="700"/>
      <c r="I842" s="713"/>
      <c r="J842" s="710"/>
      <c r="K842" s="710"/>
      <c r="L842" s="713"/>
      <c r="M842" s="710"/>
      <c r="N842" s="710"/>
      <c r="O842" s="702"/>
      <c r="P842" s="702"/>
      <c r="Q842" s="710"/>
      <c r="R842" s="708"/>
      <c r="S842" s="702"/>
      <c r="T842" s="702"/>
      <c r="U842" s="702"/>
      <c r="V842" s="702"/>
      <c r="W842" s="702"/>
      <c r="X842" s="702"/>
      <c r="Y842" s="702"/>
      <c r="Z842" s="702"/>
      <c r="AA842" s="473" t="s">
        <v>2284</v>
      </c>
      <c r="AB842" s="474" t="s">
        <v>539</v>
      </c>
      <c r="AC842" s="474" t="s">
        <v>539</v>
      </c>
      <c r="AD842" s="698"/>
      <c r="AE842" s="702"/>
      <c r="AF842" s="702"/>
      <c r="AG842" s="702"/>
      <c r="AH842" s="729"/>
      <c r="AI842" s="698"/>
      <c r="AJ842" s="700"/>
    </row>
    <row r="843" spans="2:36" ht="24" hidden="1" customHeight="1">
      <c r="B843" s="701">
        <v>677</v>
      </c>
      <c r="C843" s="699" t="s">
        <v>337</v>
      </c>
      <c r="D843" s="699"/>
      <c r="E843" s="699" t="s">
        <v>545</v>
      </c>
      <c r="F843" s="699"/>
      <c r="G843" s="699" t="s">
        <v>55</v>
      </c>
      <c r="H843" s="699" t="s">
        <v>2285</v>
      </c>
      <c r="I843" s="712">
        <v>25000</v>
      </c>
      <c r="J843" s="709" t="s">
        <v>537</v>
      </c>
      <c r="K843" s="709" t="s">
        <v>537</v>
      </c>
      <c r="L843" s="712">
        <v>24777</v>
      </c>
      <c r="M843" s="709" t="s">
        <v>537</v>
      </c>
      <c r="N843" s="709" t="s">
        <v>537</v>
      </c>
      <c r="O843" s="701" t="s">
        <v>537</v>
      </c>
      <c r="P843" s="701" t="s">
        <v>537</v>
      </c>
      <c r="Q843" s="709">
        <v>223</v>
      </c>
      <c r="R843" s="707">
        <v>241579</v>
      </c>
      <c r="S843" s="701" t="s">
        <v>1473</v>
      </c>
      <c r="T843" s="701">
        <v>0</v>
      </c>
      <c r="U843" s="701">
        <v>5</v>
      </c>
      <c r="V843" s="701">
        <v>10</v>
      </c>
      <c r="W843" s="701">
        <v>4</v>
      </c>
      <c r="X843" s="701">
        <v>3</v>
      </c>
      <c r="Y843" s="701">
        <v>10</v>
      </c>
      <c r="Z843" s="701">
        <v>95</v>
      </c>
      <c r="AA843" s="458" t="s">
        <v>2286</v>
      </c>
      <c r="AB843" s="459" t="s">
        <v>539</v>
      </c>
      <c r="AC843" s="459" t="s">
        <v>539</v>
      </c>
      <c r="AD843" s="697" t="s">
        <v>2282</v>
      </c>
      <c r="AE843" s="701">
        <v>1</v>
      </c>
      <c r="AF843" s="701">
        <v>1</v>
      </c>
      <c r="AG843" s="701" t="s">
        <v>375</v>
      </c>
      <c r="AH843" s="728"/>
      <c r="AI843" s="697">
        <v>812713482</v>
      </c>
      <c r="AJ843" s="699"/>
    </row>
    <row r="844" spans="2:36" ht="24" hidden="1" customHeight="1">
      <c r="B844" s="702"/>
      <c r="C844" s="700"/>
      <c r="D844" s="700"/>
      <c r="E844" s="700"/>
      <c r="F844" s="700"/>
      <c r="G844" s="700"/>
      <c r="H844" s="700"/>
      <c r="I844" s="713"/>
      <c r="J844" s="710"/>
      <c r="K844" s="710"/>
      <c r="L844" s="713"/>
      <c r="M844" s="710"/>
      <c r="N844" s="710"/>
      <c r="O844" s="702"/>
      <c r="P844" s="702"/>
      <c r="Q844" s="710"/>
      <c r="R844" s="708"/>
      <c r="S844" s="702"/>
      <c r="T844" s="702"/>
      <c r="U844" s="702"/>
      <c r="V844" s="702"/>
      <c r="W844" s="702"/>
      <c r="X844" s="702"/>
      <c r="Y844" s="702"/>
      <c r="Z844" s="702"/>
      <c r="AA844" s="473" t="s">
        <v>2287</v>
      </c>
      <c r="AB844" s="474">
        <v>80</v>
      </c>
      <c r="AC844" s="474">
        <v>80</v>
      </c>
      <c r="AD844" s="698"/>
      <c r="AE844" s="702"/>
      <c r="AF844" s="702"/>
      <c r="AG844" s="702"/>
      <c r="AH844" s="729"/>
      <c r="AI844" s="698"/>
      <c r="AJ844" s="700"/>
    </row>
    <row r="845" spans="2:36" ht="24" hidden="1" customHeight="1">
      <c r="B845" s="701">
        <v>678</v>
      </c>
      <c r="C845" s="699" t="s">
        <v>337</v>
      </c>
      <c r="D845" s="699"/>
      <c r="E845" s="699" t="s">
        <v>545</v>
      </c>
      <c r="F845" s="699"/>
      <c r="G845" s="699" t="s">
        <v>55</v>
      </c>
      <c r="H845" s="699" t="s">
        <v>2288</v>
      </c>
      <c r="I845" s="712">
        <v>25000</v>
      </c>
      <c r="J845" s="709" t="s">
        <v>537</v>
      </c>
      <c r="K845" s="709" t="s">
        <v>537</v>
      </c>
      <c r="L845" s="712">
        <v>21170</v>
      </c>
      <c r="M845" s="709" t="s">
        <v>537</v>
      </c>
      <c r="N845" s="709" t="s">
        <v>537</v>
      </c>
      <c r="O845" s="701" t="s">
        <v>537</v>
      </c>
      <c r="P845" s="701" t="s">
        <v>537</v>
      </c>
      <c r="Q845" s="705">
        <v>3830</v>
      </c>
      <c r="R845" s="707">
        <v>241518</v>
      </c>
      <c r="S845" s="721">
        <v>22396</v>
      </c>
      <c r="T845" s="701">
        <v>0</v>
      </c>
      <c r="U845" s="701">
        <v>10</v>
      </c>
      <c r="V845" s="701">
        <v>20</v>
      </c>
      <c r="W845" s="701">
        <v>0</v>
      </c>
      <c r="X845" s="701">
        <v>5</v>
      </c>
      <c r="Y845" s="701">
        <v>27</v>
      </c>
      <c r="Z845" s="701">
        <v>95</v>
      </c>
      <c r="AA845" s="458" t="s">
        <v>2286</v>
      </c>
      <c r="AB845" s="459" t="s">
        <v>539</v>
      </c>
      <c r="AC845" s="459" t="s">
        <v>539</v>
      </c>
      <c r="AD845" s="697" t="s">
        <v>2282</v>
      </c>
      <c r="AE845" s="701">
        <v>1</v>
      </c>
      <c r="AF845" s="701">
        <v>1</v>
      </c>
      <c r="AG845" s="701" t="s">
        <v>375</v>
      </c>
      <c r="AH845" s="728"/>
      <c r="AI845" s="697">
        <v>816775908</v>
      </c>
      <c r="AJ845" s="699"/>
    </row>
    <row r="846" spans="2:36" ht="24" hidden="1" customHeight="1">
      <c r="B846" s="702"/>
      <c r="C846" s="700"/>
      <c r="D846" s="700"/>
      <c r="E846" s="700"/>
      <c r="F846" s="700"/>
      <c r="G846" s="700"/>
      <c r="H846" s="700"/>
      <c r="I846" s="713"/>
      <c r="J846" s="710"/>
      <c r="K846" s="710"/>
      <c r="L846" s="713"/>
      <c r="M846" s="710"/>
      <c r="N846" s="710"/>
      <c r="O846" s="702"/>
      <c r="P846" s="702"/>
      <c r="Q846" s="706"/>
      <c r="R846" s="708"/>
      <c r="S846" s="722"/>
      <c r="T846" s="702"/>
      <c r="U846" s="702"/>
      <c r="V846" s="702"/>
      <c r="W846" s="702"/>
      <c r="X846" s="702"/>
      <c r="Y846" s="702"/>
      <c r="Z846" s="702"/>
      <c r="AA846" s="473" t="s">
        <v>2289</v>
      </c>
      <c r="AB846" s="474" t="s">
        <v>539</v>
      </c>
      <c r="AC846" s="474" t="s">
        <v>539</v>
      </c>
      <c r="AD846" s="698"/>
      <c r="AE846" s="702"/>
      <c r="AF846" s="702"/>
      <c r="AG846" s="702"/>
      <c r="AH846" s="729"/>
      <c r="AI846" s="698"/>
      <c r="AJ846" s="700"/>
    </row>
    <row r="847" spans="2:36" ht="24" hidden="1" customHeight="1">
      <c r="B847" s="701">
        <v>679</v>
      </c>
      <c r="C847" s="699" t="s">
        <v>337</v>
      </c>
      <c r="D847" s="699"/>
      <c r="E847" s="699" t="s">
        <v>545</v>
      </c>
      <c r="F847" s="699"/>
      <c r="G847" s="699" t="s">
        <v>55</v>
      </c>
      <c r="H847" s="699" t="s">
        <v>2290</v>
      </c>
      <c r="I847" s="712">
        <v>25000</v>
      </c>
      <c r="J847" s="709" t="s">
        <v>537</v>
      </c>
      <c r="K847" s="709" t="s">
        <v>537</v>
      </c>
      <c r="L847" s="712">
        <v>24650</v>
      </c>
      <c r="M847" s="709" t="s">
        <v>537</v>
      </c>
      <c r="N847" s="709" t="s">
        <v>537</v>
      </c>
      <c r="O847" s="701" t="s">
        <v>537</v>
      </c>
      <c r="P847" s="701" t="s">
        <v>537</v>
      </c>
      <c r="Q847" s="709">
        <v>350</v>
      </c>
      <c r="R847" s="707">
        <v>241518</v>
      </c>
      <c r="S847" s="701" t="s">
        <v>2291</v>
      </c>
      <c r="T847" s="701">
        <v>1</v>
      </c>
      <c r="U847" s="701">
        <v>0</v>
      </c>
      <c r="V847" s="701">
        <v>14</v>
      </c>
      <c r="W847" s="701">
        <v>1</v>
      </c>
      <c r="X847" s="701">
        <v>0</v>
      </c>
      <c r="Y847" s="701">
        <v>21</v>
      </c>
      <c r="Z847" s="701">
        <v>95</v>
      </c>
      <c r="AA847" s="458" t="s">
        <v>547</v>
      </c>
      <c r="AB847" s="459" t="s">
        <v>539</v>
      </c>
      <c r="AC847" s="459" t="s">
        <v>539</v>
      </c>
      <c r="AD847" s="458" t="s">
        <v>733</v>
      </c>
      <c r="AE847" s="459">
        <v>1</v>
      </c>
      <c r="AF847" s="459">
        <v>1</v>
      </c>
      <c r="AG847" s="701" t="s">
        <v>375</v>
      </c>
      <c r="AH847" s="728"/>
      <c r="AI847" s="697">
        <v>846284372</v>
      </c>
      <c r="AJ847" s="699"/>
    </row>
    <row r="848" spans="2:36" ht="24" hidden="1" customHeight="1">
      <c r="B848" s="702"/>
      <c r="C848" s="700"/>
      <c r="D848" s="700"/>
      <c r="E848" s="700"/>
      <c r="F848" s="700"/>
      <c r="G848" s="700"/>
      <c r="H848" s="700"/>
      <c r="I848" s="713"/>
      <c r="J848" s="710"/>
      <c r="K848" s="710"/>
      <c r="L848" s="713"/>
      <c r="M848" s="710"/>
      <c r="N848" s="710"/>
      <c r="O848" s="702"/>
      <c r="P848" s="702"/>
      <c r="Q848" s="710"/>
      <c r="R848" s="708"/>
      <c r="S848" s="702"/>
      <c r="T848" s="702"/>
      <c r="U848" s="702"/>
      <c r="V848" s="702"/>
      <c r="W848" s="702"/>
      <c r="X848" s="702"/>
      <c r="Y848" s="702"/>
      <c r="Z848" s="702"/>
      <c r="AA848" s="473" t="s">
        <v>2292</v>
      </c>
      <c r="AB848" s="474" t="s">
        <v>539</v>
      </c>
      <c r="AC848" s="474" t="s">
        <v>539</v>
      </c>
      <c r="AD848" s="473" t="s">
        <v>2293</v>
      </c>
      <c r="AE848" s="474" t="s">
        <v>539</v>
      </c>
      <c r="AF848" s="474" t="s">
        <v>539</v>
      </c>
      <c r="AG848" s="702"/>
      <c r="AH848" s="729"/>
      <c r="AI848" s="698"/>
      <c r="AJ848" s="700"/>
    </row>
    <row r="849" spans="2:36" ht="24" hidden="1" customHeight="1">
      <c r="B849" s="701">
        <v>680</v>
      </c>
      <c r="C849" s="699" t="s">
        <v>337</v>
      </c>
      <c r="D849" s="699"/>
      <c r="E849" s="699" t="s">
        <v>545</v>
      </c>
      <c r="F849" s="699"/>
      <c r="G849" s="699" t="s">
        <v>55</v>
      </c>
      <c r="H849" s="699" t="s">
        <v>2294</v>
      </c>
      <c r="I849" s="712">
        <v>25000</v>
      </c>
      <c r="J849" s="709" t="s">
        <v>537</v>
      </c>
      <c r="K849" s="709" t="s">
        <v>537</v>
      </c>
      <c r="L849" s="712">
        <v>25000</v>
      </c>
      <c r="M849" s="709" t="s">
        <v>537</v>
      </c>
      <c r="N849" s="709" t="s">
        <v>537</v>
      </c>
      <c r="O849" s="701" t="s">
        <v>537</v>
      </c>
      <c r="P849" s="701" t="s">
        <v>537</v>
      </c>
      <c r="Q849" s="709">
        <v>0</v>
      </c>
      <c r="R849" s="707">
        <v>241487</v>
      </c>
      <c r="S849" s="721">
        <v>22318</v>
      </c>
      <c r="T849" s="701">
        <v>20</v>
      </c>
      <c r="U849" s="701">
        <v>8</v>
      </c>
      <c r="V849" s="701">
        <v>20</v>
      </c>
      <c r="W849" s="701">
        <v>24</v>
      </c>
      <c r="X849" s="701">
        <v>8</v>
      </c>
      <c r="Y849" s="701">
        <v>74</v>
      </c>
      <c r="Z849" s="701">
        <v>90</v>
      </c>
      <c r="AA849" s="458" t="s">
        <v>2295</v>
      </c>
      <c r="AB849" s="459" t="s">
        <v>539</v>
      </c>
      <c r="AC849" s="459" t="s">
        <v>539</v>
      </c>
      <c r="AD849" s="697" t="s">
        <v>2282</v>
      </c>
      <c r="AE849" s="701">
        <v>1</v>
      </c>
      <c r="AF849" s="701">
        <v>1</v>
      </c>
      <c r="AG849" s="701" t="s">
        <v>375</v>
      </c>
      <c r="AH849" s="728"/>
      <c r="AI849" s="697">
        <v>924844869</v>
      </c>
      <c r="AJ849" s="699"/>
    </row>
    <row r="850" spans="2:36" ht="24" hidden="1" customHeight="1">
      <c r="B850" s="702"/>
      <c r="C850" s="700"/>
      <c r="D850" s="700"/>
      <c r="E850" s="700"/>
      <c r="F850" s="700"/>
      <c r="G850" s="700"/>
      <c r="H850" s="700"/>
      <c r="I850" s="713"/>
      <c r="J850" s="710"/>
      <c r="K850" s="710"/>
      <c r="L850" s="713"/>
      <c r="M850" s="710"/>
      <c r="N850" s="710"/>
      <c r="O850" s="702"/>
      <c r="P850" s="702"/>
      <c r="Q850" s="710"/>
      <c r="R850" s="708"/>
      <c r="S850" s="722"/>
      <c r="T850" s="702"/>
      <c r="U850" s="702"/>
      <c r="V850" s="702"/>
      <c r="W850" s="702"/>
      <c r="X850" s="702"/>
      <c r="Y850" s="702"/>
      <c r="Z850" s="702"/>
      <c r="AA850" s="473" t="s">
        <v>2283</v>
      </c>
      <c r="AB850" s="474" t="s">
        <v>539</v>
      </c>
      <c r="AC850" s="474" t="s">
        <v>539</v>
      </c>
      <c r="AD850" s="698"/>
      <c r="AE850" s="702"/>
      <c r="AF850" s="702"/>
      <c r="AG850" s="702"/>
      <c r="AH850" s="729"/>
      <c r="AI850" s="698"/>
      <c r="AJ850" s="700"/>
    </row>
    <row r="851" spans="2:36" ht="24" hidden="1" customHeight="1">
      <c r="B851" s="701">
        <v>681</v>
      </c>
      <c r="C851" s="699" t="s">
        <v>337</v>
      </c>
      <c r="D851" s="699"/>
      <c r="E851" s="699" t="s">
        <v>545</v>
      </c>
      <c r="F851" s="699"/>
      <c r="G851" s="699" t="s">
        <v>55</v>
      </c>
      <c r="H851" s="699" t="s">
        <v>2296</v>
      </c>
      <c r="I851" s="712">
        <v>25000</v>
      </c>
      <c r="J851" s="709" t="s">
        <v>537</v>
      </c>
      <c r="K851" s="709" t="s">
        <v>537</v>
      </c>
      <c r="L851" s="712">
        <v>23650</v>
      </c>
      <c r="M851" s="709" t="s">
        <v>537</v>
      </c>
      <c r="N851" s="709" t="s">
        <v>537</v>
      </c>
      <c r="O851" s="701" t="s">
        <v>537</v>
      </c>
      <c r="P851" s="701" t="s">
        <v>537</v>
      </c>
      <c r="Q851" s="705">
        <v>1350</v>
      </c>
      <c r="R851" s="707">
        <v>241487</v>
      </c>
      <c r="S851" s="721">
        <v>22367</v>
      </c>
      <c r="T851" s="701">
        <v>0</v>
      </c>
      <c r="U851" s="701">
        <v>2</v>
      </c>
      <c r="V851" s="701">
        <v>20</v>
      </c>
      <c r="W851" s="701">
        <v>0</v>
      </c>
      <c r="X851" s="701">
        <v>16</v>
      </c>
      <c r="Y851" s="701">
        <v>20</v>
      </c>
      <c r="Z851" s="701">
        <v>95</v>
      </c>
      <c r="AA851" s="458" t="s">
        <v>2286</v>
      </c>
      <c r="AB851" s="459" t="s">
        <v>539</v>
      </c>
      <c r="AC851" s="459" t="s">
        <v>539</v>
      </c>
      <c r="AD851" s="458" t="s">
        <v>2282</v>
      </c>
      <c r="AE851" s="459">
        <v>1</v>
      </c>
      <c r="AF851" s="459">
        <v>1</v>
      </c>
      <c r="AG851" s="701" t="s">
        <v>375</v>
      </c>
      <c r="AH851" s="728"/>
      <c r="AI851" s="697">
        <v>812739694</v>
      </c>
      <c r="AJ851" s="699"/>
    </row>
    <row r="852" spans="2:36" ht="24" hidden="1" customHeight="1">
      <c r="B852" s="702"/>
      <c r="C852" s="700"/>
      <c r="D852" s="700"/>
      <c r="E852" s="700"/>
      <c r="F852" s="700"/>
      <c r="G852" s="700"/>
      <c r="H852" s="700"/>
      <c r="I852" s="713"/>
      <c r="J852" s="710"/>
      <c r="K852" s="710"/>
      <c r="L852" s="713"/>
      <c r="M852" s="710"/>
      <c r="N852" s="710"/>
      <c r="O852" s="702"/>
      <c r="P852" s="702"/>
      <c r="Q852" s="706"/>
      <c r="R852" s="708"/>
      <c r="S852" s="722"/>
      <c r="T852" s="702"/>
      <c r="U852" s="702"/>
      <c r="V852" s="702"/>
      <c r="W852" s="702"/>
      <c r="X852" s="702"/>
      <c r="Y852" s="702"/>
      <c r="Z852" s="702"/>
      <c r="AA852" s="473" t="s">
        <v>2297</v>
      </c>
      <c r="AB852" s="474" t="s">
        <v>539</v>
      </c>
      <c r="AC852" s="474" t="s">
        <v>539</v>
      </c>
      <c r="AD852" s="473" t="s">
        <v>2298</v>
      </c>
      <c r="AE852" s="474">
        <v>1</v>
      </c>
      <c r="AF852" s="474">
        <v>1</v>
      </c>
      <c r="AG852" s="702"/>
      <c r="AH852" s="729"/>
      <c r="AI852" s="698"/>
      <c r="AJ852" s="700"/>
    </row>
    <row r="853" spans="2:36" ht="24" hidden="1" customHeight="1">
      <c r="B853" s="701">
        <v>682</v>
      </c>
      <c r="C853" s="699" t="s">
        <v>337</v>
      </c>
      <c r="D853" s="699"/>
      <c r="E853" s="699" t="s">
        <v>545</v>
      </c>
      <c r="F853" s="699"/>
      <c r="G853" s="699" t="s">
        <v>55</v>
      </c>
      <c r="H853" s="699" t="s">
        <v>2299</v>
      </c>
      <c r="I853" s="709">
        <v>0</v>
      </c>
      <c r="J853" s="709" t="s">
        <v>537</v>
      </c>
      <c r="K853" s="709" t="s">
        <v>537</v>
      </c>
      <c r="L853" s="709">
        <v>0</v>
      </c>
      <c r="M853" s="709" t="s">
        <v>537</v>
      </c>
      <c r="N853" s="709" t="s">
        <v>537</v>
      </c>
      <c r="O853" s="701" t="s">
        <v>537</v>
      </c>
      <c r="P853" s="701" t="s">
        <v>537</v>
      </c>
      <c r="Q853" s="709">
        <v>0</v>
      </c>
      <c r="R853" s="707">
        <v>241609</v>
      </c>
      <c r="S853" s="721">
        <v>22475</v>
      </c>
      <c r="T853" s="701">
        <v>0</v>
      </c>
      <c r="U853" s="701">
        <v>10</v>
      </c>
      <c r="V853" s="701">
        <v>20</v>
      </c>
      <c r="W853" s="701">
        <v>0</v>
      </c>
      <c r="X853" s="701">
        <v>10</v>
      </c>
      <c r="Y853" s="701">
        <v>8</v>
      </c>
      <c r="Z853" s="701">
        <v>92.5</v>
      </c>
      <c r="AA853" s="458" t="s">
        <v>2286</v>
      </c>
      <c r="AB853" s="459" t="s">
        <v>539</v>
      </c>
      <c r="AC853" s="459" t="s">
        <v>539</v>
      </c>
      <c r="AD853" s="458" t="s">
        <v>2282</v>
      </c>
      <c r="AE853" s="459">
        <v>1</v>
      </c>
      <c r="AF853" s="459">
        <v>1</v>
      </c>
      <c r="AG853" s="701" t="s">
        <v>375</v>
      </c>
      <c r="AH853" s="728"/>
      <c r="AI853" s="697">
        <v>952596136</v>
      </c>
      <c r="AJ853" s="699"/>
    </row>
    <row r="854" spans="2:36" ht="24" hidden="1" customHeight="1">
      <c r="B854" s="702"/>
      <c r="C854" s="700"/>
      <c r="D854" s="700"/>
      <c r="E854" s="700"/>
      <c r="F854" s="700"/>
      <c r="G854" s="700"/>
      <c r="H854" s="700"/>
      <c r="I854" s="710"/>
      <c r="J854" s="710"/>
      <c r="K854" s="710"/>
      <c r="L854" s="710"/>
      <c r="M854" s="710"/>
      <c r="N854" s="710"/>
      <c r="O854" s="702"/>
      <c r="P854" s="702"/>
      <c r="Q854" s="710"/>
      <c r="R854" s="708"/>
      <c r="S854" s="722"/>
      <c r="T854" s="702"/>
      <c r="U854" s="702"/>
      <c r="V854" s="702"/>
      <c r="W854" s="702"/>
      <c r="X854" s="702"/>
      <c r="Y854" s="702"/>
      <c r="Z854" s="702"/>
      <c r="AA854" s="473" t="s">
        <v>2300</v>
      </c>
      <c r="AB854" s="474" t="s">
        <v>539</v>
      </c>
      <c r="AC854" s="474" t="s">
        <v>539</v>
      </c>
      <c r="AD854" s="473" t="s">
        <v>2301</v>
      </c>
      <c r="AE854" s="474" t="s">
        <v>539</v>
      </c>
      <c r="AF854" s="474" t="s">
        <v>539</v>
      </c>
      <c r="AG854" s="702"/>
      <c r="AH854" s="729"/>
      <c r="AI854" s="698"/>
      <c r="AJ854" s="700"/>
    </row>
    <row r="855" spans="2:36" ht="24" hidden="1" customHeight="1">
      <c r="B855" s="463">
        <v>683</v>
      </c>
      <c r="C855" s="464" t="s">
        <v>337</v>
      </c>
      <c r="D855" s="464"/>
      <c r="E855" s="464" t="s">
        <v>545</v>
      </c>
      <c r="F855" s="464"/>
      <c r="G855" s="464" t="s">
        <v>55</v>
      </c>
      <c r="H855" s="464" t="s">
        <v>2302</v>
      </c>
      <c r="I855" s="465" t="s">
        <v>537</v>
      </c>
      <c r="J855" s="465" t="s">
        <v>537</v>
      </c>
      <c r="K855" s="466">
        <v>15000</v>
      </c>
      <c r="L855" s="465" t="s">
        <v>537</v>
      </c>
      <c r="M855" s="465" t="s">
        <v>537</v>
      </c>
      <c r="N855" s="466">
        <v>14875</v>
      </c>
      <c r="O855" s="463" t="s">
        <v>537</v>
      </c>
      <c r="P855" s="463" t="s">
        <v>537</v>
      </c>
      <c r="Q855" s="465">
        <v>125</v>
      </c>
      <c r="R855" s="470">
        <v>241609</v>
      </c>
      <c r="S855" s="471">
        <v>22444</v>
      </c>
      <c r="T855" s="463">
        <v>1</v>
      </c>
      <c r="U855" s="463">
        <v>6</v>
      </c>
      <c r="V855" s="463">
        <v>13</v>
      </c>
      <c r="W855" s="463">
        <v>1</v>
      </c>
      <c r="X855" s="463">
        <v>7</v>
      </c>
      <c r="Y855" s="463">
        <v>20</v>
      </c>
      <c r="Z855" s="463">
        <v>95</v>
      </c>
      <c r="AA855" s="472" t="s">
        <v>2303</v>
      </c>
      <c r="AB855" s="463" t="s">
        <v>539</v>
      </c>
      <c r="AC855" s="463" t="s">
        <v>539</v>
      </c>
      <c r="AD855" s="472" t="s">
        <v>2304</v>
      </c>
      <c r="AE855" s="463" t="s">
        <v>539</v>
      </c>
      <c r="AF855" s="463" t="s">
        <v>539</v>
      </c>
      <c r="AG855" s="463" t="s">
        <v>375</v>
      </c>
      <c r="AH855" s="476"/>
      <c r="AI855" s="472">
        <v>846284372</v>
      </c>
      <c r="AJ855" s="472" t="s">
        <v>543</v>
      </c>
    </row>
    <row r="856" spans="2:36" ht="24" hidden="1" customHeight="1">
      <c r="B856" s="463">
        <v>684</v>
      </c>
      <c r="C856" s="464" t="s">
        <v>337</v>
      </c>
      <c r="D856" s="464"/>
      <c r="E856" s="464" t="s">
        <v>545</v>
      </c>
      <c r="F856" s="464"/>
      <c r="G856" s="464" t="s">
        <v>55</v>
      </c>
      <c r="H856" s="464" t="s">
        <v>2305</v>
      </c>
      <c r="I856" s="465" t="s">
        <v>537</v>
      </c>
      <c r="J856" s="465" t="s">
        <v>537</v>
      </c>
      <c r="K856" s="466">
        <v>15000</v>
      </c>
      <c r="L856" s="465" t="s">
        <v>537</v>
      </c>
      <c r="M856" s="465" t="s">
        <v>537</v>
      </c>
      <c r="N856" s="466">
        <v>15000</v>
      </c>
      <c r="O856" s="463" t="s">
        <v>537</v>
      </c>
      <c r="P856" s="463" t="s">
        <v>537</v>
      </c>
      <c r="Q856" s="465">
        <v>0</v>
      </c>
      <c r="R856" s="470">
        <v>241640</v>
      </c>
      <c r="S856" s="471">
        <v>22522</v>
      </c>
      <c r="T856" s="463">
        <v>0</v>
      </c>
      <c r="U856" s="463">
        <v>3</v>
      </c>
      <c r="V856" s="463">
        <v>37</v>
      </c>
      <c r="W856" s="463">
        <v>0</v>
      </c>
      <c r="X856" s="463">
        <v>3</v>
      </c>
      <c r="Y856" s="463">
        <v>43</v>
      </c>
      <c r="Z856" s="463">
        <v>98</v>
      </c>
      <c r="AA856" s="472" t="s">
        <v>2306</v>
      </c>
      <c r="AB856" s="463" t="s">
        <v>539</v>
      </c>
      <c r="AC856" s="463" t="s">
        <v>539</v>
      </c>
      <c r="AD856" s="472" t="s">
        <v>2307</v>
      </c>
      <c r="AE856" s="463" t="s">
        <v>539</v>
      </c>
      <c r="AF856" s="463" t="s">
        <v>539</v>
      </c>
      <c r="AG856" s="463" t="s">
        <v>375</v>
      </c>
      <c r="AH856" s="476"/>
      <c r="AI856" s="472">
        <v>952596136</v>
      </c>
      <c r="AJ856" s="472" t="s">
        <v>543</v>
      </c>
    </row>
    <row r="857" spans="2:36" ht="24" hidden="1" customHeight="1">
      <c r="B857" s="463">
        <v>685</v>
      </c>
      <c r="C857" s="464" t="s">
        <v>337</v>
      </c>
      <c r="D857" s="464"/>
      <c r="E857" s="464" t="s">
        <v>545</v>
      </c>
      <c r="F857" s="464"/>
      <c r="G857" s="464" t="s">
        <v>55</v>
      </c>
      <c r="H857" s="464" t="s">
        <v>2308</v>
      </c>
      <c r="I857" s="465" t="s">
        <v>537</v>
      </c>
      <c r="J857" s="465" t="s">
        <v>537</v>
      </c>
      <c r="K857" s="466">
        <v>15000</v>
      </c>
      <c r="L857" s="465" t="s">
        <v>537</v>
      </c>
      <c r="M857" s="465" t="s">
        <v>537</v>
      </c>
      <c r="N857" s="466">
        <v>14999</v>
      </c>
      <c r="O857" s="463" t="s">
        <v>537</v>
      </c>
      <c r="P857" s="463" t="s">
        <v>537</v>
      </c>
      <c r="Q857" s="465">
        <v>1</v>
      </c>
      <c r="R857" s="470">
        <v>241640</v>
      </c>
      <c r="S857" s="471">
        <v>22515</v>
      </c>
      <c r="T857" s="463">
        <v>1</v>
      </c>
      <c r="U857" s="463">
        <v>2</v>
      </c>
      <c r="V857" s="463">
        <v>30</v>
      </c>
      <c r="W857" s="463">
        <v>1</v>
      </c>
      <c r="X857" s="463">
        <v>10</v>
      </c>
      <c r="Y857" s="463">
        <v>96</v>
      </c>
      <c r="Z857" s="463">
        <v>98</v>
      </c>
      <c r="AA857" s="472" t="s">
        <v>2309</v>
      </c>
      <c r="AB857" s="463" t="s">
        <v>539</v>
      </c>
      <c r="AC857" s="463" t="s">
        <v>539</v>
      </c>
      <c r="AD857" s="472" t="s">
        <v>2310</v>
      </c>
      <c r="AE857" s="463" t="s">
        <v>539</v>
      </c>
      <c r="AF857" s="463" t="s">
        <v>539</v>
      </c>
      <c r="AG857" s="463" t="s">
        <v>375</v>
      </c>
      <c r="AH857" s="476"/>
      <c r="AI857" s="472">
        <v>894743626</v>
      </c>
      <c r="AJ857" s="472" t="s">
        <v>543</v>
      </c>
    </row>
    <row r="858" spans="2:36" ht="24" hidden="1" customHeight="1">
      <c r="B858" s="463">
        <v>686</v>
      </c>
      <c r="C858" s="464" t="s">
        <v>534</v>
      </c>
      <c r="D858" s="464"/>
      <c r="E858" s="464" t="s">
        <v>535</v>
      </c>
      <c r="F858" s="464"/>
      <c r="G858" s="464" t="s">
        <v>192</v>
      </c>
      <c r="H858" s="464" t="s">
        <v>2311</v>
      </c>
      <c r="I858" s="466">
        <v>90000</v>
      </c>
      <c r="J858" s="465" t="s">
        <v>537</v>
      </c>
      <c r="K858" s="465" t="s">
        <v>537</v>
      </c>
      <c r="L858" s="466">
        <v>81840</v>
      </c>
      <c r="M858" s="465" t="s">
        <v>537</v>
      </c>
      <c r="N858" s="465" t="s">
        <v>537</v>
      </c>
      <c r="O858" s="463" t="s">
        <v>537</v>
      </c>
      <c r="P858" s="463" t="s">
        <v>537</v>
      </c>
      <c r="Q858" s="468">
        <v>8160</v>
      </c>
      <c r="R858" s="470">
        <v>241397</v>
      </c>
      <c r="S858" s="471">
        <v>22262</v>
      </c>
      <c r="T858" s="463">
        <v>0</v>
      </c>
      <c r="U858" s="463">
        <v>209</v>
      </c>
      <c r="V858" s="463">
        <v>1</v>
      </c>
      <c r="W858" s="464"/>
      <c r="X858" s="463">
        <v>195</v>
      </c>
      <c r="Y858" s="463">
        <v>1</v>
      </c>
      <c r="Z858" s="463">
        <v>81.02</v>
      </c>
      <c r="AA858" s="472" t="s">
        <v>547</v>
      </c>
      <c r="AB858" s="463" t="s">
        <v>539</v>
      </c>
      <c r="AC858" s="463" t="s">
        <v>539</v>
      </c>
      <c r="AD858" s="472" t="s">
        <v>548</v>
      </c>
      <c r="AE858" s="463">
        <v>80</v>
      </c>
      <c r="AF858" s="463">
        <v>100</v>
      </c>
      <c r="AG858" s="463" t="s">
        <v>375</v>
      </c>
      <c r="AH858" s="476"/>
      <c r="AI858" s="472" t="s">
        <v>2312</v>
      </c>
      <c r="AJ858" s="464"/>
    </row>
    <row r="859" spans="2:36" ht="24" hidden="1" customHeight="1">
      <c r="B859" s="463">
        <v>687</v>
      </c>
      <c r="C859" s="464" t="s">
        <v>534</v>
      </c>
      <c r="D859" s="464"/>
      <c r="E859" s="464" t="s">
        <v>535</v>
      </c>
      <c r="F859" s="464"/>
      <c r="G859" s="464" t="s">
        <v>192</v>
      </c>
      <c r="H859" s="464" t="s">
        <v>2313</v>
      </c>
      <c r="I859" s="466">
        <v>70000</v>
      </c>
      <c r="J859" s="465" t="s">
        <v>537</v>
      </c>
      <c r="K859" s="465" t="s">
        <v>537</v>
      </c>
      <c r="L859" s="466">
        <v>60148</v>
      </c>
      <c r="M859" s="465" t="s">
        <v>537</v>
      </c>
      <c r="N859" s="465" t="s">
        <v>537</v>
      </c>
      <c r="O859" s="463" t="s">
        <v>537</v>
      </c>
      <c r="P859" s="463" t="s">
        <v>537</v>
      </c>
      <c r="Q859" s="468">
        <v>9852</v>
      </c>
      <c r="R859" s="470">
        <v>241397</v>
      </c>
      <c r="S859" s="471">
        <v>22258</v>
      </c>
      <c r="T859" s="463">
        <v>0</v>
      </c>
      <c r="U859" s="463">
        <v>99</v>
      </c>
      <c r="V859" s="463">
        <v>1</v>
      </c>
      <c r="W859" s="463">
        <v>0</v>
      </c>
      <c r="X859" s="463">
        <v>138</v>
      </c>
      <c r="Y859" s="463">
        <v>1</v>
      </c>
      <c r="Z859" s="463">
        <v>83.33</v>
      </c>
      <c r="AA859" s="472" t="s">
        <v>547</v>
      </c>
      <c r="AB859" s="463" t="s">
        <v>539</v>
      </c>
      <c r="AC859" s="463" t="s">
        <v>539</v>
      </c>
      <c r="AD859" s="472" t="s">
        <v>548</v>
      </c>
      <c r="AE859" s="463">
        <v>80</v>
      </c>
      <c r="AF859" s="463">
        <v>100</v>
      </c>
      <c r="AG859" s="463" t="s">
        <v>375</v>
      </c>
      <c r="AH859" s="476"/>
      <c r="AI859" s="472">
        <v>872935669</v>
      </c>
      <c r="AJ859" s="464"/>
    </row>
    <row r="860" spans="2:36" ht="24" hidden="1" customHeight="1">
      <c r="B860" s="463">
        <v>688</v>
      </c>
      <c r="C860" s="464" t="s">
        <v>534</v>
      </c>
      <c r="D860" s="464"/>
      <c r="E860" s="464" t="s">
        <v>535</v>
      </c>
      <c r="F860" s="464"/>
      <c r="G860" s="464" t="s">
        <v>192</v>
      </c>
      <c r="H860" s="464" t="s">
        <v>2314</v>
      </c>
      <c r="I860" s="466">
        <v>300000</v>
      </c>
      <c r="J860" s="465" t="s">
        <v>537</v>
      </c>
      <c r="K860" s="465" t="s">
        <v>537</v>
      </c>
      <c r="L860" s="466">
        <v>181052</v>
      </c>
      <c r="M860" s="465" t="s">
        <v>537</v>
      </c>
      <c r="N860" s="465" t="s">
        <v>537</v>
      </c>
      <c r="O860" s="463" t="s">
        <v>537</v>
      </c>
      <c r="P860" s="463" t="s">
        <v>537</v>
      </c>
      <c r="Q860" s="468">
        <v>118948</v>
      </c>
      <c r="R860" s="470">
        <v>241459</v>
      </c>
      <c r="S860" s="463" t="s">
        <v>2315</v>
      </c>
      <c r="T860" s="463">
        <v>5</v>
      </c>
      <c r="U860" s="463">
        <v>25</v>
      </c>
      <c r="V860" s="463">
        <v>0</v>
      </c>
      <c r="W860" s="463">
        <v>12</v>
      </c>
      <c r="X860" s="463">
        <v>23</v>
      </c>
      <c r="Y860" s="463">
        <v>0</v>
      </c>
      <c r="Z860" s="463">
        <v>82.2</v>
      </c>
      <c r="AA860" s="472" t="s">
        <v>547</v>
      </c>
      <c r="AB860" s="463" t="s">
        <v>539</v>
      </c>
      <c r="AC860" s="463" t="s">
        <v>539</v>
      </c>
      <c r="AD860" s="472" t="s">
        <v>699</v>
      </c>
      <c r="AE860" s="463">
        <v>1</v>
      </c>
      <c r="AF860" s="463">
        <v>1</v>
      </c>
      <c r="AG860" s="463" t="s">
        <v>375</v>
      </c>
      <c r="AH860" s="476"/>
      <c r="AI860" s="472">
        <v>872935669</v>
      </c>
      <c r="AJ860" s="472" t="s">
        <v>537</v>
      </c>
    </row>
    <row r="861" spans="2:36" ht="24" hidden="1" customHeight="1">
      <c r="B861" s="463">
        <v>689</v>
      </c>
      <c r="C861" s="464" t="s">
        <v>534</v>
      </c>
      <c r="D861" s="464"/>
      <c r="E861" s="464" t="s">
        <v>535</v>
      </c>
      <c r="F861" s="464"/>
      <c r="G861" s="464" t="s">
        <v>192</v>
      </c>
      <c r="H861" s="464" t="s">
        <v>2316</v>
      </c>
      <c r="I861" s="466">
        <v>100000</v>
      </c>
      <c r="J861" s="465" t="s">
        <v>537</v>
      </c>
      <c r="K861" s="465" t="s">
        <v>537</v>
      </c>
      <c r="L861" s="466">
        <v>68850</v>
      </c>
      <c r="M861" s="465" t="s">
        <v>537</v>
      </c>
      <c r="N861" s="465" t="s">
        <v>537</v>
      </c>
      <c r="O861" s="463" t="s">
        <v>537</v>
      </c>
      <c r="P861" s="463" t="s">
        <v>537</v>
      </c>
      <c r="Q861" s="468">
        <v>31150</v>
      </c>
      <c r="R861" s="463" t="s">
        <v>643</v>
      </c>
      <c r="S861" s="463" t="s">
        <v>2317</v>
      </c>
      <c r="T861" s="463">
        <v>0</v>
      </c>
      <c r="U861" s="463">
        <v>49</v>
      </c>
      <c r="V861" s="463">
        <v>1</v>
      </c>
      <c r="W861" s="463" t="s">
        <v>537</v>
      </c>
      <c r="X861" s="463">
        <v>49</v>
      </c>
      <c r="Y861" s="463">
        <v>1</v>
      </c>
      <c r="Z861" s="463">
        <v>81.599999999999994</v>
      </c>
      <c r="AA861" s="472" t="s">
        <v>547</v>
      </c>
      <c r="AB861" s="463" t="s">
        <v>539</v>
      </c>
      <c r="AC861" s="463" t="s">
        <v>539</v>
      </c>
      <c r="AD861" s="472" t="s">
        <v>548</v>
      </c>
      <c r="AE861" s="463">
        <v>80</v>
      </c>
      <c r="AF861" s="463">
        <v>100</v>
      </c>
      <c r="AG861" s="463" t="s">
        <v>375</v>
      </c>
      <c r="AH861" s="476"/>
      <c r="AI861" s="472" t="s">
        <v>2318</v>
      </c>
      <c r="AJ861" s="464"/>
    </row>
    <row r="862" spans="2:36" ht="24" hidden="1" customHeight="1">
      <c r="B862" s="463">
        <v>690</v>
      </c>
      <c r="C862" s="464" t="s">
        <v>534</v>
      </c>
      <c r="D862" s="464"/>
      <c r="E862" s="464" t="s">
        <v>535</v>
      </c>
      <c r="F862" s="464"/>
      <c r="G862" s="464" t="s">
        <v>192</v>
      </c>
      <c r="H862" s="464" t="s">
        <v>2319</v>
      </c>
      <c r="I862" s="465" t="s">
        <v>537</v>
      </c>
      <c r="J862" s="465" t="s">
        <v>537</v>
      </c>
      <c r="K862" s="466">
        <v>45000</v>
      </c>
      <c r="L862" s="465" t="s">
        <v>537</v>
      </c>
      <c r="M862" s="465" t="s">
        <v>537</v>
      </c>
      <c r="N862" s="466">
        <v>37552</v>
      </c>
      <c r="O862" s="463" t="s">
        <v>537</v>
      </c>
      <c r="P862" s="463" t="s">
        <v>537</v>
      </c>
      <c r="Q862" s="468">
        <v>7448</v>
      </c>
      <c r="R862" s="470">
        <v>241428</v>
      </c>
      <c r="S862" s="471">
        <v>22296</v>
      </c>
      <c r="T862" s="463">
        <v>0</v>
      </c>
      <c r="U862" s="463">
        <v>108</v>
      </c>
      <c r="V862" s="463">
        <v>0</v>
      </c>
      <c r="W862" s="463" t="s">
        <v>537</v>
      </c>
      <c r="X862" s="463">
        <v>97</v>
      </c>
      <c r="Y862" s="463">
        <v>2</v>
      </c>
      <c r="Z862" s="463">
        <v>82.2</v>
      </c>
      <c r="AA862" s="472" t="s">
        <v>547</v>
      </c>
      <c r="AB862" s="463" t="s">
        <v>539</v>
      </c>
      <c r="AC862" s="463" t="s">
        <v>539</v>
      </c>
      <c r="AD862" s="472" t="s">
        <v>548</v>
      </c>
      <c r="AE862" s="463">
        <v>80</v>
      </c>
      <c r="AF862" s="463">
        <v>80</v>
      </c>
      <c r="AG862" s="463" t="s">
        <v>375</v>
      </c>
      <c r="AH862" s="476"/>
      <c r="AI862" s="472" t="s">
        <v>2318</v>
      </c>
      <c r="AJ862" s="472" t="s">
        <v>543</v>
      </c>
    </row>
    <row r="863" spans="2:36" ht="24" hidden="1" customHeight="1">
      <c r="B863" s="463">
        <v>691</v>
      </c>
      <c r="C863" s="464" t="s">
        <v>165</v>
      </c>
      <c r="D863" s="464"/>
      <c r="E863" s="464" t="s">
        <v>535</v>
      </c>
      <c r="F863" s="464"/>
      <c r="G863" s="464" t="s">
        <v>192</v>
      </c>
      <c r="H863" s="464" t="s">
        <v>2320</v>
      </c>
      <c r="I863" s="465" t="s">
        <v>537</v>
      </c>
      <c r="J863" s="465" t="s">
        <v>537</v>
      </c>
      <c r="K863" s="466">
        <v>92000</v>
      </c>
      <c r="L863" s="465" t="s">
        <v>537</v>
      </c>
      <c r="M863" s="465" t="s">
        <v>537</v>
      </c>
      <c r="N863" s="466">
        <v>69920</v>
      </c>
      <c r="O863" s="463" t="s">
        <v>537</v>
      </c>
      <c r="P863" s="463" t="s">
        <v>537</v>
      </c>
      <c r="Q863" s="468">
        <v>22080</v>
      </c>
      <c r="R863" s="470">
        <v>241579</v>
      </c>
      <c r="S863" s="463" t="s">
        <v>1449</v>
      </c>
      <c r="T863" s="463">
        <v>0</v>
      </c>
      <c r="U863" s="463">
        <v>103</v>
      </c>
      <c r="V863" s="463">
        <v>11</v>
      </c>
      <c r="W863" s="463">
        <v>0</v>
      </c>
      <c r="X863" s="463">
        <v>93</v>
      </c>
      <c r="Y863" s="463">
        <v>3</v>
      </c>
      <c r="Z863" s="463">
        <v>83.53</v>
      </c>
      <c r="AA863" s="472" t="s">
        <v>547</v>
      </c>
      <c r="AB863" s="463" t="s">
        <v>539</v>
      </c>
      <c r="AC863" s="463" t="s">
        <v>539</v>
      </c>
      <c r="AD863" s="472" t="s">
        <v>548</v>
      </c>
      <c r="AE863" s="463">
        <v>80</v>
      </c>
      <c r="AF863" s="463">
        <v>100</v>
      </c>
      <c r="AG863" s="463" t="s">
        <v>375</v>
      </c>
      <c r="AH863" s="476"/>
      <c r="AI863" s="472" t="s">
        <v>2321</v>
      </c>
      <c r="AJ863" s="472" t="s">
        <v>543</v>
      </c>
    </row>
    <row r="864" spans="2:36" ht="24" hidden="1" customHeight="1">
      <c r="B864" s="463">
        <v>692</v>
      </c>
      <c r="C864" s="464" t="s">
        <v>534</v>
      </c>
      <c r="D864" s="464"/>
      <c r="E864" s="464" t="s">
        <v>535</v>
      </c>
      <c r="F864" s="464"/>
      <c r="G864" s="464" t="s">
        <v>192</v>
      </c>
      <c r="H864" s="464" t="s">
        <v>2322</v>
      </c>
      <c r="I864" s="465" t="s">
        <v>537</v>
      </c>
      <c r="J864" s="466">
        <v>60675</v>
      </c>
      <c r="K864" s="465" t="s">
        <v>537</v>
      </c>
      <c r="L864" s="465" t="s">
        <v>537</v>
      </c>
      <c r="M864" s="466">
        <v>17800</v>
      </c>
      <c r="N864" s="465" t="s">
        <v>537</v>
      </c>
      <c r="O864" s="463" t="s">
        <v>537</v>
      </c>
      <c r="P864" s="463" t="s">
        <v>537</v>
      </c>
      <c r="Q864" s="468">
        <v>42875</v>
      </c>
      <c r="R864" s="470">
        <v>241579</v>
      </c>
      <c r="S864" s="463" t="s">
        <v>2323</v>
      </c>
      <c r="T864" s="463">
        <v>0</v>
      </c>
      <c r="U864" s="463">
        <v>1</v>
      </c>
      <c r="V864" s="463">
        <v>0</v>
      </c>
      <c r="W864" s="463" t="s">
        <v>537</v>
      </c>
      <c r="X864" s="463">
        <v>1</v>
      </c>
      <c r="Y864" s="463" t="s">
        <v>537</v>
      </c>
      <c r="Z864" s="463">
        <v>92</v>
      </c>
      <c r="AA864" s="472" t="s">
        <v>547</v>
      </c>
      <c r="AB864" s="463" t="s">
        <v>539</v>
      </c>
      <c r="AC864" s="463" t="s">
        <v>539</v>
      </c>
      <c r="AD864" s="472" t="s">
        <v>699</v>
      </c>
      <c r="AE864" s="463" t="s">
        <v>539</v>
      </c>
      <c r="AF864" s="463" t="s">
        <v>539</v>
      </c>
      <c r="AG864" s="463" t="s">
        <v>375</v>
      </c>
      <c r="AH864" s="476"/>
      <c r="AI864" s="472">
        <v>973618558</v>
      </c>
      <c r="AJ864" s="464"/>
    </row>
    <row r="865" spans="1:36" ht="24" hidden="1" customHeight="1">
      <c r="B865" s="463">
        <v>693</v>
      </c>
      <c r="C865" s="464" t="s">
        <v>534</v>
      </c>
      <c r="D865" s="464"/>
      <c r="E865" s="464" t="s">
        <v>535</v>
      </c>
      <c r="F865" s="464"/>
      <c r="G865" s="464" t="s">
        <v>192</v>
      </c>
      <c r="H865" s="464" t="s">
        <v>2324</v>
      </c>
      <c r="I865" s="465" t="s">
        <v>537</v>
      </c>
      <c r="J865" s="466">
        <v>399325</v>
      </c>
      <c r="K865" s="465" t="s">
        <v>537</v>
      </c>
      <c r="L865" s="465" t="s">
        <v>537</v>
      </c>
      <c r="M865" s="466">
        <v>344621</v>
      </c>
      <c r="N865" s="465" t="s">
        <v>537</v>
      </c>
      <c r="O865" s="463" t="s">
        <v>537</v>
      </c>
      <c r="P865" s="463" t="s">
        <v>537</v>
      </c>
      <c r="Q865" s="468">
        <v>54704</v>
      </c>
      <c r="R865" s="463" t="s">
        <v>643</v>
      </c>
      <c r="S865" s="463" t="s">
        <v>2325</v>
      </c>
      <c r="T865" s="463">
        <v>0</v>
      </c>
      <c r="U865" s="463">
        <v>12</v>
      </c>
      <c r="V865" s="463">
        <v>0</v>
      </c>
      <c r="W865" s="463" t="s">
        <v>537</v>
      </c>
      <c r="X865" s="463">
        <v>13</v>
      </c>
      <c r="Y865" s="463" t="s">
        <v>537</v>
      </c>
      <c r="Z865" s="463">
        <v>92</v>
      </c>
      <c r="AA865" s="472" t="s">
        <v>547</v>
      </c>
      <c r="AB865" s="463" t="s">
        <v>539</v>
      </c>
      <c r="AC865" s="463" t="s">
        <v>539</v>
      </c>
      <c r="AD865" s="472" t="s">
        <v>699</v>
      </c>
      <c r="AE865" s="463">
        <v>1</v>
      </c>
      <c r="AF865" s="463">
        <v>1</v>
      </c>
      <c r="AG865" s="463" t="s">
        <v>375</v>
      </c>
      <c r="AH865" s="476"/>
      <c r="AI865" s="472">
        <v>973618558</v>
      </c>
      <c r="AJ865" s="464"/>
    </row>
    <row r="866" spans="1:36" ht="24" hidden="1" customHeight="1">
      <c r="B866" s="463">
        <v>694</v>
      </c>
      <c r="C866" s="464" t="s">
        <v>534</v>
      </c>
      <c r="D866" s="464"/>
      <c r="E866" s="464" t="s">
        <v>535</v>
      </c>
      <c r="F866" s="464"/>
      <c r="G866" s="464" t="s">
        <v>192</v>
      </c>
      <c r="H866" s="464" t="s">
        <v>2326</v>
      </c>
      <c r="I866" s="465" t="s">
        <v>537</v>
      </c>
      <c r="J866" s="466">
        <v>300000</v>
      </c>
      <c r="K866" s="465" t="s">
        <v>537</v>
      </c>
      <c r="L866" s="465" t="s">
        <v>537</v>
      </c>
      <c r="M866" s="466">
        <v>207860</v>
      </c>
      <c r="N866" s="465" t="s">
        <v>537</v>
      </c>
      <c r="O866" s="463" t="s">
        <v>537</v>
      </c>
      <c r="P866" s="463" t="s">
        <v>537</v>
      </c>
      <c r="Q866" s="468">
        <v>92140</v>
      </c>
      <c r="R866" s="463" t="s">
        <v>599</v>
      </c>
      <c r="S866" s="463" t="s">
        <v>2327</v>
      </c>
      <c r="T866" s="463">
        <v>10</v>
      </c>
      <c r="U866" s="463">
        <v>2</v>
      </c>
      <c r="V866" s="463">
        <v>0</v>
      </c>
      <c r="W866" s="463">
        <v>10</v>
      </c>
      <c r="X866" s="463">
        <v>2</v>
      </c>
      <c r="Y866" s="463" t="s">
        <v>537</v>
      </c>
      <c r="Z866" s="463">
        <v>92</v>
      </c>
      <c r="AA866" s="472" t="s">
        <v>547</v>
      </c>
      <c r="AB866" s="463" t="s">
        <v>539</v>
      </c>
      <c r="AC866" s="463" t="s">
        <v>539</v>
      </c>
      <c r="AD866" s="472" t="s">
        <v>699</v>
      </c>
      <c r="AE866" s="463">
        <v>1</v>
      </c>
      <c r="AF866" s="463">
        <v>1</v>
      </c>
      <c r="AG866" s="463" t="s">
        <v>375</v>
      </c>
      <c r="AH866" s="476"/>
      <c r="AI866" s="472">
        <v>973618558</v>
      </c>
      <c r="AJ866" s="464"/>
    </row>
    <row r="867" spans="1:36" ht="24" hidden="1" customHeight="1">
      <c r="B867" s="463">
        <v>695</v>
      </c>
      <c r="C867" s="464" t="s">
        <v>534</v>
      </c>
      <c r="D867" s="464"/>
      <c r="E867" s="464" t="s">
        <v>535</v>
      </c>
      <c r="F867" s="464"/>
      <c r="G867" s="464" t="s">
        <v>192</v>
      </c>
      <c r="H867" s="464" t="s">
        <v>2328</v>
      </c>
      <c r="I867" s="465" t="s">
        <v>537</v>
      </c>
      <c r="J867" s="466">
        <v>200000</v>
      </c>
      <c r="K867" s="465" t="s">
        <v>537</v>
      </c>
      <c r="L867" s="465" t="s">
        <v>537</v>
      </c>
      <c r="M867" s="466">
        <v>161621</v>
      </c>
      <c r="N867" s="465" t="s">
        <v>537</v>
      </c>
      <c r="O867" s="463" t="s">
        <v>537</v>
      </c>
      <c r="P867" s="463" t="s">
        <v>537</v>
      </c>
      <c r="Q867" s="468">
        <v>38379</v>
      </c>
      <c r="R867" s="463" t="s">
        <v>2329</v>
      </c>
      <c r="S867" s="463" t="s">
        <v>1885</v>
      </c>
      <c r="T867" s="463">
        <v>14</v>
      </c>
      <c r="U867" s="463">
        <v>1</v>
      </c>
      <c r="V867" s="463">
        <v>0</v>
      </c>
      <c r="W867" s="463">
        <v>15</v>
      </c>
      <c r="X867" s="463">
        <v>1</v>
      </c>
      <c r="Y867" s="463" t="s">
        <v>537</v>
      </c>
      <c r="Z867" s="463">
        <v>80</v>
      </c>
      <c r="AA867" s="472" t="s">
        <v>547</v>
      </c>
      <c r="AB867" s="463" t="s">
        <v>539</v>
      </c>
      <c r="AC867" s="463" t="s">
        <v>539</v>
      </c>
      <c r="AD867" s="472" t="s">
        <v>699</v>
      </c>
      <c r="AE867" s="463">
        <v>1</v>
      </c>
      <c r="AF867" s="463" t="s">
        <v>539</v>
      </c>
      <c r="AG867" s="463" t="s">
        <v>375</v>
      </c>
      <c r="AH867" s="476"/>
      <c r="AI867" s="472">
        <v>973518191</v>
      </c>
      <c r="AJ867" s="464"/>
    </row>
    <row r="868" spans="1:36" ht="24" hidden="1" customHeight="1">
      <c r="B868" s="463">
        <v>696</v>
      </c>
      <c r="C868" s="464" t="s">
        <v>534</v>
      </c>
      <c r="D868" s="464"/>
      <c r="E868" s="464" t="s">
        <v>535</v>
      </c>
      <c r="F868" s="464"/>
      <c r="G868" s="464" t="s">
        <v>192</v>
      </c>
      <c r="H868" s="464" t="s">
        <v>2330</v>
      </c>
      <c r="I868" s="465" t="s">
        <v>537</v>
      </c>
      <c r="J868" s="466">
        <v>200000</v>
      </c>
      <c r="K868" s="465" t="s">
        <v>537</v>
      </c>
      <c r="L868" s="465" t="s">
        <v>537</v>
      </c>
      <c r="M868" s="466">
        <v>114873</v>
      </c>
      <c r="N868" s="465" t="s">
        <v>537</v>
      </c>
      <c r="O868" s="463" t="s">
        <v>537</v>
      </c>
      <c r="P868" s="463" t="s">
        <v>537</v>
      </c>
      <c r="Q868" s="468">
        <v>85127</v>
      </c>
      <c r="R868" s="463" t="s">
        <v>552</v>
      </c>
      <c r="S868" s="463" t="s">
        <v>2331</v>
      </c>
      <c r="T868" s="463">
        <v>5</v>
      </c>
      <c r="U868" s="463">
        <v>0</v>
      </c>
      <c r="V868" s="463">
        <v>0</v>
      </c>
      <c r="W868" s="463">
        <v>5</v>
      </c>
      <c r="X868" s="463" t="s">
        <v>537</v>
      </c>
      <c r="Y868" s="463" t="s">
        <v>537</v>
      </c>
      <c r="Z868" s="463">
        <v>92</v>
      </c>
      <c r="AA868" s="472" t="s">
        <v>547</v>
      </c>
      <c r="AB868" s="463" t="s">
        <v>539</v>
      </c>
      <c r="AC868" s="463" t="s">
        <v>539</v>
      </c>
      <c r="AD868" s="472" t="s">
        <v>699</v>
      </c>
      <c r="AE868" s="463">
        <v>1</v>
      </c>
      <c r="AF868" s="463">
        <v>1</v>
      </c>
      <c r="AG868" s="463" t="s">
        <v>375</v>
      </c>
      <c r="AH868" s="476"/>
      <c r="AI868" s="472">
        <v>97351819</v>
      </c>
      <c r="AJ868" s="464"/>
    </row>
    <row r="869" spans="1:36" ht="24" hidden="1" customHeight="1">
      <c r="B869" s="463">
        <v>697</v>
      </c>
      <c r="C869" s="464" t="s">
        <v>534</v>
      </c>
      <c r="D869" s="464"/>
      <c r="E869" s="464" t="s">
        <v>535</v>
      </c>
      <c r="F869" s="464"/>
      <c r="G869" s="464" t="s">
        <v>192</v>
      </c>
      <c r="H869" s="464" t="s">
        <v>2332</v>
      </c>
      <c r="I869" s="465" t="s">
        <v>537</v>
      </c>
      <c r="J869" s="466">
        <v>500000</v>
      </c>
      <c r="K869" s="465" t="s">
        <v>537</v>
      </c>
      <c r="L869" s="465" t="s">
        <v>537</v>
      </c>
      <c r="M869" s="466">
        <v>89450</v>
      </c>
      <c r="N869" s="465" t="s">
        <v>537</v>
      </c>
      <c r="O869" s="463" t="s">
        <v>537</v>
      </c>
      <c r="P869" s="463" t="s">
        <v>537</v>
      </c>
      <c r="Q869" s="468">
        <v>410550</v>
      </c>
      <c r="R869" s="463" t="s">
        <v>1453</v>
      </c>
      <c r="S869" s="463" t="s">
        <v>1118</v>
      </c>
      <c r="T869" s="463">
        <v>0</v>
      </c>
      <c r="U869" s="463">
        <v>21</v>
      </c>
      <c r="V869" s="463">
        <v>15</v>
      </c>
      <c r="W869" s="463" t="s">
        <v>537</v>
      </c>
      <c r="X869" s="463">
        <v>26</v>
      </c>
      <c r="Y869" s="463">
        <v>15</v>
      </c>
      <c r="Z869" s="463">
        <v>90</v>
      </c>
      <c r="AA869" s="472" t="s">
        <v>547</v>
      </c>
      <c r="AB869" s="463" t="s">
        <v>539</v>
      </c>
      <c r="AC869" s="463" t="s">
        <v>539</v>
      </c>
      <c r="AD869" s="472" t="s">
        <v>699</v>
      </c>
      <c r="AE869" s="463">
        <v>1</v>
      </c>
      <c r="AF869" s="463">
        <v>1</v>
      </c>
      <c r="AG869" s="463" t="s">
        <v>375</v>
      </c>
      <c r="AH869" s="476"/>
      <c r="AI869" s="472">
        <v>973618558</v>
      </c>
      <c r="AJ869" s="464"/>
    </row>
    <row r="870" spans="1:36" ht="24" hidden="1" customHeight="1">
      <c r="B870" s="463">
        <v>698</v>
      </c>
      <c r="C870" s="464" t="s">
        <v>534</v>
      </c>
      <c r="D870" s="464"/>
      <c r="E870" s="464" t="s">
        <v>535</v>
      </c>
      <c r="F870" s="464"/>
      <c r="G870" s="464" t="s">
        <v>192</v>
      </c>
      <c r="H870" s="464" t="s">
        <v>2333</v>
      </c>
      <c r="I870" s="465" t="s">
        <v>537</v>
      </c>
      <c r="J870" s="466">
        <v>400000</v>
      </c>
      <c r="K870" s="465" t="s">
        <v>537</v>
      </c>
      <c r="L870" s="465" t="s">
        <v>537</v>
      </c>
      <c r="M870" s="466">
        <v>185168</v>
      </c>
      <c r="N870" s="465" t="s">
        <v>537</v>
      </c>
      <c r="O870" s="463" t="s">
        <v>537</v>
      </c>
      <c r="P870" s="463" t="s">
        <v>537</v>
      </c>
      <c r="Q870" s="468">
        <v>214832</v>
      </c>
      <c r="R870" s="463" t="s">
        <v>552</v>
      </c>
      <c r="S870" s="463" t="s">
        <v>1118</v>
      </c>
      <c r="T870" s="463">
        <v>0</v>
      </c>
      <c r="U870" s="463">
        <v>9</v>
      </c>
      <c r="V870" s="463">
        <v>14</v>
      </c>
      <c r="W870" s="463" t="s">
        <v>537</v>
      </c>
      <c r="X870" s="463">
        <v>15</v>
      </c>
      <c r="Y870" s="463">
        <v>8</v>
      </c>
      <c r="Z870" s="463">
        <v>92</v>
      </c>
      <c r="AA870" s="472" t="s">
        <v>633</v>
      </c>
      <c r="AB870" s="463" t="s">
        <v>539</v>
      </c>
      <c r="AC870" s="463" t="s">
        <v>539</v>
      </c>
      <c r="AD870" s="472" t="s">
        <v>635</v>
      </c>
      <c r="AE870" s="463" t="s">
        <v>539</v>
      </c>
      <c r="AF870" s="463" t="s">
        <v>539</v>
      </c>
      <c r="AG870" s="463" t="s">
        <v>375</v>
      </c>
      <c r="AH870" s="476"/>
      <c r="AI870" s="472">
        <v>973518191</v>
      </c>
      <c r="AJ870" s="464"/>
    </row>
    <row r="871" spans="1:36" ht="24" hidden="1" customHeight="1">
      <c r="B871" s="463">
        <v>699</v>
      </c>
      <c r="C871" s="464" t="s">
        <v>534</v>
      </c>
      <c r="D871" s="464"/>
      <c r="E871" s="464" t="s">
        <v>535</v>
      </c>
      <c r="F871" s="464"/>
      <c r="G871" s="464" t="s">
        <v>192</v>
      </c>
      <c r="H871" s="464" t="s">
        <v>2334</v>
      </c>
      <c r="I871" s="465" t="s">
        <v>537</v>
      </c>
      <c r="J871" s="466">
        <v>140000</v>
      </c>
      <c r="K871" s="465" t="s">
        <v>537</v>
      </c>
      <c r="L871" s="465" t="s">
        <v>537</v>
      </c>
      <c r="M871" s="466">
        <v>85686</v>
      </c>
      <c r="N871" s="465" t="s">
        <v>537</v>
      </c>
      <c r="O871" s="463" t="s">
        <v>537</v>
      </c>
      <c r="P871" s="463" t="s">
        <v>537</v>
      </c>
      <c r="Q871" s="468">
        <v>54314</v>
      </c>
      <c r="R871" s="470">
        <v>241518</v>
      </c>
      <c r="S871" s="463" t="s">
        <v>2335</v>
      </c>
      <c r="T871" s="463">
        <v>0</v>
      </c>
      <c r="U871" s="463">
        <v>15</v>
      </c>
      <c r="V871" s="463">
        <v>0</v>
      </c>
      <c r="W871" s="463" t="s">
        <v>537</v>
      </c>
      <c r="X871" s="463">
        <v>13</v>
      </c>
      <c r="Y871" s="464"/>
      <c r="Z871" s="463">
        <v>80</v>
      </c>
      <c r="AA871" s="472" t="s">
        <v>1907</v>
      </c>
      <c r="AB871" s="463" t="s">
        <v>539</v>
      </c>
      <c r="AC871" s="463" t="s">
        <v>539</v>
      </c>
      <c r="AD871" s="472" t="s">
        <v>565</v>
      </c>
      <c r="AE871" s="463">
        <v>80</v>
      </c>
      <c r="AF871" s="463">
        <v>80</v>
      </c>
      <c r="AG871" s="463" t="s">
        <v>375</v>
      </c>
      <c r="AH871" s="476"/>
      <c r="AI871" s="472">
        <v>852237206</v>
      </c>
      <c r="AJ871" s="464"/>
    </row>
    <row r="872" spans="1:36" ht="24" hidden="1" customHeight="1">
      <c r="B872" s="463">
        <v>700</v>
      </c>
      <c r="C872" s="464" t="s">
        <v>534</v>
      </c>
      <c r="D872" s="464"/>
      <c r="E872" s="464" t="s">
        <v>535</v>
      </c>
      <c r="F872" s="464"/>
      <c r="G872" s="464" t="s">
        <v>192</v>
      </c>
      <c r="H872" s="464" t="s">
        <v>2336</v>
      </c>
      <c r="I872" s="465" t="s">
        <v>537</v>
      </c>
      <c r="J872" s="466">
        <v>90000</v>
      </c>
      <c r="K872" s="465" t="s">
        <v>537</v>
      </c>
      <c r="L872" s="465" t="s">
        <v>537</v>
      </c>
      <c r="M872" s="466">
        <v>72764</v>
      </c>
      <c r="N872" s="465" t="s">
        <v>537</v>
      </c>
      <c r="O872" s="463" t="s">
        <v>537</v>
      </c>
      <c r="P872" s="463" t="s">
        <v>537</v>
      </c>
      <c r="Q872" s="468">
        <v>17236</v>
      </c>
      <c r="R872" s="463" t="s">
        <v>646</v>
      </c>
      <c r="S872" s="463" t="s">
        <v>2337</v>
      </c>
      <c r="T872" s="463">
        <v>0</v>
      </c>
      <c r="U872" s="463">
        <v>111</v>
      </c>
      <c r="V872" s="463">
        <v>2</v>
      </c>
      <c r="W872" s="463">
        <v>0</v>
      </c>
      <c r="X872" s="463">
        <v>132</v>
      </c>
      <c r="Y872" s="463">
        <v>1</v>
      </c>
      <c r="Z872" s="463">
        <v>90.65</v>
      </c>
      <c r="AA872" s="472" t="s">
        <v>547</v>
      </c>
      <c r="AB872" s="463" t="s">
        <v>539</v>
      </c>
      <c r="AC872" s="463" t="s">
        <v>539</v>
      </c>
      <c r="AD872" s="472" t="s">
        <v>548</v>
      </c>
      <c r="AE872" s="463">
        <v>80</v>
      </c>
      <c r="AF872" s="463">
        <v>100</v>
      </c>
      <c r="AG872" s="463" t="s">
        <v>375</v>
      </c>
      <c r="AH872" s="476"/>
      <c r="AI872" s="472" t="s">
        <v>2321</v>
      </c>
      <c r="AJ872" s="464"/>
    </row>
    <row r="873" spans="1:36" ht="24" hidden="1" customHeight="1">
      <c r="B873" s="463">
        <v>701</v>
      </c>
      <c r="C873" s="464" t="s">
        <v>534</v>
      </c>
      <c r="D873" s="464"/>
      <c r="E873" s="464" t="s">
        <v>535</v>
      </c>
      <c r="F873" s="464"/>
      <c r="G873" s="464" t="s">
        <v>192</v>
      </c>
      <c r="H873" s="464" t="s">
        <v>2338</v>
      </c>
      <c r="I873" s="465" t="s">
        <v>537</v>
      </c>
      <c r="J873" s="466">
        <v>180000</v>
      </c>
      <c r="K873" s="465" t="s">
        <v>537</v>
      </c>
      <c r="L873" s="465" t="s">
        <v>537</v>
      </c>
      <c r="M873" s="466">
        <v>163880</v>
      </c>
      <c r="N873" s="465" t="s">
        <v>537</v>
      </c>
      <c r="O873" s="463" t="s">
        <v>537</v>
      </c>
      <c r="P873" s="463" t="s">
        <v>537</v>
      </c>
      <c r="Q873" s="468">
        <v>16120</v>
      </c>
      <c r="R873" s="470">
        <v>241640</v>
      </c>
      <c r="S873" s="463" t="s">
        <v>2339</v>
      </c>
      <c r="T873" s="463">
        <v>15</v>
      </c>
      <c r="U873" s="463">
        <v>332</v>
      </c>
      <c r="V873" s="463">
        <v>21</v>
      </c>
      <c r="W873" s="463">
        <v>15</v>
      </c>
      <c r="X873" s="463">
        <v>156</v>
      </c>
      <c r="Y873" s="463">
        <v>9</v>
      </c>
      <c r="Z873" s="463">
        <v>84</v>
      </c>
      <c r="AA873" s="472" t="s">
        <v>547</v>
      </c>
      <c r="AB873" s="463" t="s">
        <v>539</v>
      </c>
      <c r="AC873" s="463" t="s">
        <v>539</v>
      </c>
      <c r="AD873" s="472" t="s">
        <v>548</v>
      </c>
      <c r="AE873" s="463">
        <v>80</v>
      </c>
      <c r="AF873" s="463">
        <v>100</v>
      </c>
      <c r="AG873" s="463" t="s">
        <v>375</v>
      </c>
      <c r="AH873" s="476"/>
      <c r="AI873" s="472">
        <v>74317142</v>
      </c>
      <c r="AJ873" s="464"/>
    </row>
    <row r="874" spans="1:36" ht="24" hidden="1" customHeight="1">
      <c r="B874" s="463">
        <v>702</v>
      </c>
      <c r="C874" s="464" t="s">
        <v>534</v>
      </c>
      <c r="D874" s="464"/>
      <c r="E874" s="464" t="s">
        <v>535</v>
      </c>
      <c r="F874" s="464"/>
      <c r="G874" s="464" t="s">
        <v>192</v>
      </c>
      <c r="H874" s="464" t="s">
        <v>892</v>
      </c>
      <c r="I874" s="465" t="s">
        <v>537</v>
      </c>
      <c r="J874" s="466">
        <v>62000</v>
      </c>
      <c r="K874" s="465" t="s">
        <v>537</v>
      </c>
      <c r="L874" s="465" t="s">
        <v>537</v>
      </c>
      <c r="M874" s="465">
        <v>0</v>
      </c>
      <c r="N874" s="465" t="s">
        <v>537</v>
      </c>
      <c r="O874" s="467">
        <v>57330</v>
      </c>
      <c r="P874" s="463" t="s">
        <v>537</v>
      </c>
      <c r="Q874" s="468">
        <v>4670</v>
      </c>
      <c r="R874" s="470">
        <v>241609</v>
      </c>
      <c r="S874" s="463" t="s">
        <v>2339</v>
      </c>
      <c r="T874" s="463">
        <v>10</v>
      </c>
      <c r="U874" s="463">
        <v>38</v>
      </c>
      <c r="V874" s="463">
        <v>17</v>
      </c>
      <c r="W874" s="464"/>
      <c r="X874" s="464"/>
      <c r="Y874" s="464"/>
      <c r="Z874" s="464"/>
      <c r="AA874" s="472" t="s">
        <v>547</v>
      </c>
      <c r="AB874" s="463" t="s">
        <v>539</v>
      </c>
      <c r="AC874" s="463" t="s">
        <v>539</v>
      </c>
      <c r="AD874" s="472" t="s">
        <v>548</v>
      </c>
      <c r="AE874" s="463">
        <v>80</v>
      </c>
      <c r="AF874" s="463">
        <v>100</v>
      </c>
      <c r="AG874" s="463" t="s">
        <v>375</v>
      </c>
      <c r="AH874" s="476"/>
      <c r="AI874" s="464"/>
      <c r="AJ874" s="464"/>
    </row>
    <row r="875" spans="1:36" ht="24" hidden="1" customHeight="1">
      <c r="B875" s="463">
        <v>703</v>
      </c>
      <c r="C875" s="464" t="s">
        <v>534</v>
      </c>
      <c r="D875" s="464"/>
      <c r="E875" s="464" t="s">
        <v>535</v>
      </c>
      <c r="F875" s="464"/>
      <c r="G875" s="464" t="s">
        <v>192</v>
      </c>
      <c r="H875" s="464" t="s">
        <v>2340</v>
      </c>
      <c r="I875" s="465" t="s">
        <v>537</v>
      </c>
      <c r="J875" s="466">
        <v>180000</v>
      </c>
      <c r="K875" s="465" t="s">
        <v>537</v>
      </c>
      <c r="L875" s="465" t="s">
        <v>537</v>
      </c>
      <c r="M875" s="466">
        <v>149760</v>
      </c>
      <c r="N875" s="465" t="s">
        <v>537</v>
      </c>
      <c r="O875" s="463" t="s">
        <v>537</v>
      </c>
      <c r="P875" s="463" t="s">
        <v>537</v>
      </c>
      <c r="Q875" s="468">
        <v>30240</v>
      </c>
      <c r="R875" s="463" t="s">
        <v>1443</v>
      </c>
      <c r="S875" s="463" t="s">
        <v>2341</v>
      </c>
      <c r="T875" s="463">
        <v>25</v>
      </c>
      <c r="U875" s="463">
        <v>14</v>
      </c>
      <c r="V875" s="463">
        <v>31</v>
      </c>
      <c r="W875" s="463">
        <v>25</v>
      </c>
      <c r="X875" s="463">
        <v>14</v>
      </c>
      <c r="Y875" s="463">
        <v>31</v>
      </c>
      <c r="Z875" s="463">
        <v>94</v>
      </c>
      <c r="AA875" s="472" t="s">
        <v>547</v>
      </c>
      <c r="AB875" s="463" t="s">
        <v>539</v>
      </c>
      <c r="AC875" s="463" t="s">
        <v>539</v>
      </c>
      <c r="AD875" s="472" t="s">
        <v>699</v>
      </c>
      <c r="AE875" s="463">
        <v>1</v>
      </c>
      <c r="AF875" s="463">
        <v>1</v>
      </c>
      <c r="AG875" s="463" t="s">
        <v>375</v>
      </c>
      <c r="AH875" s="476"/>
      <c r="AI875" s="472">
        <v>973618558</v>
      </c>
      <c r="AJ875" s="464"/>
    </row>
    <row r="876" spans="1:36" ht="24" customHeight="1">
      <c r="A876" s="452">
        <v>87</v>
      </c>
      <c r="B876" s="463">
        <v>704</v>
      </c>
      <c r="C876" s="464" t="s">
        <v>377</v>
      </c>
      <c r="D876" s="464"/>
      <c r="E876" s="464" t="s">
        <v>602</v>
      </c>
      <c r="F876" s="464"/>
      <c r="G876" s="464" t="s">
        <v>57</v>
      </c>
      <c r="H876" s="464" t="s">
        <v>2342</v>
      </c>
      <c r="I876" s="466">
        <v>50000</v>
      </c>
      <c r="J876" s="465" t="s">
        <v>537</v>
      </c>
      <c r="K876" s="465" t="s">
        <v>537</v>
      </c>
      <c r="L876" s="466">
        <v>50000</v>
      </c>
      <c r="M876" s="465" t="s">
        <v>537</v>
      </c>
      <c r="N876" s="465" t="s">
        <v>537</v>
      </c>
      <c r="O876" s="463" t="s">
        <v>537</v>
      </c>
      <c r="P876" s="463" t="s">
        <v>537</v>
      </c>
      <c r="Q876" s="465">
        <v>0</v>
      </c>
      <c r="R876" s="470">
        <v>241579</v>
      </c>
      <c r="S876" s="471">
        <v>22462</v>
      </c>
      <c r="T876" s="463">
        <v>300</v>
      </c>
      <c r="U876" s="463">
        <v>0</v>
      </c>
      <c r="V876" s="463">
        <v>0</v>
      </c>
      <c r="W876" s="463">
        <v>300</v>
      </c>
      <c r="X876" s="463">
        <v>10</v>
      </c>
      <c r="Y876" s="464"/>
      <c r="Z876" s="463">
        <v>82</v>
      </c>
      <c r="AA876" s="472" t="s">
        <v>619</v>
      </c>
      <c r="AB876" s="463" t="s">
        <v>539</v>
      </c>
      <c r="AC876" s="463" t="s">
        <v>539</v>
      </c>
      <c r="AD876" s="472" t="s">
        <v>565</v>
      </c>
      <c r="AE876" s="463">
        <v>80</v>
      </c>
      <c r="AF876" s="463">
        <v>82</v>
      </c>
      <c r="AG876" s="463" t="s">
        <v>375</v>
      </c>
      <c r="AH876" s="476"/>
      <c r="AI876" s="472" t="s">
        <v>2343</v>
      </c>
      <c r="AJ876" s="464"/>
    </row>
    <row r="877" spans="1:36" ht="24" customHeight="1">
      <c r="A877" s="452">
        <v>88</v>
      </c>
      <c r="B877" s="463">
        <v>705</v>
      </c>
      <c r="C877" s="464" t="s">
        <v>377</v>
      </c>
      <c r="D877" s="464"/>
      <c r="E877" s="464" t="s">
        <v>602</v>
      </c>
      <c r="F877" s="464"/>
      <c r="G877" s="464" t="s">
        <v>57</v>
      </c>
      <c r="H877" s="464" t="s">
        <v>2344</v>
      </c>
      <c r="I877" s="466">
        <v>80000</v>
      </c>
      <c r="J877" s="465" t="s">
        <v>537</v>
      </c>
      <c r="K877" s="465" t="s">
        <v>537</v>
      </c>
      <c r="L877" s="466">
        <v>23778</v>
      </c>
      <c r="M877" s="465" t="s">
        <v>537</v>
      </c>
      <c r="N877" s="465" t="s">
        <v>537</v>
      </c>
      <c r="O877" s="463" t="s">
        <v>537</v>
      </c>
      <c r="P877" s="463" t="s">
        <v>537</v>
      </c>
      <c r="Q877" s="468">
        <v>56222</v>
      </c>
      <c r="R877" s="470">
        <v>241609</v>
      </c>
      <c r="S877" s="471">
        <v>22485</v>
      </c>
      <c r="T877" s="463">
        <v>30</v>
      </c>
      <c r="U877" s="463">
        <v>20</v>
      </c>
      <c r="V877" s="463">
        <v>0</v>
      </c>
      <c r="W877" s="463">
        <v>116</v>
      </c>
      <c r="X877" s="463">
        <v>9</v>
      </c>
      <c r="Y877" s="464"/>
      <c r="Z877" s="463">
        <v>82</v>
      </c>
      <c r="AA877" s="472" t="s">
        <v>619</v>
      </c>
      <c r="AB877" s="463" t="s">
        <v>539</v>
      </c>
      <c r="AC877" s="463" t="s">
        <v>539</v>
      </c>
      <c r="AD877" s="472" t="s">
        <v>2345</v>
      </c>
      <c r="AE877" s="463">
        <v>81</v>
      </c>
      <c r="AF877" s="463">
        <v>83</v>
      </c>
      <c r="AG877" s="463" t="s">
        <v>375</v>
      </c>
      <c r="AH877" s="476"/>
      <c r="AI877" s="472" t="s">
        <v>2346</v>
      </c>
      <c r="AJ877" s="464"/>
    </row>
    <row r="878" spans="1:36" ht="24" customHeight="1">
      <c r="A878" s="452">
        <v>89</v>
      </c>
      <c r="B878" s="463">
        <v>706</v>
      </c>
      <c r="C878" s="464" t="s">
        <v>377</v>
      </c>
      <c r="D878" s="464"/>
      <c r="E878" s="464" t="s">
        <v>602</v>
      </c>
      <c r="F878" s="464"/>
      <c r="G878" s="464" t="s">
        <v>57</v>
      </c>
      <c r="H878" s="464" t="s">
        <v>1229</v>
      </c>
      <c r="I878" s="465" t="s">
        <v>537</v>
      </c>
      <c r="J878" s="466">
        <v>67800</v>
      </c>
      <c r="K878" s="465" t="s">
        <v>537</v>
      </c>
      <c r="L878" s="465" t="s">
        <v>537</v>
      </c>
      <c r="M878" s="466">
        <v>67800</v>
      </c>
      <c r="N878" s="465" t="s">
        <v>537</v>
      </c>
      <c r="O878" s="463" t="s">
        <v>537</v>
      </c>
      <c r="P878" s="463" t="s">
        <v>537</v>
      </c>
      <c r="Q878" s="465">
        <v>0</v>
      </c>
      <c r="R878" s="470">
        <v>241579</v>
      </c>
      <c r="S878" s="463" t="s">
        <v>2347</v>
      </c>
      <c r="T878" s="463">
        <v>520</v>
      </c>
      <c r="U878" s="463">
        <v>0</v>
      </c>
      <c r="V878" s="463">
        <v>0</v>
      </c>
      <c r="W878" s="463">
        <v>682</v>
      </c>
      <c r="X878" s="463">
        <v>65</v>
      </c>
      <c r="Y878" s="463" t="s">
        <v>537</v>
      </c>
      <c r="Z878" s="463">
        <v>90</v>
      </c>
      <c r="AA878" s="472" t="s">
        <v>619</v>
      </c>
      <c r="AB878" s="463" t="s">
        <v>539</v>
      </c>
      <c r="AC878" s="463" t="s">
        <v>539</v>
      </c>
      <c r="AD878" s="472" t="s">
        <v>565</v>
      </c>
      <c r="AE878" s="463">
        <v>80</v>
      </c>
      <c r="AF878" s="463">
        <v>90</v>
      </c>
      <c r="AG878" s="463" t="s">
        <v>375</v>
      </c>
      <c r="AH878" s="476"/>
      <c r="AI878" s="472" t="s">
        <v>2343</v>
      </c>
      <c r="AJ878" s="464"/>
    </row>
    <row r="879" spans="1:36" ht="24" customHeight="1">
      <c r="A879" s="452">
        <v>90</v>
      </c>
      <c r="B879" s="463">
        <v>707</v>
      </c>
      <c r="C879" s="464" t="s">
        <v>377</v>
      </c>
      <c r="D879" s="464"/>
      <c r="E879" s="464" t="s">
        <v>602</v>
      </c>
      <c r="F879" s="464"/>
      <c r="G879" s="464" t="s">
        <v>57</v>
      </c>
      <c r="H879" s="464" t="s">
        <v>2348</v>
      </c>
      <c r="I879" s="465" t="s">
        <v>537</v>
      </c>
      <c r="J879" s="466">
        <v>12000</v>
      </c>
      <c r="K879" s="465" t="s">
        <v>537</v>
      </c>
      <c r="L879" s="465" t="s">
        <v>537</v>
      </c>
      <c r="M879" s="466">
        <v>12000</v>
      </c>
      <c r="N879" s="465" t="s">
        <v>537</v>
      </c>
      <c r="O879" s="463" t="s">
        <v>537</v>
      </c>
      <c r="P879" s="463" t="s">
        <v>537</v>
      </c>
      <c r="Q879" s="465">
        <v>0</v>
      </c>
      <c r="R879" s="470">
        <v>241579</v>
      </c>
      <c r="S879" s="471">
        <v>22462</v>
      </c>
      <c r="T879" s="463">
        <v>40</v>
      </c>
      <c r="U879" s="463">
        <v>10</v>
      </c>
      <c r="V879" s="463">
        <v>0</v>
      </c>
      <c r="W879" s="463">
        <v>143</v>
      </c>
      <c r="X879" s="463">
        <v>9</v>
      </c>
      <c r="Y879" s="463" t="s">
        <v>537</v>
      </c>
      <c r="Z879" s="463">
        <v>88</v>
      </c>
      <c r="AA879" s="472" t="s">
        <v>619</v>
      </c>
      <c r="AB879" s="463" t="s">
        <v>539</v>
      </c>
      <c r="AC879" s="463" t="s">
        <v>539</v>
      </c>
      <c r="AD879" s="472" t="s">
        <v>565</v>
      </c>
      <c r="AE879" s="463">
        <v>80</v>
      </c>
      <c r="AF879" s="463">
        <v>88</v>
      </c>
      <c r="AG879" s="463" t="s">
        <v>375</v>
      </c>
      <c r="AH879" s="476"/>
      <c r="AI879" s="472" t="s">
        <v>2349</v>
      </c>
      <c r="AJ879" s="464"/>
    </row>
    <row r="880" spans="1:36" ht="24" hidden="1" customHeight="1">
      <c r="B880" s="463">
        <v>708</v>
      </c>
      <c r="C880" s="464" t="s">
        <v>534</v>
      </c>
      <c r="D880" s="464"/>
      <c r="E880" s="464" t="s">
        <v>535</v>
      </c>
      <c r="F880" s="464"/>
      <c r="G880" s="464" t="s">
        <v>57</v>
      </c>
      <c r="H880" s="464" t="s">
        <v>2350</v>
      </c>
      <c r="I880" s="465" t="s">
        <v>537</v>
      </c>
      <c r="J880" s="466">
        <v>4600</v>
      </c>
      <c r="K880" s="465" t="s">
        <v>537</v>
      </c>
      <c r="L880" s="465" t="s">
        <v>537</v>
      </c>
      <c r="M880" s="466">
        <v>4520</v>
      </c>
      <c r="N880" s="465" t="s">
        <v>537</v>
      </c>
      <c r="O880" s="463" t="s">
        <v>537</v>
      </c>
      <c r="P880" s="463" t="s">
        <v>537</v>
      </c>
      <c r="Q880" s="465">
        <v>80</v>
      </c>
      <c r="R880" s="463" t="s">
        <v>643</v>
      </c>
      <c r="S880" s="471">
        <v>22448</v>
      </c>
      <c r="T880" s="463">
        <v>20</v>
      </c>
      <c r="U880" s="463">
        <v>5</v>
      </c>
      <c r="V880" s="463">
        <v>0</v>
      </c>
      <c r="W880" s="463">
        <v>7</v>
      </c>
      <c r="X880" s="463">
        <v>6</v>
      </c>
      <c r="Y880" s="464"/>
      <c r="Z880" s="463">
        <v>98.4</v>
      </c>
      <c r="AA880" s="472" t="s">
        <v>547</v>
      </c>
      <c r="AB880" s="463" t="s">
        <v>539</v>
      </c>
      <c r="AC880" s="463" t="s">
        <v>539</v>
      </c>
      <c r="AD880" s="472" t="s">
        <v>548</v>
      </c>
      <c r="AE880" s="463">
        <v>80</v>
      </c>
      <c r="AF880" s="463">
        <v>100</v>
      </c>
      <c r="AG880" s="463" t="s">
        <v>375</v>
      </c>
      <c r="AH880" s="476"/>
      <c r="AI880" s="472" t="s">
        <v>2351</v>
      </c>
      <c r="AJ880" s="464"/>
    </row>
    <row r="881" spans="2:36" ht="24" hidden="1" customHeight="1">
      <c r="B881" s="463">
        <v>709</v>
      </c>
      <c r="C881" s="464" t="s">
        <v>534</v>
      </c>
      <c r="D881" s="464"/>
      <c r="E881" s="464" t="s">
        <v>535</v>
      </c>
      <c r="F881" s="464"/>
      <c r="G881" s="464" t="s">
        <v>57</v>
      </c>
      <c r="H881" s="464" t="s">
        <v>2352</v>
      </c>
      <c r="I881" s="465" t="s">
        <v>537</v>
      </c>
      <c r="J881" s="465" t="s">
        <v>537</v>
      </c>
      <c r="K881" s="466">
        <v>8580</v>
      </c>
      <c r="L881" s="465" t="s">
        <v>537</v>
      </c>
      <c r="M881" s="465" t="s">
        <v>537</v>
      </c>
      <c r="N881" s="466">
        <v>4620</v>
      </c>
      <c r="O881" s="463" t="s">
        <v>537</v>
      </c>
      <c r="P881" s="463" t="s">
        <v>537</v>
      </c>
      <c r="Q881" s="468">
        <v>3960</v>
      </c>
      <c r="R881" s="470">
        <v>241487</v>
      </c>
      <c r="S881" s="471">
        <v>22343</v>
      </c>
      <c r="T881" s="463">
        <v>96</v>
      </c>
      <c r="U881" s="463">
        <v>0</v>
      </c>
      <c r="V881" s="463">
        <v>0</v>
      </c>
      <c r="W881" s="463">
        <v>70</v>
      </c>
      <c r="X881" s="464"/>
      <c r="Y881" s="464"/>
      <c r="Z881" s="463">
        <v>90.6</v>
      </c>
      <c r="AA881" s="472" t="s">
        <v>547</v>
      </c>
      <c r="AB881" s="463" t="s">
        <v>539</v>
      </c>
      <c r="AC881" s="463" t="s">
        <v>539</v>
      </c>
      <c r="AD881" s="472" t="s">
        <v>548</v>
      </c>
      <c r="AE881" s="463">
        <v>80</v>
      </c>
      <c r="AF881" s="463">
        <v>81.349999999999994</v>
      </c>
      <c r="AG881" s="463" t="s">
        <v>375</v>
      </c>
      <c r="AH881" s="476"/>
      <c r="AI881" s="472" t="s">
        <v>2353</v>
      </c>
      <c r="AJ881" s="472" t="s">
        <v>792</v>
      </c>
    </row>
    <row r="882" spans="2:36" ht="24" hidden="1" customHeight="1">
      <c r="B882" s="463">
        <v>710</v>
      </c>
      <c r="C882" s="464" t="s">
        <v>534</v>
      </c>
      <c r="D882" s="464"/>
      <c r="E882" s="464" t="s">
        <v>535</v>
      </c>
      <c r="F882" s="464"/>
      <c r="G882" s="464" t="s">
        <v>57</v>
      </c>
      <c r="H882" s="464" t="s">
        <v>2354</v>
      </c>
      <c r="I882" s="465" t="s">
        <v>537</v>
      </c>
      <c r="J882" s="465" t="s">
        <v>537</v>
      </c>
      <c r="K882" s="466">
        <v>2880</v>
      </c>
      <c r="L882" s="465" t="s">
        <v>537</v>
      </c>
      <c r="M882" s="465" t="s">
        <v>537</v>
      </c>
      <c r="N882" s="466">
        <v>2100</v>
      </c>
      <c r="O882" s="463" t="s">
        <v>537</v>
      </c>
      <c r="P882" s="463" t="s">
        <v>537</v>
      </c>
      <c r="Q882" s="465">
        <v>780</v>
      </c>
      <c r="R882" s="463" t="s">
        <v>643</v>
      </c>
      <c r="S882" s="463" t="s">
        <v>1152</v>
      </c>
      <c r="T882" s="463">
        <v>96</v>
      </c>
      <c r="U882" s="463">
        <v>0</v>
      </c>
      <c r="V882" s="463">
        <v>0</v>
      </c>
      <c r="W882" s="463">
        <v>312</v>
      </c>
      <c r="X882" s="463">
        <v>31</v>
      </c>
      <c r="Y882" s="464"/>
      <c r="Z882" s="463">
        <v>81.8</v>
      </c>
      <c r="AA882" s="472" t="s">
        <v>547</v>
      </c>
      <c r="AB882" s="463" t="s">
        <v>539</v>
      </c>
      <c r="AC882" s="463" t="s">
        <v>539</v>
      </c>
      <c r="AD882" s="472" t="s">
        <v>548</v>
      </c>
      <c r="AE882" s="463">
        <v>80</v>
      </c>
      <c r="AF882" s="463">
        <v>89.71</v>
      </c>
      <c r="AG882" s="463" t="s">
        <v>375</v>
      </c>
      <c r="AH882" s="476"/>
      <c r="AI882" s="472" t="s">
        <v>2353</v>
      </c>
      <c r="AJ882" s="472" t="s">
        <v>792</v>
      </c>
    </row>
    <row r="883" spans="2:36" ht="24" hidden="1" customHeight="1">
      <c r="B883" s="463">
        <v>711</v>
      </c>
      <c r="C883" s="464" t="s">
        <v>534</v>
      </c>
      <c r="D883" s="464"/>
      <c r="E883" s="464" t="s">
        <v>535</v>
      </c>
      <c r="F883" s="464"/>
      <c r="G883" s="464" t="s">
        <v>57</v>
      </c>
      <c r="H883" s="464" t="s">
        <v>2355</v>
      </c>
      <c r="I883" s="466">
        <v>55000</v>
      </c>
      <c r="J883" s="465" t="s">
        <v>537</v>
      </c>
      <c r="K883" s="465" t="s">
        <v>537</v>
      </c>
      <c r="L883" s="466">
        <v>38000</v>
      </c>
      <c r="M883" s="465" t="s">
        <v>537</v>
      </c>
      <c r="N883" s="465" t="s">
        <v>537</v>
      </c>
      <c r="O883" s="463" t="s">
        <v>537</v>
      </c>
      <c r="P883" s="463" t="s">
        <v>537</v>
      </c>
      <c r="Q883" s="468">
        <v>17000</v>
      </c>
      <c r="R883" s="470">
        <v>241487</v>
      </c>
      <c r="S883" s="463" t="s">
        <v>732</v>
      </c>
      <c r="T883" s="463">
        <v>100</v>
      </c>
      <c r="U883" s="463">
        <v>0</v>
      </c>
      <c r="V883" s="463">
        <v>0</v>
      </c>
      <c r="W883" s="463">
        <v>98</v>
      </c>
      <c r="X883" s="464"/>
      <c r="Y883" s="464"/>
      <c r="Z883" s="463">
        <v>90.6</v>
      </c>
      <c r="AA883" s="472" t="s">
        <v>547</v>
      </c>
      <c r="AB883" s="463" t="s">
        <v>539</v>
      </c>
      <c r="AC883" s="463" t="s">
        <v>539</v>
      </c>
      <c r="AD883" s="472" t="s">
        <v>548</v>
      </c>
      <c r="AE883" s="463">
        <v>80</v>
      </c>
      <c r="AF883" s="463">
        <v>85.71</v>
      </c>
      <c r="AG883" s="463" t="s">
        <v>375</v>
      </c>
      <c r="AH883" s="476"/>
      <c r="AI883" s="472" t="s">
        <v>2356</v>
      </c>
      <c r="AJ883" s="464"/>
    </row>
    <row r="884" spans="2:36" ht="24" hidden="1" customHeight="1">
      <c r="B884" s="463">
        <v>712</v>
      </c>
      <c r="C884" s="464" t="s">
        <v>534</v>
      </c>
      <c r="D884" s="464"/>
      <c r="E884" s="464" t="s">
        <v>535</v>
      </c>
      <c r="F884" s="464"/>
      <c r="G884" s="464" t="s">
        <v>57</v>
      </c>
      <c r="H884" s="464" t="s">
        <v>2357</v>
      </c>
      <c r="I884" s="466">
        <v>90000</v>
      </c>
      <c r="J884" s="465" t="s">
        <v>537</v>
      </c>
      <c r="K884" s="465" t="s">
        <v>537</v>
      </c>
      <c r="L884" s="466">
        <v>90000</v>
      </c>
      <c r="M884" s="465" t="s">
        <v>537</v>
      </c>
      <c r="N884" s="465" t="s">
        <v>537</v>
      </c>
      <c r="O884" s="463" t="s">
        <v>537</v>
      </c>
      <c r="P884" s="463" t="s">
        <v>537</v>
      </c>
      <c r="Q884" s="465">
        <v>0</v>
      </c>
      <c r="R884" s="470">
        <v>241487</v>
      </c>
      <c r="S884" s="463" t="s">
        <v>2358</v>
      </c>
      <c r="T884" s="463">
        <v>56</v>
      </c>
      <c r="U884" s="463">
        <v>10</v>
      </c>
      <c r="V884" s="463">
        <v>0</v>
      </c>
      <c r="W884" s="463">
        <v>56</v>
      </c>
      <c r="X884" s="463">
        <v>17</v>
      </c>
      <c r="Y884" s="464"/>
      <c r="Z884" s="463">
        <v>89.4</v>
      </c>
      <c r="AA884" s="472" t="s">
        <v>547</v>
      </c>
      <c r="AB884" s="463" t="s">
        <v>539</v>
      </c>
      <c r="AC884" s="463" t="s">
        <v>539</v>
      </c>
      <c r="AD884" s="472" t="s">
        <v>548</v>
      </c>
      <c r="AE884" s="463">
        <v>80</v>
      </c>
      <c r="AF884" s="463">
        <v>83.93</v>
      </c>
      <c r="AG884" s="463" t="s">
        <v>375</v>
      </c>
      <c r="AH884" s="476"/>
      <c r="AI884" s="472" t="s">
        <v>2359</v>
      </c>
      <c r="AJ884" s="464"/>
    </row>
    <row r="885" spans="2:36" ht="24" hidden="1" customHeight="1">
      <c r="B885" s="463">
        <v>713</v>
      </c>
      <c r="C885" s="464" t="s">
        <v>534</v>
      </c>
      <c r="D885" s="464"/>
      <c r="E885" s="464" t="s">
        <v>535</v>
      </c>
      <c r="F885" s="464"/>
      <c r="G885" s="464" t="s">
        <v>57</v>
      </c>
      <c r="H885" s="464" t="s">
        <v>2360</v>
      </c>
      <c r="I885" s="466">
        <v>90000</v>
      </c>
      <c r="J885" s="465" t="s">
        <v>537</v>
      </c>
      <c r="K885" s="465" t="s">
        <v>537</v>
      </c>
      <c r="L885" s="466">
        <v>90000</v>
      </c>
      <c r="M885" s="465" t="s">
        <v>537</v>
      </c>
      <c r="N885" s="465" t="s">
        <v>537</v>
      </c>
      <c r="O885" s="463" t="s">
        <v>537</v>
      </c>
      <c r="P885" s="463" t="s">
        <v>537</v>
      </c>
      <c r="Q885" s="465">
        <v>0</v>
      </c>
      <c r="R885" s="470">
        <v>241487</v>
      </c>
      <c r="S885" s="463" t="s">
        <v>2361</v>
      </c>
      <c r="T885" s="463">
        <v>25</v>
      </c>
      <c r="U885" s="463">
        <v>5</v>
      </c>
      <c r="V885" s="463">
        <v>0</v>
      </c>
      <c r="W885" s="463">
        <v>28</v>
      </c>
      <c r="X885" s="463">
        <v>7</v>
      </c>
      <c r="Y885" s="463" t="s">
        <v>537</v>
      </c>
      <c r="Z885" s="463">
        <v>88.2</v>
      </c>
      <c r="AA885" s="472" t="s">
        <v>2362</v>
      </c>
      <c r="AB885" s="463" t="s">
        <v>539</v>
      </c>
      <c r="AC885" s="463" t="s">
        <v>539</v>
      </c>
      <c r="AD885" s="472" t="s">
        <v>635</v>
      </c>
      <c r="AE885" s="463" t="s">
        <v>539</v>
      </c>
      <c r="AF885" s="463" t="s">
        <v>539</v>
      </c>
      <c r="AG885" s="463" t="s">
        <v>375</v>
      </c>
      <c r="AH885" s="476"/>
      <c r="AI885" s="472" t="s">
        <v>2363</v>
      </c>
      <c r="AJ885" s="464"/>
    </row>
    <row r="886" spans="2:36" ht="24" hidden="1" customHeight="1">
      <c r="B886" s="463">
        <v>714</v>
      </c>
      <c r="C886" s="464" t="s">
        <v>534</v>
      </c>
      <c r="D886" s="464"/>
      <c r="E886" s="464" t="s">
        <v>535</v>
      </c>
      <c r="F886" s="464"/>
      <c r="G886" s="464" t="s">
        <v>57</v>
      </c>
      <c r="H886" s="464" t="s">
        <v>2364</v>
      </c>
      <c r="I886" s="465" t="s">
        <v>537</v>
      </c>
      <c r="J886" s="465" t="s">
        <v>537</v>
      </c>
      <c r="K886" s="466">
        <v>25700</v>
      </c>
      <c r="L886" s="465" t="s">
        <v>537</v>
      </c>
      <c r="M886" s="465" t="s">
        <v>537</v>
      </c>
      <c r="N886" s="466">
        <v>22492</v>
      </c>
      <c r="O886" s="463" t="s">
        <v>537</v>
      </c>
      <c r="P886" s="463" t="s">
        <v>537</v>
      </c>
      <c r="Q886" s="468">
        <v>3208</v>
      </c>
      <c r="R886" s="470">
        <v>241459</v>
      </c>
      <c r="S886" s="463" t="s">
        <v>2365</v>
      </c>
      <c r="T886" s="463">
        <v>0</v>
      </c>
      <c r="U886" s="463">
        <v>6</v>
      </c>
      <c r="V886" s="463">
        <v>0</v>
      </c>
      <c r="W886" s="464"/>
      <c r="X886" s="463">
        <v>6</v>
      </c>
      <c r="Y886" s="464"/>
      <c r="Z886" s="463">
        <v>80</v>
      </c>
      <c r="AA886" s="472" t="s">
        <v>2366</v>
      </c>
      <c r="AB886" s="463" t="s">
        <v>539</v>
      </c>
      <c r="AC886" s="463" t="s">
        <v>539</v>
      </c>
      <c r="AD886" s="472" t="s">
        <v>548</v>
      </c>
      <c r="AE886" s="463">
        <v>80</v>
      </c>
      <c r="AF886" s="463">
        <v>85</v>
      </c>
      <c r="AG886" s="463" t="s">
        <v>375</v>
      </c>
      <c r="AH886" s="476"/>
      <c r="AI886" s="472" t="s">
        <v>2367</v>
      </c>
      <c r="AJ886" s="472" t="s">
        <v>543</v>
      </c>
    </row>
    <row r="887" spans="2:36" ht="24" hidden="1" customHeight="1">
      <c r="B887" s="463">
        <v>715</v>
      </c>
      <c r="C887" s="464" t="s">
        <v>534</v>
      </c>
      <c r="D887" s="464"/>
      <c r="E887" s="464" t="s">
        <v>535</v>
      </c>
      <c r="F887" s="464"/>
      <c r="G887" s="464" t="s">
        <v>57</v>
      </c>
      <c r="H887" s="464" t="s">
        <v>2368</v>
      </c>
      <c r="I887" s="466">
        <v>30000</v>
      </c>
      <c r="J887" s="465" t="s">
        <v>537</v>
      </c>
      <c r="K887" s="465" t="s">
        <v>537</v>
      </c>
      <c r="L887" s="466">
        <v>30000</v>
      </c>
      <c r="M887" s="465" t="s">
        <v>537</v>
      </c>
      <c r="N887" s="465" t="s">
        <v>537</v>
      </c>
      <c r="O887" s="463" t="s">
        <v>537</v>
      </c>
      <c r="P887" s="463" t="s">
        <v>537</v>
      </c>
      <c r="Q887" s="465">
        <v>0</v>
      </c>
      <c r="R887" s="463" t="s">
        <v>2369</v>
      </c>
      <c r="S887" s="463" t="s">
        <v>2370</v>
      </c>
      <c r="T887" s="463">
        <v>0</v>
      </c>
      <c r="U887" s="463">
        <v>0</v>
      </c>
      <c r="V887" s="463">
        <v>0</v>
      </c>
      <c r="W887" s="463" t="s">
        <v>537</v>
      </c>
      <c r="X887" s="463" t="s">
        <v>537</v>
      </c>
      <c r="Y887" s="463" t="s">
        <v>537</v>
      </c>
      <c r="Z887" s="463" t="s">
        <v>537</v>
      </c>
      <c r="AA887" s="472" t="s">
        <v>2371</v>
      </c>
      <c r="AB887" s="463" t="s">
        <v>539</v>
      </c>
      <c r="AC887" s="463" t="s">
        <v>539</v>
      </c>
      <c r="AD887" s="472" t="s">
        <v>2372</v>
      </c>
      <c r="AE887" s="463" t="s">
        <v>539</v>
      </c>
      <c r="AF887" s="463" t="s">
        <v>539</v>
      </c>
      <c r="AG887" s="463" t="s">
        <v>375</v>
      </c>
      <c r="AH887" s="476"/>
      <c r="AI887" s="472" t="s">
        <v>2373</v>
      </c>
      <c r="AJ887" s="464"/>
    </row>
    <row r="888" spans="2:36" ht="24" hidden="1" customHeight="1">
      <c r="B888" s="463">
        <v>716</v>
      </c>
      <c r="C888" s="464" t="s">
        <v>534</v>
      </c>
      <c r="D888" s="464"/>
      <c r="E888" s="464" t="s">
        <v>535</v>
      </c>
      <c r="F888" s="464"/>
      <c r="G888" s="464" t="s">
        <v>57</v>
      </c>
      <c r="H888" s="464" t="s">
        <v>2374</v>
      </c>
      <c r="I888" s="466">
        <v>25400</v>
      </c>
      <c r="J888" s="465" t="s">
        <v>537</v>
      </c>
      <c r="K888" s="465" t="s">
        <v>537</v>
      </c>
      <c r="L888" s="466">
        <v>25150</v>
      </c>
      <c r="M888" s="465" t="s">
        <v>537</v>
      </c>
      <c r="N888" s="465" t="s">
        <v>537</v>
      </c>
      <c r="O888" s="463" t="s">
        <v>537</v>
      </c>
      <c r="P888" s="463" t="s">
        <v>537</v>
      </c>
      <c r="Q888" s="465">
        <v>250</v>
      </c>
      <c r="R888" s="463" t="s">
        <v>2369</v>
      </c>
      <c r="S888" s="463" t="s">
        <v>2375</v>
      </c>
      <c r="T888" s="463">
        <v>0</v>
      </c>
      <c r="U888" s="463">
        <v>0</v>
      </c>
      <c r="V888" s="463">
        <v>0</v>
      </c>
      <c r="W888" s="463" t="s">
        <v>537</v>
      </c>
      <c r="X888" s="463" t="s">
        <v>537</v>
      </c>
      <c r="Y888" s="463" t="s">
        <v>537</v>
      </c>
      <c r="Z888" s="463" t="s">
        <v>537</v>
      </c>
      <c r="AA888" s="472" t="s">
        <v>2376</v>
      </c>
      <c r="AB888" s="463" t="s">
        <v>539</v>
      </c>
      <c r="AC888" s="463" t="s">
        <v>539</v>
      </c>
      <c r="AD888" s="472" t="s">
        <v>2377</v>
      </c>
      <c r="AE888" s="463" t="s">
        <v>539</v>
      </c>
      <c r="AF888" s="463" t="s">
        <v>539</v>
      </c>
      <c r="AG888" s="463" t="s">
        <v>375</v>
      </c>
      <c r="AH888" s="476"/>
      <c r="AI888" s="472" t="s">
        <v>2378</v>
      </c>
      <c r="AJ888" s="464"/>
    </row>
    <row r="889" spans="2:36" ht="24" hidden="1" customHeight="1">
      <c r="B889" s="463">
        <v>717</v>
      </c>
      <c r="C889" s="464" t="s">
        <v>534</v>
      </c>
      <c r="D889" s="464"/>
      <c r="E889" s="464" t="s">
        <v>535</v>
      </c>
      <c r="F889" s="464"/>
      <c r="G889" s="464" t="s">
        <v>57</v>
      </c>
      <c r="H889" s="464" t="s">
        <v>2379</v>
      </c>
      <c r="I889" s="466">
        <v>30000</v>
      </c>
      <c r="J889" s="465" t="s">
        <v>537</v>
      </c>
      <c r="K889" s="465" t="s">
        <v>537</v>
      </c>
      <c r="L889" s="466">
        <v>30000</v>
      </c>
      <c r="M889" s="465" t="s">
        <v>537</v>
      </c>
      <c r="N889" s="465" t="s">
        <v>537</v>
      </c>
      <c r="O889" s="463" t="s">
        <v>537</v>
      </c>
      <c r="P889" s="463" t="s">
        <v>537</v>
      </c>
      <c r="Q889" s="465">
        <v>0</v>
      </c>
      <c r="R889" s="470">
        <v>241518</v>
      </c>
      <c r="S889" s="463" t="s">
        <v>2380</v>
      </c>
      <c r="T889" s="463">
        <v>0</v>
      </c>
      <c r="U889" s="463">
        <v>0</v>
      </c>
      <c r="V889" s="463">
        <v>0</v>
      </c>
      <c r="W889" s="463" t="s">
        <v>537</v>
      </c>
      <c r="X889" s="463" t="s">
        <v>537</v>
      </c>
      <c r="Y889" s="463" t="s">
        <v>537</v>
      </c>
      <c r="Z889" s="463" t="s">
        <v>537</v>
      </c>
      <c r="AA889" s="472" t="s">
        <v>2381</v>
      </c>
      <c r="AB889" s="463" t="s">
        <v>539</v>
      </c>
      <c r="AC889" s="463" t="s">
        <v>539</v>
      </c>
      <c r="AD889" s="472" t="s">
        <v>2382</v>
      </c>
      <c r="AE889" s="463" t="s">
        <v>539</v>
      </c>
      <c r="AF889" s="463" t="s">
        <v>539</v>
      </c>
      <c r="AG889" s="463" t="s">
        <v>375</v>
      </c>
      <c r="AH889" s="476"/>
      <c r="AI889" s="472" t="s">
        <v>2383</v>
      </c>
      <c r="AJ889" s="464"/>
    </row>
    <row r="890" spans="2:36" ht="24" hidden="1" customHeight="1">
      <c r="B890" s="463">
        <v>718</v>
      </c>
      <c r="C890" s="464" t="s">
        <v>534</v>
      </c>
      <c r="D890" s="464"/>
      <c r="E890" s="464" t="s">
        <v>535</v>
      </c>
      <c r="F890" s="464"/>
      <c r="G890" s="464" t="s">
        <v>57</v>
      </c>
      <c r="H890" s="464" t="s">
        <v>2384</v>
      </c>
      <c r="I890" s="466">
        <v>30000</v>
      </c>
      <c r="J890" s="465" t="s">
        <v>537</v>
      </c>
      <c r="K890" s="465" t="s">
        <v>537</v>
      </c>
      <c r="L890" s="466">
        <v>28567.84</v>
      </c>
      <c r="M890" s="465" t="s">
        <v>537</v>
      </c>
      <c r="N890" s="465" t="s">
        <v>537</v>
      </c>
      <c r="O890" s="463" t="s">
        <v>537</v>
      </c>
      <c r="P890" s="463" t="s">
        <v>537</v>
      </c>
      <c r="Q890" s="468">
        <v>1432</v>
      </c>
      <c r="R890" s="463" t="s">
        <v>2369</v>
      </c>
      <c r="S890" s="463" t="s">
        <v>2370</v>
      </c>
      <c r="T890" s="463">
        <v>0</v>
      </c>
      <c r="U890" s="463">
        <v>0</v>
      </c>
      <c r="V890" s="463">
        <v>0</v>
      </c>
      <c r="W890" s="463" t="s">
        <v>537</v>
      </c>
      <c r="X890" s="463" t="s">
        <v>537</v>
      </c>
      <c r="Y890" s="463" t="s">
        <v>537</v>
      </c>
      <c r="Z890" s="463" t="s">
        <v>537</v>
      </c>
      <c r="AA890" s="472" t="s">
        <v>2385</v>
      </c>
      <c r="AB890" s="463" t="s">
        <v>539</v>
      </c>
      <c r="AC890" s="463" t="s">
        <v>539</v>
      </c>
      <c r="AD890" s="472" t="s">
        <v>2386</v>
      </c>
      <c r="AE890" s="463" t="s">
        <v>539</v>
      </c>
      <c r="AF890" s="463" t="s">
        <v>539</v>
      </c>
      <c r="AG890" s="463" t="s">
        <v>375</v>
      </c>
      <c r="AH890" s="476"/>
      <c r="AI890" s="472" t="s">
        <v>2387</v>
      </c>
      <c r="AJ890" s="464"/>
    </row>
    <row r="891" spans="2:36" ht="24" hidden="1" customHeight="1">
      <c r="B891" s="463">
        <v>719</v>
      </c>
      <c r="C891" s="464" t="s">
        <v>534</v>
      </c>
      <c r="D891" s="464"/>
      <c r="E891" s="464" t="s">
        <v>535</v>
      </c>
      <c r="F891" s="464"/>
      <c r="G891" s="464" t="s">
        <v>57</v>
      </c>
      <c r="H891" s="464" t="s">
        <v>2388</v>
      </c>
      <c r="I891" s="466">
        <v>28800</v>
      </c>
      <c r="J891" s="465" t="s">
        <v>537</v>
      </c>
      <c r="K891" s="465" t="s">
        <v>537</v>
      </c>
      <c r="L891" s="466">
        <v>28300</v>
      </c>
      <c r="M891" s="465" t="s">
        <v>537</v>
      </c>
      <c r="N891" s="465" t="s">
        <v>537</v>
      </c>
      <c r="O891" s="463" t="s">
        <v>537</v>
      </c>
      <c r="P891" s="463" t="s">
        <v>537</v>
      </c>
      <c r="Q891" s="465">
        <v>500</v>
      </c>
      <c r="R891" s="463" t="s">
        <v>2369</v>
      </c>
      <c r="S891" s="463" t="s">
        <v>2375</v>
      </c>
      <c r="T891" s="463">
        <v>0</v>
      </c>
      <c r="U891" s="463">
        <v>0</v>
      </c>
      <c r="V891" s="463">
        <v>0</v>
      </c>
      <c r="W891" s="463" t="s">
        <v>537</v>
      </c>
      <c r="X891" s="463" t="s">
        <v>537</v>
      </c>
      <c r="Y891" s="463" t="s">
        <v>537</v>
      </c>
      <c r="Z891" s="463" t="s">
        <v>537</v>
      </c>
      <c r="AA891" s="472" t="s">
        <v>2389</v>
      </c>
      <c r="AB891" s="463" t="s">
        <v>539</v>
      </c>
      <c r="AC891" s="463" t="s">
        <v>539</v>
      </c>
      <c r="AD891" s="472" t="s">
        <v>2390</v>
      </c>
      <c r="AE891" s="463" t="s">
        <v>539</v>
      </c>
      <c r="AF891" s="463" t="s">
        <v>539</v>
      </c>
      <c r="AG891" s="463" t="s">
        <v>375</v>
      </c>
      <c r="AH891" s="476"/>
      <c r="AI891" s="472" t="s">
        <v>2391</v>
      </c>
      <c r="AJ891" s="464"/>
    </row>
    <row r="892" spans="2:36" ht="24" hidden="1" customHeight="1">
      <c r="B892" s="463">
        <v>720</v>
      </c>
      <c r="C892" s="464" t="s">
        <v>534</v>
      </c>
      <c r="D892" s="464"/>
      <c r="E892" s="464" t="s">
        <v>535</v>
      </c>
      <c r="F892" s="464"/>
      <c r="G892" s="464" t="s">
        <v>57</v>
      </c>
      <c r="H892" s="464" t="s">
        <v>2392</v>
      </c>
      <c r="I892" s="466">
        <v>30000</v>
      </c>
      <c r="J892" s="465" t="s">
        <v>537</v>
      </c>
      <c r="K892" s="465" t="s">
        <v>537</v>
      </c>
      <c r="L892" s="466">
        <v>30000</v>
      </c>
      <c r="M892" s="465" t="s">
        <v>537</v>
      </c>
      <c r="N892" s="465" t="s">
        <v>537</v>
      </c>
      <c r="O892" s="463" t="s">
        <v>537</v>
      </c>
      <c r="P892" s="463" t="s">
        <v>537</v>
      </c>
      <c r="Q892" s="465">
        <v>0</v>
      </c>
      <c r="R892" s="463" t="s">
        <v>2369</v>
      </c>
      <c r="S892" s="463" t="s">
        <v>2370</v>
      </c>
      <c r="T892" s="463">
        <v>0</v>
      </c>
      <c r="U892" s="463">
        <v>0</v>
      </c>
      <c r="V892" s="463">
        <v>0</v>
      </c>
      <c r="W892" s="463" t="s">
        <v>537</v>
      </c>
      <c r="X892" s="463" t="s">
        <v>537</v>
      </c>
      <c r="Y892" s="463" t="s">
        <v>537</v>
      </c>
      <c r="Z892" s="463" t="s">
        <v>537</v>
      </c>
      <c r="AA892" s="472" t="s">
        <v>2393</v>
      </c>
      <c r="AB892" s="463" t="s">
        <v>539</v>
      </c>
      <c r="AC892" s="463" t="s">
        <v>539</v>
      </c>
      <c r="AD892" s="472" t="s">
        <v>2394</v>
      </c>
      <c r="AE892" s="463" t="s">
        <v>539</v>
      </c>
      <c r="AF892" s="463" t="s">
        <v>539</v>
      </c>
      <c r="AG892" s="463" t="s">
        <v>375</v>
      </c>
      <c r="AH892" s="476"/>
      <c r="AI892" s="472" t="s">
        <v>2395</v>
      </c>
      <c r="AJ892" s="464"/>
    </row>
    <row r="893" spans="2:36" ht="24" hidden="1" customHeight="1">
      <c r="B893" s="463">
        <v>721</v>
      </c>
      <c r="C893" s="464" t="s">
        <v>534</v>
      </c>
      <c r="D893" s="464"/>
      <c r="E893" s="464" t="s">
        <v>535</v>
      </c>
      <c r="F893" s="464"/>
      <c r="G893" s="464" t="s">
        <v>57</v>
      </c>
      <c r="H893" s="464" t="s">
        <v>2396</v>
      </c>
      <c r="I893" s="466">
        <v>30000</v>
      </c>
      <c r="J893" s="465" t="s">
        <v>537</v>
      </c>
      <c r="K893" s="465" t="s">
        <v>537</v>
      </c>
      <c r="L893" s="466">
        <v>29271</v>
      </c>
      <c r="M893" s="465" t="s">
        <v>537</v>
      </c>
      <c r="N893" s="465" t="s">
        <v>537</v>
      </c>
      <c r="O893" s="463" t="s">
        <v>537</v>
      </c>
      <c r="P893" s="463" t="s">
        <v>537</v>
      </c>
      <c r="Q893" s="465">
        <v>729</v>
      </c>
      <c r="R893" s="463" t="s">
        <v>2369</v>
      </c>
      <c r="S893" s="463" t="s">
        <v>2380</v>
      </c>
      <c r="T893" s="463">
        <v>0</v>
      </c>
      <c r="U893" s="463">
        <v>0</v>
      </c>
      <c r="V893" s="463">
        <v>0</v>
      </c>
      <c r="W893" s="463" t="s">
        <v>537</v>
      </c>
      <c r="X893" s="463" t="s">
        <v>537</v>
      </c>
      <c r="Y893" s="463" t="s">
        <v>537</v>
      </c>
      <c r="Z893" s="463" t="s">
        <v>537</v>
      </c>
      <c r="AA893" s="472" t="s">
        <v>2397</v>
      </c>
      <c r="AB893" s="463" t="s">
        <v>539</v>
      </c>
      <c r="AC893" s="463" t="s">
        <v>539</v>
      </c>
      <c r="AD893" s="472" t="s">
        <v>2398</v>
      </c>
      <c r="AE893" s="463" t="s">
        <v>539</v>
      </c>
      <c r="AF893" s="463" t="s">
        <v>539</v>
      </c>
      <c r="AG893" s="463" t="s">
        <v>375</v>
      </c>
      <c r="AH893" s="476"/>
      <c r="AI893" s="472" t="s">
        <v>2399</v>
      </c>
      <c r="AJ893" s="464"/>
    </row>
    <row r="894" spans="2:36" ht="24" hidden="1" customHeight="1">
      <c r="B894" s="463">
        <v>722</v>
      </c>
      <c r="C894" s="464" t="s">
        <v>534</v>
      </c>
      <c r="D894" s="464"/>
      <c r="E894" s="464" t="s">
        <v>535</v>
      </c>
      <c r="F894" s="464"/>
      <c r="G894" s="464" t="s">
        <v>57</v>
      </c>
      <c r="H894" s="464" t="s">
        <v>2400</v>
      </c>
      <c r="I894" s="466">
        <v>30000</v>
      </c>
      <c r="J894" s="465" t="s">
        <v>537</v>
      </c>
      <c r="K894" s="465" t="s">
        <v>537</v>
      </c>
      <c r="L894" s="466">
        <v>30000</v>
      </c>
      <c r="M894" s="465" t="s">
        <v>537</v>
      </c>
      <c r="N894" s="465" t="s">
        <v>537</v>
      </c>
      <c r="O894" s="463" t="s">
        <v>537</v>
      </c>
      <c r="P894" s="463" t="s">
        <v>537</v>
      </c>
      <c r="Q894" s="465">
        <v>0</v>
      </c>
      <c r="R894" s="463" t="s">
        <v>2369</v>
      </c>
      <c r="S894" s="463" t="s">
        <v>2380</v>
      </c>
      <c r="T894" s="463">
        <v>0</v>
      </c>
      <c r="U894" s="463">
        <v>0</v>
      </c>
      <c r="V894" s="463">
        <v>0</v>
      </c>
      <c r="W894" s="463" t="s">
        <v>537</v>
      </c>
      <c r="X894" s="463" t="s">
        <v>537</v>
      </c>
      <c r="Y894" s="463" t="s">
        <v>537</v>
      </c>
      <c r="Z894" s="463" t="s">
        <v>537</v>
      </c>
      <c r="AA894" s="472" t="s">
        <v>2401</v>
      </c>
      <c r="AB894" s="463" t="s">
        <v>539</v>
      </c>
      <c r="AC894" s="463" t="s">
        <v>539</v>
      </c>
      <c r="AD894" s="472" t="s">
        <v>2402</v>
      </c>
      <c r="AE894" s="463" t="s">
        <v>539</v>
      </c>
      <c r="AF894" s="463" t="s">
        <v>539</v>
      </c>
      <c r="AG894" s="463" t="s">
        <v>375</v>
      </c>
      <c r="AH894" s="476"/>
      <c r="AI894" s="472" t="s">
        <v>2399</v>
      </c>
      <c r="AJ894" s="464"/>
    </row>
    <row r="895" spans="2:36" ht="24" hidden="1" customHeight="1">
      <c r="B895" s="463">
        <v>723</v>
      </c>
      <c r="C895" s="464" t="s">
        <v>534</v>
      </c>
      <c r="D895" s="464"/>
      <c r="E895" s="464" t="s">
        <v>535</v>
      </c>
      <c r="F895" s="464"/>
      <c r="G895" s="464" t="s">
        <v>57</v>
      </c>
      <c r="H895" s="464" t="s">
        <v>2403</v>
      </c>
      <c r="I895" s="466">
        <v>30000</v>
      </c>
      <c r="J895" s="465" t="s">
        <v>537</v>
      </c>
      <c r="K895" s="465" t="s">
        <v>537</v>
      </c>
      <c r="L895" s="466">
        <v>30000</v>
      </c>
      <c r="M895" s="465" t="s">
        <v>537</v>
      </c>
      <c r="N895" s="465" t="s">
        <v>537</v>
      </c>
      <c r="O895" s="463" t="s">
        <v>537</v>
      </c>
      <c r="P895" s="463" t="s">
        <v>537</v>
      </c>
      <c r="Q895" s="465">
        <v>0</v>
      </c>
      <c r="R895" s="463" t="s">
        <v>2369</v>
      </c>
      <c r="S895" s="463" t="s">
        <v>2380</v>
      </c>
      <c r="T895" s="463">
        <v>0</v>
      </c>
      <c r="U895" s="463">
        <v>0</v>
      </c>
      <c r="V895" s="463">
        <v>0</v>
      </c>
      <c r="W895" s="463" t="s">
        <v>537</v>
      </c>
      <c r="X895" s="463" t="s">
        <v>537</v>
      </c>
      <c r="Y895" s="463" t="s">
        <v>537</v>
      </c>
      <c r="Z895" s="463" t="s">
        <v>537</v>
      </c>
      <c r="AA895" s="472" t="s">
        <v>2404</v>
      </c>
      <c r="AB895" s="463" t="s">
        <v>539</v>
      </c>
      <c r="AC895" s="463" t="s">
        <v>539</v>
      </c>
      <c r="AD895" s="472" t="s">
        <v>2405</v>
      </c>
      <c r="AE895" s="463" t="s">
        <v>539</v>
      </c>
      <c r="AF895" s="463" t="s">
        <v>539</v>
      </c>
      <c r="AG895" s="463" t="s">
        <v>375</v>
      </c>
      <c r="AH895" s="476"/>
      <c r="AI895" s="472" t="s">
        <v>2399</v>
      </c>
      <c r="AJ895" s="464"/>
    </row>
    <row r="896" spans="2:36" ht="24" hidden="1" customHeight="1">
      <c r="B896" s="463">
        <v>724</v>
      </c>
      <c r="C896" s="464" t="s">
        <v>534</v>
      </c>
      <c r="D896" s="464"/>
      <c r="E896" s="464" t="s">
        <v>535</v>
      </c>
      <c r="F896" s="464"/>
      <c r="G896" s="464" t="s">
        <v>57</v>
      </c>
      <c r="H896" s="464" t="s">
        <v>2406</v>
      </c>
      <c r="I896" s="466">
        <v>22500</v>
      </c>
      <c r="J896" s="465" t="s">
        <v>537</v>
      </c>
      <c r="K896" s="465" t="s">
        <v>537</v>
      </c>
      <c r="L896" s="466">
        <v>21645.55</v>
      </c>
      <c r="M896" s="465" t="s">
        <v>537</v>
      </c>
      <c r="N896" s="465" t="s">
        <v>537</v>
      </c>
      <c r="O896" s="463" t="s">
        <v>537</v>
      </c>
      <c r="P896" s="463" t="s">
        <v>537</v>
      </c>
      <c r="Q896" s="465">
        <v>854</v>
      </c>
      <c r="R896" s="463" t="s">
        <v>2369</v>
      </c>
      <c r="S896" s="463" t="s">
        <v>2380</v>
      </c>
      <c r="T896" s="463">
        <v>0</v>
      </c>
      <c r="U896" s="463">
        <v>0</v>
      </c>
      <c r="V896" s="463">
        <v>0</v>
      </c>
      <c r="W896" s="463" t="s">
        <v>537</v>
      </c>
      <c r="X896" s="463" t="s">
        <v>537</v>
      </c>
      <c r="Y896" s="463" t="s">
        <v>537</v>
      </c>
      <c r="Z896" s="463" t="s">
        <v>537</v>
      </c>
      <c r="AA896" s="472" t="s">
        <v>2407</v>
      </c>
      <c r="AB896" s="463" t="s">
        <v>539</v>
      </c>
      <c r="AC896" s="463" t="s">
        <v>539</v>
      </c>
      <c r="AD896" s="472" t="s">
        <v>2408</v>
      </c>
      <c r="AE896" s="463" t="s">
        <v>539</v>
      </c>
      <c r="AF896" s="463" t="s">
        <v>539</v>
      </c>
      <c r="AG896" s="463" t="s">
        <v>375</v>
      </c>
      <c r="AH896" s="476"/>
      <c r="AI896" s="472" t="s">
        <v>2409</v>
      </c>
      <c r="AJ896" s="464"/>
    </row>
    <row r="897" spans="2:36" ht="24" hidden="1" customHeight="1">
      <c r="B897" s="463">
        <v>725</v>
      </c>
      <c r="C897" s="464" t="s">
        <v>534</v>
      </c>
      <c r="D897" s="464"/>
      <c r="E897" s="464" t="s">
        <v>535</v>
      </c>
      <c r="F897" s="464"/>
      <c r="G897" s="464" t="s">
        <v>57</v>
      </c>
      <c r="H897" s="464" t="s">
        <v>2410</v>
      </c>
      <c r="I897" s="466">
        <v>30000</v>
      </c>
      <c r="J897" s="465" t="s">
        <v>537</v>
      </c>
      <c r="K897" s="465" t="s">
        <v>537</v>
      </c>
      <c r="L897" s="466">
        <v>30000</v>
      </c>
      <c r="M897" s="465" t="s">
        <v>537</v>
      </c>
      <c r="N897" s="465" t="s">
        <v>537</v>
      </c>
      <c r="O897" s="463" t="s">
        <v>537</v>
      </c>
      <c r="P897" s="463" t="s">
        <v>537</v>
      </c>
      <c r="Q897" s="465">
        <v>0</v>
      </c>
      <c r="R897" s="463" t="s">
        <v>2369</v>
      </c>
      <c r="S897" s="463" t="s">
        <v>2411</v>
      </c>
      <c r="T897" s="463">
        <v>0</v>
      </c>
      <c r="U897" s="463">
        <v>0</v>
      </c>
      <c r="V897" s="463">
        <v>0</v>
      </c>
      <c r="W897" s="463" t="s">
        <v>537</v>
      </c>
      <c r="X897" s="463" t="s">
        <v>537</v>
      </c>
      <c r="Y897" s="463" t="s">
        <v>537</v>
      </c>
      <c r="Z897" s="463" t="s">
        <v>537</v>
      </c>
      <c r="AA897" s="472" t="s">
        <v>2412</v>
      </c>
      <c r="AB897" s="463" t="s">
        <v>539</v>
      </c>
      <c r="AC897" s="463" t="s">
        <v>539</v>
      </c>
      <c r="AD897" s="472" t="s">
        <v>2413</v>
      </c>
      <c r="AE897" s="463" t="s">
        <v>539</v>
      </c>
      <c r="AF897" s="463" t="s">
        <v>539</v>
      </c>
      <c r="AG897" s="463" t="s">
        <v>375</v>
      </c>
      <c r="AH897" s="476"/>
      <c r="AI897" s="472" t="s">
        <v>2414</v>
      </c>
      <c r="AJ897" s="464"/>
    </row>
    <row r="898" spans="2:36" ht="24" hidden="1" customHeight="1">
      <c r="B898" s="463">
        <v>726</v>
      </c>
      <c r="C898" s="464" t="s">
        <v>534</v>
      </c>
      <c r="D898" s="464"/>
      <c r="E898" s="464" t="s">
        <v>535</v>
      </c>
      <c r="F898" s="464"/>
      <c r="G898" s="464" t="s">
        <v>57</v>
      </c>
      <c r="H898" s="464" t="s">
        <v>2415</v>
      </c>
      <c r="I898" s="466">
        <v>21800</v>
      </c>
      <c r="J898" s="465" t="s">
        <v>537</v>
      </c>
      <c r="K898" s="465" t="s">
        <v>537</v>
      </c>
      <c r="L898" s="466">
        <v>21596</v>
      </c>
      <c r="M898" s="465" t="s">
        <v>537</v>
      </c>
      <c r="N898" s="465" t="s">
        <v>537</v>
      </c>
      <c r="O898" s="463" t="s">
        <v>537</v>
      </c>
      <c r="P898" s="463" t="s">
        <v>537</v>
      </c>
      <c r="Q898" s="465">
        <v>204</v>
      </c>
      <c r="R898" s="463" t="s">
        <v>2369</v>
      </c>
      <c r="S898" s="463" t="s">
        <v>2416</v>
      </c>
      <c r="T898" s="463">
        <v>0</v>
      </c>
      <c r="U898" s="463">
        <v>0</v>
      </c>
      <c r="V898" s="463">
        <v>0</v>
      </c>
      <c r="W898" s="463" t="s">
        <v>537</v>
      </c>
      <c r="X898" s="463" t="s">
        <v>537</v>
      </c>
      <c r="Y898" s="463" t="s">
        <v>537</v>
      </c>
      <c r="Z898" s="463" t="s">
        <v>537</v>
      </c>
      <c r="AA898" s="472" t="s">
        <v>2417</v>
      </c>
      <c r="AB898" s="463" t="s">
        <v>539</v>
      </c>
      <c r="AC898" s="463" t="s">
        <v>539</v>
      </c>
      <c r="AD898" s="472" t="s">
        <v>2418</v>
      </c>
      <c r="AE898" s="463" t="s">
        <v>539</v>
      </c>
      <c r="AF898" s="463" t="s">
        <v>539</v>
      </c>
      <c r="AG898" s="463" t="s">
        <v>375</v>
      </c>
      <c r="AH898" s="476"/>
      <c r="AI898" s="472" t="s">
        <v>2409</v>
      </c>
      <c r="AJ898" s="464"/>
    </row>
    <row r="899" spans="2:36" ht="24" hidden="1" customHeight="1">
      <c r="B899" s="463">
        <v>727</v>
      </c>
      <c r="C899" s="464" t="s">
        <v>534</v>
      </c>
      <c r="D899" s="464"/>
      <c r="E899" s="464" t="s">
        <v>535</v>
      </c>
      <c r="F899" s="464"/>
      <c r="G899" s="464" t="s">
        <v>57</v>
      </c>
      <c r="H899" s="464" t="s">
        <v>2419</v>
      </c>
      <c r="I899" s="466">
        <v>30000</v>
      </c>
      <c r="J899" s="465" t="s">
        <v>537</v>
      </c>
      <c r="K899" s="465" t="s">
        <v>537</v>
      </c>
      <c r="L899" s="466">
        <v>30000</v>
      </c>
      <c r="M899" s="465" t="s">
        <v>537</v>
      </c>
      <c r="N899" s="465" t="s">
        <v>537</v>
      </c>
      <c r="O899" s="463" t="s">
        <v>537</v>
      </c>
      <c r="P899" s="463" t="s">
        <v>537</v>
      </c>
      <c r="Q899" s="465">
        <v>0</v>
      </c>
      <c r="R899" s="463" t="s">
        <v>2369</v>
      </c>
      <c r="S899" s="463" t="s">
        <v>2370</v>
      </c>
      <c r="T899" s="463">
        <v>0</v>
      </c>
      <c r="U899" s="463">
        <v>0</v>
      </c>
      <c r="V899" s="463">
        <v>0</v>
      </c>
      <c r="W899" s="463" t="s">
        <v>537</v>
      </c>
      <c r="X899" s="463" t="s">
        <v>537</v>
      </c>
      <c r="Y899" s="463" t="s">
        <v>537</v>
      </c>
      <c r="Z899" s="463" t="s">
        <v>537</v>
      </c>
      <c r="AA899" s="472" t="s">
        <v>2420</v>
      </c>
      <c r="AB899" s="463" t="s">
        <v>539</v>
      </c>
      <c r="AC899" s="463" t="s">
        <v>539</v>
      </c>
      <c r="AD899" s="472" t="s">
        <v>2421</v>
      </c>
      <c r="AE899" s="463" t="s">
        <v>539</v>
      </c>
      <c r="AF899" s="463" t="s">
        <v>539</v>
      </c>
      <c r="AG899" s="463" t="s">
        <v>375</v>
      </c>
      <c r="AH899" s="476"/>
      <c r="AI899" s="472" t="s">
        <v>2422</v>
      </c>
      <c r="AJ899" s="464"/>
    </row>
    <row r="900" spans="2:36" ht="24" hidden="1" customHeight="1">
      <c r="B900" s="463">
        <v>728</v>
      </c>
      <c r="C900" s="464" t="s">
        <v>534</v>
      </c>
      <c r="D900" s="464"/>
      <c r="E900" s="464" t="s">
        <v>535</v>
      </c>
      <c r="F900" s="464"/>
      <c r="G900" s="464" t="s">
        <v>57</v>
      </c>
      <c r="H900" s="464" t="s">
        <v>2423</v>
      </c>
      <c r="I900" s="466">
        <v>30000</v>
      </c>
      <c r="J900" s="465" t="s">
        <v>537</v>
      </c>
      <c r="K900" s="465" t="s">
        <v>537</v>
      </c>
      <c r="L900" s="466">
        <v>30000</v>
      </c>
      <c r="M900" s="465" t="s">
        <v>537</v>
      </c>
      <c r="N900" s="465" t="s">
        <v>537</v>
      </c>
      <c r="O900" s="463" t="s">
        <v>537</v>
      </c>
      <c r="P900" s="463" t="s">
        <v>537</v>
      </c>
      <c r="Q900" s="465">
        <v>0</v>
      </c>
      <c r="R900" s="463" t="s">
        <v>2369</v>
      </c>
      <c r="S900" s="463" t="s">
        <v>2370</v>
      </c>
      <c r="T900" s="463">
        <v>0</v>
      </c>
      <c r="U900" s="463">
        <v>0</v>
      </c>
      <c r="V900" s="463">
        <v>0</v>
      </c>
      <c r="W900" s="463" t="s">
        <v>537</v>
      </c>
      <c r="X900" s="463" t="s">
        <v>537</v>
      </c>
      <c r="Y900" s="463" t="s">
        <v>537</v>
      </c>
      <c r="Z900" s="463" t="s">
        <v>537</v>
      </c>
      <c r="AA900" s="472" t="s">
        <v>2424</v>
      </c>
      <c r="AB900" s="463" t="s">
        <v>539</v>
      </c>
      <c r="AC900" s="463" t="s">
        <v>539</v>
      </c>
      <c r="AD900" s="472" t="s">
        <v>2425</v>
      </c>
      <c r="AE900" s="463" t="s">
        <v>539</v>
      </c>
      <c r="AF900" s="463" t="s">
        <v>539</v>
      </c>
      <c r="AG900" s="463" t="s">
        <v>375</v>
      </c>
      <c r="AH900" s="476"/>
      <c r="AI900" s="472" t="s">
        <v>2422</v>
      </c>
      <c r="AJ900" s="464"/>
    </row>
    <row r="901" spans="2:36" ht="24" hidden="1" customHeight="1">
      <c r="B901" s="463">
        <v>729</v>
      </c>
      <c r="C901" s="464" t="s">
        <v>534</v>
      </c>
      <c r="D901" s="464"/>
      <c r="E901" s="464" t="s">
        <v>535</v>
      </c>
      <c r="F901" s="464"/>
      <c r="G901" s="464" t="s">
        <v>57</v>
      </c>
      <c r="H901" s="464" t="s">
        <v>2426</v>
      </c>
      <c r="I901" s="466">
        <v>30000</v>
      </c>
      <c r="J901" s="465" t="s">
        <v>537</v>
      </c>
      <c r="K901" s="465" t="s">
        <v>537</v>
      </c>
      <c r="L901" s="466">
        <v>30000</v>
      </c>
      <c r="M901" s="465" t="s">
        <v>537</v>
      </c>
      <c r="N901" s="465" t="s">
        <v>537</v>
      </c>
      <c r="O901" s="463" t="s">
        <v>537</v>
      </c>
      <c r="P901" s="463" t="s">
        <v>537</v>
      </c>
      <c r="Q901" s="465">
        <v>0</v>
      </c>
      <c r="R901" s="463" t="s">
        <v>2369</v>
      </c>
      <c r="S901" s="463" t="s">
        <v>2375</v>
      </c>
      <c r="T901" s="463">
        <v>0</v>
      </c>
      <c r="U901" s="463">
        <v>0</v>
      </c>
      <c r="V901" s="463">
        <v>0</v>
      </c>
      <c r="W901" s="463" t="s">
        <v>537</v>
      </c>
      <c r="X901" s="463" t="s">
        <v>537</v>
      </c>
      <c r="Y901" s="463" t="s">
        <v>537</v>
      </c>
      <c r="Z901" s="463" t="s">
        <v>537</v>
      </c>
      <c r="AA901" s="472" t="s">
        <v>2424</v>
      </c>
      <c r="AB901" s="463" t="s">
        <v>539</v>
      </c>
      <c r="AC901" s="463" t="s">
        <v>539</v>
      </c>
      <c r="AD901" s="472" t="s">
        <v>2425</v>
      </c>
      <c r="AE901" s="463" t="s">
        <v>539</v>
      </c>
      <c r="AF901" s="463" t="s">
        <v>539</v>
      </c>
      <c r="AG901" s="463" t="s">
        <v>375</v>
      </c>
      <c r="AH901" s="476"/>
      <c r="AI901" s="472" t="s">
        <v>2427</v>
      </c>
      <c r="AJ901" s="464"/>
    </row>
    <row r="902" spans="2:36" ht="24" hidden="1" customHeight="1">
      <c r="B902" s="463">
        <v>730</v>
      </c>
      <c r="C902" s="464" t="s">
        <v>534</v>
      </c>
      <c r="D902" s="464"/>
      <c r="E902" s="464" t="s">
        <v>535</v>
      </c>
      <c r="F902" s="464"/>
      <c r="G902" s="464" t="s">
        <v>57</v>
      </c>
      <c r="H902" s="464" t="s">
        <v>2428</v>
      </c>
      <c r="I902" s="466">
        <v>29000</v>
      </c>
      <c r="J902" s="465" t="s">
        <v>537</v>
      </c>
      <c r="K902" s="465" t="s">
        <v>537</v>
      </c>
      <c r="L902" s="466">
        <v>28935</v>
      </c>
      <c r="M902" s="465" t="s">
        <v>537</v>
      </c>
      <c r="N902" s="465" t="s">
        <v>537</v>
      </c>
      <c r="O902" s="463" t="s">
        <v>537</v>
      </c>
      <c r="P902" s="463" t="s">
        <v>537</v>
      </c>
      <c r="Q902" s="465">
        <v>65</v>
      </c>
      <c r="R902" s="463" t="s">
        <v>2369</v>
      </c>
      <c r="S902" s="463" t="s">
        <v>2375</v>
      </c>
      <c r="T902" s="463">
        <v>0</v>
      </c>
      <c r="U902" s="463">
        <v>0</v>
      </c>
      <c r="V902" s="463">
        <v>0</v>
      </c>
      <c r="W902" s="463" t="s">
        <v>537</v>
      </c>
      <c r="X902" s="463" t="s">
        <v>537</v>
      </c>
      <c r="Y902" s="463" t="s">
        <v>537</v>
      </c>
      <c r="Z902" s="463" t="s">
        <v>537</v>
      </c>
      <c r="AA902" s="472" t="s">
        <v>2429</v>
      </c>
      <c r="AB902" s="463" t="s">
        <v>539</v>
      </c>
      <c r="AC902" s="463" t="s">
        <v>539</v>
      </c>
      <c r="AD902" s="472" t="s">
        <v>2430</v>
      </c>
      <c r="AE902" s="463" t="s">
        <v>539</v>
      </c>
      <c r="AF902" s="463" t="s">
        <v>539</v>
      </c>
      <c r="AG902" s="463" t="s">
        <v>375</v>
      </c>
      <c r="AH902" s="476"/>
      <c r="AI902" s="472" t="s">
        <v>2431</v>
      </c>
      <c r="AJ902" s="464"/>
    </row>
    <row r="903" spans="2:36" ht="24" hidden="1" customHeight="1">
      <c r="B903" s="463">
        <v>731</v>
      </c>
      <c r="C903" s="464" t="s">
        <v>534</v>
      </c>
      <c r="D903" s="464"/>
      <c r="E903" s="464" t="s">
        <v>535</v>
      </c>
      <c r="F903" s="464"/>
      <c r="G903" s="464" t="s">
        <v>57</v>
      </c>
      <c r="H903" s="464" t="s">
        <v>2432</v>
      </c>
      <c r="I903" s="466">
        <v>12500</v>
      </c>
      <c r="J903" s="465" t="s">
        <v>537</v>
      </c>
      <c r="K903" s="465" t="s">
        <v>537</v>
      </c>
      <c r="L903" s="466">
        <v>12500</v>
      </c>
      <c r="M903" s="465" t="s">
        <v>537</v>
      </c>
      <c r="N903" s="465" t="s">
        <v>537</v>
      </c>
      <c r="O903" s="463" t="s">
        <v>537</v>
      </c>
      <c r="P903" s="463" t="s">
        <v>537</v>
      </c>
      <c r="Q903" s="465">
        <v>0</v>
      </c>
      <c r="R903" s="463" t="s">
        <v>2369</v>
      </c>
      <c r="S903" s="463" t="s">
        <v>2375</v>
      </c>
      <c r="T903" s="463">
        <v>0</v>
      </c>
      <c r="U903" s="463">
        <v>0</v>
      </c>
      <c r="V903" s="463">
        <v>0</v>
      </c>
      <c r="W903" s="463" t="s">
        <v>537</v>
      </c>
      <c r="X903" s="463" t="s">
        <v>537</v>
      </c>
      <c r="Y903" s="463" t="s">
        <v>537</v>
      </c>
      <c r="Z903" s="463" t="s">
        <v>537</v>
      </c>
      <c r="AA903" s="472" t="s">
        <v>2433</v>
      </c>
      <c r="AB903" s="463" t="s">
        <v>539</v>
      </c>
      <c r="AC903" s="463" t="s">
        <v>539</v>
      </c>
      <c r="AD903" s="472" t="s">
        <v>2434</v>
      </c>
      <c r="AE903" s="463" t="s">
        <v>539</v>
      </c>
      <c r="AF903" s="463" t="s">
        <v>539</v>
      </c>
      <c r="AG903" s="463" t="s">
        <v>375</v>
      </c>
      <c r="AH903" s="476"/>
      <c r="AI903" s="472" t="s">
        <v>2435</v>
      </c>
      <c r="AJ903" s="464"/>
    </row>
    <row r="904" spans="2:36" ht="24" hidden="1" customHeight="1">
      <c r="B904" s="463">
        <v>732</v>
      </c>
      <c r="C904" s="464" t="s">
        <v>534</v>
      </c>
      <c r="D904" s="464"/>
      <c r="E904" s="464" t="s">
        <v>535</v>
      </c>
      <c r="F904" s="464"/>
      <c r="G904" s="464" t="s">
        <v>57</v>
      </c>
      <c r="H904" s="464" t="s">
        <v>2436</v>
      </c>
      <c r="I904" s="466">
        <v>30000</v>
      </c>
      <c r="J904" s="465" t="s">
        <v>537</v>
      </c>
      <c r="K904" s="465" t="s">
        <v>537</v>
      </c>
      <c r="L904" s="466">
        <v>29600</v>
      </c>
      <c r="M904" s="465" t="s">
        <v>537</v>
      </c>
      <c r="N904" s="465" t="s">
        <v>537</v>
      </c>
      <c r="O904" s="463" t="s">
        <v>537</v>
      </c>
      <c r="P904" s="463" t="s">
        <v>537</v>
      </c>
      <c r="Q904" s="465">
        <v>400</v>
      </c>
      <c r="R904" s="463" t="s">
        <v>2369</v>
      </c>
      <c r="S904" s="463" t="s">
        <v>2375</v>
      </c>
      <c r="T904" s="463">
        <v>0</v>
      </c>
      <c r="U904" s="463">
        <v>0</v>
      </c>
      <c r="V904" s="463">
        <v>0</v>
      </c>
      <c r="W904" s="463" t="s">
        <v>537</v>
      </c>
      <c r="X904" s="463" t="s">
        <v>537</v>
      </c>
      <c r="Y904" s="463" t="s">
        <v>537</v>
      </c>
      <c r="Z904" s="463" t="s">
        <v>537</v>
      </c>
      <c r="AA904" s="472" t="s">
        <v>2437</v>
      </c>
      <c r="AB904" s="463" t="s">
        <v>539</v>
      </c>
      <c r="AC904" s="463" t="s">
        <v>539</v>
      </c>
      <c r="AD904" s="472" t="s">
        <v>2438</v>
      </c>
      <c r="AE904" s="463" t="s">
        <v>539</v>
      </c>
      <c r="AF904" s="463" t="s">
        <v>539</v>
      </c>
      <c r="AG904" s="463" t="s">
        <v>375</v>
      </c>
      <c r="AH904" s="476"/>
      <c r="AI904" s="472" t="s">
        <v>2439</v>
      </c>
      <c r="AJ904" s="464"/>
    </row>
    <row r="905" spans="2:36" ht="24" hidden="1" customHeight="1">
      <c r="B905" s="463">
        <v>733</v>
      </c>
      <c r="C905" s="464" t="s">
        <v>534</v>
      </c>
      <c r="D905" s="464"/>
      <c r="E905" s="464" t="s">
        <v>535</v>
      </c>
      <c r="F905" s="464"/>
      <c r="G905" s="464" t="s">
        <v>57</v>
      </c>
      <c r="H905" s="464" t="s">
        <v>2440</v>
      </c>
      <c r="I905" s="466">
        <v>60000</v>
      </c>
      <c r="J905" s="465" t="s">
        <v>537</v>
      </c>
      <c r="K905" s="465" t="s">
        <v>537</v>
      </c>
      <c r="L905" s="466">
        <v>60000</v>
      </c>
      <c r="M905" s="465" t="s">
        <v>537</v>
      </c>
      <c r="N905" s="465" t="s">
        <v>537</v>
      </c>
      <c r="O905" s="463" t="s">
        <v>537</v>
      </c>
      <c r="P905" s="463" t="s">
        <v>537</v>
      </c>
      <c r="Q905" s="465">
        <v>0</v>
      </c>
      <c r="R905" s="470">
        <v>241487</v>
      </c>
      <c r="S905" s="463" t="s">
        <v>2358</v>
      </c>
      <c r="T905" s="463">
        <v>38</v>
      </c>
      <c r="U905" s="463">
        <v>6</v>
      </c>
      <c r="V905" s="463">
        <v>0</v>
      </c>
      <c r="W905" s="463">
        <v>34</v>
      </c>
      <c r="X905" s="463">
        <v>12</v>
      </c>
      <c r="Y905" s="464"/>
      <c r="Z905" s="463">
        <v>90</v>
      </c>
      <c r="AA905" s="472" t="s">
        <v>547</v>
      </c>
      <c r="AB905" s="463" t="s">
        <v>539</v>
      </c>
      <c r="AC905" s="463" t="s">
        <v>539</v>
      </c>
      <c r="AD905" s="472" t="s">
        <v>548</v>
      </c>
      <c r="AE905" s="463">
        <v>80</v>
      </c>
      <c r="AF905" s="463">
        <v>97.06</v>
      </c>
      <c r="AG905" s="463" t="s">
        <v>375</v>
      </c>
      <c r="AH905" s="476"/>
      <c r="AI905" s="472" t="s">
        <v>2359</v>
      </c>
      <c r="AJ905" s="464"/>
    </row>
    <row r="906" spans="2:36" ht="24" hidden="1" customHeight="1">
      <c r="B906" s="463">
        <v>734</v>
      </c>
      <c r="C906" s="464" t="s">
        <v>534</v>
      </c>
      <c r="D906" s="464"/>
      <c r="E906" s="464" t="s">
        <v>535</v>
      </c>
      <c r="F906" s="464"/>
      <c r="G906" s="464" t="s">
        <v>57</v>
      </c>
      <c r="H906" s="464" t="s">
        <v>2441</v>
      </c>
      <c r="I906" s="466">
        <v>67640</v>
      </c>
      <c r="J906" s="465" t="s">
        <v>537</v>
      </c>
      <c r="K906" s="465" t="s">
        <v>537</v>
      </c>
      <c r="L906" s="466">
        <v>61040</v>
      </c>
      <c r="M906" s="465" t="s">
        <v>537</v>
      </c>
      <c r="N906" s="465" t="s">
        <v>537</v>
      </c>
      <c r="O906" s="463" t="s">
        <v>537</v>
      </c>
      <c r="P906" s="463" t="s">
        <v>537</v>
      </c>
      <c r="Q906" s="468">
        <v>6600</v>
      </c>
      <c r="R906" s="463" t="s">
        <v>646</v>
      </c>
      <c r="S906" s="463" t="s">
        <v>2442</v>
      </c>
      <c r="T906" s="463">
        <v>10</v>
      </c>
      <c r="U906" s="463">
        <v>2</v>
      </c>
      <c r="V906" s="463">
        <v>0</v>
      </c>
      <c r="W906" s="463">
        <v>10</v>
      </c>
      <c r="X906" s="463">
        <v>2</v>
      </c>
      <c r="Y906" s="463" t="s">
        <v>537</v>
      </c>
      <c r="Z906" s="463">
        <v>90.6</v>
      </c>
      <c r="AA906" s="472" t="s">
        <v>1023</v>
      </c>
      <c r="AB906" s="463">
        <v>1</v>
      </c>
      <c r="AC906" s="463" t="s">
        <v>537</v>
      </c>
      <c r="AD906" s="472" t="s">
        <v>729</v>
      </c>
      <c r="AE906" s="463">
        <v>1</v>
      </c>
      <c r="AF906" s="463">
        <v>1</v>
      </c>
      <c r="AG906" s="463" t="s">
        <v>375</v>
      </c>
      <c r="AH906" s="476"/>
      <c r="AI906" s="472" t="s">
        <v>2356</v>
      </c>
      <c r="AJ906" s="464"/>
    </row>
    <row r="907" spans="2:36" ht="24" hidden="1" customHeight="1">
      <c r="B907" s="463">
        <v>735</v>
      </c>
      <c r="C907" s="464" t="s">
        <v>534</v>
      </c>
      <c r="D907" s="464"/>
      <c r="E907" s="464" t="s">
        <v>535</v>
      </c>
      <c r="F907" s="464"/>
      <c r="G907" s="464" t="s">
        <v>57</v>
      </c>
      <c r="H907" s="464" t="s">
        <v>2443</v>
      </c>
      <c r="I907" s="465" t="s">
        <v>537</v>
      </c>
      <c r="J907" s="465" t="s">
        <v>537</v>
      </c>
      <c r="K907" s="466">
        <v>200000</v>
      </c>
      <c r="L907" s="465" t="s">
        <v>537</v>
      </c>
      <c r="M907" s="465" t="s">
        <v>537</v>
      </c>
      <c r="N907" s="466">
        <v>196505</v>
      </c>
      <c r="O907" s="463" t="s">
        <v>537</v>
      </c>
      <c r="P907" s="463" t="s">
        <v>537</v>
      </c>
      <c r="Q907" s="468">
        <v>3495</v>
      </c>
      <c r="R907" s="470">
        <v>241428</v>
      </c>
      <c r="S907" s="463" t="s">
        <v>623</v>
      </c>
      <c r="T907" s="463">
        <v>0</v>
      </c>
      <c r="U907" s="463">
        <v>30</v>
      </c>
      <c r="V907" s="463">
        <v>120</v>
      </c>
      <c r="W907" s="463">
        <v>481</v>
      </c>
      <c r="X907" s="463">
        <v>6</v>
      </c>
      <c r="Y907" s="463">
        <v>0</v>
      </c>
      <c r="Z907" s="463">
        <v>76</v>
      </c>
      <c r="AA907" s="472" t="s">
        <v>624</v>
      </c>
      <c r="AB907" s="463" t="s">
        <v>539</v>
      </c>
      <c r="AC907" s="463">
        <v>94.2</v>
      </c>
      <c r="AD907" s="472" t="s">
        <v>571</v>
      </c>
      <c r="AE907" s="463">
        <v>80</v>
      </c>
      <c r="AF907" s="463">
        <v>91.8</v>
      </c>
      <c r="AG907" s="463" t="s">
        <v>375</v>
      </c>
      <c r="AH907" s="476"/>
      <c r="AI907" s="472">
        <v>843124455</v>
      </c>
      <c r="AJ907" s="472" t="s">
        <v>543</v>
      </c>
    </row>
    <row r="908" spans="2:36" ht="24" hidden="1" customHeight="1">
      <c r="B908" s="463">
        <v>736</v>
      </c>
      <c r="C908" s="464" t="s">
        <v>534</v>
      </c>
      <c r="D908" s="464"/>
      <c r="E908" s="464" t="s">
        <v>535</v>
      </c>
      <c r="F908" s="464"/>
      <c r="G908" s="464" t="s">
        <v>57</v>
      </c>
      <c r="H908" s="464" t="s">
        <v>2444</v>
      </c>
      <c r="I908" s="466">
        <v>520120</v>
      </c>
      <c r="J908" s="465" t="s">
        <v>537</v>
      </c>
      <c r="K908" s="465" t="s">
        <v>537</v>
      </c>
      <c r="L908" s="466">
        <v>462282</v>
      </c>
      <c r="M908" s="465" t="s">
        <v>537</v>
      </c>
      <c r="N908" s="465" t="s">
        <v>537</v>
      </c>
      <c r="O908" s="463" t="s">
        <v>537</v>
      </c>
      <c r="P908" s="463" t="s">
        <v>537</v>
      </c>
      <c r="Q908" s="468">
        <v>57838</v>
      </c>
      <c r="R908" s="470">
        <v>241428</v>
      </c>
      <c r="S908" s="463" t="s">
        <v>783</v>
      </c>
      <c r="T908" s="463">
        <v>10</v>
      </c>
      <c r="U908" s="463">
        <v>2</v>
      </c>
      <c r="V908" s="463">
        <v>0</v>
      </c>
      <c r="W908" s="463">
        <v>54</v>
      </c>
      <c r="X908" s="463">
        <v>26</v>
      </c>
      <c r="Y908" s="464"/>
      <c r="Z908" s="463">
        <v>85.4</v>
      </c>
      <c r="AA908" s="472" t="s">
        <v>1023</v>
      </c>
      <c r="AB908" s="463">
        <v>1</v>
      </c>
      <c r="AC908" s="463">
        <v>10</v>
      </c>
      <c r="AD908" s="472" t="s">
        <v>2445</v>
      </c>
      <c r="AE908" s="463">
        <v>1</v>
      </c>
      <c r="AF908" s="463">
        <v>1</v>
      </c>
      <c r="AG908" s="463" t="s">
        <v>375</v>
      </c>
      <c r="AH908" s="476"/>
      <c r="AI908" s="472" t="s">
        <v>2356</v>
      </c>
      <c r="AJ908" s="464"/>
    </row>
    <row r="909" spans="2:36" ht="24" hidden="1" customHeight="1">
      <c r="B909" s="463">
        <v>737</v>
      </c>
      <c r="C909" s="464" t="s">
        <v>534</v>
      </c>
      <c r="D909" s="464"/>
      <c r="E909" s="464" t="s">
        <v>535</v>
      </c>
      <c r="F909" s="464"/>
      <c r="G909" s="464" t="s">
        <v>57</v>
      </c>
      <c r="H909" s="464" t="s">
        <v>2446</v>
      </c>
      <c r="I909" s="466">
        <v>50000</v>
      </c>
      <c r="J909" s="465" t="s">
        <v>537</v>
      </c>
      <c r="K909" s="465" t="s">
        <v>537</v>
      </c>
      <c r="L909" s="466">
        <v>44300</v>
      </c>
      <c r="M909" s="465" t="s">
        <v>537</v>
      </c>
      <c r="N909" s="465" t="s">
        <v>537</v>
      </c>
      <c r="O909" s="463" t="s">
        <v>537</v>
      </c>
      <c r="P909" s="463" t="s">
        <v>537</v>
      </c>
      <c r="Q909" s="468">
        <v>5700</v>
      </c>
      <c r="R909" s="470">
        <v>241459</v>
      </c>
      <c r="S909" s="463" t="s">
        <v>2447</v>
      </c>
      <c r="T909" s="463">
        <v>10</v>
      </c>
      <c r="U909" s="463">
        <v>2</v>
      </c>
      <c r="V909" s="463">
        <v>0</v>
      </c>
      <c r="W909" s="463">
        <v>6</v>
      </c>
      <c r="X909" s="463">
        <v>2</v>
      </c>
      <c r="Y909" s="464"/>
      <c r="Z909" s="463">
        <v>86</v>
      </c>
      <c r="AA909" s="472" t="s">
        <v>1023</v>
      </c>
      <c r="AB909" s="463">
        <v>1</v>
      </c>
      <c r="AC909" s="463">
        <v>1</v>
      </c>
      <c r="AD909" s="472" t="s">
        <v>2448</v>
      </c>
      <c r="AE909" s="463">
        <v>1</v>
      </c>
      <c r="AF909" s="463">
        <v>1</v>
      </c>
      <c r="AG909" s="463" t="s">
        <v>375</v>
      </c>
      <c r="AH909" s="476"/>
      <c r="AI909" s="472" t="s">
        <v>2356</v>
      </c>
      <c r="AJ909" s="464"/>
    </row>
    <row r="910" spans="2:36" ht="24" hidden="1" customHeight="1">
      <c r="B910" s="463">
        <v>738</v>
      </c>
      <c r="C910" s="464" t="s">
        <v>534</v>
      </c>
      <c r="D910" s="464"/>
      <c r="E910" s="464" t="s">
        <v>535</v>
      </c>
      <c r="F910" s="464"/>
      <c r="G910" s="464" t="s">
        <v>57</v>
      </c>
      <c r="H910" s="464" t="s">
        <v>2449</v>
      </c>
      <c r="I910" s="465" t="s">
        <v>537</v>
      </c>
      <c r="J910" s="465" t="s">
        <v>537</v>
      </c>
      <c r="K910" s="466">
        <v>26800</v>
      </c>
      <c r="L910" s="465" t="s">
        <v>537</v>
      </c>
      <c r="M910" s="465" t="s">
        <v>537</v>
      </c>
      <c r="N910" s="466">
        <v>18800</v>
      </c>
      <c r="O910" s="463" t="s">
        <v>537</v>
      </c>
      <c r="P910" s="463" t="s">
        <v>537</v>
      </c>
      <c r="Q910" s="468">
        <v>8000</v>
      </c>
      <c r="R910" s="470">
        <v>241459</v>
      </c>
      <c r="S910" s="471">
        <v>22335</v>
      </c>
      <c r="T910" s="463">
        <v>66</v>
      </c>
      <c r="U910" s="463">
        <v>14</v>
      </c>
      <c r="V910" s="463">
        <v>0</v>
      </c>
      <c r="W910" s="463">
        <v>66</v>
      </c>
      <c r="X910" s="463">
        <v>14</v>
      </c>
      <c r="Y910" s="463" t="s">
        <v>537</v>
      </c>
      <c r="Z910" s="463">
        <v>96.2</v>
      </c>
      <c r="AA910" s="472" t="s">
        <v>737</v>
      </c>
      <c r="AB910" s="463" t="s">
        <v>539</v>
      </c>
      <c r="AC910" s="463" t="s">
        <v>539</v>
      </c>
      <c r="AD910" s="472" t="s">
        <v>635</v>
      </c>
      <c r="AE910" s="463" t="s">
        <v>539</v>
      </c>
      <c r="AF910" s="463" t="s">
        <v>539</v>
      </c>
      <c r="AG910" s="463" t="s">
        <v>375</v>
      </c>
      <c r="AH910" s="476"/>
      <c r="AI910" s="472" t="s">
        <v>2450</v>
      </c>
      <c r="AJ910" s="472" t="s">
        <v>792</v>
      </c>
    </row>
    <row r="911" spans="2:36" ht="24" hidden="1" customHeight="1">
      <c r="B911" s="463">
        <v>739</v>
      </c>
      <c r="C911" s="464" t="s">
        <v>534</v>
      </c>
      <c r="D911" s="464"/>
      <c r="E911" s="464" t="s">
        <v>535</v>
      </c>
      <c r="F911" s="464"/>
      <c r="G911" s="464" t="s">
        <v>57</v>
      </c>
      <c r="H911" s="464" t="s">
        <v>2352</v>
      </c>
      <c r="I911" s="465" t="s">
        <v>537</v>
      </c>
      <c r="J911" s="465" t="s">
        <v>537</v>
      </c>
      <c r="K911" s="466">
        <v>24630</v>
      </c>
      <c r="L911" s="465" t="s">
        <v>537</v>
      </c>
      <c r="M911" s="465" t="s">
        <v>537</v>
      </c>
      <c r="N911" s="466">
        <v>21130</v>
      </c>
      <c r="O911" s="463" t="s">
        <v>537</v>
      </c>
      <c r="P911" s="463" t="s">
        <v>537</v>
      </c>
      <c r="Q911" s="468">
        <v>3500</v>
      </c>
      <c r="R911" s="470">
        <v>241487</v>
      </c>
      <c r="S911" s="471">
        <v>22343</v>
      </c>
      <c r="T911" s="463">
        <v>296</v>
      </c>
      <c r="U911" s="463">
        <v>0</v>
      </c>
      <c r="V911" s="463">
        <v>0</v>
      </c>
      <c r="W911" s="463">
        <v>242</v>
      </c>
      <c r="X911" s="464"/>
      <c r="Y911" s="464"/>
      <c r="Z911" s="463">
        <v>90.6</v>
      </c>
      <c r="AA911" s="472" t="s">
        <v>547</v>
      </c>
      <c r="AB911" s="463" t="s">
        <v>539</v>
      </c>
      <c r="AC911" s="463" t="s">
        <v>539</v>
      </c>
      <c r="AD911" s="472" t="s">
        <v>548</v>
      </c>
      <c r="AE911" s="463">
        <v>80</v>
      </c>
      <c r="AF911" s="463">
        <v>81.349999999999994</v>
      </c>
      <c r="AG911" s="463" t="s">
        <v>375</v>
      </c>
      <c r="AH911" s="476"/>
      <c r="AI911" s="472">
        <v>891208839</v>
      </c>
      <c r="AJ911" s="472" t="s">
        <v>792</v>
      </c>
    </row>
    <row r="912" spans="2:36" ht="24" hidden="1" customHeight="1">
      <c r="B912" s="463">
        <v>740</v>
      </c>
      <c r="C912" s="464" t="s">
        <v>534</v>
      </c>
      <c r="D912" s="464"/>
      <c r="E912" s="464" t="s">
        <v>535</v>
      </c>
      <c r="F912" s="464"/>
      <c r="G912" s="464" t="s">
        <v>57</v>
      </c>
      <c r="H912" s="464" t="s">
        <v>2354</v>
      </c>
      <c r="I912" s="465" t="s">
        <v>537</v>
      </c>
      <c r="J912" s="465" t="s">
        <v>537</v>
      </c>
      <c r="K912" s="466">
        <v>12630</v>
      </c>
      <c r="L912" s="465" t="s">
        <v>537</v>
      </c>
      <c r="M912" s="465" t="s">
        <v>537</v>
      </c>
      <c r="N912" s="466">
        <v>8190</v>
      </c>
      <c r="O912" s="463" t="s">
        <v>537</v>
      </c>
      <c r="P912" s="463" t="s">
        <v>537</v>
      </c>
      <c r="Q912" s="468">
        <v>4440</v>
      </c>
      <c r="R912" s="463" t="s">
        <v>643</v>
      </c>
      <c r="S912" s="463" t="s">
        <v>1152</v>
      </c>
      <c r="T912" s="463">
        <v>296</v>
      </c>
      <c r="U912" s="463">
        <v>0</v>
      </c>
      <c r="V912" s="463">
        <v>0</v>
      </c>
      <c r="W912" s="463">
        <v>312</v>
      </c>
      <c r="X912" s="464"/>
      <c r="Y912" s="464"/>
      <c r="Z912" s="463">
        <v>81.8</v>
      </c>
      <c r="AA912" s="472" t="s">
        <v>547</v>
      </c>
      <c r="AB912" s="463" t="s">
        <v>539</v>
      </c>
      <c r="AC912" s="463" t="s">
        <v>539</v>
      </c>
      <c r="AD912" s="472" t="s">
        <v>2451</v>
      </c>
      <c r="AE912" s="463">
        <v>80</v>
      </c>
      <c r="AF912" s="463">
        <v>89.71</v>
      </c>
      <c r="AG912" s="463" t="s">
        <v>375</v>
      </c>
      <c r="AH912" s="476"/>
      <c r="AI912" s="472" t="s">
        <v>2353</v>
      </c>
      <c r="AJ912" s="472" t="s">
        <v>792</v>
      </c>
    </row>
    <row r="913" spans="2:36" ht="24" hidden="1" customHeight="1">
      <c r="B913" s="463">
        <v>741</v>
      </c>
      <c r="C913" s="464" t="s">
        <v>534</v>
      </c>
      <c r="D913" s="464"/>
      <c r="E913" s="464" t="s">
        <v>535</v>
      </c>
      <c r="F913" s="464"/>
      <c r="G913" s="464" t="s">
        <v>57</v>
      </c>
      <c r="H913" s="464" t="s">
        <v>2452</v>
      </c>
      <c r="I913" s="465" t="s">
        <v>537</v>
      </c>
      <c r="J913" s="465" t="s">
        <v>537</v>
      </c>
      <c r="K913" s="466">
        <v>32000</v>
      </c>
      <c r="L913" s="465" t="s">
        <v>537</v>
      </c>
      <c r="M913" s="465" t="s">
        <v>537</v>
      </c>
      <c r="N913" s="466">
        <v>31900</v>
      </c>
      <c r="O913" s="463" t="s">
        <v>537</v>
      </c>
      <c r="P913" s="463" t="s">
        <v>537</v>
      </c>
      <c r="Q913" s="465">
        <v>100</v>
      </c>
      <c r="R913" s="470">
        <v>241459</v>
      </c>
      <c r="S913" s="471">
        <v>22339</v>
      </c>
      <c r="T913" s="463">
        <v>0</v>
      </c>
      <c r="U913" s="463">
        <v>65</v>
      </c>
      <c r="V913" s="463">
        <v>0</v>
      </c>
      <c r="W913" s="463">
        <v>30</v>
      </c>
      <c r="X913" s="463">
        <v>29</v>
      </c>
      <c r="Y913" s="464"/>
      <c r="Z913" s="463">
        <v>82.15</v>
      </c>
      <c r="AA913" s="472" t="s">
        <v>547</v>
      </c>
      <c r="AB913" s="463" t="s">
        <v>539</v>
      </c>
      <c r="AC913" s="463" t="s">
        <v>539</v>
      </c>
      <c r="AD913" s="472" t="s">
        <v>2453</v>
      </c>
      <c r="AE913" s="463" t="s">
        <v>539</v>
      </c>
      <c r="AF913" s="463" t="s">
        <v>539</v>
      </c>
      <c r="AG913" s="463" t="s">
        <v>375</v>
      </c>
      <c r="AH913" s="476"/>
      <c r="AI913" s="472" t="s">
        <v>2346</v>
      </c>
      <c r="AJ913" s="472" t="s">
        <v>792</v>
      </c>
    </row>
    <row r="914" spans="2:36" ht="24" hidden="1" customHeight="1">
      <c r="B914" s="463">
        <v>742</v>
      </c>
      <c r="C914" s="464" t="s">
        <v>534</v>
      </c>
      <c r="D914" s="464"/>
      <c r="E914" s="464" t="s">
        <v>535</v>
      </c>
      <c r="F914" s="464"/>
      <c r="G914" s="464" t="s">
        <v>57</v>
      </c>
      <c r="H914" s="464" t="s">
        <v>2454</v>
      </c>
      <c r="I914" s="465" t="s">
        <v>537</v>
      </c>
      <c r="J914" s="466">
        <v>110000</v>
      </c>
      <c r="K914" s="465" t="s">
        <v>537</v>
      </c>
      <c r="L914" s="465" t="s">
        <v>537</v>
      </c>
      <c r="M914" s="466">
        <v>101600</v>
      </c>
      <c r="N914" s="465" t="s">
        <v>537</v>
      </c>
      <c r="O914" s="463" t="s">
        <v>537</v>
      </c>
      <c r="P914" s="463" t="s">
        <v>537</v>
      </c>
      <c r="Q914" s="468">
        <v>8400</v>
      </c>
      <c r="R914" s="470">
        <v>241579</v>
      </c>
      <c r="S914" s="463" t="s">
        <v>2455</v>
      </c>
      <c r="T914" s="463">
        <v>0</v>
      </c>
      <c r="U914" s="463">
        <v>30</v>
      </c>
      <c r="V914" s="463">
        <v>0</v>
      </c>
      <c r="W914" s="463" t="s">
        <v>537</v>
      </c>
      <c r="X914" s="463">
        <v>30</v>
      </c>
      <c r="Y914" s="463" t="s">
        <v>537</v>
      </c>
      <c r="Z914" s="463">
        <v>90.6</v>
      </c>
      <c r="AA914" s="472" t="s">
        <v>547</v>
      </c>
      <c r="AB914" s="463" t="s">
        <v>539</v>
      </c>
      <c r="AC914" s="463" t="s">
        <v>539</v>
      </c>
      <c r="AD914" s="472" t="s">
        <v>548</v>
      </c>
      <c r="AE914" s="463">
        <v>80</v>
      </c>
      <c r="AF914" s="463">
        <v>85</v>
      </c>
      <c r="AG914" s="463" t="s">
        <v>375</v>
      </c>
      <c r="AH914" s="476"/>
      <c r="AI914" s="472" t="s">
        <v>2367</v>
      </c>
      <c r="AJ914" s="464"/>
    </row>
    <row r="915" spans="2:36" ht="24" hidden="1" customHeight="1">
      <c r="B915" s="463">
        <v>743</v>
      </c>
      <c r="C915" s="464" t="s">
        <v>534</v>
      </c>
      <c r="D915" s="464"/>
      <c r="E915" s="464" t="s">
        <v>535</v>
      </c>
      <c r="F915" s="464"/>
      <c r="G915" s="464" t="s">
        <v>57</v>
      </c>
      <c r="H915" s="464" t="s">
        <v>2456</v>
      </c>
      <c r="I915" s="465" t="s">
        <v>537</v>
      </c>
      <c r="J915" s="466">
        <v>238000</v>
      </c>
      <c r="K915" s="465" t="s">
        <v>537</v>
      </c>
      <c r="L915" s="465" t="s">
        <v>537</v>
      </c>
      <c r="M915" s="466">
        <v>162600</v>
      </c>
      <c r="N915" s="465" t="s">
        <v>537</v>
      </c>
      <c r="O915" s="463" t="s">
        <v>537</v>
      </c>
      <c r="P915" s="463" t="s">
        <v>537</v>
      </c>
      <c r="Q915" s="468">
        <v>75400</v>
      </c>
      <c r="R915" s="463" t="s">
        <v>643</v>
      </c>
      <c r="S915" s="463" t="s">
        <v>2455</v>
      </c>
      <c r="T915" s="463">
        <v>0</v>
      </c>
      <c r="U915" s="463">
        <v>72</v>
      </c>
      <c r="V915" s="463">
        <v>0</v>
      </c>
      <c r="W915" s="463" t="s">
        <v>537</v>
      </c>
      <c r="X915" s="463">
        <v>29</v>
      </c>
      <c r="Y915" s="463" t="s">
        <v>537</v>
      </c>
      <c r="Z915" s="463">
        <v>90.4</v>
      </c>
      <c r="AA915" s="472" t="s">
        <v>547</v>
      </c>
      <c r="AB915" s="463" t="s">
        <v>539</v>
      </c>
      <c r="AC915" s="463" t="s">
        <v>539</v>
      </c>
      <c r="AD915" s="472" t="s">
        <v>2457</v>
      </c>
      <c r="AE915" s="463">
        <v>80</v>
      </c>
      <c r="AF915" s="463">
        <v>85</v>
      </c>
      <c r="AG915" s="463" t="s">
        <v>375</v>
      </c>
      <c r="AH915" s="476"/>
      <c r="AI915" s="472" t="s">
        <v>2458</v>
      </c>
      <c r="AJ915" s="464"/>
    </row>
    <row r="916" spans="2:36" ht="24" hidden="1" customHeight="1">
      <c r="B916" s="463">
        <v>744</v>
      </c>
      <c r="C916" s="464" t="s">
        <v>534</v>
      </c>
      <c r="D916" s="464"/>
      <c r="E916" s="464" t="s">
        <v>535</v>
      </c>
      <c r="F916" s="464"/>
      <c r="G916" s="464" t="s">
        <v>57</v>
      </c>
      <c r="H916" s="464" t="s">
        <v>2459</v>
      </c>
      <c r="I916" s="465" t="s">
        <v>537</v>
      </c>
      <c r="J916" s="465" t="s">
        <v>537</v>
      </c>
      <c r="K916" s="466">
        <v>50940</v>
      </c>
      <c r="L916" s="465" t="s">
        <v>537</v>
      </c>
      <c r="M916" s="465" t="s">
        <v>537</v>
      </c>
      <c r="N916" s="466">
        <v>50940</v>
      </c>
      <c r="O916" s="463" t="s">
        <v>537</v>
      </c>
      <c r="P916" s="463" t="s">
        <v>537</v>
      </c>
      <c r="Q916" s="465">
        <v>0</v>
      </c>
      <c r="R916" s="470">
        <v>241518</v>
      </c>
      <c r="S916" s="463" t="s">
        <v>2460</v>
      </c>
      <c r="T916" s="463">
        <v>90</v>
      </c>
      <c r="U916" s="463">
        <v>4</v>
      </c>
      <c r="V916" s="463">
        <v>0</v>
      </c>
      <c r="W916" s="463">
        <v>86</v>
      </c>
      <c r="X916" s="463">
        <v>10</v>
      </c>
      <c r="Y916" s="463" t="s">
        <v>537</v>
      </c>
      <c r="Z916" s="463" t="s">
        <v>537</v>
      </c>
      <c r="AA916" s="472" t="s">
        <v>547</v>
      </c>
      <c r="AB916" s="463" t="s">
        <v>539</v>
      </c>
      <c r="AC916" s="463" t="s">
        <v>539</v>
      </c>
      <c r="AD916" s="472" t="s">
        <v>548</v>
      </c>
      <c r="AE916" s="463">
        <v>80</v>
      </c>
      <c r="AF916" s="463">
        <v>92.03</v>
      </c>
      <c r="AG916" s="463" t="s">
        <v>375</v>
      </c>
      <c r="AH916" s="476"/>
      <c r="AI916" s="472" t="s">
        <v>2356</v>
      </c>
      <c r="AJ916" s="472" t="s">
        <v>792</v>
      </c>
    </row>
    <row r="917" spans="2:36" ht="24" hidden="1" customHeight="1">
      <c r="B917" s="463">
        <v>745</v>
      </c>
      <c r="C917" s="464" t="s">
        <v>534</v>
      </c>
      <c r="D917" s="464"/>
      <c r="E917" s="464" t="s">
        <v>535</v>
      </c>
      <c r="F917" s="464"/>
      <c r="G917" s="464" t="s">
        <v>57</v>
      </c>
      <c r="H917" s="464" t="s">
        <v>2461</v>
      </c>
      <c r="I917" s="465" t="s">
        <v>537</v>
      </c>
      <c r="J917" s="465" t="s">
        <v>537</v>
      </c>
      <c r="K917" s="466">
        <v>12800</v>
      </c>
      <c r="L917" s="465" t="s">
        <v>537</v>
      </c>
      <c r="M917" s="465" t="s">
        <v>537</v>
      </c>
      <c r="N917" s="466">
        <v>4800</v>
      </c>
      <c r="O917" s="463" t="s">
        <v>537</v>
      </c>
      <c r="P917" s="463" t="s">
        <v>537</v>
      </c>
      <c r="Q917" s="468">
        <v>8000</v>
      </c>
      <c r="R917" s="463" t="s">
        <v>643</v>
      </c>
      <c r="S917" s="463" t="s">
        <v>959</v>
      </c>
      <c r="T917" s="463">
        <v>44</v>
      </c>
      <c r="U917" s="463">
        <v>16</v>
      </c>
      <c r="V917" s="463">
        <v>0</v>
      </c>
      <c r="W917" s="463">
        <v>60</v>
      </c>
      <c r="X917" s="464"/>
      <c r="Y917" s="464"/>
      <c r="Z917" s="463">
        <v>89</v>
      </c>
      <c r="AA917" s="472" t="s">
        <v>2462</v>
      </c>
      <c r="AB917" s="463" t="s">
        <v>539</v>
      </c>
      <c r="AC917" s="463" t="s">
        <v>539</v>
      </c>
      <c r="AD917" s="472" t="s">
        <v>2463</v>
      </c>
      <c r="AE917" s="463" t="s">
        <v>539</v>
      </c>
      <c r="AF917" s="463" t="s">
        <v>539</v>
      </c>
      <c r="AG917" s="463" t="s">
        <v>375</v>
      </c>
      <c r="AH917" s="476"/>
      <c r="AI917" s="472" t="s">
        <v>2464</v>
      </c>
      <c r="AJ917" s="472" t="s">
        <v>792</v>
      </c>
    </row>
    <row r="918" spans="2:36" ht="24" hidden="1" customHeight="1">
      <c r="B918" s="463">
        <v>746</v>
      </c>
      <c r="C918" s="464" t="s">
        <v>534</v>
      </c>
      <c r="D918" s="464"/>
      <c r="E918" s="464" t="s">
        <v>535</v>
      </c>
      <c r="F918" s="464"/>
      <c r="G918" s="464" t="s">
        <v>57</v>
      </c>
      <c r="H918" s="464" t="s">
        <v>2465</v>
      </c>
      <c r="I918" s="465" t="s">
        <v>537</v>
      </c>
      <c r="J918" s="466">
        <v>145200</v>
      </c>
      <c r="K918" s="465" t="s">
        <v>537</v>
      </c>
      <c r="L918" s="465" t="s">
        <v>537</v>
      </c>
      <c r="M918" s="466">
        <v>74000</v>
      </c>
      <c r="N918" s="465" t="s">
        <v>537</v>
      </c>
      <c r="O918" s="463" t="s">
        <v>537</v>
      </c>
      <c r="P918" s="463" t="s">
        <v>537</v>
      </c>
      <c r="Q918" s="468">
        <v>71200</v>
      </c>
      <c r="R918" s="470">
        <v>241609</v>
      </c>
      <c r="S918" s="471">
        <v>22482</v>
      </c>
      <c r="T918" s="463">
        <v>120</v>
      </c>
      <c r="U918" s="463">
        <v>0</v>
      </c>
      <c r="V918" s="463">
        <v>0</v>
      </c>
      <c r="W918" s="463">
        <v>7</v>
      </c>
      <c r="X918" s="463">
        <v>6</v>
      </c>
      <c r="Y918" s="463" t="s">
        <v>537</v>
      </c>
      <c r="Z918" s="463">
        <v>98.4</v>
      </c>
      <c r="AA918" s="472" t="s">
        <v>547</v>
      </c>
      <c r="AB918" s="463" t="s">
        <v>539</v>
      </c>
      <c r="AC918" s="463" t="s">
        <v>539</v>
      </c>
      <c r="AD918" s="472" t="s">
        <v>548</v>
      </c>
      <c r="AE918" s="463">
        <v>80</v>
      </c>
      <c r="AF918" s="463">
        <v>100</v>
      </c>
      <c r="AG918" s="463" t="s">
        <v>375</v>
      </c>
      <c r="AH918" s="476"/>
      <c r="AI918" s="472" t="s">
        <v>2356</v>
      </c>
      <c r="AJ918" s="464"/>
    </row>
    <row r="919" spans="2:36" ht="24" hidden="1" customHeight="1">
      <c r="B919" s="463">
        <v>747</v>
      </c>
      <c r="C919" s="464" t="s">
        <v>534</v>
      </c>
      <c r="D919" s="464"/>
      <c r="E919" s="464" t="s">
        <v>535</v>
      </c>
      <c r="F919" s="464"/>
      <c r="G919" s="464" t="s">
        <v>57</v>
      </c>
      <c r="H919" s="464" t="s">
        <v>667</v>
      </c>
      <c r="I919" s="465" t="s">
        <v>537</v>
      </c>
      <c r="J919" s="466">
        <v>81600</v>
      </c>
      <c r="K919" s="465" t="s">
        <v>537</v>
      </c>
      <c r="L919" s="465" t="s">
        <v>537</v>
      </c>
      <c r="M919" s="466">
        <v>81600</v>
      </c>
      <c r="N919" s="465" t="s">
        <v>537</v>
      </c>
      <c r="O919" s="463" t="s">
        <v>537</v>
      </c>
      <c r="P919" s="463" t="s">
        <v>537</v>
      </c>
      <c r="Q919" s="465">
        <v>0</v>
      </c>
      <c r="R919" s="470">
        <v>241579</v>
      </c>
      <c r="S919" s="471">
        <v>22448</v>
      </c>
      <c r="T919" s="463">
        <v>670</v>
      </c>
      <c r="U919" s="463">
        <v>0</v>
      </c>
      <c r="V919" s="463">
        <v>0</v>
      </c>
      <c r="W919" s="463">
        <v>819</v>
      </c>
      <c r="X919" s="463">
        <v>22</v>
      </c>
      <c r="Y919" s="464"/>
      <c r="Z919" s="463">
        <v>89.6</v>
      </c>
      <c r="AA919" s="472" t="s">
        <v>547</v>
      </c>
      <c r="AB919" s="463" t="s">
        <v>539</v>
      </c>
      <c r="AC919" s="463" t="s">
        <v>539</v>
      </c>
      <c r="AD919" s="472" t="s">
        <v>548</v>
      </c>
      <c r="AE919" s="463">
        <v>80</v>
      </c>
      <c r="AF919" s="463">
        <v>94.61</v>
      </c>
      <c r="AG919" s="463" t="s">
        <v>375</v>
      </c>
      <c r="AH919" s="476"/>
      <c r="AI919" s="472" t="s">
        <v>2343</v>
      </c>
      <c r="AJ919" s="464"/>
    </row>
    <row r="920" spans="2:36" ht="24" hidden="1" customHeight="1">
      <c r="B920" s="463">
        <v>748</v>
      </c>
      <c r="C920" s="464" t="s">
        <v>534</v>
      </c>
      <c r="D920" s="464"/>
      <c r="E920" s="464" t="s">
        <v>535</v>
      </c>
      <c r="F920" s="464"/>
      <c r="G920" s="464" t="s">
        <v>57</v>
      </c>
      <c r="H920" s="464" t="s">
        <v>668</v>
      </c>
      <c r="I920" s="465" t="s">
        <v>537</v>
      </c>
      <c r="J920" s="466">
        <v>57600</v>
      </c>
      <c r="K920" s="465" t="s">
        <v>537</v>
      </c>
      <c r="L920" s="465" t="s">
        <v>537</v>
      </c>
      <c r="M920" s="466">
        <v>57000</v>
      </c>
      <c r="N920" s="465" t="s">
        <v>537</v>
      </c>
      <c r="O920" s="463" t="s">
        <v>537</v>
      </c>
      <c r="P920" s="463" t="s">
        <v>537</v>
      </c>
      <c r="Q920" s="465">
        <v>600</v>
      </c>
      <c r="R920" s="470">
        <v>241459</v>
      </c>
      <c r="S920" s="471">
        <v>22329</v>
      </c>
      <c r="T920" s="463">
        <v>410</v>
      </c>
      <c r="U920" s="463">
        <v>0</v>
      </c>
      <c r="V920" s="463">
        <v>0</v>
      </c>
      <c r="W920" s="463">
        <v>442</v>
      </c>
      <c r="X920" s="463">
        <v>14</v>
      </c>
      <c r="Y920" s="463" t="s">
        <v>537</v>
      </c>
      <c r="Z920" s="463">
        <v>90.4</v>
      </c>
      <c r="AA920" s="472" t="s">
        <v>547</v>
      </c>
      <c r="AB920" s="463" t="s">
        <v>539</v>
      </c>
      <c r="AC920" s="463" t="s">
        <v>539</v>
      </c>
      <c r="AD920" s="472" t="s">
        <v>548</v>
      </c>
      <c r="AE920" s="463">
        <v>80</v>
      </c>
      <c r="AF920" s="463">
        <v>84.98</v>
      </c>
      <c r="AG920" s="463" t="s">
        <v>375</v>
      </c>
      <c r="AH920" s="476"/>
      <c r="AI920" s="472" t="s">
        <v>2343</v>
      </c>
      <c r="AJ920" s="464"/>
    </row>
    <row r="921" spans="2:36" ht="24" hidden="1" customHeight="1">
      <c r="B921" s="463">
        <v>749</v>
      </c>
      <c r="C921" s="464" t="s">
        <v>534</v>
      </c>
      <c r="D921" s="464"/>
      <c r="E921" s="464" t="s">
        <v>535</v>
      </c>
      <c r="F921" s="464"/>
      <c r="G921" s="464" t="s">
        <v>57</v>
      </c>
      <c r="H921" s="464" t="s">
        <v>2466</v>
      </c>
      <c r="I921" s="465" t="s">
        <v>537</v>
      </c>
      <c r="J921" s="466">
        <v>8300</v>
      </c>
      <c r="K921" s="465" t="s">
        <v>537</v>
      </c>
      <c r="L921" s="465" t="s">
        <v>537</v>
      </c>
      <c r="M921" s="466">
        <v>5940</v>
      </c>
      <c r="N921" s="465" t="s">
        <v>537</v>
      </c>
      <c r="O921" s="463" t="s">
        <v>537</v>
      </c>
      <c r="P921" s="463" t="s">
        <v>537</v>
      </c>
      <c r="Q921" s="468">
        <v>2360</v>
      </c>
      <c r="R921" s="470">
        <v>241518</v>
      </c>
      <c r="S921" s="471">
        <v>22340</v>
      </c>
      <c r="T921" s="463">
        <v>40</v>
      </c>
      <c r="U921" s="463">
        <v>5</v>
      </c>
      <c r="V921" s="463">
        <v>0</v>
      </c>
      <c r="W921" s="463">
        <v>39</v>
      </c>
      <c r="X921" s="463">
        <v>3</v>
      </c>
      <c r="Y921" s="464"/>
      <c r="Z921" s="463">
        <v>86.6</v>
      </c>
      <c r="AA921" s="472" t="s">
        <v>2362</v>
      </c>
      <c r="AB921" s="463" t="s">
        <v>539</v>
      </c>
      <c r="AC921" s="463" t="s">
        <v>539</v>
      </c>
      <c r="AD921" s="472" t="s">
        <v>635</v>
      </c>
      <c r="AE921" s="463" t="s">
        <v>539</v>
      </c>
      <c r="AF921" s="463" t="s">
        <v>539</v>
      </c>
      <c r="AG921" s="463" t="s">
        <v>375</v>
      </c>
      <c r="AH921" s="476"/>
      <c r="AI921" s="472" t="s">
        <v>2391</v>
      </c>
      <c r="AJ921" s="464"/>
    </row>
    <row r="922" spans="2:36" ht="24" hidden="1" customHeight="1">
      <c r="B922" s="463">
        <v>750</v>
      </c>
      <c r="C922" s="464" t="s">
        <v>534</v>
      </c>
      <c r="D922" s="464"/>
      <c r="E922" s="464" t="s">
        <v>535</v>
      </c>
      <c r="F922" s="464"/>
      <c r="G922" s="464" t="s">
        <v>57</v>
      </c>
      <c r="H922" s="464" t="s">
        <v>2467</v>
      </c>
      <c r="I922" s="465" t="s">
        <v>537</v>
      </c>
      <c r="J922" s="466">
        <v>7600</v>
      </c>
      <c r="K922" s="465" t="s">
        <v>537</v>
      </c>
      <c r="L922" s="465" t="s">
        <v>537</v>
      </c>
      <c r="M922" s="466">
        <v>6128</v>
      </c>
      <c r="N922" s="465" t="s">
        <v>537</v>
      </c>
      <c r="O922" s="463" t="s">
        <v>537</v>
      </c>
      <c r="P922" s="463" t="s">
        <v>537</v>
      </c>
      <c r="Q922" s="468">
        <v>1472</v>
      </c>
      <c r="R922" s="470">
        <v>241459</v>
      </c>
      <c r="S922" s="471">
        <v>22339</v>
      </c>
      <c r="T922" s="463">
        <v>25</v>
      </c>
      <c r="U922" s="463">
        <v>5</v>
      </c>
      <c r="V922" s="463">
        <v>0</v>
      </c>
      <c r="W922" s="463">
        <v>38</v>
      </c>
      <c r="X922" s="463">
        <v>5</v>
      </c>
      <c r="Y922" s="463" t="s">
        <v>537</v>
      </c>
      <c r="Z922" s="463">
        <v>84.4</v>
      </c>
      <c r="AA922" s="472" t="s">
        <v>2362</v>
      </c>
      <c r="AB922" s="463" t="s">
        <v>539</v>
      </c>
      <c r="AC922" s="463" t="s">
        <v>539</v>
      </c>
      <c r="AD922" s="472" t="s">
        <v>635</v>
      </c>
      <c r="AE922" s="463" t="s">
        <v>539</v>
      </c>
      <c r="AF922" s="463" t="s">
        <v>539</v>
      </c>
      <c r="AG922" s="463" t="s">
        <v>375</v>
      </c>
      <c r="AH922" s="476"/>
      <c r="AI922" s="472" t="s">
        <v>2468</v>
      </c>
      <c r="AJ922" s="464"/>
    </row>
    <row r="923" spans="2:36" ht="24" hidden="1" customHeight="1">
      <c r="B923" s="463">
        <v>751</v>
      </c>
      <c r="C923" s="464" t="s">
        <v>534</v>
      </c>
      <c r="D923" s="464"/>
      <c r="E923" s="464" t="s">
        <v>535</v>
      </c>
      <c r="F923" s="464"/>
      <c r="G923" s="464" t="s">
        <v>57</v>
      </c>
      <c r="H923" s="464" t="s">
        <v>669</v>
      </c>
      <c r="I923" s="465" t="s">
        <v>537</v>
      </c>
      <c r="J923" s="466">
        <v>250800</v>
      </c>
      <c r="K923" s="465" t="s">
        <v>537</v>
      </c>
      <c r="L923" s="465" t="s">
        <v>537</v>
      </c>
      <c r="M923" s="466">
        <v>242800</v>
      </c>
      <c r="N923" s="465" t="s">
        <v>537</v>
      </c>
      <c r="O923" s="463" t="s">
        <v>537</v>
      </c>
      <c r="P923" s="463" t="s">
        <v>537</v>
      </c>
      <c r="Q923" s="468">
        <v>8000</v>
      </c>
      <c r="R923" s="470">
        <v>241609</v>
      </c>
      <c r="S923" s="463" t="s">
        <v>637</v>
      </c>
      <c r="T923" s="463">
        <v>125</v>
      </c>
      <c r="U923" s="463">
        <v>0</v>
      </c>
      <c r="V923" s="463">
        <v>0</v>
      </c>
      <c r="W923" s="463">
        <v>135</v>
      </c>
      <c r="X923" s="463" t="s">
        <v>537</v>
      </c>
      <c r="Y923" s="463" t="s">
        <v>537</v>
      </c>
      <c r="Z923" s="463" t="s">
        <v>537</v>
      </c>
      <c r="AA923" s="472" t="s">
        <v>728</v>
      </c>
      <c r="AB923" s="463">
        <v>1</v>
      </c>
      <c r="AC923" s="463">
        <v>1</v>
      </c>
      <c r="AD923" s="472" t="s">
        <v>2469</v>
      </c>
      <c r="AE923" s="463">
        <v>1</v>
      </c>
      <c r="AF923" s="463">
        <v>1</v>
      </c>
      <c r="AG923" s="463" t="s">
        <v>375</v>
      </c>
      <c r="AH923" s="476"/>
      <c r="AI923" s="472" t="s">
        <v>2343</v>
      </c>
      <c r="AJ923" s="464"/>
    </row>
    <row r="924" spans="2:36" ht="24" hidden="1" customHeight="1">
      <c r="B924" s="463">
        <v>752</v>
      </c>
      <c r="C924" s="464" t="s">
        <v>534</v>
      </c>
      <c r="D924" s="464"/>
      <c r="E924" s="464" t="s">
        <v>535</v>
      </c>
      <c r="F924" s="464"/>
      <c r="G924" s="464" t="s">
        <v>57</v>
      </c>
      <c r="H924" s="464" t="s">
        <v>2470</v>
      </c>
      <c r="I924" s="465" t="s">
        <v>537</v>
      </c>
      <c r="J924" s="466">
        <v>138000</v>
      </c>
      <c r="K924" s="465" t="s">
        <v>537</v>
      </c>
      <c r="L924" s="465" t="s">
        <v>537</v>
      </c>
      <c r="M924" s="466">
        <v>138000</v>
      </c>
      <c r="N924" s="465" t="s">
        <v>537</v>
      </c>
      <c r="O924" s="463" t="s">
        <v>537</v>
      </c>
      <c r="P924" s="463" t="s">
        <v>537</v>
      </c>
      <c r="Q924" s="465">
        <v>0</v>
      </c>
      <c r="R924" s="470">
        <v>241609</v>
      </c>
      <c r="S924" s="463" t="s">
        <v>2471</v>
      </c>
      <c r="T924" s="463">
        <v>13</v>
      </c>
      <c r="U924" s="463">
        <v>65</v>
      </c>
      <c r="V924" s="463">
        <v>38</v>
      </c>
      <c r="W924" s="463">
        <v>57</v>
      </c>
      <c r="X924" s="463">
        <v>106</v>
      </c>
      <c r="Y924" s="463">
        <v>57</v>
      </c>
      <c r="Z924" s="463">
        <v>87</v>
      </c>
      <c r="AA924" s="472" t="s">
        <v>547</v>
      </c>
      <c r="AB924" s="463" t="s">
        <v>539</v>
      </c>
      <c r="AC924" s="463" t="s">
        <v>539</v>
      </c>
      <c r="AD924" s="472" t="s">
        <v>548</v>
      </c>
      <c r="AE924" s="463">
        <v>80</v>
      </c>
      <c r="AF924" s="463">
        <v>95.8</v>
      </c>
      <c r="AG924" s="463" t="s">
        <v>375</v>
      </c>
      <c r="AH924" s="476"/>
      <c r="AI924" s="472" t="s">
        <v>2343</v>
      </c>
      <c r="AJ924" s="464"/>
    </row>
    <row r="925" spans="2:36" ht="24" hidden="1" customHeight="1">
      <c r="B925" s="463">
        <v>753</v>
      </c>
      <c r="C925" s="464" t="s">
        <v>534</v>
      </c>
      <c r="D925" s="464"/>
      <c r="E925" s="464" t="s">
        <v>535</v>
      </c>
      <c r="F925" s="464"/>
      <c r="G925" s="464" t="s">
        <v>57</v>
      </c>
      <c r="H925" s="464" t="s">
        <v>2472</v>
      </c>
      <c r="I925" s="465" t="s">
        <v>537</v>
      </c>
      <c r="J925" s="466">
        <v>31000</v>
      </c>
      <c r="K925" s="465" t="s">
        <v>537</v>
      </c>
      <c r="L925" s="465" t="s">
        <v>537</v>
      </c>
      <c r="M925" s="466">
        <v>28300</v>
      </c>
      <c r="N925" s="465" t="s">
        <v>537</v>
      </c>
      <c r="O925" s="463" t="s">
        <v>537</v>
      </c>
      <c r="P925" s="463" t="s">
        <v>537</v>
      </c>
      <c r="Q925" s="468">
        <v>2700</v>
      </c>
      <c r="R925" s="470">
        <v>241640</v>
      </c>
      <c r="S925" s="471">
        <v>22503</v>
      </c>
      <c r="T925" s="463">
        <v>5</v>
      </c>
      <c r="U925" s="463">
        <v>39</v>
      </c>
      <c r="V925" s="463">
        <v>0</v>
      </c>
      <c r="W925" s="463">
        <v>10</v>
      </c>
      <c r="X925" s="463">
        <v>39</v>
      </c>
      <c r="Y925" s="463">
        <v>10</v>
      </c>
      <c r="Z925" s="463">
        <v>85.2</v>
      </c>
      <c r="AA925" s="472" t="s">
        <v>547</v>
      </c>
      <c r="AB925" s="463" t="s">
        <v>539</v>
      </c>
      <c r="AC925" s="463" t="s">
        <v>539</v>
      </c>
      <c r="AD925" s="472" t="s">
        <v>548</v>
      </c>
      <c r="AE925" s="463">
        <v>80</v>
      </c>
      <c r="AF925" s="463">
        <v>97.2</v>
      </c>
      <c r="AG925" s="463" t="s">
        <v>375</v>
      </c>
      <c r="AH925" s="476"/>
      <c r="AI925" s="472" t="s">
        <v>2356</v>
      </c>
      <c r="AJ925" s="464"/>
    </row>
    <row r="926" spans="2:36" ht="24" hidden="1" customHeight="1">
      <c r="B926" s="463">
        <v>754</v>
      </c>
      <c r="C926" s="464" t="s">
        <v>534</v>
      </c>
      <c r="D926" s="464"/>
      <c r="E926" s="464" t="s">
        <v>535</v>
      </c>
      <c r="F926" s="464"/>
      <c r="G926" s="464" t="s">
        <v>57</v>
      </c>
      <c r="H926" s="464" t="s">
        <v>2473</v>
      </c>
      <c r="I926" s="465" t="s">
        <v>537</v>
      </c>
      <c r="J926" s="466">
        <v>28000</v>
      </c>
      <c r="K926" s="465" t="s">
        <v>537</v>
      </c>
      <c r="L926" s="465" t="s">
        <v>537</v>
      </c>
      <c r="M926" s="466">
        <v>28000</v>
      </c>
      <c r="N926" s="465" t="s">
        <v>537</v>
      </c>
      <c r="O926" s="463" t="s">
        <v>537</v>
      </c>
      <c r="P926" s="463" t="s">
        <v>537</v>
      </c>
      <c r="Q926" s="465">
        <v>0</v>
      </c>
      <c r="R926" s="470">
        <v>241609</v>
      </c>
      <c r="S926" s="471">
        <v>22364</v>
      </c>
      <c r="T926" s="463">
        <v>10</v>
      </c>
      <c r="U926" s="463">
        <v>50</v>
      </c>
      <c r="V926" s="463">
        <v>30</v>
      </c>
      <c r="W926" s="464"/>
      <c r="X926" s="464"/>
      <c r="Y926" s="463">
        <v>154</v>
      </c>
      <c r="Z926" s="463">
        <v>89.6</v>
      </c>
      <c r="AA926" s="472" t="s">
        <v>547</v>
      </c>
      <c r="AB926" s="463" t="s">
        <v>539</v>
      </c>
      <c r="AC926" s="463" t="s">
        <v>539</v>
      </c>
      <c r="AD926" s="472" t="s">
        <v>729</v>
      </c>
      <c r="AE926" s="463">
        <v>1</v>
      </c>
      <c r="AF926" s="463">
        <v>5</v>
      </c>
      <c r="AG926" s="463" t="s">
        <v>375</v>
      </c>
      <c r="AH926" s="476"/>
      <c r="AI926" s="472" t="s">
        <v>2367</v>
      </c>
      <c r="AJ926" s="464"/>
    </row>
    <row r="927" spans="2:36" ht="24" hidden="1" customHeight="1">
      <c r="B927" s="463">
        <v>755</v>
      </c>
      <c r="C927" s="464" t="s">
        <v>534</v>
      </c>
      <c r="D927" s="464"/>
      <c r="E927" s="464" t="s">
        <v>535</v>
      </c>
      <c r="F927" s="464"/>
      <c r="G927" s="464" t="s">
        <v>57</v>
      </c>
      <c r="H927" s="464" t="s">
        <v>2474</v>
      </c>
      <c r="I927" s="465" t="s">
        <v>537</v>
      </c>
      <c r="J927" s="466">
        <v>160000</v>
      </c>
      <c r="K927" s="465" t="s">
        <v>537</v>
      </c>
      <c r="L927" s="465" t="s">
        <v>537</v>
      </c>
      <c r="M927" s="466">
        <v>160000</v>
      </c>
      <c r="N927" s="465" t="s">
        <v>537</v>
      </c>
      <c r="O927" s="463" t="s">
        <v>537</v>
      </c>
      <c r="P927" s="463" t="s">
        <v>537</v>
      </c>
      <c r="Q927" s="465">
        <v>0</v>
      </c>
      <c r="R927" s="470">
        <v>241487</v>
      </c>
      <c r="S927" s="471">
        <v>22356</v>
      </c>
      <c r="T927" s="463">
        <v>0</v>
      </c>
      <c r="U927" s="463">
        <v>100</v>
      </c>
      <c r="V927" s="463">
        <v>0</v>
      </c>
      <c r="W927" s="464"/>
      <c r="X927" s="463">
        <v>230</v>
      </c>
      <c r="Y927" s="464"/>
      <c r="Z927" s="463">
        <v>89</v>
      </c>
      <c r="AA927" s="472" t="s">
        <v>1304</v>
      </c>
      <c r="AB927" s="463" t="s">
        <v>539</v>
      </c>
      <c r="AC927" s="463" t="s">
        <v>539</v>
      </c>
      <c r="AD927" s="472" t="s">
        <v>2163</v>
      </c>
      <c r="AE927" s="463">
        <v>80</v>
      </c>
      <c r="AF927" s="463">
        <v>89</v>
      </c>
      <c r="AG927" s="463" t="s">
        <v>375</v>
      </c>
      <c r="AH927" s="476"/>
      <c r="AI927" s="472" t="s">
        <v>2367</v>
      </c>
      <c r="AJ927" s="464"/>
    </row>
    <row r="928" spans="2:36" ht="24" hidden="1" customHeight="1">
      <c r="B928" s="463">
        <v>756</v>
      </c>
      <c r="C928" s="464" t="s">
        <v>534</v>
      </c>
      <c r="D928" s="464"/>
      <c r="E928" s="464" t="s">
        <v>535</v>
      </c>
      <c r="F928" s="464"/>
      <c r="G928" s="464" t="s">
        <v>57</v>
      </c>
      <c r="H928" s="464" t="s">
        <v>2475</v>
      </c>
      <c r="I928" s="465" t="s">
        <v>537</v>
      </c>
      <c r="J928" s="466">
        <v>200000</v>
      </c>
      <c r="K928" s="465" t="s">
        <v>537</v>
      </c>
      <c r="L928" s="465" t="s">
        <v>537</v>
      </c>
      <c r="M928" s="466">
        <v>173388</v>
      </c>
      <c r="N928" s="465" t="s">
        <v>537</v>
      </c>
      <c r="O928" s="463" t="s">
        <v>537</v>
      </c>
      <c r="P928" s="463" t="s">
        <v>537</v>
      </c>
      <c r="Q928" s="468">
        <v>26612</v>
      </c>
      <c r="R928" s="470">
        <v>241609</v>
      </c>
      <c r="S928" s="463" t="s">
        <v>1122</v>
      </c>
      <c r="T928" s="463">
        <v>20</v>
      </c>
      <c r="U928" s="463">
        <v>34</v>
      </c>
      <c r="V928" s="463">
        <v>106</v>
      </c>
      <c r="W928" s="464"/>
      <c r="X928" s="464"/>
      <c r="Y928" s="464"/>
      <c r="Z928" s="463">
        <v>92.6</v>
      </c>
      <c r="AA928" s="472" t="s">
        <v>547</v>
      </c>
      <c r="AB928" s="463" t="s">
        <v>539</v>
      </c>
      <c r="AC928" s="463" t="s">
        <v>539</v>
      </c>
      <c r="AD928" s="472" t="s">
        <v>548</v>
      </c>
      <c r="AE928" s="463">
        <v>80</v>
      </c>
      <c r="AF928" s="463">
        <v>82.1</v>
      </c>
      <c r="AG928" s="463" t="s">
        <v>375</v>
      </c>
      <c r="AH928" s="476"/>
      <c r="AI928" s="472" t="s">
        <v>2353</v>
      </c>
      <c r="AJ928" s="464"/>
    </row>
    <row r="929" spans="2:36" ht="24" hidden="1" customHeight="1">
      <c r="B929" s="463">
        <v>757</v>
      </c>
      <c r="C929" s="464" t="s">
        <v>534</v>
      </c>
      <c r="D929" s="464"/>
      <c r="E929" s="464" t="s">
        <v>535</v>
      </c>
      <c r="F929" s="464"/>
      <c r="G929" s="464" t="s">
        <v>57</v>
      </c>
      <c r="H929" s="464" t="s">
        <v>2476</v>
      </c>
      <c r="I929" s="465" t="s">
        <v>537</v>
      </c>
      <c r="J929" s="466">
        <v>6700</v>
      </c>
      <c r="K929" s="465" t="s">
        <v>537</v>
      </c>
      <c r="L929" s="465" t="s">
        <v>537</v>
      </c>
      <c r="M929" s="466">
        <v>6200</v>
      </c>
      <c r="N929" s="465" t="s">
        <v>537</v>
      </c>
      <c r="O929" s="463" t="s">
        <v>537</v>
      </c>
      <c r="P929" s="463" t="s">
        <v>537</v>
      </c>
      <c r="Q929" s="465">
        <v>500</v>
      </c>
      <c r="R929" s="470">
        <v>241609</v>
      </c>
      <c r="S929" s="471">
        <v>22513</v>
      </c>
      <c r="T929" s="463">
        <v>15</v>
      </c>
      <c r="U929" s="463">
        <v>5</v>
      </c>
      <c r="V929" s="463">
        <v>0</v>
      </c>
      <c r="W929" s="463">
        <v>21</v>
      </c>
      <c r="X929" s="463">
        <v>3</v>
      </c>
      <c r="Y929" s="463">
        <v>2</v>
      </c>
      <c r="Z929" s="463">
        <v>90.2</v>
      </c>
      <c r="AA929" s="472" t="s">
        <v>547</v>
      </c>
      <c r="AB929" s="463" t="s">
        <v>539</v>
      </c>
      <c r="AC929" s="463" t="s">
        <v>539</v>
      </c>
      <c r="AD929" s="472" t="s">
        <v>548</v>
      </c>
      <c r="AE929" s="463">
        <v>80</v>
      </c>
      <c r="AF929" s="463">
        <v>100</v>
      </c>
      <c r="AG929" s="463" t="s">
        <v>375</v>
      </c>
      <c r="AH929" s="476"/>
      <c r="AI929" s="472" t="s">
        <v>2477</v>
      </c>
      <c r="AJ929" s="464"/>
    </row>
    <row r="930" spans="2:36" ht="24" hidden="1" customHeight="1">
      <c r="B930" s="463">
        <v>758</v>
      </c>
      <c r="C930" s="464" t="s">
        <v>534</v>
      </c>
      <c r="D930" s="464"/>
      <c r="E930" s="464" t="s">
        <v>535</v>
      </c>
      <c r="F930" s="464"/>
      <c r="G930" s="464" t="s">
        <v>57</v>
      </c>
      <c r="H930" s="464" t="s">
        <v>2478</v>
      </c>
      <c r="I930" s="465" t="s">
        <v>537</v>
      </c>
      <c r="J930" s="466">
        <v>96700</v>
      </c>
      <c r="K930" s="465" t="s">
        <v>537</v>
      </c>
      <c r="L930" s="465" t="s">
        <v>537</v>
      </c>
      <c r="M930" s="466">
        <v>78095</v>
      </c>
      <c r="N930" s="465" t="s">
        <v>537</v>
      </c>
      <c r="O930" s="463" t="s">
        <v>537</v>
      </c>
      <c r="P930" s="463" t="s">
        <v>537</v>
      </c>
      <c r="Q930" s="468">
        <v>18605</v>
      </c>
      <c r="R930" s="470">
        <v>241609</v>
      </c>
      <c r="S930" s="463" t="s">
        <v>2479</v>
      </c>
      <c r="T930" s="463">
        <v>15</v>
      </c>
      <c r="U930" s="463">
        <v>5</v>
      </c>
      <c r="V930" s="463">
        <v>0</v>
      </c>
      <c r="W930" s="463">
        <v>12</v>
      </c>
      <c r="X930" s="463">
        <v>5</v>
      </c>
      <c r="Y930" s="464"/>
      <c r="Z930" s="463" t="s">
        <v>537</v>
      </c>
      <c r="AA930" s="472" t="s">
        <v>2362</v>
      </c>
      <c r="AB930" s="463" t="s">
        <v>539</v>
      </c>
      <c r="AC930" s="463" t="s">
        <v>539</v>
      </c>
      <c r="AD930" s="472" t="s">
        <v>635</v>
      </c>
      <c r="AE930" s="463" t="s">
        <v>539</v>
      </c>
      <c r="AF930" s="463" t="s">
        <v>539</v>
      </c>
      <c r="AG930" s="463" t="s">
        <v>375</v>
      </c>
      <c r="AH930" s="476"/>
      <c r="AI930" s="472" t="s">
        <v>2477</v>
      </c>
      <c r="AJ930" s="464"/>
    </row>
    <row r="931" spans="2:36" ht="24" hidden="1" customHeight="1">
      <c r="B931" s="463">
        <v>759</v>
      </c>
      <c r="C931" s="464" t="s">
        <v>534</v>
      </c>
      <c r="D931" s="464"/>
      <c r="E931" s="464" t="s">
        <v>535</v>
      </c>
      <c r="F931" s="464"/>
      <c r="G931" s="464" t="s">
        <v>57</v>
      </c>
      <c r="H931" s="464" t="s">
        <v>2480</v>
      </c>
      <c r="I931" s="465" t="s">
        <v>537</v>
      </c>
      <c r="J931" s="465" t="s">
        <v>537</v>
      </c>
      <c r="K931" s="466">
        <v>31800</v>
      </c>
      <c r="L931" s="465" t="s">
        <v>537</v>
      </c>
      <c r="M931" s="465" t="s">
        <v>537</v>
      </c>
      <c r="N931" s="466">
        <v>31800</v>
      </c>
      <c r="O931" s="463" t="s">
        <v>537</v>
      </c>
      <c r="P931" s="463" t="s">
        <v>537</v>
      </c>
      <c r="Q931" s="465">
        <v>0</v>
      </c>
      <c r="R931" s="470">
        <v>241428</v>
      </c>
      <c r="S931" s="463" t="s">
        <v>919</v>
      </c>
      <c r="T931" s="463">
        <v>0</v>
      </c>
      <c r="U931" s="463">
        <v>70</v>
      </c>
      <c r="V931" s="463">
        <v>0</v>
      </c>
      <c r="W931" s="464"/>
      <c r="X931" s="463">
        <v>52</v>
      </c>
      <c r="Y931" s="464"/>
      <c r="Z931" s="463">
        <v>95</v>
      </c>
      <c r="AA931" s="472" t="s">
        <v>547</v>
      </c>
      <c r="AB931" s="463" t="s">
        <v>539</v>
      </c>
      <c r="AC931" s="463" t="s">
        <v>539</v>
      </c>
      <c r="AD931" s="472" t="s">
        <v>548</v>
      </c>
      <c r="AE931" s="463">
        <v>80</v>
      </c>
      <c r="AF931" s="463">
        <v>93.02</v>
      </c>
      <c r="AG931" s="463" t="s">
        <v>375</v>
      </c>
      <c r="AH931" s="476"/>
      <c r="AI931" s="472" t="s">
        <v>2367</v>
      </c>
      <c r="AJ931" s="472" t="s">
        <v>543</v>
      </c>
    </row>
    <row r="932" spans="2:36" ht="24" hidden="1" customHeight="1">
      <c r="B932" s="463">
        <v>760</v>
      </c>
      <c r="C932" s="464" t="s">
        <v>534</v>
      </c>
      <c r="D932" s="464"/>
      <c r="E932" s="464" t="s">
        <v>535</v>
      </c>
      <c r="F932" s="464"/>
      <c r="G932" s="464" t="s">
        <v>57</v>
      </c>
      <c r="H932" s="464" t="s">
        <v>2481</v>
      </c>
      <c r="I932" s="465" t="s">
        <v>537</v>
      </c>
      <c r="J932" s="465" t="s">
        <v>537</v>
      </c>
      <c r="K932" s="466">
        <v>19500</v>
      </c>
      <c r="L932" s="465" t="s">
        <v>537</v>
      </c>
      <c r="M932" s="465" t="s">
        <v>537</v>
      </c>
      <c r="N932" s="466">
        <v>19500</v>
      </c>
      <c r="O932" s="463" t="s">
        <v>537</v>
      </c>
      <c r="P932" s="463" t="s">
        <v>537</v>
      </c>
      <c r="Q932" s="465">
        <v>0</v>
      </c>
      <c r="R932" s="470">
        <v>241459</v>
      </c>
      <c r="S932" s="471">
        <v>22326</v>
      </c>
      <c r="T932" s="463">
        <v>130</v>
      </c>
      <c r="U932" s="463">
        <v>20</v>
      </c>
      <c r="V932" s="463">
        <v>0</v>
      </c>
      <c r="W932" s="463">
        <v>130</v>
      </c>
      <c r="X932" s="463">
        <v>20</v>
      </c>
      <c r="Y932" s="463" t="s">
        <v>537</v>
      </c>
      <c r="Z932" s="463">
        <v>92.8</v>
      </c>
      <c r="AA932" s="472" t="s">
        <v>547</v>
      </c>
      <c r="AB932" s="463" t="s">
        <v>539</v>
      </c>
      <c r="AC932" s="463" t="s">
        <v>539</v>
      </c>
      <c r="AD932" s="472" t="s">
        <v>548</v>
      </c>
      <c r="AE932" s="463">
        <v>80</v>
      </c>
      <c r="AF932" s="463">
        <v>85.83</v>
      </c>
      <c r="AG932" s="463" t="s">
        <v>375</v>
      </c>
      <c r="AH932" s="476"/>
      <c r="AI932" s="472" t="s">
        <v>2343</v>
      </c>
      <c r="AJ932" s="472" t="s">
        <v>543</v>
      </c>
    </row>
    <row r="933" spans="2:36" ht="24" hidden="1" customHeight="1">
      <c r="B933" s="463">
        <v>761</v>
      </c>
      <c r="C933" s="464" t="s">
        <v>534</v>
      </c>
      <c r="D933" s="464"/>
      <c r="E933" s="464" t="s">
        <v>535</v>
      </c>
      <c r="F933" s="464"/>
      <c r="G933" s="464" t="s">
        <v>57</v>
      </c>
      <c r="H933" s="464" t="s">
        <v>636</v>
      </c>
      <c r="I933" s="466">
        <v>200000</v>
      </c>
      <c r="J933" s="465" t="s">
        <v>537</v>
      </c>
      <c r="K933" s="465" t="s">
        <v>537</v>
      </c>
      <c r="L933" s="466">
        <v>192295</v>
      </c>
      <c r="M933" s="465" t="s">
        <v>537</v>
      </c>
      <c r="N933" s="465" t="s">
        <v>537</v>
      </c>
      <c r="O933" s="463" t="s">
        <v>537</v>
      </c>
      <c r="P933" s="463" t="s">
        <v>537</v>
      </c>
      <c r="Q933" s="468">
        <v>7705</v>
      </c>
      <c r="R933" s="470">
        <v>241609</v>
      </c>
      <c r="S933" s="463" t="s">
        <v>637</v>
      </c>
      <c r="T933" s="463">
        <v>190</v>
      </c>
      <c r="U933" s="463">
        <v>0</v>
      </c>
      <c r="V933" s="463">
        <v>0</v>
      </c>
      <c r="W933" s="463">
        <v>144</v>
      </c>
      <c r="X933" s="463">
        <v>60</v>
      </c>
      <c r="Y933" s="464"/>
      <c r="Z933" s="464"/>
      <c r="AA933" s="472" t="s">
        <v>728</v>
      </c>
      <c r="AB933" s="463">
        <v>1</v>
      </c>
      <c r="AC933" s="463">
        <v>2</v>
      </c>
      <c r="AD933" s="472" t="s">
        <v>651</v>
      </c>
      <c r="AE933" s="463">
        <v>1</v>
      </c>
      <c r="AF933" s="463">
        <v>2</v>
      </c>
      <c r="AG933" s="463" t="s">
        <v>375</v>
      </c>
      <c r="AH933" s="476"/>
      <c r="AI933" s="472">
        <v>843124488</v>
      </c>
      <c r="AJ933" s="464"/>
    </row>
    <row r="934" spans="2:36" ht="24" hidden="1" customHeight="1">
      <c r="B934" s="463">
        <v>762</v>
      </c>
      <c r="C934" s="464" t="s">
        <v>534</v>
      </c>
      <c r="D934" s="464"/>
      <c r="E934" s="464" t="s">
        <v>535</v>
      </c>
      <c r="F934" s="464"/>
      <c r="G934" s="464" t="s">
        <v>57</v>
      </c>
      <c r="H934" s="464" t="s">
        <v>2482</v>
      </c>
      <c r="I934" s="466">
        <v>50000</v>
      </c>
      <c r="J934" s="465" t="s">
        <v>537</v>
      </c>
      <c r="K934" s="465" t="s">
        <v>537</v>
      </c>
      <c r="L934" s="466">
        <v>33540</v>
      </c>
      <c r="M934" s="465" t="s">
        <v>537</v>
      </c>
      <c r="N934" s="465" t="s">
        <v>537</v>
      </c>
      <c r="O934" s="463" t="s">
        <v>537</v>
      </c>
      <c r="P934" s="463" t="s">
        <v>537</v>
      </c>
      <c r="Q934" s="468">
        <v>16460</v>
      </c>
      <c r="R934" s="470">
        <v>241487</v>
      </c>
      <c r="S934" s="463" t="s">
        <v>2483</v>
      </c>
      <c r="T934" s="463">
        <v>40</v>
      </c>
      <c r="U934" s="463">
        <v>5</v>
      </c>
      <c r="V934" s="463">
        <v>0</v>
      </c>
      <c r="W934" s="463">
        <v>56</v>
      </c>
      <c r="X934" s="463">
        <v>6</v>
      </c>
      <c r="Y934" s="463">
        <v>4</v>
      </c>
      <c r="Z934" s="463">
        <v>91.2</v>
      </c>
      <c r="AA934" s="472" t="s">
        <v>547</v>
      </c>
      <c r="AB934" s="463" t="s">
        <v>539</v>
      </c>
      <c r="AC934" s="463" t="s">
        <v>539</v>
      </c>
      <c r="AD934" s="472" t="s">
        <v>675</v>
      </c>
      <c r="AE934" s="463">
        <v>80</v>
      </c>
      <c r="AF934" s="463">
        <v>91.2</v>
      </c>
      <c r="AG934" s="463" t="s">
        <v>375</v>
      </c>
      <c r="AH934" s="476"/>
      <c r="AI934" s="472" t="s">
        <v>2356</v>
      </c>
      <c r="AJ934" s="464"/>
    </row>
    <row r="935" spans="2:36" ht="24" hidden="1" customHeight="1">
      <c r="B935" s="463">
        <v>763</v>
      </c>
      <c r="C935" s="464" t="s">
        <v>534</v>
      </c>
      <c r="D935" s="464"/>
      <c r="E935" s="464" t="s">
        <v>535</v>
      </c>
      <c r="F935" s="464"/>
      <c r="G935" s="464" t="s">
        <v>57</v>
      </c>
      <c r="H935" s="464" t="s">
        <v>2484</v>
      </c>
      <c r="I935" s="466">
        <v>60000</v>
      </c>
      <c r="J935" s="465" t="s">
        <v>537</v>
      </c>
      <c r="K935" s="465" t="s">
        <v>537</v>
      </c>
      <c r="L935" s="466">
        <v>6400</v>
      </c>
      <c r="M935" s="465" t="s">
        <v>537</v>
      </c>
      <c r="N935" s="465" t="s">
        <v>537</v>
      </c>
      <c r="O935" s="463" t="s">
        <v>537</v>
      </c>
      <c r="P935" s="463" t="s">
        <v>537</v>
      </c>
      <c r="Q935" s="468">
        <v>53600</v>
      </c>
      <c r="R935" s="470">
        <v>241518</v>
      </c>
      <c r="S935" s="463" t="s">
        <v>2370</v>
      </c>
      <c r="T935" s="463">
        <v>0</v>
      </c>
      <c r="U935" s="463">
        <v>2</v>
      </c>
      <c r="V935" s="463">
        <v>0</v>
      </c>
      <c r="W935" s="463" t="s">
        <v>537</v>
      </c>
      <c r="X935" s="463">
        <v>1</v>
      </c>
      <c r="Y935" s="463" t="s">
        <v>537</v>
      </c>
      <c r="Z935" s="463" t="s">
        <v>537</v>
      </c>
      <c r="AA935" s="472" t="s">
        <v>2362</v>
      </c>
      <c r="AB935" s="463" t="s">
        <v>539</v>
      </c>
      <c r="AC935" s="463" t="s">
        <v>539</v>
      </c>
      <c r="AD935" s="472" t="s">
        <v>635</v>
      </c>
      <c r="AE935" s="463" t="s">
        <v>539</v>
      </c>
      <c r="AF935" s="463" t="s">
        <v>539</v>
      </c>
      <c r="AG935" s="463" t="s">
        <v>375</v>
      </c>
      <c r="AH935" s="476"/>
      <c r="AI935" s="472" t="s">
        <v>2356</v>
      </c>
      <c r="AJ935" s="464"/>
    </row>
    <row r="936" spans="2:36" ht="24" hidden="1" customHeight="1">
      <c r="B936" s="463">
        <v>764</v>
      </c>
      <c r="C936" s="464" t="s">
        <v>534</v>
      </c>
      <c r="D936" s="464"/>
      <c r="E936" s="464" t="s">
        <v>535</v>
      </c>
      <c r="F936" s="464"/>
      <c r="G936" s="464" t="s">
        <v>57</v>
      </c>
      <c r="H936" s="464" t="s">
        <v>2485</v>
      </c>
      <c r="I936" s="466">
        <v>87000</v>
      </c>
      <c r="J936" s="465" t="s">
        <v>537</v>
      </c>
      <c r="K936" s="465" t="s">
        <v>537</v>
      </c>
      <c r="L936" s="466">
        <v>12382</v>
      </c>
      <c r="M936" s="465" t="s">
        <v>537</v>
      </c>
      <c r="N936" s="465" t="s">
        <v>537</v>
      </c>
      <c r="O936" s="463" t="s">
        <v>537</v>
      </c>
      <c r="P936" s="463" t="s">
        <v>537</v>
      </c>
      <c r="Q936" s="468">
        <v>74618</v>
      </c>
      <c r="R936" s="463" t="s">
        <v>2109</v>
      </c>
      <c r="S936" s="463" t="s">
        <v>2486</v>
      </c>
      <c r="T936" s="463">
        <v>5</v>
      </c>
      <c r="U936" s="463">
        <v>5</v>
      </c>
      <c r="V936" s="463">
        <v>0</v>
      </c>
      <c r="W936" s="463">
        <v>1</v>
      </c>
      <c r="X936" s="463">
        <v>1</v>
      </c>
      <c r="Y936" s="464"/>
      <c r="Z936" s="463" t="s">
        <v>537</v>
      </c>
      <c r="AA936" s="472" t="s">
        <v>547</v>
      </c>
      <c r="AB936" s="463" t="s">
        <v>539</v>
      </c>
      <c r="AC936" s="463" t="s">
        <v>539</v>
      </c>
      <c r="AD936" s="472" t="s">
        <v>733</v>
      </c>
      <c r="AE936" s="463">
        <v>1</v>
      </c>
      <c r="AF936" s="463">
        <v>1</v>
      </c>
      <c r="AG936" s="463" t="s">
        <v>375</v>
      </c>
      <c r="AH936" s="476"/>
      <c r="AI936" s="472" t="s">
        <v>2356</v>
      </c>
      <c r="AJ936" s="464"/>
    </row>
    <row r="937" spans="2:36" ht="24" hidden="1" customHeight="1">
      <c r="B937" s="701">
        <v>765</v>
      </c>
      <c r="C937" s="699" t="s">
        <v>534</v>
      </c>
      <c r="D937" s="699"/>
      <c r="E937" s="699" t="s">
        <v>577</v>
      </c>
      <c r="F937" s="699"/>
      <c r="G937" s="699" t="s">
        <v>57</v>
      </c>
      <c r="H937" s="699" t="s">
        <v>2487</v>
      </c>
      <c r="I937" s="709" t="s">
        <v>537</v>
      </c>
      <c r="J937" s="709" t="s">
        <v>537</v>
      </c>
      <c r="K937" s="712">
        <v>170000</v>
      </c>
      <c r="L937" s="709" t="s">
        <v>537</v>
      </c>
      <c r="M937" s="709" t="s">
        <v>537</v>
      </c>
      <c r="N937" s="712">
        <v>169330.6</v>
      </c>
      <c r="O937" s="701" t="s">
        <v>537</v>
      </c>
      <c r="P937" s="701" t="s">
        <v>537</v>
      </c>
      <c r="Q937" s="709">
        <v>669</v>
      </c>
      <c r="R937" s="701" t="s">
        <v>2329</v>
      </c>
      <c r="S937" s="701" t="s">
        <v>2488</v>
      </c>
      <c r="T937" s="701">
        <v>0</v>
      </c>
      <c r="U937" s="701">
        <v>0</v>
      </c>
      <c r="V937" s="701">
        <v>0</v>
      </c>
      <c r="W937" s="699"/>
      <c r="X937" s="699"/>
      <c r="Y937" s="699"/>
      <c r="Z937" s="701" t="s">
        <v>537</v>
      </c>
      <c r="AA937" s="458" t="s">
        <v>2489</v>
      </c>
      <c r="AB937" s="459" t="s">
        <v>539</v>
      </c>
      <c r="AC937" s="459" t="s">
        <v>539</v>
      </c>
      <c r="AD937" s="458" t="s">
        <v>2490</v>
      </c>
      <c r="AE937" s="459">
        <v>1</v>
      </c>
      <c r="AF937" s="459">
        <v>1</v>
      </c>
      <c r="AG937" s="701" t="s">
        <v>375</v>
      </c>
      <c r="AH937" s="728"/>
      <c r="AI937" s="697" t="s">
        <v>1027</v>
      </c>
      <c r="AJ937" s="697" t="s">
        <v>543</v>
      </c>
    </row>
    <row r="938" spans="2:36" ht="24" hidden="1" customHeight="1">
      <c r="B938" s="715"/>
      <c r="C938" s="714"/>
      <c r="D938" s="714"/>
      <c r="E938" s="714"/>
      <c r="F938" s="714"/>
      <c r="G938" s="714"/>
      <c r="H938" s="714"/>
      <c r="I938" s="717"/>
      <c r="J938" s="717"/>
      <c r="K938" s="720"/>
      <c r="L938" s="717"/>
      <c r="M938" s="717"/>
      <c r="N938" s="720"/>
      <c r="O938" s="715"/>
      <c r="P938" s="715"/>
      <c r="Q938" s="717"/>
      <c r="R938" s="715"/>
      <c r="S938" s="715"/>
      <c r="T938" s="715"/>
      <c r="U938" s="715"/>
      <c r="V938" s="715"/>
      <c r="W938" s="714"/>
      <c r="X938" s="714"/>
      <c r="Y938" s="714"/>
      <c r="Z938" s="715"/>
      <c r="AA938" s="460" t="s">
        <v>2491</v>
      </c>
      <c r="AB938" s="461" t="s">
        <v>539</v>
      </c>
      <c r="AC938" s="461" t="s">
        <v>539</v>
      </c>
      <c r="AD938" s="460" t="s">
        <v>2492</v>
      </c>
      <c r="AE938" s="461">
        <v>2</v>
      </c>
      <c r="AF938" s="461">
        <v>3</v>
      </c>
      <c r="AG938" s="715"/>
      <c r="AH938" s="730"/>
      <c r="AI938" s="711"/>
      <c r="AJ938" s="711"/>
    </row>
    <row r="939" spans="2:36" ht="24" hidden="1" customHeight="1">
      <c r="B939" s="702"/>
      <c r="C939" s="700"/>
      <c r="D939" s="700"/>
      <c r="E939" s="700"/>
      <c r="F939" s="700"/>
      <c r="G939" s="700"/>
      <c r="H939" s="700"/>
      <c r="I939" s="710"/>
      <c r="J939" s="710"/>
      <c r="K939" s="713"/>
      <c r="L939" s="710"/>
      <c r="M939" s="710"/>
      <c r="N939" s="713"/>
      <c r="O939" s="702"/>
      <c r="P939" s="702"/>
      <c r="Q939" s="710"/>
      <c r="R939" s="702"/>
      <c r="S939" s="702"/>
      <c r="T939" s="702"/>
      <c r="U939" s="702"/>
      <c r="V939" s="702"/>
      <c r="W939" s="700"/>
      <c r="X939" s="700"/>
      <c r="Y939" s="700"/>
      <c r="Z939" s="702"/>
      <c r="AA939" s="473" t="s">
        <v>2493</v>
      </c>
      <c r="AB939" s="474" t="s">
        <v>539</v>
      </c>
      <c r="AC939" s="474" t="s">
        <v>539</v>
      </c>
      <c r="AD939" s="462"/>
      <c r="AE939" s="462"/>
      <c r="AF939" s="462"/>
      <c r="AG939" s="702"/>
      <c r="AH939" s="729"/>
      <c r="AI939" s="698"/>
      <c r="AJ939" s="698"/>
    </row>
    <row r="940" spans="2:36" ht="24" hidden="1" customHeight="1">
      <c r="B940" s="463">
        <v>766</v>
      </c>
      <c r="C940" s="464" t="s">
        <v>337</v>
      </c>
      <c r="D940" s="464"/>
      <c r="E940" s="464" t="s">
        <v>545</v>
      </c>
      <c r="F940" s="464"/>
      <c r="G940" s="464" t="s">
        <v>57</v>
      </c>
      <c r="H940" s="464" t="s">
        <v>2494</v>
      </c>
      <c r="I940" s="465" t="s">
        <v>537</v>
      </c>
      <c r="J940" s="465" t="s">
        <v>537</v>
      </c>
      <c r="K940" s="466">
        <v>60000</v>
      </c>
      <c r="L940" s="465" t="s">
        <v>537</v>
      </c>
      <c r="M940" s="465" t="s">
        <v>537</v>
      </c>
      <c r="N940" s="466">
        <v>53948.79</v>
      </c>
      <c r="O940" s="463" t="s">
        <v>537</v>
      </c>
      <c r="P940" s="463" t="s">
        <v>537</v>
      </c>
      <c r="Q940" s="468">
        <v>6051</v>
      </c>
      <c r="R940" s="463" t="s">
        <v>1214</v>
      </c>
      <c r="S940" s="463" t="s">
        <v>1122</v>
      </c>
      <c r="T940" s="463">
        <v>10</v>
      </c>
      <c r="U940" s="463">
        <v>3</v>
      </c>
      <c r="V940" s="463">
        <v>20</v>
      </c>
      <c r="W940" s="463" t="s">
        <v>537</v>
      </c>
      <c r="X940" s="463" t="s">
        <v>537</v>
      </c>
      <c r="Y940" s="463" t="s">
        <v>537</v>
      </c>
      <c r="Z940" s="463" t="s">
        <v>537</v>
      </c>
      <c r="AA940" s="472" t="s">
        <v>2495</v>
      </c>
      <c r="AB940" s="463" t="s">
        <v>539</v>
      </c>
      <c r="AC940" s="463" t="s">
        <v>539</v>
      </c>
      <c r="AD940" s="472" t="s">
        <v>2496</v>
      </c>
      <c r="AE940" s="463" t="s">
        <v>539</v>
      </c>
      <c r="AF940" s="463" t="s">
        <v>539</v>
      </c>
      <c r="AG940" s="463" t="s">
        <v>375</v>
      </c>
      <c r="AH940" s="476"/>
      <c r="AI940" s="472" t="s">
        <v>1027</v>
      </c>
      <c r="AJ940" s="472" t="s">
        <v>543</v>
      </c>
    </row>
    <row r="941" spans="2:36" ht="24" hidden="1" customHeight="1">
      <c r="B941" s="701">
        <v>767</v>
      </c>
      <c r="C941" s="699" t="s">
        <v>337</v>
      </c>
      <c r="D941" s="699"/>
      <c r="E941" s="699" t="s">
        <v>545</v>
      </c>
      <c r="F941" s="699"/>
      <c r="G941" s="699" t="s">
        <v>57</v>
      </c>
      <c r="H941" s="699" t="s">
        <v>2497</v>
      </c>
      <c r="I941" s="712">
        <v>34000</v>
      </c>
      <c r="J941" s="709" t="s">
        <v>537</v>
      </c>
      <c r="K941" s="709" t="s">
        <v>537</v>
      </c>
      <c r="L941" s="712">
        <v>33592</v>
      </c>
      <c r="M941" s="709" t="s">
        <v>537</v>
      </c>
      <c r="N941" s="709" t="s">
        <v>537</v>
      </c>
      <c r="O941" s="701" t="s">
        <v>537</v>
      </c>
      <c r="P941" s="701" t="s">
        <v>537</v>
      </c>
      <c r="Q941" s="709">
        <v>408</v>
      </c>
      <c r="R941" s="707">
        <v>241609</v>
      </c>
      <c r="S941" s="701" t="s">
        <v>2498</v>
      </c>
      <c r="T941" s="701">
        <v>2</v>
      </c>
      <c r="U941" s="701">
        <v>3</v>
      </c>
      <c r="V941" s="701">
        <v>20</v>
      </c>
      <c r="W941" s="701">
        <v>2</v>
      </c>
      <c r="X941" s="701">
        <v>5</v>
      </c>
      <c r="Y941" s="701">
        <v>25</v>
      </c>
      <c r="Z941" s="701">
        <v>90.2</v>
      </c>
      <c r="AA941" s="458" t="s">
        <v>2499</v>
      </c>
      <c r="AB941" s="459" t="s">
        <v>539</v>
      </c>
      <c r="AC941" s="459" t="s">
        <v>539</v>
      </c>
      <c r="AD941" s="458" t="s">
        <v>2500</v>
      </c>
      <c r="AE941" s="459" t="s">
        <v>539</v>
      </c>
      <c r="AF941" s="459" t="s">
        <v>539</v>
      </c>
      <c r="AG941" s="701" t="s">
        <v>375</v>
      </c>
      <c r="AH941" s="728"/>
      <c r="AI941" s="697" t="s">
        <v>2501</v>
      </c>
      <c r="AJ941" s="699"/>
    </row>
    <row r="942" spans="2:36" ht="24" hidden="1" customHeight="1">
      <c r="B942" s="702"/>
      <c r="C942" s="700"/>
      <c r="D942" s="700"/>
      <c r="E942" s="700"/>
      <c r="F942" s="700"/>
      <c r="G942" s="700"/>
      <c r="H942" s="700"/>
      <c r="I942" s="713"/>
      <c r="J942" s="710"/>
      <c r="K942" s="710"/>
      <c r="L942" s="713"/>
      <c r="M942" s="710"/>
      <c r="N942" s="710"/>
      <c r="O942" s="702"/>
      <c r="P942" s="702"/>
      <c r="Q942" s="710"/>
      <c r="R942" s="708"/>
      <c r="S942" s="702"/>
      <c r="T942" s="702"/>
      <c r="U942" s="702"/>
      <c r="V942" s="702"/>
      <c r="W942" s="702"/>
      <c r="X942" s="702"/>
      <c r="Y942" s="702"/>
      <c r="Z942" s="702"/>
      <c r="AA942" s="473" t="s">
        <v>2502</v>
      </c>
      <c r="AB942" s="474" t="s">
        <v>539</v>
      </c>
      <c r="AC942" s="474" t="s">
        <v>539</v>
      </c>
      <c r="AD942" s="473" t="s">
        <v>1527</v>
      </c>
      <c r="AE942" s="474">
        <v>80</v>
      </c>
      <c r="AF942" s="474">
        <v>90</v>
      </c>
      <c r="AG942" s="702"/>
      <c r="AH942" s="729"/>
      <c r="AI942" s="698"/>
      <c r="AJ942" s="700"/>
    </row>
    <row r="943" spans="2:36" ht="24" hidden="1" customHeight="1">
      <c r="B943" s="701">
        <v>768</v>
      </c>
      <c r="C943" s="699" t="s">
        <v>337</v>
      </c>
      <c r="D943" s="699"/>
      <c r="E943" s="699" t="s">
        <v>545</v>
      </c>
      <c r="F943" s="699"/>
      <c r="G943" s="699" t="s">
        <v>57</v>
      </c>
      <c r="H943" s="699" t="s">
        <v>2503</v>
      </c>
      <c r="I943" s="712">
        <v>24700</v>
      </c>
      <c r="J943" s="709" t="s">
        <v>537</v>
      </c>
      <c r="K943" s="709" t="s">
        <v>537</v>
      </c>
      <c r="L943" s="712">
        <v>22200</v>
      </c>
      <c r="M943" s="709" t="s">
        <v>537</v>
      </c>
      <c r="N943" s="709" t="s">
        <v>537</v>
      </c>
      <c r="O943" s="701" t="s">
        <v>537</v>
      </c>
      <c r="P943" s="701" t="s">
        <v>537</v>
      </c>
      <c r="Q943" s="705">
        <v>2500</v>
      </c>
      <c r="R943" s="707">
        <v>241579</v>
      </c>
      <c r="S943" s="701" t="s">
        <v>2504</v>
      </c>
      <c r="T943" s="701">
        <v>2</v>
      </c>
      <c r="U943" s="701">
        <v>3</v>
      </c>
      <c r="V943" s="701">
        <v>15</v>
      </c>
      <c r="W943" s="701">
        <v>5</v>
      </c>
      <c r="X943" s="701" t="s">
        <v>537</v>
      </c>
      <c r="Y943" s="701">
        <v>20</v>
      </c>
      <c r="Z943" s="701">
        <v>91.6</v>
      </c>
      <c r="AA943" s="458" t="s">
        <v>2505</v>
      </c>
      <c r="AB943" s="459">
        <v>3</v>
      </c>
      <c r="AC943" s="459">
        <v>3</v>
      </c>
      <c r="AD943" s="458" t="s">
        <v>2506</v>
      </c>
      <c r="AE943" s="459" t="s">
        <v>539</v>
      </c>
      <c r="AF943" s="459" t="s">
        <v>539</v>
      </c>
      <c r="AG943" s="701" t="s">
        <v>375</v>
      </c>
      <c r="AH943" s="728"/>
      <c r="AI943" s="697">
        <v>813119507</v>
      </c>
      <c r="AJ943" s="699"/>
    </row>
    <row r="944" spans="2:36" ht="24" hidden="1" customHeight="1">
      <c r="B944" s="702"/>
      <c r="C944" s="700"/>
      <c r="D944" s="700"/>
      <c r="E944" s="700"/>
      <c r="F944" s="700"/>
      <c r="G944" s="700"/>
      <c r="H944" s="700"/>
      <c r="I944" s="713"/>
      <c r="J944" s="710"/>
      <c r="K944" s="710"/>
      <c r="L944" s="713"/>
      <c r="M944" s="710"/>
      <c r="N944" s="710"/>
      <c r="O944" s="702"/>
      <c r="P944" s="702"/>
      <c r="Q944" s="706"/>
      <c r="R944" s="708"/>
      <c r="S944" s="702"/>
      <c r="T944" s="702"/>
      <c r="U944" s="702"/>
      <c r="V944" s="702"/>
      <c r="W944" s="702"/>
      <c r="X944" s="702"/>
      <c r="Y944" s="702"/>
      <c r="Z944" s="702"/>
      <c r="AA944" s="473" t="s">
        <v>2502</v>
      </c>
      <c r="AB944" s="474" t="s">
        <v>539</v>
      </c>
      <c r="AC944" s="474" t="s">
        <v>539</v>
      </c>
      <c r="AD944" s="473" t="s">
        <v>1527</v>
      </c>
      <c r="AE944" s="474">
        <v>80</v>
      </c>
      <c r="AF944" s="474">
        <v>90</v>
      </c>
      <c r="AG944" s="702"/>
      <c r="AH944" s="729"/>
      <c r="AI944" s="698"/>
      <c r="AJ944" s="700"/>
    </row>
    <row r="945" spans="2:36" ht="24" hidden="1" customHeight="1">
      <c r="B945" s="701">
        <v>769</v>
      </c>
      <c r="C945" s="699" t="s">
        <v>337</v>
      </c>
      <c r="D945" s="699"/>
      <c r="E945" s="699" t="s">
        <v>545</v>
      </c>
      <c r="F945" s="699"/>
      <c r="G945" s="699" t="s">
        <v>57</v>
      </c>
      <c r="H945" s="699" t="s">
        <v>2507</v>
      </c>
      <c r="I945" s="712">
        <v>45000</v>
      </c>
      <c r="J945" s="709" t="s">
        <v>537</v>
      </c>
      <c r="K945" s="709" t="s">
        <v>537</v>
      </c>
      <c r="L945" s="712">
        <v>2850</v>
      </c>
      <c r="M945" s="709" t="s">
        <v>537</v>
      </c>
      <c r="N945" s="709" t="s">
        <v>537</v>
      </c>
      <c r="O945" s="701" t="s">
        <v>537</v>
      </c>
      <c r="P945" s="701" t="s">
        <v>537</v>
      </c>
      <c r="Q945" s="705">
        <v>42150</v>
      </c>
      <c r="R945" s="707">
        <v>241518</v>
      </c>
      <c r="S945" s="721">
        <v>22401</v>
      </c>
      <c r="T945" s="701">
        <v>2</v>
      </c>
      <c r="U945" s="701">
        <v>3</v>
      </c>
      <c r="V945" s="701">
        <v>10</v>
      </c>
      <c r="W945" s="701" t="s">
        <v>537</v>
      </c>
      <c r="X945" s="701">
        <v>5</v>
      </c>
      <c r="Y945" s="701">
        <v>10</v>
      </c>
      <c r="Z945" s="701">
        <v>89.6</v>
      </c>
      <c r="AA945" s="458" t="s">
        <v>2508</v>
      </c>
      <c r="AB945" s="459" t="s">
        <v>539</v>
      </c>
      <c r="AC945" s="459" t="s">
        <v>539</v>
      </c>
      <c r="AD945" s="458" t="s">
        <v>2509</v>
      </c>
      <c r="AE945" s="459">
        <v>1</v>
      </c>
      <c r="AF945" s="459">
        <v>1</v>
      </c>
      <c r="AG945" s="701" t="s">
        <v>375</v>
      </c>
      <c r="AH945" s="728"/>
      <c r="AI945" s="697" t="s">
        <v>2510</v>
      </c>
      <c r="AJ945" s="699"/>
    </row>
    <row r="946" spans="2:36" ht="24" hidden="1" customHeight="1">
      <c r="B946" s="702"/>
      <c r="C946" s="700"/>
      <c r="D946" s="700"/>
      <c r="E946" s="700"/>
      <c r="F946" s="700"/>
      <c r="G946" s="700"/>
      <c r="H946" s="700"/>
      <c r="I946" s="713"/>
      <c r="J946" s="710"/>
      <c r="K946" s="710"/>
      <c r="L946" s="713"/>
      <c r="M946" s="710"/>
      <c r="N946" s="710"/>
      <c r="O946" s="702"/>
      <c r="P946" s="702"/>
      <c r="Q946" s="706"/>
      <c r="R946" s="708"/>
      <c r="S946" s="722"/>
      <c r="T946" s="702"/>
      <c r="U946" s="702"/>
      <c r="V946" s="702"/>
      <c r="W946" s="702"/>
      <c r="X946" s="702"/>
      <c r="Y946" s="702"/>
      <c r="Z946" s="702"/>
      <c r="AA946" s="473" t="s">
        <v>2502</v>
      </c>
      <c r="AB946" s="474" t="s">
        <v>539</v>
      </c>
      <c r="AC946" s="474" t="s">
        <v>539</v>
      </c>
      <c r="AD946" s="473" t="s">
        <v>1527</v>
      </c>
      <c r="AE946" s="474">
        <v>80</v>
      </c>
      <c r="AF946" s="474">
        <v>90</v>
      </c>
      <c r="AG946" s="702"/>
      <c r="AH946" s="729"/>
      <c r="AI946" s="698"/>
      <c r="AJ946" s="700"/>
    </row>
    <row r="947" spans="2:36" ht="24" hidden="1" customHeight="1">
      <c r="B947" s="701">
        <v>770</v>
      </c>
      <c r="C947" s="699" t="s">
        <v>337</v>
      </c>
      <c r="D947" s="699"/>
      <c r="E947" s="699" t="s">
        <v>545</v>
      </c>
      <c r="F947" s="699"/>
      <c r="G947" s="699" t="s">
        <v>57</v>
      </c>
      <c r="H947" s="699" t="s">
        <v>2511</v>
      </c>
      <c r="I947" s="712">
        <v>25000</v>
      </c>
      <c r="J947" s="709" t="s">
        <v>537</v>
      </c>
      <c r="K947" s="709" t="s">
        <v>537</v>
      </c>
      <c r="L947" s="712">
        <v>25000</v>
      </c>
      <c r="M947" s="709" t="s">
        <v>537</v>
      </c>
      <c r="N947" s="709" t="s">
        <v>537</v>
      </c>
      <c r="O947" s="701" t="s">
        <v>537</v>
      </c>
      <c r="P947" s="701" t="s">
        <v>537</v>
      </c>
      <c r="Q947" s="709">
        <v>0</v>
      </c>
      <c r="R947" s="707">
        <v>241459</v>
      </c>
      <c r="S947" s="721">
        <v>22333</v>
      </c>
      <c r="T947" s="701">
        <v>2</v>
      </c>
      <c r="U947" s="701">
        <v>3</v>
      </c>
      <c r="V947" s="701">
        <v>10</v>
      </c>
      <c r="W947" s="701">
        <v>2</v>
      </c>
      <c r="X947" s="701">
        <v>3</v>
      </c>
      <c r="Y947" s="701">
        <v>10</v>
      </c>
      <c r="Z947" s="701">
        <v>90.8</v>
      </c>
      <c r="AA947" s="458" t="s">
        <v>2508</v>
      </c>
      <c r="AB947" s="459" t="s">
        <v>539</v>
      </c>
      <c r="AC947" s="459" t="s">
        <v>539</v>
      </c>
      <c r="AD947" s="458" t="s">
        <v>2512</v>
      </c>
      <c r="AE947" s="459">
        <v>1</v>
      </c>
      <c r="AF947" s="459">
        <v>1</v>
      </c>
      <c r="AG947" s="701" t="s">
        <v>375</v>
      </c>
      <c r="AH947" s="728"/>
      <c r="AI947" s="697" t="s">
        <v>1027</v>
      </c>
      <c r="AJ947" s="699"/>
    </row>
    <row r="948" spans="2:36" ht="24" hidden="1" customHeight="1">
      <c r="B948" s="702"/>
      <c r="C948" s="700"/>
      <c r="D948" s="700"/>
      <c r="E948" s="700"/>
      <c r="F948" s="700"/>
      <c r="G948" s="700"/>
      <c r="H948" s="700"/>
      <c r="I948" s="713"/>
      <c r="J948" s="710"/>
      <c r="K948" s="710"/>
      <c r="L948" s="713"/>
      <c r="M948" s="710"/>
      <c r="N948" s="710"/>
      <c r="O948" s="702"/>
      <c r="P948" s="702"/>
      <c r="Q948" s="710"/>
      <c r="R948" s="708"/>
      <c r="S948" s="722"/>
      <c r="T948" s="702"/>
      <c r="U948" s="702"/>
      <c r="V948" s="702"/>
      <c r="W948" s="702"/>
      <c r="X948" s="702"/>
      <c r="Y948" s="702"/>
      <c r="Z948" s="702"/>
      <c r="AA948" s="473" t="s">
        <v>2502</v>
      </c>
      <c r="AB948" s="474" t="s">
        <v>539</v>
      </c>
      <c r="AC948" s="474" t="s">
        <v>539</v>
      </c>
      <c r="AD948" s="473" t="s">
        <v>1527</v>
      </c>
      <c r="AE948" s="474">
        <v>80</v>
      </c>
      <c r="AF948" s="474">
        <v>91.4</v>
      </c>
      <c r="AG948" s="702"/>
      <c r="AH948" s="729"/>
      <c r="AI948" s="698"/>
      <c r="AJ948" s="700"/>
    </row>
    <row r="949" spans="2:36" ht="24" hidden="1" customHeight="1">
      <c r="B949" s="701">
        <v>771</v>
      </c>
      <c r="C949" s="699" t="s">
        <v>337</v>
      </c>
      <c r="D949" s="699"/>
      <c r="E949" s="699" t="s">
        <v>545</v>
      </c>
      <c r="F949" s="699"/>
      <c r="G949" s="699" t="s">
        <v>57</v>
      </c>
      <c r="H949" s="699" t="s">
        <v>2513</v>
      </c>
      <c r="I949" s="712">
        <v>25000</v>
      </c>
      <c r="J949" s="709" t="s">
        <v>537</v>
      </c>
      <c r="K949" s="709" t="s">
        <v>537</v>
      </c>
      <c r="L949" s="712">
        <v>18903</v>
      </c>
      <c r="M949" s="709" t="s">
        <v>537</v>
      </c>
      <c r="N949" s="709" t="s">
        <v>537</v>
      </c>
      <c r="O949" s="701" t="s">
        <v>537</v>
      </c>
      <c r="P949" s="701" t="s">
        <v>537</v>
      </c>
      <c r="Q949" s="705">
        <v>6097</v>
      </c>
      <c r="R949" s="707">
        <v>241518</v>
      </c>
      <c r="S949" s="701" t="s">
        <v>709</v>
      </c>
      <c r="T949" s="701">
        <v>2</v>
      </c>
      <c r="U949" s="701">
        <v>3</v>
      </c>
      <c r="V949" s="701">
        <v>10</v>
      </c>
      <c r="W949" s="701">
        <v>0</v>
      </c>
      <c r="X949" s="701">
        <v>5</v>
      </c>
      <c r="Y949" s="701">
        <v>10</v>
      </c>
      <c r="Z949" s="701">
        <v>93.4</v>
      </c>
      <c r="AA949" s="458" t="s">
        <v>2514</v>
      </c>
      <c r="AB949" s="459" t="s">
        <v>539</v>
      </c>
      <c r="AC949" s="459" t="s">
        <v>539</v>
      </c>
      <c r="AD949" s="458" t="s">
        <v>2515</v>
      </c>
      <c r="AE949" s="459">
        <v>2</v>
      </c>
      <c r="AF949" s="459">
        <v>2</v>
      </c>
      <c r="AG949" s="701" t="s">
        <v>376</v>
      </c>
      <c r="AH949" s="728"/>
      <c r="AI949" s="697" t="s">
        <v>1027</v>
      </c>
      <c r="AJ949" s="699"/>
    </row>
    <row r="950" spans="2:36" ht="24" hidden="1" customHeight="1">
      <c r="B950" s="702"/>
      <c r="C950" s="700"/>
      <c r="D950" s="700"/>
      <c r="E950" s="700"/>
      <c r="F950" s="700"/>
      <c r="G950" s="700"/>
      <c r="H950" s="700"/>
      <c r="I950" s="713"/>
      <c r="J950" s="710"/>
      <c r="K950" s="710"/>
      <c r="L950" s="713"/>
      <c r="M950" s="710"/>
      <c r="N950" s="710"/>
      <c r="O950" s="702"/>
      <c r="P950" s="702"/>
      <c r="Q950" s="706"/>
      <c r="R950" s="708"/>
      <c r="S950" s="702"/>
      <c r="T950" s="702"/>
      <c r="U950" s="702"/>
      <c r="V950" s="702"/>
      <c r="W950" s="702"/>
      <c r="X950" s="702"/>
      <c r="Y950" s="702"/>
      <c r="Z950" s="702"/>
      <c r="AA950" s="473" t="s">
        <v>2502</v>
      </c>
      <c r="AB950" s="474" t="s">
        <v>539</v>
      </c>
      <c r="AC950" s="474" t="s">
        <v>539</v>
      </c>
      <c r="AD950" s="473" t="s">
        <v>1527</v>
      </c>
      <c r="AE950" s="474">
        <v>80</v>
      </c>
      <c r="AF950" s="474" t="s">
        <v>537</v>
      </c>
      <c r="AG950" s="702"/>
      <c r="AH950" s="729"/>
      <c r="AI950" s="698"/>
      <c r="AJ950" s="700"/>
    </row>
    <row r="951" spans="2:36" ht="24" hidden="1" customHeight="1">
      <c r="B951" s="701">
        <v>772</v>
      </c>
      <c r="C951" s="699" t="s">
        <v>337</v>
      </c>
      <c r="D951" s="699"/>
      <c r="E951" s="699" t="s">
        <v>545</v>
      </c>
      <c r="F951" s="699"/>
      <c r="G951" s="699" t="s">
        <v>57</v>
      </c>
      <c r="H951" s="699" t="s">
        <v>2516</v>
      </c>
      <c r="I951" s="712">
        <v>25000</v>
      </c>
      <c r="J951" s="709" t="s">
        <v>537</v>
      </c>
      <c r="K951" s="709" t="s">
        <v>537</v>
      </c>
      <c r="L951" s="709">
        <v>0</v>
      </c>
      <c r="M951" s="709" t="s">
        <v>537</v>
      </c>
      <c r="N951" s="709" t="s">
        <v>537</v>
      </c>
      <c r="O951" s="701" t="s">
        <v>537</v>
      </c>
      <c r="P951" s="701" t="s">
        <v>537</v>
      </c>
      <c r="Q951" s="705">
        <v>25000</v>
      </c>
      <c r="R951" s="701" t="s">
        <v>643</v>
      </c>
      <c r="S951" s="721">
        <v>22447</v>
      </c>
      <c r="T951" s="701">
        <v>2</v>
      </c>
      <c r="U951" s="701">
        <v>3</v>
      </c>
      <c r="V951" s="701">
        <v>10</v>
      </c>
      <c r="W951" s="701">
        <v>2</v>
      </c>
      <c r="X951" s="701">
        <v>3</v>
      </c>
      <c r="Y951" s="701">
        <v>10</v>
      </c>
      <c r="Z951" s="701">
        <v>91.6</v>
      </c>
      <c r="AA951" s="458" t="s">
        <v>2517</v>
      </c>
      <c r="AB951" s="459" t="s">
        <v>539</v>
      </c>
      <c r="AC951" s="459" t="s">
        <v>539</v>
      </c>
      <c r="AD951" s="458" t="s">
        <v>2518</v>
      </c>
      <c r="AE951" s="459" t="s">
        <v>539</v>
      </c>
      <c r="AF951" s="459" t="s">
        <v>539</v>
      </c>
      <c r="AG951" s="701" t="s">
        <v>375</v>
      </c>
      <c r="AH951" s="728"/>
      <c r="AI951" s="697" t="s">
        <v>2519</v>
      </c>
      <c r="AJ951" s="699"/>
    </row>
    <row r="952" spans="2:36" ht="24" hidden="1" customHeight="1">
      <c r="B952" s="702"/>
      <c r="C952" s="700"/>
      <c r="D952" s="700"/>
      <c r="E952" s="700"/>
      <c r="F952" s="700"/>
      <c r="G952" s="700"/>
      <c r="H952" s="700"/>
      <c r="I952" s="713"/>
      <c r="J952" s="710"/>
      <c r="K952" s="710"/>
      <c r="L952" s="710"/>
      <c r="M952" s="710"/>
      <c r="N952" s="710"/>
      <c r="O952" s="702"/>
      <c r="P952" s="702"/>
      <c r="Q952" s="706"/>
      <c r="R952" s="702"/>
      <c r="S952" s="722"/>
      <c r="T952" s="702"/>
      <c r="U952" s="702"/>
      <c r="V952" s="702"/>
      <c r="W952" s="702"/>
      <c r="X952" s="702"/>
      <c r="Y952" s="702"/>
      <c r="Z952" s="702"/>
      <c r="AA952" s="473" t="s">
        <v>2502</v>
      </c>
      <c r="AB952" s="474" t="s">
        <v>539</v>
      </c>
      <c r="AC952" s="474" t="s">
        <v>539</v>
      </c>
      <c r="AD952" s="473" t="s">
        <v>1527</v>
      </c>
      <c r="AE952" s="474">
        <v>80</v>
      </c>
      <c r="AF952" s="474">
        <v>80</v>
      </c>
      <c r="AG952" s="702"/>
      <c r="AH952" s="729"/>
      <c r="AI952" s="698"/>
      <c r="AJ952" s="700"/>
    </row>
    <row r="953" spans="2:36" ht="24" hidden="1" customHeight="1">
      <c r="B953" s="701">
        <v>773</v>
      </c>
      <c r="C953" s="699" t="s">
        <v>337</v>
      </c>
      <c r="D953" s="699"/>
      <c r="E953" s="699" t="s">
        <v>545</v>
      </c>
      <c r="F953" s="699"/>
      <c r="G953" s="699" t="s">
        <v>57</v>
      </c>
      <c r="H953" s="699" t="s">
        <v>2520</v>
      </c>
      <c r="I953" s="712">
        <v>30000</v>
      </c>
      <c r="J953" s="709" t="s">
        <v>537</v>
      </c>
      <c r="K953" s="709" t="s">
        <v>537</v>
      </c>
      <c r="L953" s="712">
        <v>9600</v>
      </c>
      <c r="M953" s="709" t="s">
        <v>537</v>
      </c>
      <c r="N953" s="709" t="s">
        <v>537</v>
      </c>
      <c r="O953" s="701" t="s">
        <v>537</v>
      </c>
      <c r="P953" s="701" t="s">
        <v>537</v>
      </c>
      <c r="Q953" s="705">
        <v>20400</v>
      </c>
      <c r="R953" s="707">
        <v>241609</v>
      </c>
      <c r="S953" s="701" t="s">
        <v>2521</v>
      </c>
      <c r="T953" s="701">
        <v>4</v>
      </c>
      <c r="U953" s="701">
        <v>6</v>
      </c>
      <c r="V953" s="701">
        <v>10</v>
      </c>
      <c r="W953" s="701">
        <v>5</v>
      </c>
      <c r="X953" s="701">
        <v>5</v>
      </c>
      <c r="Y953" s="701">
        <v>10</v>
      </c>
      <c r="Z953" s="701">
        <v>-94</v>
      </c>
      <c r="AA953" s="458" t="s">
        <v>2522</v>
      </c>
      <c r="AB953" s="459" t="s">
        <v>539</v>
      </c>
      <c r="AC953" s="459" t="s">
        <v>539</v>
      </c>
      <c r="AD953" s="458" t="s">
        <v>2523</v>
      </c>
      <c r="AE953" s="459" t="s">
        <v>539</v>
      </c>
      <c r="AF953" s="459" t="s">
        <v>539</v>
      </c>
      <c r="AG953" s="701" t="s">
        <v>375</v>
      </c>
      <c r="AH953" s="728"/>
      <c r="AI953" s="697" t="s">
        <v>2359</v>
      </c>
      <c r="AJ953" s="699"/>
    </row>
    <row r="954" spans="2:36" ht="24" hidden="1" customHeight="1">
      <c r="B954" s="702"/>
      <c r="C954" s="700"/>
      <c r="D954" s="700"/>
      <c r="E954" s="700"/>
      <c r="F954" s="700"/>
      <c r="G954" s="700"/>
      <c r="H954" s="700"/>
      <c r="I954" s="713"/>
      <c r="J954" s="710"/>
      <c r="K954" s="710"/>
      <c r="L954" s="713"/>
      <c r="M954" s="710"/>
      <c r="N954" s="710"/>
      <c r="O954" s="702"/>
      <c r="P954" s="702"/>
      <c r="Q954" s="706"/>
      <c r="R954" s="708"/>
      <c r="S954" s="702"/>
      <c r="T954" s="702"/>
      <c r="U954" s="702"/>
      <c r="V954" s="702"/>
      <c r="W954" s="702"/>
      <c r="X954" s="702"/>
      <c r="Y954" s="702"/>
      <c r="Z954" s="702"/>
      <c r="AA954" s="473" t="s">
        <v>2502</v>
      </c>
      <c r="AB954" s="474" t="s">
        <v>539</v>
      </c>
      <c r="AC954" s="474" t="s">
        <v>539</v>
      </c>
      <c r="AD954" s="473" t="s">
        <v>1527</v>
      </c>
      <c r="AE954" s="474">
        <v>80</v>
      </c>
      <c r="AF954" s="474">
        <v>90</v>
      </c>
      <c r="AG954" s="702"/>
      <c r="AH954" s="729"/>
      <c r="AI954" s="698"/>
      <c r="AJ954" s="700"/>
    </row>
    <row r="955" spans="2:36" ht="24" hidden="1" customHeight="1">
      <c r="B955" s="463">
        <v>774</v>
      </c>
      <c r="C955" s="464" t="s">
        <v>337</v>
      </c>
      <c r="D955" s="464"/>
      <c r="E955" s="464" t="s">
        <v>1070</v>
      </c>
      <c r="F955" s="464"/>
      <c r="G955" s="464" t="s">
        <v>57</v>
      </c>
      <c r="H955" s="464" t="s">
        <v>2524</v>
      </c>
      <c r="I955" s="465" t="s">
        <v>537</v>
      </c>
      <c r="J955" s="465" t="s">
        <v>537</v>
      </c>
      <c r="K955" s="466">
        <v>75000</v>
      </c>
      <c r="L955" s="465" t="s">
        <v>537</v>
      </c>
      <c r="M955" s="465" t="s">
        <v>537</v>
      </c>
      <c r="N955" s="466">
        <v>72000</v>
      </c>
      <c r="O955" s="463" t="s">
        <v>537</v>
      </c>
      <c r="P955" s="463" t="s">
        <v>537</v>
      </c>
      <c r="Q955" s="468">
        <v>3000</v>
      </c>
      <c r="R955" s="470">
        <v>241487</v>
      </c>
      <c r="S955" s="463" t="s">
        <v>2525</v>
      </c>
      <c r="T955" s="463">
        <v>0</v>
      </c>
      <c r="U955" s="463">
        <v>40</v>
      </c>
      <c r="V955" s="463">
        <v>0</v>
      </c>
      <c r="W955" s="464"/>
      <c r="X955" s="463">
        <v>40</v>
      </c>
      <c r="Y955" s="464"/>
      <c r="Z955" s="463">
        <v>90.6</v>
      </c>
      <c r="AA955" s="472" t="s">
        <v>547</v>
      </c>
      <c r="AB955" s="463" t="s">
        <v>539</v>
      </c>
      <c r="AC955" s="463" t="s">
        <v>539</v>
      </c>
      <c r="AD955" s="472" t="s">
        <v>548</v>
      </c>
      <c r="AE955" s="463">
        <v>80</v>
      </c>
      <c r="AF955" s="463">
        <v>100</v>
      </c>
      <c r="AG955" s="463" t="s">
        <v>375</v>
      </c>
      <c r="AH955" s="476"/>
      <c r="AI955" s="472" t="s">
        <v>2526</v>
      </c>
      <c r="AJ955" s="472" t="s">
        <v>543</v>
      </c>
    </row>
    <row r="956" spans="2:36" ht="24" hidden="1" customHeight="1">
      <c r="B956" s="463">
        <v>775</v>
      </c>
      <c r="C956" s="464" t="s">
        <v>337</v>
      </c>
      <c r="D956" s="464"/>
      <c r="E956" s="464" t="s">
        <v>1070</v>
      </c>
      <c r="F956" s="464"/>
      <c r="G956" s="464" t="s">
        <v>57</v>
      </c>
      <c r="H956" s="464" t="s">
        <v>2527</v>
      </c>
      <c r="I956" s="465" t="s">
        <v>537</v>
      </c>
      <c r="J956" s="465" t="s">
        <v>537</v>
      </c>
      <c r="K956" s="466">
        <v>35000</v>
      </c>
      <c r="L956" s="465" t="s">
        <v>537</v>
      </c>
      <c r="M956" s="465" t="s">
        <v>537</v>
      </c>
      <c r="N956" s="466">
        <v>20801</v>
      </c>
      <c r="O956" s="463" t="s">
        <v>537</v>
      </c>
      <c r="P956" s="463" t="s">
        <v>537</v>
      </c>
      <c r="Q956" s="468">
        <v>14199</v>
      </c>
      <c r="R956" s="470">
        <v>241459</v>
      </c>
      <c r="S956" s="463" t="s">
        <v>2528</v>
      </c>
      <c r="T956" s="463">
        <v>0</v>
      </c>
      <c r="U956" s="463">
        <v>50</v>
      </c>
      <c r="V956" s="463">
        <v>0</v>
      </c>
      <c r="W956" s="464"/>
      <c r="X956" s="463">
        <v>42</v>
      </c>
      <c r="Y956" s="464"/>
      <c r="Z956" s="463">
        <v>89.6</v>
      </c>
      <c r="AA956" s="472" t="s">
        <v>547</v>
      </c>
      <c r="AB956" s="463" t="s">
        <v>539</v>
      </c>
      <c r="AC956" s="463" t="s">
        <v>539</v>
      </c>
      <c r="AD956" s="472" t="s">
        <v>2529</v>
      </c>
      <c r="AE956" s="463" t="s">
        <v>539</v>
      </c>
      <c r="AF956" s="463" t="s">
        <v>539</v>
      </c>
      <c r="AG956" s="463" t="s">
        <v>375</v>
      </c>
      <c r="AH956" s="476"/>
      <c r="AI956" s="472" t="s">
        <v>2530</v>
      </c>
      <c r="AJ956" s="472" t="s">
        <v>543</v>
      </c>
    </row>
    <row r="957" spans="2:36" ht="24" hidden="1" customHeight="1">
      <c r="B957" s="463">
        <v>776</v>
      </c>
      <c r="C957" s="464" t="s">
        <v>337</v>
      </c>
      <c r="D957" s="464"/>
      <c r="E957" s="464" t="s">
        <v>1070</v>
      </c>
      <c r="F957" s="464"/>
      <c r="G957" s="464" t="s">
        <v>57</v>
      </c>
      <c r="H957" s="464" t="s">
        <v>2531</v>
      </c>
      <c r="I957" s="465" t="s">
        <v>537</v>
      </c>
      <c r="J957" s="465" t="s">
        <v>537</v>
      </c>
      <c r="K957" s="466">
        <v>35000</v>
      </c>
      <c r="L957" s="465" t="s">
        <v>537</v>
      </c>
      <c r="M957" s="465" t="s">
        <v>537</v>
      </c>
      <c r="N957" s="466">
        <v>23494</v>
      </c>
      <c r="O957" s="463" t="s">
        <v>537</v>
      </c>
      <c r="P957" s="463" t="s">
        <v>537</v>
      </c>
      <c r="Q957" s="468">
        <v>11506</v>
      </c>
      <c r="R957" s="470">
        <v>241609</v>
      </c>
      <c r="S957" s="463" t="s">
        <v>2532</v>
      </c>
      <c r="T957" s="463">
        <v>0</v>
      </c>
      <c r="U957" s="463">
        <v>50</v>
      </c>
      <c r="V957" s="463">
        <v>0</v>
      </c>
      <c r="W957" s="464"/>
      <c r="X957" s="463">
        <v>49</v>
      </c>
      <c r="Y957" s="464"/>
      <c r="Z957" s="463">
        <v>87.6</v>
      </c>
      <c r="AA957" s="472" t="s">
        <v>547</v>
      </c>
      <c r="AB957" s="463" t="s">
        <v>539</v>
      </c>
      <c r="AC957" s="463" t="s">
        <v>539</v>
      </c>
      <c r="AD957" s="472" t="s">
        <v>548</v>
      </c>
      <c r="AE957" s="463" t="s">
        <v>539</v>
      </c>
      <c r="AF957" s="463" t="s">
        <v>539</v>
      </c>
      <c r="AG957" s="463" t="s">
        <v>375</v>
      </c>
      <c r="AH957" s="476"/>
      <c r="AI957" s="472" t="s">
        <v>2530</v>
      </c>
      <c r="AJ957" s="472" t="s">
        <v>543</v>
      </c>
    </row>
    <row r="958" spans="2:36" ht="24" hidden="1" customHeight="1">
      <c r="B958" s="463">
        <v>777</v>
      </c>
      <c r="C958" s="464" t="s">
        <v>337</v>
      </c>
      <c r="D958" s="464"/>
      <c r="E958" s="464" t="s">
        <v>1070</v>
      </c>
      <c r="F958" s="464"/>
      <c r="G958" s="464" t="s">
        <v>57</v>
      </c>
      <c r="H958" s="464" t="s">
        <v>2533</v>
      </c>
      <c r="I958" s="465" t="s">
        <v>537</v>
      </c>
      <c r="J958" s="465" t="s">
        <v>537</v>
      </c>
      <c r="K958" s="466">
        <v>111000</v>
      </c>
      <c r="L958" s="465" t="s">
        <v>537</v>
      </c>
      <c r="M958" s="465" t="s">
        <v>537</v>
      </c>
      <c r="N958" s="466">
        <v>74120</v>
      </c>
      <c r="O958" s="463" t="s">
        <v>537</v>
      </c>
      <c r="P958" s="463" t="s">
        <v>537</v>
      </c>
      <c r="Q958" s="468">
        <v>36880</v>
      </c>
      <c r="R958" s="470">
        <v>241518</v>
      </c>
      <c r="S958" s="463" t="s">
        <v>2534</v>
      </c>
      <c r="T958" s="463">
        <v>0</v>
      </c>
      <c r="U958" s="463">
        <v>23</v>
      </c>
      <c r="V958" s="463">
        <v>0</v>
      </c>
      <c r="W958" s="464"/>
      <c r="X958" s="463">
        <v>20</v>
      </c>
      <c r="Y958" s="464"/>
      <c r="Z958" s="464"/>
      <c r="AA958" s="472" t="s">
        <v>2535</v>
      </c>
      <c r="AB958" s="463" t="s">
        <v>539</v>
      </c>
      <c r="AC958" s="463" t="s">
        <v>539</v>
      </c>
      <c r="AD958" s="472" t="s">
        <v>2536</v>
      </c>
      <c r="AE958" s="463" t="s">
        <v>539</v>
      </c>
      <c r="AF958" s="463" t="s">
        <v>539</v>
      </c>
      <c r="AG958" s="463" t="s">
        <v>375</v>
      </c>
      <c r="AH958" s="476"/>
      <c r="AI958" s="472" t="s">
        <v>2391</v>
      </c>
      <c r="AJ958" s="472" t="s">
        <v>543</v>
      </c>
    </row>
    <row r="959" spans="2:36" ht="24" hidden="1" customHeight="1">
      <c r="B959" s="463">
        <v>778</v>
      </c>
      <c r="C959" s="464" t="s">
        <v>10</v>
      </c>
      <c r="D959" s="464"/>
      <c r="E959" s="464" t="s">
        <v>558</v>
      </c>
      <c r="F959" s="464"/>
      <c r="G959" s="464" t="s">
        <v>57</v>
      </c>
      <c r="H959" s="464" t="s">
        <v>2537</v>
      </c>
      <c r="I959" s="465" t="s">
        <v>537</v>
      </c>
      <c r="J959" s="465" t="s">
        <v>537</v>
      </c>
      <c r="K959" s="466">
        <v>22900</v>
      </c>
      <c r="L959" s="465" t="s">
        <v>537</v>
      </c>
      <c r="M959" s="465" t="s">
        <v>537</v>
      </c>
      <c r="N959" s="466">
        <v>18000</v>
      </c>
      <c r="O959" s="463" t="s">
        <v>537</v>
      </c>
      <c r="P959" s="463" t="s">
        <v>537</v>
      </c>
      <c r="Q959" s="468">
        <v>4900</v>
      </c>
      <c r="R959" s="470">
        <v>241579</v>
      </c>
      <c r="S959" s="463" t="s">
        <v>2538</v>
      </c>
      <c r="T959" s="463">
        <v>120</v>
      </c>
      <c r="U959" s="463">
        <v>10</v>
      </c>
      <c r="V959" s="463">
        <v>0</v>
      </c>
      <c r="W959" s="463">
        <v>145</v>
      </c>
      <c r="X959" s="463">
        <v>7</v>
      </c>
      <c r="Y959" s="464"/>
      <c r="Z959" s="463" t="s">
        <v>537</v>
      </c>
      <c r="AA959" s="472" t="s">
        <v>547</v>
      </c>
      <c r="AB959" s="463" t="s">
        <v>539</v>
      </c>
      <c r="AC959" s="463" t="s">
        <v>539</v>
      </c>
      <c r="AD959" s="472" t="s">
        <v>548</v>
      </c>
      <c r="AE959" s="463">
        <v>80</v>
      </c>
      <c r="AF959" s="463">
        <v>96.2</v>
      </c>
      <c r="AG959" s="463" t="s">
        <v>375</v>
      </c>
      <c r="AH959" s="476"/>
      <c r="AI959" s="472" t="s">
        <v>2356</v>
      </c>
      <c r="AJ959" s="472" t="s">
        <v>562</v>
      </c>
    </row>
    <row r="960" spans="2:36" ht="24" hidden="1" customHeight="1">
      <c r="B960" s="463">
        <v>779</v>
      </c>
      <c r="C960" s="464" t="s">
        <v>10</v>
      </c>
      <c r="D960" s="464"/>
      <c r="E960" s="464" t="s">
        <v>558</v>
      </c>
      <c r="F960" s="464"/>
      <c r="G960" s="464" t="s">
        <v>57</v>
      </c>
      <c r="H960" s="464" t="s">
        <v>2539</v>
      </c>
      <c r="I960" s="465" t="s">
        <v>537</v>
      </c>
      <c r="J960" s="465" t="s">
        <v>537</v>
      </c>
      <c r="K960" s="466">
        <v>33638</v>
      </c>
      <c r="L960" s="465" t="s">
        <v>537</v>
      </c>
      <c r="M960" s="465" t="s">
        <v>537</v>
      </c>
      <c r="N960" s="466">
        <v>27792</v>
      </c>
      <c r="O960" s="463" t="s">
        <v>537</v>
      </c>
      <c r="P960" s="463" t="s">
        <v>537</v>
      </c>
      <c r="Q960" s="468">
        <v>5846</v>
      </c>
      <c r="R960" s="470">
        <v>241640</v>
      </c>
      <c r="S960" s="463" t="s">
        <v>2540</v>
      </c>
      <c r="T960" s="463">
        <v>6</v>
      </c>
      <c r="U960" s="463">
        <v>3</v>
      </c>
      <c r="V960" s="463">
        <v>0</v>
      </c>
      <c r="W960" s="463">
        <v>6</v>
      </c>
      <c r="X960" s="463">
        <v>3</v>
      </c>
      <c r="Y960" s="464"/>
      <c r="Z960" s="463">
        <v>84.8</v>
      </c>
      <c r="AA960" s="472" t="s">
        <v>2541</v>
      </c>
      <c r="AB960" s="463">
        <v>1</v>
      </c>
      <c r="AC960" s="463">
        <v>4</v>
      </c>
      <c r="AD960" s="472" t="s">
        <v>2542</v>
      </c>
      <c r="AE960" s="463">
        <v>1</v>
      </c>
      <c r="AF960" s="463">
        <v>1</v>
      </c>
      <c r="AG960" s="463" t="s">
        <v>375</v>
      </c>
      <c r="AH960" s="476"/>
      <c r="AI960" s="472" t="s">
        <v>2543</v>
      </c>
      <c r="AJ960" s="472" t="s">
        <v>562</v>
      </c>
    </row>
    <row r="961" spans="2:36" ht="24" hidden="1" customHeight="1">
      <c r="B961" s="463">
        <v>780</v>
      </c>
      <c r="C961" s="464" t="s">
        <v>10</v>
      </c>
      <c r="D961" s="464"/>
      <c r="E961" s="464" t="s">
        <v>558</v>
      </c>
      <c r="F961" s="464"/>
      <c r="G961" s="464" t="s">
        <v>57</v>
      </c>
      <c r="H961" s="464" t="s">
        <v>2544</v>
      </c>
      <c r="I961" s="465" t="s">
        <v>537</v>
      </c>
      <c r="J961" s="465" t="s">
        <v>537</v>
      </c>
      <c r="K961" s="466">
        <v>15533</v>
      </c>
      <c r="L961" s="465" t="s">
        <v>537</v>
      </c>
      <c r="M961" s="465" t="s">
        <v>537</v>
      </c>
      <c r="N961" s="466">
        <v>15533</v>
      </c>
      <c r="O961" s="463" t="s">
        <v>537</v>
      </c>
      <c r="P961" s="463" t="s">
        <v>537</v>
      </c>
      <c r="Q961" s="465">
        <v>0</v>
      </c>
      <c r="R961" s="463" t="s">
        <v>2545</v>
      </c>
      <c r="S961" s="463" t="s">
        <v>2546</v>
      </c>
      <c r="T961" s="463">
        <v>30</v>
      </c>
      <c r="U961" s="463">
        <v>15</v>
      </c>
      <c r="V961" s="463">
        <v>1</v>
      </c>
      <c r="W961" s="463">
        <v>28</v>
      </c>
      <c r="X961" s="463">
        <v>2</v>
      </c>
      <c r="Y961" s="463">
        <v>1</v>
      </c>
      <c r="Z961" s="463">
        <v>84</v>
      </c>
      <c r="AA961" s="472" t="s">
        <v>2547</v>
      </c>
      <c r="AB961" s="463" t="s">
        <v>539</v>
      </c>
      <c r="AC961" s="463" t="s">
        <v>539</v>
      </c>
      <c r="AD961" s="472" t="s">
        <v>2548</v>
      </c>
      <c r="AE961" s="463" t="s">
        <v>539</v>
      </c>
      <c r="AF961" s="463" t="s">
        <v>539</v>
      </c>
      <c r="AG961" s="463" t="s">
        <v>375</v>
      </c>
      <c r="AH961" s="476"/>
      <c r="AI961" s="472" t="s">
        <v>2356</v>
      </c>
      <c r="AJ961" s="472" t="s">
        <v>562</v>
      </c>
    </row>
    <row r="962" spans="2:36" ht="24" hidden="1" customHeight="1">
      <c r="B962" s="463">
        <v>781</v>
      </c>
      <c r="C962" s="464" t="s">
        <v>10</v>
      </c>
      <c r="D962" s="464"/>
      <c r="E962" s="464" t="s">
        <v>558</v>
      </c>
      <c r="F962" s="464"/>
      <c r="G962" s="464" t="s">
        <v>57</v>
      </c>
      <c r="H962" s="464" t="s">
        <v>2549</v>
      </c>
      <c r="I962" s="465" t="s">
        <v>537</v>
      </c>
      <c r="J962" s="465" t="s">
        <v>537</v>
      </c>
      <c r="K962" s="466">
        <v>27040</v>
      </c>
      <c r="L962" s="465" t="s">
        <v>537</v>
      </c>
      <c r="M962" s="465" t="s">
        <v>537</v>
      </c>
      <c r="N962" s="466">
        <v>18268</v>
      </c>
      <c r="O962" s="463" t="s">
        <v>537</v>
      </c>
      <c r="P962" s="463" t="s">
        <v>537</v>
      </c>
      <c r="Q962" s="468">
        <v>8772</v>
      </c>
      <c r="R962" s="463" t="s">
        <v>2550</v>
      </c>
      <c r="S962" s="463" t="s">
        <v>2551</v>
      </c>
      <c r="T962" s="463">
        <v>2</v>
      </c>
      <c r="U962" s="463">
        <v>1</v>
      </c>
      <c r="V962" s="463">
        <v>0</v>
      </c>
      <c r="W962" s="463">
        <v>2</v>
      </c>
      <c r="X962" s="463">
        <v>1</v>
      </c>
      <c r="Y962" s="463">
        <v>0</v>
      </c>
      <c r="Z962" s="463">
        <v>88</v>
      </c>
      <c r="AA962" s="472" t="s">
        <v>2552</v>
      </c>
      <c r="AB962" s="463" t="s">
        <v>539</v>
      </c>
      <c r="AC962" s="463" t="s">
        <v>539</v>
      </c>
      <c r="AD962" s="472" t="s">
        <v>2553</v>
      </c>
      <c r="AE962" s="463" t="s">
        <v>539</v>
      </c>
      <c r="AF962" s="463" t="s">
        <v>539</v>
      </c>
      <c r="AG962" s="463" t="s">
        <v>375</v>
      </c>
      <c r="AH962" s="476"/>
      <c r="AI962" s="472" t="s">
        <v>2543</v>
      </c>
      <c r="AJ962" s="472" t="s">
        <v>562</v>
      </c>
    </row>
    <row r="963" spans="2:36" ht="24" hidden="1" customHeight="1">
      <c r="B963" s="463">
        <v>782</v>
      </c>
      <c r="C963" s="464" t="s">
        <v>534</v>
      </c>
      <c r="D963" s="464"/>
      <c r="E963" s="464" t="s">
        <v>535</v>
      </c>
      <c r="F963" s="464"/>
      <c r="G963" s="464" t="s">
        <v>334</v>
      </c>
      <c r="H963" s="464" t="s">
        <v>691</v>
      </c>
      <c r="I963" s="465" t="s">
        <v>537</v>
      </c>
      <c r="J963" s="465" t="s">
        <v>537</v>
      </c>
      <c r="K963" s="466">
        <v>12200</v>
      </c>
      <c r="L963" s="465" t="s">
        <v>537</v>
      </c>
      <c r="M963" s="465" t="s">
        <v>537</v>
      </c>
      <c r="N963" s="466">
        <v>6516</v>
      </c>
      <c r="O963" s="463" t="s">
        <v>537</v>
      </c>
      <c r="P963" s="463" t="s">
        <v>537</v>
      </c>
      <c r="Q963" s="468">
        <v>5684</v>
      </c>
      <c r="R963" s="470">
        <v>241579</v>
      </c>
      <c r="S963" s="471">
        <v>22440</v>
      </c>
      <c r="T963" s="463">
        <v>0</v>
      </c>
      <c r="U963" s="463">
        <v>12</v>
      </c>
      <c r="V963" s="463">
        <v>0</v>
      </c>
      <c r="W963" s="463">
        <v>0</v>
      </c>
      <c r="X963" s="463">
        <v>12</v>
      </c>
      <c r="Y963" s="463">
        <v>0</v>
      </c>
      <c r="Z963" s="463">
        <v>97.8</v>
      </c>
      <c r="AA963" s="472" t="s">
        <v>2554</v>
      </c>
      <c r="AB963" s="463">
        <v>100</v>
      </c>
      <c r="AC963" s="463" t="s">
        <v>539</v>
      </c>
      <c r="AD963" s="472" t="s">
        <v>2555</v>
      </c>
      <c r="AE963" s="463">
        <v>100</v>
      </c>
      <c r="AF963" s="463" t="s">
        <v>539</v>
      </c>
      <c r="AG963" s="463" t="s">
        <v>375</v>
      </c>
      <c r="AH963" s="476"/>
      <c r="AI963" s="472">
        <v>872779019</v>
      </c>
      <c r="AJ963" s="472" t="s">
        <v>792</v>
      </c>
    </row>
    <row r="964" spans="2:36" ht="24" hidden="1" customHeight="1">
      <c r="B964" s="463">
        <v>783</v>
      </c>
      <c r="C964" s="464" t="s">
        <v>534</v>
      </c>
      <c r="D964" s="464"/>
      <c r="E964" s="464" t="s">
        <v>535</v>
      </c>
      <c r="F964" s="464"/>
      <c r="G964" s="464" t="s">
        <v>334</v>
      </c>
      <c r="H964" s="464" t="s">
        <v>667</v>
      </c>
      <c r="I964" s="465" t="s">
        <v>537</v>
      </c>
      <c r="J964" s="466">
        <v>20000</v>
      </c>
      <c r="K964" s="465" t="s">
        <v>537</v>
      </c>
      <c r="L964" s="465" t="s">
        <v>537</v>
      </c>
      <c r="M964" s="466">
        <v>20000</v>
      </c>
      <c r="N964" s="465" t="s">
        <v>537</v>
      </c>
      <c r="O964" s="463" t="s">
        <v>537</v>
      </c>
      <c r="P964" s="463" t="s">
        <v>537</v>
      </c>
      <c r="Q964" s="465">
        <v>0</v>
      </c>
      <c r="R964" s="470">
        <v>241579</v>
      </c>
      <c r="S964" s="471">
        <v>22451</v>
      </c>
      <c r="T964" s="463">
        <v>90</v>
      </c>
      <c r="U964" s="463">
        <v>20</v>
      </c>
      <c r="V964" s="463">
        <v>0</v>
      </c>
      <c r="W964" s="463">
        <v>90</v>
      </c>
      <c r="X964" s="463">
        <v>20</v>
      </c>
      <c r="Y964" s="463">
        <v>0</v>
      </c>
      <c r="Z964" s="463">
        <v>82.6</v>
      </c>
      <c r="AA964" s="472" t="s">
        <v>547</v>
      </c>
      <c r="AB964" s="463" t="s">
        <v>539</v>
      </c>
      <c r="AC964" s="463" t="s">
        <v>539</v>
      </c>
      <c r="AD964" s="472" t="s">
        <v>548</v>
      </c>
      <c r="AE964" s="463">
        <v>80</v>
      </c>
      <c r="AF964" s="463" t="s">
        <v>539</v>
      </c>
      <c r="AG964" s="463" t="s">
        <v>375</v>
      </c>
      <c r="AH964" s="476"/>
      <c r="AI964" s="472" t="s">
        <v>2556</v>
      </c>
      <c r="AJ964" s="464"/>
    </row>
    <row r="965" spans="2:36" ht="24" hidden="1" customHeight="1">
      <c r="B965" s="463">
        <v>784</v>
      </c>
      <c r="C965" s="464" t="s">
        <v>534</v>
      </c>
      <c r="D965" s="464"/>
      <c r="E965" s="464" t="s">
        <v>535</v>
      </c>
      <c r="F965" s="464"/>
      <c r="G965" s="464" t="s">
        <v>334</v>
      </c>
      <c r="H965" s="464" t="s">
        <v>668</v>
      </c>
      <c r="I965" s="465" t="s">
        <v>537</v>
      </c>
      <c r="J965" s="466">
        <v>20000</v>
      </c>
      <c r="K965" s="465" t="s">
        <v>537</v>
      </c>
      <c r="L965" s="465" t="s">
        <v>537</v>
      </c>
      <c r="M965" s="466">
        <v>20000</v>
      </c>
      <c r="N965" s="465" t="s">
        <v>537</v>
      </c>
      <c r="O965" s="463" t="s">
        <v>537</v>
      </c>
      <c r="P965" s="463" t="s">
        <v>537</v>
      </c>
      <c r="Q965" s="465">
        <v>0</v>
      </c>
      <c r="R965" s="470">
        <v>241459</v>
      </c>
      <c r="S965" s="471">
        <v>22361</v>
      </c>
      <c r="T965" s="463">
        <v>60</v>
      </c>
      <c r="U965" s="463">
        <v>20</v>
      </c>
      <c r="V965" s="463">
        <v>0</v>
      </c>
      <c r="W965" s="463">
        <v>65</v>
      </c>
      <c r="X965" s="463">
        <v>15</v>
      </c>
      <c r="Y965" s="463">
        <v>0</v>
      </c>
      <c r="Z965" s="463">
        <v>89.9</v>
      </c>
      <c r="AA965" s="472" t="s">
        <v>547</v>
      </c>
      <c r="AB965" s="463" t="s">
        <v>539</v>
      </c>
      <c r="AC965" s="463" t="s">
        <v>539</v>
      </c>
      <c r="AD965" s="472" t="s">
        <v>548</v>
      </c>
      <c r="AE965" s="463">
        <v>80</v>
      </c>
      <c r="AF965" s="463">
        <v>89.9</v>
      </c>
      <c r="AG965" s="463" t="s">
        <v>375</v>
      </c>
      <c r="AH965" s="476"/>
      <c r="AI965" s="472" t="s">
        <v>2556</v>
      </c>
      <c r="AJ965" s="464"/>
    </row>
    <row r="966" spans="2:36" ht="24" hidden="1" customHeight="1">
      <c r="B966" s="463">
        <v>785</v>
      </c>
      <c r="C966" s="464" t="s">
        <v>534</v>
      </c>
      <c r="D966" s="464"/>
      <c r="E966" s="464" t="s">
        <v>535</v>
      </c>
      <c r="F966" s="464"/>
      <c r="G966" s="464" t="s">
        <v>334</v>
      </c>
      <c r="H966" s="464" t="s">
        <v>2557</v>
      </c>
      <c r="I966" s="465" t="s">
        <v>537</v>
      </c>
      <c r="J966" s="466">
        <v>60000</v>
      </c>
      <c r="K966" s="465" t="s">
        <v>537</v>
      </c>
      <c r="L966" s="465" t="s">
        <v>537</v>
      </c>
      <c r="M966" s="466">
        <v>57520</v>
      </c>
      <c r="N966" s="465" t="s">
        <v>537</v>
      </c>
      <c r="O966" s="463" t="s">
        <v>537</v>
      </c>
      <c r="P966" s="463" t="s">
        <v>537</v>
      </c>
      <c r="Q966" s="468">
        <v>2480</v>
      </c>
      <c r="R966" s="463" t="s">
        <v>646</v>
      </c>
      <c r="S966" s="463" t="s">
        <v>2558</v>
      </c>
      <c r="T966" s="463">
        <v>0</v>
      </c>
      <c r="U966" s="463">
        <v>14</v>
      </c>
      <c r="V966" s="463">
        <v>0</v>
      </c>
      <c r="W966" s="463">
        <v>0</v>
      </c>
      <c r="X966" s="463">
        <v>14</v>
      </c>
      <c r="Y966" s="463">
        <v>0</v>
      </c>
      <c r="Z966" s="463">
        <v>97.8</v>
      </c>
      <c r="AA966" s="472" t="s">
        <v>677</v>
      </c>
      <c r="AB966" s="463" t="s">
        <v>539</v>
      </c>
      <c r="AC966" s="463" t="s">
        <v>539</v>
      </c>
      <c r="AD966" s="472" t="s">
        <v>548</v>
      </c>
      <c r="AE966" s="463">
        <v>80</v>
      </c>
      <c r="AF966" s="463" t="s">
        <v>539</v>
      </c>
      <c r="AG966" s="463" t="s">
        <v>375</v>
      </c>
      <c r="AH966" s="476"/>
      <c r="AI966" s="472">
        <v>810806869</v>
      </c>
      <c r="AJ966" s="464"/>
    </row>
    <row r="967" spans="2:36" ht="24" hidden="1" customHeight="1">
      <c r="B967" s="463">
        <v>786</v>
      </c>
      <c r="C967" s="464" t="s">
        <v>534</v>
      </c>
      <c r="D967" s="464"/>
      <c r="E967" s="464" t="s">
        <v>535</v>
      </c>
      <c r="F967" s="464"/>
      <c r="G967" s="464" t="s">
        <v>334</v>
      </c>
      <c r="H967" s="464" t="s">
        <v>2559</v>
      </c>
      <c r="I967" s="465" t="s">
        <v>537</v>
      </c>
      <c r="J967" s="465" t="s">
        <v>537</v>
      </c>
      <c r="K967" s="466">
        <v>4600</v>
      </c>
      <c r="L967" s="465" t="s">
        <v>537</v>
      </c>
      <c r="M967" s="465" t="s">
        <v>537</v>
      </c>
      <c r="N967" s="466">
        <v>3600</v>
      </c>
      <c r="O967" s="463" t="s">
        <v>537</v>
      </c>
      <c r="P967" s="463" t="s">
        <v>537</v>
      </c>
      <c r="Q967" s="468">
        <v>1000</v>
      </c>
      <c r="R967" s="463" t="s">
        <v>984</v>
      </c>
      <c r="S967" s="463" t="s">
        <v>2560</v>
      </c>
      <c r="T967" s="463">
        <v>29</v>
      </c>
      <c r="U967" s="463">
        <v>0</v>
      </c>
      <c r="V967" s="463">
        <v>0</v>
      </c>
      <c r="W967" s="463">
        <v>29</v>
      </c>
      <c r="X967" s="463">
        <v>0</v>
      </c>
      <c r="Y967" s="463">
        <v>0</v>
      </c>
      <c r="Z967" s="463">
        <v>97.4</v>
      </c>
      <c r="AA967" s="472" t="s">
        <v>2182</v>
      </c>
      <c r="AB967" s="463" t="s">
        <v>539</v>
      </c>
      <c r="AC967" s="463" t="s">
        <v>539</v>
      </c>
      <c r="AD967" s="472" t="s">
        <v>2561</v>
      </c>
      <c r="AE967" s="463" t="s">
        <v>539</v>
      </c>
      <c r="AF967" s="463" t="s">
        <v>539</v>
      </c>
      <c r="AG967" s="463" t="s">
        <v>375</v>
      </c>
      <c r="AH967" s="476"/>
      <c r="AI967" s="472">
        <v>872779219</v>
      </c>
      <c r="AJ967" s="472" t="s">
        <v>543</v>
      </c>
    </row>
    <row r="968" spans="2:36" ht="24" hidden="1" customHeight="1">
      <c r="B968" s="463">
        <v>787</v>
      </c>
      <c r="C968" s="464" t="s">
        <v>534</v>
      </c>
      <c r="D968" s="464"/>
      <c r="E968" s="464" t="s">
        <v>535</v>
      </c>
      <c r="F968" s="464"/>
      <c r="G968" s="464" t="s">
        <v>334</v>
      </c>
      <c r="H968" s="464" t="s">
        <v>2562</v>
      </c>
      <c r="I968" s="465" t="s">
        <v>537</v>
      </c>
      <c r="J968" s="465" t="s">
        <v>537</v>
      </c>
      <c r="K968" s="466">
        <v>200000</v>
      </c>
      <c r="L968" s="465" t="s">
        <v>537</v>
      </c>
      <c r="M968" s="465" t="s">
        <v>537</v>
      </c>
      <c r="N968" s="466">
        <v>176194.84</v>
      </c>
      <c r="O968" s="467">
        <v>23000</v>
      </c>
      <c r="P968" s="463" t="s">
        <v>537</v>
      </c>
      <c r="Q968" s="465">
        <v>805</v>
      </c>
      <c r="R968" s="470">
        <v>241428</v>
      </c>
      <c r="S968" s="463" t="s">
        <v>623</v>
      </c>
      <c r="T968" s="463">
        <v>40</v>
      </c>
      <c r="U968" s="463">
        <v>10</v>
      </c>
      <c r="V968" s="463">
        <v>0</v>
      </c>
      <c r="W968" s="463">
        <v>40</v>
      </c>
      <c r="X968" s="463">
        <v>10</v>
      </c>
      <c r="Y968" s="463">
        <v>0</v>
      </c>
      <c r="Z968" s="463">
        <v>90.2</v>
      </c>
      <c r="AA968" s="472" t="s">
        <v>624</v>
      </c>
      <c r="AB968" s="463" t="s">
        <v>539</v>
      </c>
      <c r="AC968" s="463" t="s">
        <v>539</v>
      </c>
      <c r="AD968" s="472" t="s">
        <v>571</v>
      </c>
      <c r="AE968" s="463">
        <v>80</v>
      </c>
      <c r="AF968" s="463">
        <v>97.2</v>
      </c>
      <c r="AG968" s="463" t="s">
        <v>375</v>
      </c>
      <c r="AH968" s="476"/>
      <c r="AI968" s="472" t="s">
        <v>2563</v>
      </c>
      <c r="AJ968" s="472" t="s">
        <v>543</v>
      </c>
    </row>
    <row r="969" spans="2:36" ht="24" hidden="1" customHeight="1">
      <c r="B969" s="463">
        <v>788</v>
      </c>
      <c r="C969" s="464" t="s">
        <v>534</v>
      </c>
      <c r="D969" s="464"/>
      <c r="E969" s="464" t="s">
        <v>535</v>
      </c>
      <c r="F969" s="464"/>
      <c r="G969" s="464" t="s">
        <v>334</v>
      </c>
      <c r="H969" s="464" t="s">
        <v>2564</v>
      </c>
      <c r="I969" s="465" t="s">
        <v>537</v>
      </c>
      <c r="J969" s="465" t="s">
        <v>537</v>
      </c>
      <c r="K969" s="466">
        <v>6000</v>
      </c>
      <c r="L969" s="465" t="s">
        <v>537</v>
      </c>
      <c r="M969" s="465" t="s">
        <v>537</v>
      </c>
      <c r="N969" s="465">
        <v>0</v>
      </c>
      <c r="O969" s="463" t="s">
        <v>537</v>
      </c>
      <c r="P969" s="463" t="s">
        <v>537</v>
      </c>
      <c r="Q969" s="468">
        <v>6000</v>
      </c>
      <c r="R969" s="463" t="s">
        <v>643</v>
      </c>
      <c r="S969" s="463" t="s">
        <v>2565</v>
      </c>
      <c r="T969" s="463">
        <v>0</v>
      </c>
      <c r="U969" s="463">
        <v>30</v>
      </c>
      <c r="V969" s="463">
        <v>0</v>
      </c>
      <c r="W969" s="463">
        <v>0</v>
      </c>
      <c r="X969" s="463">
        <v>21</v>
      </c>
      <c r="Y969" s="463">
        <v>9</v>
      </c>
      <c r="Z969" s="463">
        <v>98</v>
      </c>
      <c r="AA969" s="472" t="s">
        <v>2566</v>
      </c>
      <c r="AB969" s="463">
        <v>80</v>
      </c>
      <c r="AC969" s="463" t="s">
        <v>539</v>
      </c>
      <c r="AD969" s="472" t="s">
        <v>2567</v>
      </c>
      <c r="AE969" s="463">
        <v>80</v>
      </c>
      <c r="AF969" s="463" t="s">
        <v>539</v>
      </c>
      <c r="AG969" s="463" t="s">
        <v>375</v>
      </c>
      <c r="AH969" s="476"/>
      <c r="AI969" s="472">
        <v>870193943</v>
      </c>
      <c r="AJ969" s="472" t="s">
        <v>543</v>
      </c>
    </row>
    <row r="970" spans="2:36" ht="24" hidden="1" customHeight="1">
      <c r="B970" s="463">
        <v>789</v>
      </c>
      <c r="C970" s="464" t="s">
        <v>534</v>
      </c>
      <c r="D970" s="464"/>
      <c r="E970" s="464" t="s">
        <v>535</v>
      </c>
      <c r="F970" s="464"/>
      <c r="G970" s="464" t="s">
        <v>334</v>
      </c>
      <c r="H970" s="464" t="s">
        <v>2568</v>
      </c>
      <c r="I970" s="465" t="s">
        <v>537</v>
      </c>
      <c r="J970" s="465" t="s">
        <v>537</v>
      </c>
      <c r="K970" s="466">
        <v>10000</v>
      </c>
      <c r="L970" s="465" t="s">
        <v>537</v>
      </c>
      <c r="M970" s="465" t="s">
        <v>537</v>
      </c>
      <c r="N970" s="466">
        <v>10000</v>
      </c>
      <c r="O970" s="463" t="s">
        <v>537</v>
      </c>
      <c r="P970" s="463" t="s">
        <v>537</v>
      </c>
      <c r="Q970" s="465">
        <v>0</v>
      </c>
      <c r="R970" s="463" t="s">
        <v>775</v>
      </c>
      <c r="S970" s="463" t="s">
        <v>2569</v>
      </c>
      <c r="T970" s="463">
        <v>0</v>
      </c>
      <c r="U970" s="463">
        <v>50</v>
      </c>
      <c r="V970" s="463">
        <v>0</v>
      </c>
      <c r="W970" s="463">
        <v>9</v>
      </c>
      <c r="X970" s="463">
        <v>23</v>
      </c>
      <c r="Y970" s="463">
        <v>6</v>
      </c>
      <c r="Z970" s="463">
        <v>92</v>
      </c>
      <c r="AA970" s="472" t="s">
        <v>2566</v>
      </c>
      <c r="AB970" s="463">
        <v>80</v>
      </c>
      <c r="AC970" s="463" t="s">
        <v>539</v>
      </c>
      <c r="AD970" s="472" t="s">
        <v>2567</v>
      </c>
      <c r="AE970" s="463">
        <v>80</v>
      </c>
      <c r="AF970" s="463" t="s">
        <v>539</v>
      </c>
      <c r="AG970" s="463" t="s">
        <v>375</v>
      </c>
      <c r="AH970" s="476"/>
      <c r="AI970" s="472">
        <v>870193943</v>
      </c>
      <c r="AJ970" s="472" t="s">
        <v>543</v>
      </c>
    </row>
    <row r="971" spans="2:36" ht="24" hidden="1" customHeight="1">
      <c r="B971" s="463">
        <v>790</v>
      </c>
      <c r="C971" s="464" t="s">
        <v>534</v>
      </c>
      <c r="D971" s="464"/>
      <c r="E971" s="464" t="s">
        <v>535</v>
      </c>
      <c r="F971" s="464"/>
      <c r="G971" s="464" t="s">
        <v>334</v>
      </c>
      <c r="H971" s="464" t="s">
        <v>2570</v>
      </c>
      <c r="I971" s="465" t="s">
        <v>537</v>
      </c>
      <c r="J971" s="465" t="s">
        <v>537</v>
      </c>
      <c r="K971" s="466">
        <v>7000</v>
      </c>
      <c r="L971" s="465" t="s">
        <v>537</v>
      </c>
      <c r="M971" s="465" t="s">
        <v>537</v>
      </c>
      <c r="N971" s="466">
        <v>6800</v>
      </c>
      <c r="O971" s="463" t="s">
        <v>537</v>
      </c>
      <c r="P971" s="463" t="s">
        <v>537</v>
      </c>
      <c r="Q971" s="465">
        <v>200</v>
      </c>
      <c r="R971" s="470">
        <v>241640</v>
      </c>
      <c r="S971" s="471">
        <v>22488</v>
      </c>
      <c r="T971" s="463">
        <v>0</v>
      </c>
      <c r="U971" s="463">
        <v>35</v>
      </c>
      <c r="V971" s="463">
        <v>0</v>
      </c>
      <c r="W971" s="463">
        <v>8</v>
      </c>
      <c r="X971" s="463">
        <v>23</v>
      </c>
      <c r="Y971" s="463">
        <v>4</v>
      </c>
      <c r="Z971" s="463">
        <v>97</v>
      </c>
      <c r="AA971" s="472" t="s">
        <v>2566</v>
      </c>
      <c r="AB971" s="463">
        <v>80</v>
      </c>
      <c r="AC971" s="463" t="s">
        <v>539</v>
      </c>
      <c r="AD971" s="472" t="s">
        <v>2567</v>
      </c>
      <c r="AE971" s="463">
        <v>80</v>
      </c>
      <c r="AF971" s="463" t="s">
        <v>539</v>
      </c>
      <c r="AG971" s="463" t="s">
        <v>375</v>
      </c>
      <c r="AH971" s="476"/>
      <c r="AI971" s="472">
        <v>870193943</v>
      </c>
      <c r="AJ971" s="472" t="s">
        <v>543</v>
      </c>
    </row>
    <row r="972" spans="2:36" ht="24" hidden="1" customHeight="1">
      <c r="B972" s="463">
        <v>791</v>
      </c>
      <c r="C972" s="464" t="s">
        <v>534</v>
      </c>
      <c r="D972" s="464"/>
      <c r="E972" s="464" t="s">
        <v>535</v>
      </c>
      <c r="F972" s="464"/>
      <c r="G972" s="464" t="s">
        <v>334</v>
      </c>
      <c r="H972" s="464" t="s">
        <v>636</v>
      </c>
      <c r="I972" s="466">
        <v>200000</v>
      </c>
      <c r="J972" s="465" t="s">
        <v>537</v>
      </c>
      <c r="K972" s="465" t="s">
        <v>537</v>
      </c>
      <c r="L972" s="466">
        <v>197390</v>
      </c>
      <c r="M972" s="465" t="s">
        <v>537</v>
      </c>
      <c r="N972" s="465" t="s">
        <v>537</v>
      </c>
      <c r="O972" s="463" t="s">
        <v>537</v>
      </c>
      <c r="P972" s="463" t="s">
        <v>537</v>
      </c>
      <c r="Q972" s="468">
        <v>2610</v>
      </c>
      <c r="R972" s="470">
        <v>241640</v>
      </c>
      <c r="S972" s="463" t="s">
        <v>637</v>
      </c>
      <c r="T972" s="463">
        <v>90</v>
      </c>
      <c r="U972" s="463">
        <v>3</v>
      </c>
      <c r="V972" s="463">
        <v>0</v>
      </c>
      <c r="W972" s="463">
        <v>100</v>
      </c>
      <c r="X972" s="463">
        <v>10</v>
      </c>
      <c r="Y972" s="463">
        <v>0</v>
      </c>
      <c r="Z972" s="463">
        <v>94.2</v>
      </c>
      <c r="AA972" s="472" t="s">
        <v>728</v>
      </c>
      <c r="AB972" s="463">
        <v>1</v>
      </c>
      <c r="AC972" s="463" t="s">
        <v>539</v>
      </c>
      <c r="AD972" s="472" t="s">
        <v>729</v>
      </c>
      <c r="AE972" s="463">
        <v>1</v>
      </c>
      <c r="AF972" s="463" t="s">
        <v>539</v>
      </c>
      <c r="AG972" s="463" t="s">
        <v>375</v>
      </c>
      <c r="AH972" s="476"/>
      <c r="AI972" s="472" t="s">
        <v>2556</v>
      </c>
      <c r="AJ972" s="464"/>
    </row>
    <row r="973" spans="2:36" ht="24" hidden="1" customHeight="1">
      <c r="B973" s="463">
        <v>792</v>
      </c>
      <c r="C973" s="464" t="s">
        <v>534</v>
      </c>
      <c r="D973" s="464"/>
      <c r="E973" s="464" t="s">
        <v>535</v>
      </c>
      <c r="F973" s="464"/>
      <c r="G973" s="464" t="s">
        <v>334</v>
      </c>
      <c r="H973" s="464" t="s">
        <v>2571</v>
      </c>
      <c r="I973" s="466">
        <v>80000</v>
      </c>
      <c r="J973" s="465" t="s">
        <v>537</v>
      </c>
      <c r="K973" s="465" t="s">
        <v>537</v>
      </c>
      <c r="L973" s="466">
        <v>74240</v>
      </c>
      <c r="M973" s="465" t="s">
        <v>537</v>
      </c>
      <c r="N973" s="465" t="s">
        <v>537</v>
      </c>
      <c r="O973" s="463" t="s">
        <v>537</v>
      </c>
      <c r="P973" s="463" t="s">
        <v>537</v>
      </c>
      <c r="Q973" s="468">
        <v>5760</v>
      </c>
      <c r="R973" s="470">
        <v>241518</v>
      </c>
      <c r="S973" s="463" t="s">
        <v>2572</v>
      </c>
      <c r="T973" s="463">
        <v>0</v>
      </c>
      <c r="U973" s="463">
        <v>20</v>
      </c>
      <c r="V973" s="463">
        <v>0</v>
      </c>
      <c r="W973" s="463">
        <v>0</v>
      </c>
      <c r="X973" s="463">
        <v>15</v>
      </c>
      <c r="Y973" s="463">
        <v>0</v>
      </c>
      <c r="Z973" s="463">
        <v>97</v>
      </c>
      <c r="AA973" s="472" t="s">
        <v>547</v>
      </c>
      <c r="AB973" s="463" t="s">
        <v>539</v>
      </c>
      <c r="AC973" s="463" t="s">
        <v>539</v>
      </c>
      <c r="AD973" s="472" t="s">
        <v>548</v>
      </c>
      <c r="AE973" s="463">
        <v>80</v>
      </c>
      <c r="AF973" s="463" t="s">
        <v>539</v>
      </c>
      <c r="AG973" s="463" t="s">
        <v>375</v>
      </c>
      <c r="AH973" s="476"/>
      <c r="AI973" s="472">
        <v>818951165</v>
      </c>
      <c r="AJ973" s="464"/>
    </row>
    <row r="974" spans="2:36" ht="24" hidden="1" customHeight="1">
      <c r="B974" s="463">
        <v>793</v>
      </c>
      <c r="C974" s="464" t="s">
        <v>534</v>
      </c>
      <c r="D974" s="464"/>
      <c r="E974" s="464" t="s">
        <v>535</v>
      </c>
      <c r="F974" s="464"/>
      <c r="G974" s="464" t="s">
        <v>334</v>
      </c>
      <c r="H974" s="464" t="s">
        <v>2573</v>
      </c>
      <c r="I974" s="466">
        <v>60000</v>
      </c>
      <c r="J974" s="465" t="s">
        <v>537</v>
      </c>
      <c r="K974" s="465" t="s">
        <v>537</v>
      </c>
      <c r="L974" s="466">
        <v>43711.55</v>
      </c>
      <c r="M974" s="465" t="s">
        <v>537</v>
      </c>
      <c r="N974" s="465" t="s">
        <v>537</v>
      </c>
      <c r="O974" s="463" t="s">
        <v>537</v>
      </c>
      <c r="P974" s="463" t="s">
        <v>537</v>
      </c>
      <c r="Q974" s="468">
        <v>16288</v>
      </c>
      <c r="R974" s="470">
        <v>241487</v>
      </c>
      <c r="S974" s="471">
        <v>22367</v>
      </c>
      <c r="T974" s="463">
        <v>0</v>
      </c>
      <c r="U974" s="463">
        <v>16</v>
      </c>
      <c r="V974" s="463">
        <v>0</v>
      </c>
      <c r="W974" s="463">
        <v>0</v>
      </c>
      <c r="X974" s="463">
        <v>16</v>
      </c>
      <c r="Y974" s="463">
        <v>0</v>
      </c>
      <c r="Z974" s="463">
        <v>97.6</v>
      </c>
      <c r="AA974" s="472" t="s">
        <v>548</v>
      </c>
      <c r="AB974" s="463">
        <v>80</v>
      </c>
      <c r="AC974" s="463" t="s">
        <v>539</v>
      </c>
      <c r="AD974" s="472" t="s">
        <v>547</v>
      </c>
      <c r="AE974" s="463" t="s">
        <v>539</v>
      </c>
      <c r="AF974" s="463" t="s">
        <v>539</v>
      </c>
      <c r="AG974" s="463" t="s">
        <v>375</v>
      </c>
      <c r="AH974" s="476"/>
      <c r="AI974" s="472" t="s">
        <v>2574</v>
      </c>
      <c r="AJ974" s="464"/>
    </row>
    <row r="975" spans="2:36" ht="24" hidden="1" customHeight="1">
      <c r="B975" s="463">
        <v>794</v>
      </c>
      <c r="C975" s="464" t="s">
        <v>534</v>
      </c>
      <c r="D975" s="464"/>
      <c r="E975" s="464" t="s">
        <v>535</v>
      </c>
      <c r="F975" s="464"/>
      <c r="G975" s="464" t="s">
        <v>334</v>
      </c>
      <c r="H975" s="464" t="s">
        <v>2575</v>
      </c>
      <c r="I975" s="466">
        <v>20000</v>
      </c>
      <c r="J975" s="465" t="s">
        <v>537</v>
      </c>
      <c r="K975" s="465" t="s">
        <v>537</v>
      </c>
      <c r="L975" s="466">
        <v>17578</v>
      </c>
      <c r="M975" s="465" t="s">
        <v>537</v>
      </c>
      <c r="N975" s="465" t="s">
        <v>537</v>
      </c>
      <c r="O975" s="463" t="s">
        <v>537</v>
      </c>
      <c r="P975" s="463" t="s">
        <v>537</v>
      </c>
      <c r="Q975" s="468">
        <v>2422</v>
      </c>
      <c r="R975" s="470">
        <v>241487</v>
      </c>
      <c r="S975" s="471">
        <v>22363</v>
      </c>
      <c r="T975" s="463">
        <v>0</v>
      </c>
      <c r="U975" s="463">
        <v>30</v>
      </c>
      <c r="V975" s="463">
        <v>0</v>
      </c>
      <c r="W975" s="463">
        <v>0</v>
      </c>
      <c r="X975" s="463">
        <v>22</v>
      </c>
      <c r="Y975" s="463">
        <v>0</v>
      </c>
      <c r="Z975" s="463">
        <v>97.8</v>
      </c>
      <c r="AA975" s="472" t="s">
        <v>1413</v>
      </c>
      <c r="AB975" s="463" t="s">
        <v>539</v>
      </c>
      <c r="AC975" s="463" t="s">
        <v>539</v>
      </c>
      <c r="AD975" s="472" t="s">
        <v>548</v>
      </c>
      <c r="AE975" s="463">
        <v>80</v>
      </c>
      <c r="AF975" s="463" t="s">
        <v>539</v>
      </c>
      <c r="AG975" s="463" t="s">
        <v>375</v>
      </c>
      <c r="AH975" s="476"/>
      <c r="AI975" s="472">
        <v>870193943</v>
      </c>
      <c r="AJ975" s="464"/>
    </row>
    <row r="976" spans="2:36" ht="24" hidden="1" customHeight="1">
      <c r="B976" s="463">
        <v>795</v>
      </c>
      <c r="C976" s="464" t="s">
        <v>534</v>
      </c>
      <c r="D976" s="464"/>
      <c r="E976" s="464" t="s">
        <v>535</v>
      </c>
      <c r="F976" s="464"/>
      <c r="G976" s="464" t="s">
        <v>334</v>
      </c>
      <c r="H976" s="464" t="s">
        <v>2576</v>
      </c>
      <c r="I976" s="466">
        <v>100000</v>
      </c>
      <c r="J976" s="465" t="s">
        <v>537</v>
      </c>
      <c r="K976" s="465" t="s">
        <v>537</v>
      </c>
      <c r="L976" s="466">
        <v>99440</v>
      </c>
      <c r="M976" s="465" t="s">
        <v>537</v>
      </c>
      <c r="N976" s="465" t="s">
        <v>537</v>
      </c>
      <c r="O976" s="463" t="s">
        <v>537</v>
      </c>
      <c r="P976" s="463" t="s">
        <v>537</v>
      </c>
      <c r="Q976" s="465">
        <v>560</v>
      </c>
      <c r="R976" s="470">
        <v>241487</v>
      </c>
      <c r="S976" s="471">
        <v>22354</v>
      </c>
      <c r="T976" s="463">
        <v>87</v>
      </c>
      <c r="U976" s="463">
        <v>0</v>
      </c>
      <c r="V976" s="463">
        <v>0</v>
      </c>
      <c r="W976" s="463">
        <v>40</v>
      </c>
      <c r="X976" s="463">
        <v>0</v>
      </c>
      <c r="Y976" s="463">
        <v>0</v>
      </c>
      <c r="Z976" s="463">
        <v>83.2</v>
      </c>
      <c r="AA976" s="472" t="s">
        <v>2577</v>
      </c>
      <c r="AB976" s="463" t="s">
        <v>539</v>
      </c>
      <c r="AC976" s="463" t="s">
        <v>539</v>
      </c>
      <c r="AD976" s="472" t="s">
        <v>548</v>
      </c>
      <c r="AE976" s="463">
        <v>80</v>
      </c>
      <c r="AF976" s="463" t="s">
        <v>539</v>
      </c>
      <c r="AG976" s="463" t="s">
        <v>375</v>
      </c>
      <c r="AH976" s="476"/>
      <c r="AI976" s="472">
        <v>863905156</v>
      </c>
      <c r="AJ976" s="464"/>
    </row>
    <row r="977" spans="1:36" ht="24" hidden="1" customHeight="1">
      <c r="B977" s="463">
        <v>796</v>
      </c>
      <c r="C977" s="464" t="s">
        <v>534</v>
      </c>
      <c r="D977" s="464"/>
      <c r="E977" s="464" t="s">
        <v>535</v>
      </c>
      <c r="F977" s="464"/>
      <c r="G977" s="464" t="s">
        <v>334</v>
      </c>
      <c r="H977" s="464" t="s">
        <v>642</v>
      </c>
      <c r="I977" s="466">
        <v>60000</v>
      </c>
      <c r="J977" s="465" t="s">
        <v>537</v>
      </c>
      <c r="K977" s="465" t="s">
        <v>537</v>
      </c>
      <c r="L977" s="466">
        <v>49760</v>
      </c>
      <c r="M977" s="465" t="s">
        <v>537</v>
      </c>
      <c r="N977" s="465" t="s">
        <v>537</v>
      </c>
      <c r="O977" s="463" t="s">
        <v>537</v>
      </c>
      <c r="P977" s="463" t="s">
        <v>537</v>
      </c>
      <c r="Q977" s="468">
        <v>10240</v>
      </c>
      <c r="R977" s="470">
        <v>241518</v>
      </c>
      <c r="S977" s="463" t="s">
        <v>2578</v>
      </c>
      <c r="T977" s="463">
        <v>0</v>
      </c>
      <c r="U977" s="463">
        <v>2</v>
      </c>
      <c r="V977" s="463">
        <v>0</v>
      </c>
      <c r="W977" s="463">
        <v>0</v>
      </c>
      <c r="X977" s="463">
        <v>2</v>
      </c>
      <c r="Y977" s="463">
        <v>0</v>
      </c>
      <c r="Z977" s="463">
        <v>90</v>
      </c>
      <c r="AA977" s="472" t="s">
        <v>633</v>
      </c>
      <c r="AB977" s="463" t="s">
        <v>539</v>
      </c>
      <c r="AC977" s="463" t="s">
        <v>539</v>
      </c>
      <c r="AD977" s="472" t="s">
        <v>2579</v>
      </c>
      <c r="AE977" s="463" t="s">
        <v>539</v>
      </c>
      <c r="AF977" s="463" t="s">
        <v>539</v>
      </c>
      <c r="AG977" s="463" t="s">
        <v>375</v>
      </c>
      <c r="AH977" s="476"/>
      <c r="AI977" s="472">
        <v>863905156</v>
      </c>
      <c r="AJ977" s="464"/>
    </row>
    <row r="978" spans="1:36" ht="24" customHeight="1">
      <c r="A978" s="452">
        <v>91</v>
      </c>
      <c r="B978" s="463">
        <v>797</v>
      </c>
      <c r="C978" s="464" t="s">
        <v>377</v>
      </c>
      <c r="D978" s="464"/>
      <c r="E978" s="464" t="s">
        <v>602</v>
      </c>
      <c r="F978" s="464"/>
      <c r="G978" s="464" t="s">
        <v>334</v>
      </c>
      <c r="H978" s="464" t="s">
        <v>2580</v>
      </c>
      <c r="I978" s="465" t="s">
        <v>537</v>
      </c>
      <c r="J978" s="466">
        <v>30000</v>
      </c>
      <c r="K978" s="465" t="s">
        <v>537</v>
      </c>
      <c r="L978" s="465" t="s">
        <v>537</v>
      </c>
      <c r="M978" s="466">
        <v>28800</v>
      </c>
      <c r="N978" s="465" t="s">
        <v>537</v>
      </c>
      <c r="O978" s="463" t="s">
        <v>537</v>
      </c>
      <c r="P978" s="463" t="s">
        <v>537</v>
      </c>
      <c r="Q978" s="468">
        <v>1200</v>
      </c>
      <c r="R978" s="470">
        <v>241609</v>
      </c>
      <c r="S978" s="463" t="s">
        <v>988</v>
      </c>
      <c r="T978" s="463">
        <v>80</v>
      </c>
      <c r="U978" s="463">
        <v>10</v>
      </c>
      <c r="V978" s="463">
        <v>0</v>
      </c>
      <c r="W978" s="463">
        <v>90</v>
      </c>
      <c r="X978" s="463">
        <v>10</v>
      </c>
      <c r="Y978" s="463">
        <v>0</v>
      </c>
      <c r="Z978" s="463">
        <v>90</v>
      </c>
      <c r="AA978" s="464"/>
      <c r="AB978" s="464"/>
      <c r="AC978" s="464"/>
      <c r="AD978" s="464"/>
      <c r="AE978" s="464"/>
      <c r="AF978" s="464"/>
      <c r="AG978" s="463" t="s">
        <v>376</v>
      </c>
      <c r="AH978" s="476"/>
      <c r="AI978" s="472" t="s">
        <v>2574</v>
      </c>
      <c r="AJ978" s="464"/>
    </row>
    <row r="979" spans="1:36" ht="24" customHeight="1">
      <c r="A979" s="452">
        <v>92</v>
      </c>
      <c r="B979" s="463">
        <v>798</v>
      </c>
      <c r="C979" s="464" t="s">
        <v>377</v>
      </c>
      <c r="D979" s="464"/>
      <c r="E979" s="464" t="s">
        <v>602</v>
      </c>
      <c r="F979" s="464"/>
      <c r="G979" s="464" t="s">
        <v>334</v>
      </c>
      <c r="H979" s="464" t="s">
        <v>2581</v>
      </c>
      <c r="I979" s="465" t="s">
        <v>537</v>
      </c>
      <c r="J979" s="465" t="s">
        <v>537</v>
      </c>
      <c r="K979" s="466">
        <v>99900</v>
      </c>
      <c r="L979" s="465" t="s">
        <v>537</v>
      </c>
      <c r="M979" s="465" t="s">
        <v>537</v>
      </c>
      <c r="N979" s="466">
        <v>97660</v>
      </c>
      <c r="O979" s="463" t="s">
        <v>537</v>
      </c>
      <c r="P979" s="463" t="s">
        <v>537</v>
      </c>
      <c r="Q979" s="468">
        <v>2240</v>
      </c>
      <c r="R979" s="470">
        <v>241671</v>
      </c>
      <c r="S979" s="463" t="s">
        <v>2582</v>
      </c>
      <c r="T979" s="463">
        <v>0</v>
      </c>
      <c r="U979" s="463">
        <v>57</v>
      </c>
      <c r="V979" s="463">
        <v>3</v>
      </c>
      <c r="W979" s="463">
        <v>40</v>
      </c>
      <c r="X979" s="463">
        <v>7</v>
      </c>
      <c r="Y979" s="463">
        <v>13</v>
      </c>
      <c r="Z979" s="463">
        <v>96.8</v>
      </c>
      <c r="AA979" s="472" t="s">
        <v>605</v>
      </c>
      <c r="AB979" s="463" t="s">
        <v>539</v>
      </c>
      <c r="AC979" s="463" t="s">
        <v>539</v>
      </c>
      <c r="AD979" s="472" t="s">
        <v>565</v>
      </c>
      <c r="AE979" s="463">
        <v>80</v>
      </c>
      <c r="AF979" s="463" t="s">
        <v>539</v>
      </c>
      <c r="AG979" s="463" t="s">
        <v>375</v>
      </c>
      <c r="AH979" s="476"/>
      <c r="AI979" s="472" t="s">
        <v>2583</v>
      </c>
      <c r="AJ979" s="472" t="s">
        <v>543</v>
      </c>
    </row>
    <row r="980" spans="1:36" ht="24" hidden="1" customHeight="1">
      <c r="B980" s="701">
        <v>799</v>
      </c>
      <c r="C980" s="699" t="s">
        <v>337</v>
      </c>
      <c r="D980" s="699"/>
      <c r="E980" s="699" t="s">
        <v>545</v>
      </c>
      <c r="F980" s="699"/>
      <c r="G980" s="699" t="s">
        <v>334</v>
      </c>
      <c r="H980" s="699" t="s">
        <v>2584</v>
      </c>
      <c r="I980" s="712">
        <v>10000</v>
      </c>
      <c r="J980" s="709" t="s">
        <v>537</v>
      </c>
      <c r="K980" s="709" t="s">
        <v>537</v>
      </c>
      <c r="L980" s="712">
        <v>9362</v>
      </c>
      <c r="M980" s="709" t="s">
        <v>537</v>
      </c>
      <c r="N980" s="709" t="s">
        <v>537</v>
      </c>
      <c r="O980" s="701" t="s">
        <v>537</v>
      </c>
      <c r="P980" s="701" t="s">
        <v>537</v>
      </c>
      <c r="Q980" s="709">
        <v>638</v>
      </c>
      <c r="R980" s="707">
        <v>241487</v>
      </c>
      <c r="S980" s="721">
        <v>22371</v>
      </c>
      <c r="T980" s="701">
        <v>3</v>
      </c>
      <c r="U980" s="701">
        <v>5</v>
      </c>
      <c r="V980" s="701">
        <v>10</v>
      </c>
      <c r="W980" s="701">
        <v>3</v>
      </c>
      <c r="X980" s="701">
        <v>5</v>
      </c>
      <c r="Y980" s="701">
        <v>10</v>
      </c>
      <c r="Z980" s="701">
        <v>96.8</v>
      </c>
      <c r="AA980" s="697" t="s">
        <v>547</v>
      </c>
      <c r="AB980" s="701" t="s">
        <v>539</v>
      </c>
      <c r="AC980" s="701" t="s">
        <v>539</v>
      </c>
      <c r="AD980" s="458" t="s">
        <v>548</v>
      </c>
      <c r="AE980" s="459">
        <v>80</v>
      </c>
      <c r="AF980" s="459" t="s">
        <v>539</v>
      </c>
      <c r="AG980" s="701" t="s">
        <v>375</v>
      </c>
      <c r="AH980" s="728"/>
      <c r="AI980" s="697">
        <v>818951165</v>
      </c>
      <c r="AJ980" s="699"/>
    </row>
    <row r="981" spans="1:36" ht="24" hidden="1" customHeight="1">
      <c r="B981" s="702"/>
      <c r="C981" s="700"/>
      <c r="D981" s="700"/>
      <c r="E981" s="700"/>
      <c r="F981" s="700"/>
      <c r="G981" s="700"/>
      <c r="H981" s="700"/>
      <c r="I981" s="713"/>
      <c r="J981" s="710"/>
      <c r="K981" s="710"/>
      <c r="L981" s="713"/>
      <c r="M981" s="710"/>
      <c r="N981" s="710"/>
      <c r="O981" s="702"/>
      <c r="P981" s="702"/>
      <c r="Q981" s="710"/>
      <c r="R981" s="708"/>
      <c r="S981" s="722"/>
      <c r="T981" s="702"/>
      <c r="U981" s="702"/>
      <c r="V981" s="702"/>
      <c r="W981" s="702"/>
      <c r="X981" s="702"/>
      <c r="Y981" s="702"/>
      <c r="Z981" s="702"/>
      <c r="AA981" s="698"/>
      <c r="AB981" s="702"/>
      <c r="AC981" s="702"/>
      <c r="AD981" s="473" t="s">
        <v>2585</v>
      </c>
      <c r="AE981" s="474">
        <v>1</v>
      </c>
      <c r="AF981" s="474" t="s">
        <v>539</v>
      </c>
      <c r="AG981" s="702"/>
      <c r="AH981" s="729"/>
      <c r="AI981" s="698"/>
      <c r="AJ981" s="700"/>
    </row>
    <row r="982" spans="1:36" ht="24" hidden="1" customHeight="1">
      <c r="B982" s="701">
        <v>800</v>
      </c>
      <c r="C982" s="699" t="s">
        <v>337</v>
      </c>
      <c r="D982" s="699"/>
      <c r="E982" s="699" t="s">
        <v>545</v>
      </c>
      <c r="F982" s="699"/>
      <c r="G982" s="699" t="s">
        <v>334</v>
      </c>
      <c r="H982" s="699" t="s">
        <v>2586</v>
      </c>
      <c r="I982" s="712">
        <v>70000</v>
      </c>
      <c r="J982" s="709" t="s">
        <v>537</v>
      </c>
      <c r="K982" s="709" t="s">
        <v>537</v>
      </c>
      <c r="L982" s="712">
        <v>69550</v>
      </c>
      <c r="M982" s="709" t="s">
        <v>537</v>
      </c>
      <c r="N982" s="709" t="s">
        <v>537</v>
      </c>
      <c r="O982" s="701" t="s">
        <v>537</v>
      </c>
      <c r="P982" s="701" t="s">
        <v>537</v>
      </c>
      <c r="Q982" s="709">
        <v>450</v>
      </c>
      <c r="R982" s="701" t="s">
        <v>2587</v>
      </c>
      <c r="S982" s="721">
        <v>22455</v>
      </c>
      <c r="T982" s="701">
        <v>3</v>
      </c>
      <c r="U982" s="701">
        <v>3</v>
      </c>
      <c r="V982" s="701">
        <v>10</v>
      </c>
      <c r="W982" s="701">
        <v>3</v>
      </c>
      <c r="X982" s="701">
        <v>3</v>
      </c>
      <c r="Y982" s="701">
        <v>10</v>
      </c>
      <c r="Z982" s="701">
        <v>89.2</v>
      </c>
      <c r="AA982" s="697" t="s">
        <v>547</v>
      </c>
      <c r="AB982" s="701" t="s">
        <v>539</v>
      </c>
      <c r="AC982" s="701" t="s">
        <v>539</v>
      </c>
      <c r="AD982" s="458" t="s">
        <v>548</v>
      </c>
      <c r="AE982" s="459">
        <v>80</v>
      </c>
      <c r="AF982" s="459" t="s">
        <v>539</v>
      </c>
      <c r="AG982" s="701" t="s">
        <v>375</v>
      </c>
      <c r="AH982" s="728"/>
      <c r="AI982" s="697" t="s">
        <v>2588</v>
      </c>
      <c r="AJ982" s="699"/>
    </row>
    <row r="983" spans="1:36" ht="24" hidden="1" customHeight="1">
      <c r="B983" s="702"/>
      <c r="C983" s="700"/>
      <c r="D983" s="700"/>
      <c r="E983" s="700"/>
      <c r="F983" s="700"/>
      <c r="G983" s="700"/>
      <c r="H983" s="700"/>
      <c r="I983" s="713"/>
      <c r="J983" s="710"/>
      <c r="K983" s="710"/>
      <c r="L983" s="713"/>
      <c r="M983" s="710"/>
      <c r="N983" s="710"/>
      <c r="O983" s="702"/>
      <c r="P983" s="702"/>
      <c r="Q983" s="710"/>
      <c r="R983" s="702"/>
      <c r="S983" s="722"/>
      <c r="T983" s="702"/>
      <c r="U983" s="702"/>
      <c r="V983" s="702"/>
      <c r="W983" s="702"/>
      <c r="X983" s="702"/>
      <c r="Y983" s="702"/>
      <c r="Z983" s="702"/>
      <c r="AA983" s="698"/>
      <c r="AB983" s="702"/>
      <c r="AC983" s="702"/>
      <c r="AD983" s="473" t="s">
        <v>2585</v>
      </c>
      <c r="AE983" s="474">
        <v>1</v>
      </c>
      <c r="AF983" s="474" t="s">
        <v>539</v>
      </c>
      <c r="AG983" s="702"/>
      <c r="AH983" s="729"/>
      <c r="AI983" s="698"/>
      <c r="AJ983" s="700"/>
    </row>
    <row r="984" spans="1:36" ht="24" hidden="1" customHeight="1">
      <c r="B984" s="701">
        <v>801</v>
      </c>
      <c r="C984" s="699" t="s">
        <v>337</v>
      </c>
      <c r="D984" s="699"/>
      <c r="E984" s="699" t="s">
        <v>545</v>
      </c>
      <c r="F984" s="699"/>
      <c r="G984" s="699" t="s">
        <v>334</v>
      </c>
      <c r="H984" s="699" t="s">
        <v>2589</v>
      </c>
      <c r="I984" s="712">
        <v>20000</v>
      </c>
      <c r="J984" s="709" t="s">
        <v>537</v>
      </c>
      <c r="K984" s="709" t="s">
        <v>537</v>
      </c>
      <c r="L984" s="712">
        <v>20000</v>
      </c>
      <c r="M984" s="709" t="s">
        <v>537</v>
      </c>
      <c r="N984" s="709" t="s">
        <v>537</v>
      </c>
      <c r="O984" s="701" t="s">
        <v>537</v>
      </c>
      <c r="P984" s="701" t="s">
        <v>537</v>
      </c>
      <c r="Q984" s="709">
        <v>0</v>
      </c>
      <c r="R984" s="707">
        <v>241459</v>
      </c>
      <c r="S984" s="701" t="s">
        <v>682</v>
      </c>
      <c r="T984" s="701">
        <v>3</v>
      </c>
      <c r="U984" s="701">
        <v>6</v>
      </c>
      <c r="V984" s="701">
        <v>15</v>
      </c>
      <c r="W984" s="701">
        <v>3</v>
      </c>
      <c r="X984" s="701">
        <v>6</v>
      </c>
      <c r="Y984" s="701">
        <v>15</v>
      </c>
      <c r="Z984" s="701">
        <v>93.2</v>
      </c>
      <c r="AA984" s="697" t="s">
        <v>547</v>
      </c>
      <c r="AB984" s="701" t="s">
        <v>539</v>
      </c>
      <c r="AC984" s="701" t="s">
        <v>539</v>
      </c>
      <c r="AD984" s="458" t="s">
        <v>548</v>
      </c>
      <c r="AE984" s="459">
        <v>80</v>
      </c>
      <c r="AF984" s="459" t="s">
        <v>539</v>
      </c>
      <c r="AG984" s="701" t="s">
        <v>375</v>
      </c>
      <c r="AH984" s="728"/>
      <c r="AI984" s="697" t="s">
        <v>2590</v>
      </c>
      <c r="AJ984" s="699"/>
    </row>
    <row r="985" spans="1:36" ht="24" hidden="1" customHeight="1">
      <c r="B985" s="702"/>
      <c r="C985" s="700"/>
      <c r="D985" s="700"/>
      <c r="E985" s="700"/>
      <c r="F985" s="700"/>
      <c r="G985" s="700"/>
      <c r="H985" s="700"/>
      <c r="I985" s="713"/>
      <c r="J985" s="710"/>
      <c r="K985" s="710"/>
      <c r="L985" s="713"/>
      <c r="M985" s="710"/>
      <c r="N985" s="710"/>
      <c r="O985" s="702"/>
      <c r="P985" s="702"/>
      <c r="Q985" s="710"/>
      <c r="R985" s="708"/>
      <c r="S985" s="702"/>
      <c r="T985" s="702"/>
      <c r="U985" s="702"/>
      <c r="V985" s="702"/>
      <c r="W985" s="702"/>
      <c r="X985" s="702"/>
      <c r="Y985" s="702"/>
      <c r="Z985" s="702"/>
      <c r="AA985" s="698"/>
      <c r="AB985" s="702"/>
      <c r="AC985" s="702"/>
      <c r="AD985" s="473" t="s">
        <v>2585</v>
      </c>
      <c r="AE985" s="474">
        <v>1</v>
      </c>
      <c r="AF985" s="474" t="s">
        <v>539</v>
      </c>
      <c r="AG985" s="702"/>
      <c r="AH985" s="729"/>
      <c r="AI985" s="698"/>
      <c r="AJ985" s="700"/>
    </row>
    <row r="986" spans="1:36" ht="24" hidden="1" customHeight="1">
      <c r="B986" s="701">
        <v>802</v>
      </c>
      <c r="C986" s="699" t="s">
        <v>337</v>
      </c>
      <c r="D986" s="699"/>
      <c r="E986" s="699" t="s">
        <v>545</v>
      </c>
      <c r="F986" s="699"/>
      <c r="G986" s="699" t="s">
        <v>334</v>
      </c>
      <c r="H986" s="699" t="s">
        <v>2591</v>
      </c>
      <c r="I986" s="709">
        <v>0</v>
      </c>
      <c r="J986" s="709" t="s">
        <v>537</v>
      </c>
      <c r="K986" s="709" t="s">
        <v>537</v>
      </c>
      <c r="L986" s="709">
        <v>0</v>
      </c>
      <c r="M986" s="709" t="s">
        <v>537</v>
      </c>
      <c r="N986" s="709" t="s">
        <v>537</v>
      </c>
      <c r="O986" s="701" t="s">
        <v>537</v>
      </c>
      <c r="P986" s="701" t="s">
        <v>537</v>
      </c>
      <c r="Q986" s="709">
        <v>0</v>
      </c>
      <c r="R986" s="707">
        <v>241640</v>
      </c>
      <c r="S986" s="721">
        <v>22523</v>
      </c>
      <c r="T986" s="701">
        <v>0</v>
      </c>
      <c r="U986" s="701">
        <v>6</v>
      </c>
      <c r="V986" s="701">
        <v>10</v>
      </c>
      <c r="W986" s="701">
        <v>0</v>
      </c>
      <c r="X986" s="701">
        <v>6</v>
      </c>
      <c r="Y986" s="701">
        <v>10</v>
      </c>
      <c r="Z986" s="701">
        <v>89.4</v>
      </c>
      <c r="AA986" s="697" t="s">
        <v>547</v>
      </c>
      <c r="AB986" s="701" t="s">
        <v>539</v>
      </c>
      <c r="AC986" s="701" t="s">
        <v>539</v>
      </c>
      <c r="AD986" s="458" t="s">
        <v>548</v>
      </c>
      <c r="AE986" s="459">
        <v>80</v>
      </c>
      <c r="AF986" s="459" t="s">
        <v>539</v>
      </c>
      <c r="AG986" s="701" t="s">
        <v>375</v>
      </c>
      <c r="AH986" s="728"/>
      <c r="AI986" s="697" t="s">
        <v>2592</v>
      </c>
      <c r="AJ986" s="699"/>
    </row>
    <row r="987" spans="1:36" ht="24" hidden="1" customHeight="1">
      <c r="B987" s="702"/>
      <c r="C987" s="700"/>
      <c r="D987" s="700"/>
      <c r="E987" s="700"/>
      <c r="F987" s="700"/>
      <c r="G987" s="700"/>
      <c r="H987" s="700"/>
      <c r="I987" s="710"/>
      <c r="J987" s="710"/>
      <c r="K987" s="710"/>
      <c r="L987" s="710"/>
      <c r="M987" s="710"/>
      <c r="N987" s="710"/>
      <c r="O987" s="702"/>
      <c r="P987" s="702"/>
      <c r="Q987" s="710"/>
      <c r="R987" s="708"/>
      <c r="S987" s="722"/>
      <c r="T987" s="702"/>
      <c r="U987" s="702"/>
      <c r="V987" s="702"/>
      <c r="W987" s="702"/>
      <c r="X987" s="702"/>
      <c r="Y987" s="702"/>
      <c r="Z987" s="702"/>
      <c r="AA987" s="698"/>
      <c r="AB987" s="702"/>
      <c r="AC987" s="702"/>
      <c r="AD987" s="473" t="s">
        <v>2585</v>
      </c>
      <c r="AE987" s="474">
        <v>1</v>
      </c>
      <c r="AF987" s="474" t="s">
        <v>539</v>
      </c>
      <c r="AG987" s="702"/>
      <c r="AH987" s="729"/>
      <c r="AI987" s="698"/>
      <c r="AJ987" s="700"/>
    </row>
    <row r="988" spans="1:36" ht="24" hidden="1" customHeight="1">
      <c r="B988" s="463">
        <v>803</v>
      </c>
      <c r="C988" s="464" t="s">
        <v>337</v>
      </c>
      <c r="D988" s="464"/>
      <c r="E988" s="464" t="s">
        <v>545</v>
      </c>
      <c r="F988" s="464"/>
      <c r="G988" s="464" t="s">
        <v>334</v>
      </c>
      <c r="H988" s="464" t="s">
        <v>2593</v>
      </c>
      <c r="I988" s="465" t="s">
        <v>537</v>
      </c>
      <c r="J988" s="465" t="s">
        <v>537</v>
      </c>
      <c r="K988" s="466">
        <v>50000</v>
      </c>
      <c r="L988" s="465" t="s">
        <v>537</v>
      </c>
      <c r="M988" s="465" t="s">
        <v>537</v>
      </c>
      <c r="N988" s="466">
        <v>26950</v>
      </c>
      <c r="O988" s="463" t="s">
        <v>537</v>
      </c>
      <c r="P988" s="463" t="s">
        <v>537</v>
      </c>
      <c r="Q988" s="468">
        <v>23050</v>
      </c>
      <c r="R988" s="470">
        <v>241518</v>
      </c>
      <c r="S988" s="463" t="s">
        <v>2594</v>
      </c>
      <c r="T988" s="463">
        <v>12</v>
      </c>
      <c r="U988" s="463">
        <v>3</v>
      </c>
      <c r="V988" s="463">
        <v>5</v>
      </c>
      <c r="W988" s="463">
        <v>12</v>
      </c>
      <c r="X988" s="463">
        <v>3</v>
      </c>
      <c r="Y988" s="463">
        <v>5</v>
      </c>
      <c r="Z988" s="463">
        <v>90.5</v>
      </c>
      <c r="AA988" s="472" t="s">
        <v>2595</v>
      </c>
      <c r="AB988" s="463" t="s">
        <v>539</v>
      </c>
      <c r="AC988" s="463" t="s">
        <v>539</v>
      </c>
      <c r="AD988" s="472" t="s">
        <v>2596</v>
      </c>
      <c r="AE988" s="463" t="s">
        <v>539</v>
      </c>
      <c r="AF988" s="463" t="s">
        <v>539</v>
      </c>
      <c r="AG988" s="463" t="s">
        <v>375</v>
      </c>
      <c r="AH988" s="476"/>
      <c r="AI988" s="472" t="s">
        <v>2597</v>
      </c>
      <c r="AJ988" s="472" t="s">
        <v>543</v>
      </c>
    </row>
    <row r="989" spans="1:36" ht="24" customHeight="1">
      <c r="A989" s="452">
        <v>93</v>
      </c>
      <c r="B989" s="463">
        <v>804</v>
      </c>
      <c r="C989" s="464" t="s">
        <v>377</v>
      </c>
      <c r="D989" s="464"/>
      <c r="E989" s="464" t="s">
        <v>602</v>
      </c>
      <c r="F989" s="464"/>
      <c r="G989" s="464" t="s">
        <v>419</v>
      </c>
      <c r="H989" s="464" t="s">
        <v>2598</v>
      </c>
      <c r="I989" s="465" t="s">
        <v>537</v>
      </c>
      <c r="J989" s="465" t="s">
        <v>537</v>
      </c>
      <c r="K989" s="466">
        <v>90000</v>
      </c>
      <c r="L989" s="465" t="s">
        <v>537</v>
      </c>
      <c r="M989" s="465" t="s">
        <v>537</v>
      </c>
      <c r="N989" s="466">
        <v>90000</v>
      </c>
      <c r="O989" s="463" t="s">
        <v>537</v>
      </c>
      <c r="P989" s="463" t="s">
        <v>537</v>
      </c>
      <c r="Q989" s="465">
        <v>0</v>
      </c>
      <c r="R989" s="470">
        <v>241640</v>
      </c>
      <c r="S989" s="463" t="s">
        <v>2599</v>
      </c>
      <c r="T989" s="463">
        <v>0</v>
      </c>
      <c r="U989" s="463">
        <v>0</v>
      </c>
      <c r="V989" s="463">
        <v>0</v>
      </c>
      <c r="W989" s="463">
        <v>0</v>
      </c>
      <c r="X989" s="463">
        <v>0</v>
      </c>
      <c r="Y989" s="463">
        <v>0</v>
      </c>
      <c r="Z989" s="463">
        <v>90</v>
      </c>
      <c r="AA989" s="472" t="s">
        <v>2600</v>
      </c>
      <c r="AB989" s="463" t="s">
        <v>539</v>
      </c>
      <c r="AC989" s="463" t="s">
        <v>539</v>
      </c>
      <c r="AD989" s="472" t="s">
        <v>2601</v>
      </c>
      <c r="AE989" s="463" t="s">
        <v>539</v>
      </c>
      <c r="AF989" s="463" t="s">
        <v>539</v>
      </c>
      <c r="AG989" s="463" t="s">
        <v>375</v>
      </c>
      <c r="AH989" s="476"/>
      <c r="AI989" s="472" t="s">
        <v>566</v>
      </c>
      <c r="AJ989" s="472" t="s">
        <v>1105</v>
      </c>
    </row>
    <row r="990" spans="1:36" ht="24" customHeight="1">
      <c r="A990" s="452">
        <v>94</v>
      </c>
      <c r="B990" s="463">
        <v>805</v>
      </c>
      <c r="C990" s="464" t="s">
        <v>377</v>
      </c>
      <c r="D990" s="464" t="s">
        <v>544</v>
      </c>
      <c r="E990" s="464" t="s">
        <v>602</v>
      </c>
      <c r="F990" s="464"/>
      <c r="G990" s="464" t="s">
        <v>419</v>
      </c>
      <c r="H990" s="464" t="s">
        <v>2602</v>
      </c>
      <c r="I990" s="466">
        <v>47520</v>
      </c>
      <c r="J990" s="465" t="s">
        <v>537</v>
      </c>
      <c r="K990" s="465" t="s">
        <v>537</v>
      </c>
      <c r="L990" s="466">
        <v>46520</v>
      </c>
      <c r="M990" s="465" t="s">
        <v>537</v>
      </c>
      <c r="N990" s="465" t="s">
        <v>537</v>
      </c>
      <c r="O990" s="463" t="s">
        <v>537</v>
      </c>
      <c r="P990" s="463" t="s">
        <v>537</v>
      </c>
      <c r="Q990" s="468">
        <v>1000</v>
      </c>
      <c r="R990" s="470">
        <v>241640</v>
      </c>
      <c r="S990" s="463" t="s">
        <v>2603</v>
      </c>
      <c r="T990" s="463">
        <v>40</v>
      </c>
      <c r="U990" s="463">
        <v>6</v>
      </c>
      <c r="V990" s="463">
        <v>0</v>
      </c>
      <c r="W990" s="463">
        <v>82</v>
      </c>
      <c r="X990" s="463">
        <v>9</v>
      </c>
      <c r="Y990" s="463">
        <v>0</v>
      </c>
      <c r="Z990" s="463">
        <v>90</v>
      </c>
      <c r="AA990" s="472" t="s">
        <v>612</v>
      </c>
      <c r="AB990" s="463" t="s">
        <v>539</v>
      </c>
      <c r="AC990" s="463" t="s">
        <v>539</v>
      </c>
      <c r="AD990" s="472" t="s">
        <v>565</v>
      </c>
      <c r="AE990" s="463">
        <v>80</v>
      </c>
      <c r="AF990" s="463">
        <v>90</v>
      </c>
      <c r="AG990" s="463" t="s">
        <v>375</v>
      </c>
      <c r="AH990" s="476"/>
      <c r="AI990" s="472" t="s">
        <v>2604</v>
      </c>
      <c r="AJ990" s="464"/>
    </row>
    <row r="991" spans="1:36" ht="24" customHeight="1">
      <c r="A991" s="452">
        <v>95</v>
      </c>
      <c r="B991" s="463">
        <v>806</v>
      </c>
      <c r="C991" s="464" t="s">
        <v>377</v>
      </c>
      <c r="D991" s="464" t="s">
        <v>544</v>
      </c>
      <c r="E991" s="464" t="s">
        <v>602</v>
      </c>
      <c r="F991" s="464"/>
      <c r="G991" s="464" t="s">
        <v>419</v>
      </c>
      <c r="H991" s="464" t="s">
        <v>2605</v>
      </c>
      <c r="I991" s="466">
        <v>88000</v>
      </c>
      <c r="J991" s="465" t="s">
        <v>537</v>
      </c>
      <c r="K991" s="465" t="s">
        <v>537</v>
      </c>
      <c r="L991" s="466">
        <v>88000</v>
      </c>
      <c r="M991" s="465" t="s">
        <v>537</v>
      </c>
      <c r="N991" s="465" t="s">
        <v>537</v>
      </c>
      <c r="O991" s="463" t="s">
        <v>537</v>
      </c>
      <c r="P991" s="463" t="s">
        <v>537</v>
      </c>
      <c r="Q991" s="465">
        <v>0</v>
      </c>
      <c r="R991" s="463" t="s">
        <v>1898</v>
      </c>
      <c r="S991" s="463" t="s">
        <v>2606</v>
      </c>
      <c r="T991" s="463">
        <v>20</v>
      </c>
      <c r="U991" s="463">
        <v>10</v>
      </c>
      <c r="V991" s="463">
        <v>0</v>
      </c>
      <c r="W991" s="463">
        <v>30</v>
      </c>
      <c r="X991" s="463">
        <v>5</v>
      </c>
      <c r="Y991" s="463">
        <v>5</v>
      </c>
      <c r="Z991" s="463">
        <v>91</v>
      </c>
      <c r="AA991" s="472" t="s">
        <v>612</v>
      </c>
      <c r="AB991" s="463" t="s">
        <v>539</v>
      </c>
      <c r="AC991" s="463" t="s">
        <v>539</v>
      </c>
      <c r="AD991" s="472" t="s">
        <v>565</v>
      </c>
      <c r="AE991" s="463" t="s">
        <v>620</v>
      </c>
      <c r="AF991" s="463">
        <v>90</v>
      </c>
      <c r="AG991" s="463" t="s">
        <v>376</v>
      </c>
      <c r="AH991" s="476"/>
      <c r="AI991" s="472" t="s">
        <v>2607</v>
      </c>
      <c r="AJ991" s="464"/>
    </row>
    <row r="992" spans="1:36" ht="24" customHeight="1">
      <c r="A992" s="452">
        <v>96</v>
      </c>
      <c r="B992" s="463">
        <v>807</v>
      </c>
      <c r="C992" s="464" t="s">
        <v>377</v>
      </c>
      <c r="D992" s="464" t="s">
        <v>544</v>
      </c>
      <c r="E992" s="464" t="s">
        <v>602</v>
      </c>
      <c r="F992" s="464"/>
      <c r="G992" s="464" t="s">
        <v>419</v>
      </c>
      <c r="H992" s="464" t="s">
        <v>2608</v>
      </c>
      <c r="I992" s="466">
        <v>170000</v>
      </c>
      <c r="J992" s="465" t="s">
        <v>537</v>
      </c>
      <c r="K992" s="465" t="s">
        <v>537</v>
      </c>
      <c r="L992" s="466">
        <v>142065</v>
      </c>
      <c r="M992" s="465" t="s">
        <v>537</v>
      </c>
      <c r="N992" s="465" t="s">
        <v>537</v>
      </c>
      <c r="O992" s="463" t="s">
        <v>537</v>
      </c>
      <c r="P992" s="463" t="s">
        <v>537</v>
      </c>
      <c r="Q992" s="468">
        <v>27935</v>
      </c>
      <c r="R992" s="470">
        <v>241459</v>
      </c>
      <c r="S992" s="463" t="s">
        <v>1591</v>
      </c>
      <c r="T992" s="463">
        <v>11</v>
      </c>
      <c r="U992" s="463">
        <v>0</v>
      </c>
      <c r="V992" s="463">
        <v>0</v>
      </c>
      <c r="W992" s="463">
        <v>15</v>
      </c>
      <c r="X992" s="463">
        <v>6</v>
      </c>
      <c r="Y992" s="464"/>
      <c r="Z992" s="463">
        <v>95</v>
      </c>
      <c r="AA992" s="472" t="s">
        <v>612</v>
      </c>
      <c r="AB992" s="463" t="s">
        <v>539</v>
      </c>
      <c r="AC992" s="463" t="s">
        <v>539</v>
      </c>
      <c r="AD992" s="472" t="s">
        <v>565</v>
      </c>
      <c r="AE992" s="463" t="s">
        <v>620</v>
      </c>
      <c r="AF992" s="463">
        <v>95</v>
      </c>
      <c r="AG992" s="463" t="s">
        <v>376</v>
      </c>
      <c r="AH992" s="476"/>
      <c r="AI992" s="472" t="s">
        <v>2607</v>
      </c>
      <c r="AJ992" s="464"/>
    </row>
    <row r="993" spans="1:36" ht="24" customHeight="1">
      <c r="A993" s="452">
        <v>97</v>
      </c>
      <c r="B993" s="463">
        <v>808</v>
      </c>
      <c r="C993" s="464" t="s">
        <v>377</v>
      </c>
      <c r="D993" s="464" t="s">
        <v>544</v>
      </c>
      <c r="E993" s="464" t="s">
        <v>602</v>
      </c>
      <c r="F993" s="464"/>
      <c r="G993" s="464" t="s">
        <v>419</v>
      </c>
      <c r="H993" s="464" t="s">
        <v>2609</v>
      </c>
      <c r="I993" s="466">
        <v>50000</v>
      </c>
      <c r="J993" s="465" t="s">
        <v>537</v>
      </c>
      <c r="K993" s="465" t="s">
        <v>537</v>
      </c>
      <c r="L993" s="466">
        <v>48000</v>
      </c>
      <c r="M993" s="465" t="s">
        <v>537</v>
      </c>
      <c r="N993" s="465" t="s">
        <v>537</v>
      </c>
      <c r="O993" s="463" t="s">
        <v>537</v>
      </c>
      <c r="P993" s="463" t="s">
        <v>537</v>
      </c>
      <c r="Q993" s="468">
        <v>2000</v>
      </c>
      <c r="R993" s="470">
        <v>241579</v>
      </c>
      <c r="S993" s="463" t="s">
        <v>2610</v>
      </c>
      <c r="T993" s="463">
        <v>0</v>
      </c>
      <c r="U993" s="463">
        <v>40</v>
      </c>
      <c r="V993" s="463">
        <v>0</v>
      </c>
      <c r="W993" s="463">
        <v>0</v>
      </c>
      <c r="X993" s="463">
        <v>39</v>
      </c>
      <c r="Y993" s="464"/>
      <c r="Z993" s="463">
        <v>85</v>
      </c>
      <c r="AA993" s="472" t="s">
        <v>612</v>
      </c>
      <c r="AB993" s="463" t="s">
        <v>539</v>
      </c>
      <c r="AC993" s="463" t="s">
        <v>539</v>
      </c>
      <c r="AD993" s="472" t="s">
        <v>565</v>
      </c>
      <c r="AE993" s="463" t="s">
        <v>620</v>
      </c>
      <c r="AF993" s="463">
        <v>85</v>
      </c>
      <c r="AG993" s="463" t="s">
        <v>376</v>
      </c>
      <c r="AH993" s="476"/>
      <c r="AI993" s="472" t="s">
        <v>2611</v>
      </c>
      <c r="AJ993" s="464"/>
    </row>
    <row r="994" spans="1:36" ht="24" customHeight="1">
      <c r="A994" s="452">
        <v>98</v>
      </c>
      <c r="B994" s="463">
        <v>809</v>
      </c>
      <c r="C994" s="464" t="s">
        <v>377</v>
      </c>
      <c r="D994" s="464" t="s">
        <v>544</v>
      </c>
      <c r="E994" s="464" t="s">
        <v>602</v>
      </c>
      <c r="F994" s="464"/>
      <c r="G994" s="464" t="s">
        <v>419</v>
      </c>
      <c r="H994" s="464" t="s">
        <v>2612</v>
      </c>
      <c r="I994" s="466">
        <v>31480</v>
      </c>
      <c r="J994" s="465" t="s">
        <v>537</v>
      </c>
      <c r="K994" s="465" t="s">
        <v>537</v>
      </c>
      <c r="L994" s="466">
        <v>31160</v>
      </c>
      <c r="M994" s="465" t="s">
        <v>537</v>
      </c>
      <c r="N994" s="465" t="s">
        <v>537</v>
      </c>
      <c r="O994" s="463" t="s">
        <v>537</v>
      </c>
      <c r="P994" s="463" t="s">
        <v>537</v>
      </c>
      <c r="Q994" s="465">
        <v>320</v>
      </c>
      <c r="R994" s="470">
        <v>241579</v>
      </c>
      <c r="S994" s="463" t="s">
        <v>2603</v>
      </c>
      <c r="T994" s="463">
        <v>40</v>
      </c>
      <c r="U994" s="463">
        <v>6</v>
      </c>
      <c r="V994" s="463">
        <v>0</v>
      </c>
      <c r="W994" s="463">
        <v>20</v>
      </c>
      <c r="X994" s="463">
        <v>14</v>
      </c>
      <c r="Y994" s="463">
        <v>30</v>
      </c>
      <c r="Z994" s="463">
        <v>96.7</v>
      </c>
      <c r="AA994" s="472" t="s">
        <v>612</v>
      </c>
      <c r="AB994" s="463" t="s">
        <v>539</v>
      </c>
      <c r="AC994" s="463" t="s">
        <v>539</v>
      </c>
      <c r="AD994" s="472" t="s">
        <v>565</v>
      </c>
      <c r="AE994" s="463">
        <v>80</v>
      </c>
      <c r="AF994" s="463">
        <v>96.7</v>
      </c>
      <c r="AG994" s="463" t="s">
        <v>375</v>
      </c>
      <c r="AH994" s="476"/>
      <c r="AI994" s="472" t="s">
        <v>566</v>
      </c>
      <c r="AJ994" s="472" t="s">
        <v>537</v>
      </c>
    </row>
    <row r="995" spans="1:36" ht="24" customHeight="1">
      <c r="A995" s="452">
        <v>99</v>
      </c>
      <c r="B995" s="463">
        <v>810</v>
      </c>
      <c r="C995" s="464" t="s">
        <v>377</v>
      </c>
      <c r="D995" s="464"/>
      <c r="E995" s="464" t="s">
        <v>602</v>
      </c>
      <c r="F995" s="464"/>
      <c r="G995" s="464" t="s">
        <v>419</v>
      </c>
      <c r="H995" s="464" t="s">
        <v>2613</v>
      </c>
      <c r="I995" s="465" t="s">
        <v>537</v>
      </c>
      <c r="J995" s="465" t="s">
        <v>537</v>
      </c>
      <c r="K995" s="466">
        <v>141300</v>
      </c>
      <c r="L995" s="465" t="s">
        <v>537</v>
      </c>
      <c r="M995" s="465" t="s">
        <v>537</v>
      </c>
      <c r="N995" s="466">
        <v>111700</v>
      </c>
      <c r="O995" s="463" t="s">
        <v>537</v>
      </c>
      <c r="P995" s="463" t="s">
        <v>537</v>
      </c>
      <c r="Q995" s="468">
        <v>29600</v>
      </c>
      <c r="R995" s="470">
        <v>241640</v>
      </c>
      <c r="S995" s="463" t="s">
        <v>2599</v>
      </c>
      <c r="T995" s="463">
        <v>48</v>
      </c>
      <c r="U995" s="463">
        <v>21</v>
      </c>
      <c r="V995" s="463">
        <v>10</v>
      </c>
      <c r="W995" s="463">
        <v>48</v>
      </c>
      <c r="X995" s="463">
        <v>23</v>
      </c>
      <c r="Y995" s="463">
        <v>10</v>
      </c>
      <c r="Z995" s="463">
        <v>85</v>
      </c>
      <c r="AA995" s="472" t="s">
        <v>2600</v>
      </c>
      <c r="AB995" s="463" t="s">
        <v>539</v>
      </c>
      <c r="AC995" s="463" t="s">
        <v>539</v>
      </c>
      <c r="AD995" s="472" t="s">
        <v>2601</v>
      </c>
      <c r="AE995" s="463" t="s">
        <v>539</v>
      </c>
      <c r="AF995" s="463">
        <v>85</v>
      </c>
      <c r="AG995" s="463" t="s">
        <v>376</v>
      </c>
      <c r="AH995" s="476"/>
      <c r="AI995" s="472" t="s">
        <v>2607</v>
      </c>
      <c r="AJ995" s="472" t="s">
        <v>543</v>
      </c>
    </row>
    <row r="996" spans="1:36" ht="24" customHeight="1">
      <c r="A996" s="452">
        <v>100</v>
      </c>
      <c r="B996" s="463">
        <v>811</v>
      </c>
      <c r="C996" s="464" t="s">
        <v>377</v>
      </c>
      <c r="D996" s="464"/>
      <c r="E996" s="464" t="s">
        <v>602</v>
      </c>
      <c r="F996" s="464"/>
      <c r="G996" s="464" t="s">
        <v>49</v>
      </c>
      <c r="H996" s="464" t="s">
        <v>2614</v>
      </c>
      <c r="I996" s="465" t="s">
        <v>537</v>
      </c>
      <c r="J996" s="465" t="s">
        <v>537</v>
      </c>
      <c r="K996" s="466">
        <v>100000</v>
      </c>
      <c r="L996" s="465" t="s">
        <v>537</v>
      </c>
      <c r="M996" s="465" t="s">
        <v>537</v>
      </c>
      <c r="N996" s="466">
        <v>100000</v>
      </c>
      <c r="O996" s="463" t="s">
        <v>537</v>
      </c>
      <c r="P996" s="463" t="s">
        <v>537</v>
      </c>
      <c r="Q996" s="465">
        <v>0</v>
      </c>
      <c r="R996" s="470">
        <v>241671</v>
      </c>
      <c r="S996" s="463" t="s">
        <v>1100</v>
      </c>
      <c r="T996" s="463">
        <v>40</v>
      </c>
      <c r="U996" s="463">
        <v>10</v>
      </c>
      <c r="V996" s="463">
        <v>0</v>
      </c>
      <c r="W996" s="463">
        <v>42</v>
      </c>
      <c r="X996" s="463">
        <v>8</v>
      </c>
      <c r="Y996" s="463">
        <v>0</v>
      </c>
      <c r="Z996" s="463">
        <v>94</v>
      </c>
      <c r="AA996" s="472" t="s">
        <v>612</v>
      </c>
      <c r="AB996" s="463" t="s">
        <v>539</v>
      </c>
      <c r="AC996" s="463">
        <v>85</v>
      </c>
      <c r="AD996" s="472" t="s">
        <v>565</v>
      </c>
      <c r="AE996" s="463">
        <v>80</v>
      </c>
      <c r="AF996" s="463">
        <v>94</v>
      </c>
      <c r="AG996" s="463" t="s">
        <v>375</v>
      </c>
      <c r="AH996" s="476"/>
      <c r="AI996" s="472" t="s">
        <v>2615</v>
      </c>
      <c r="AJ996" s="472" t="s">
        <v>543</v>
      </c>
    </row>
    <row r="997" spans="1:36" ht="24" customHeight="1">
      <c r="A997" s="452">
        <v>101</v>
      </c>
      <c r="B997" s="463">
        <v>812</v>
      </c>
      <c r="C997" s="464" t="s">
        <v>377</v>
      </c>
      <c r="D997" s="464"/>
      <c r="E997" s="464" t="s">
        <v>602</v>
      </c>
      <c r="F997" s="464"/>
      <c r="G997" s="464" t="s">
        <v>49</v>
      </c>
      <c r="H997" s="464" t="s">
        <v>2616</v>
      </c>
      <c r="I997" s="466">
        <v>40000</v>
      </c>
      <c r="J997" s="465" t="s">
        <v>537</v>
      </c>
      <c r="K997" s="465" t="s">
        <v>537</v>
      </c>
      <c r="L997" s="466">
        <v>40000</v>
      </c>
      <c r="M997" s="465" t="s">
        <v>537</v>
      </c>
      <c r="N997" s="465" t="s">
        <v>537</v>
      </c>
      <c r="O997" s="463" t="s">
        <v>537</v>
      </c>
      <c r="P997" s="463" t="s">
        <v>537</v>
      </c>
      <c r="Q997" s="465">
        <v>0</v>
      </c>
      <c r="R997" s="463" t="s">
        <v>1898</v>
      </c>
      <c r="S997" s="463" t="s">
        <v>2617</v>
      </c>
      <c r="T997" s="463">
        <v>20</v>
      </c>
      <c r="U997" s="463">
        <v>15</v>
      </c>
      <c r="V997" s="463">
        <v>25</v>
      </c>
      <c r="W997" s="463">
        <v>123</v>
      </c>
      <c r="X997" s="463">
        <v>40</v>
      </c>
      <c r="Y997" s="463">
        <v>41</v>
      </c>
      <c r="Z997" s="463">
        <v>89.34</v>
      </c>
      <c r="AA997" s="472" t="s">
        <v>612</v>
      </c>
      <c r="AB997" s="463" t="s">
        <v>539</v>
      </c>
      <c r="AC997" s="463" t="s">
        <v>539</v>
      </c>
      <c r="AD997" s="472" t="s">
        <v>565</v>
      </c>
      <c r="AE997" s="463">
        <v>80</v>
      </c>
      <c r="AF997" s="463">
        <v>89.18</v>
      </c>
      <c r="AG997" s="463" t="s">
        <v>375</v>
      </c>
      <c r="AH997" s="476"/>
      <c r="AI997" s="472" t="s">
        <v>2618</v>
      </c>
      <c r="AJ997" s="464"/>
    </row>
    <row r="998" spans="1:36" ht="24" customHeight="1">
      <c r="A998" s="452">
        <v>102</v>
      </c>
      <c r="B998" s="463">
        <v>813</v>
      </c>
      <c r="C998" s="464" t="s">
        <v>377</v>
      </c>
      <c r="D998" s="464"/>
      <c r="E998" s="464" t="s">
        <v>602</v>
      </c>
      <c r="F998" s="464"/>
      <c r="G998" s="464" t="s">
        <v>49</v>
      </c>
      <c r="H998" s="464" t="s">
        <v>2619</v>
      </c>
      <c r="I998" s="466">
        <v>50000</v>
      </c>
      <c r="J998" s="465" t="s">
        <v>537</v>
      </c>
      <c r="K998" s="465" t="s">
        <v>537</v>
      </c>
      <c r="L998" s="466">
        <v>50000</v>
      </c>
      <c r="M998" s="465" t="s">
        <v>537</v>
      </c>
      <c r="N998" s="465" t="s">
        <v>537</v>
      </c>
      <c r="O998" s="463" t="s">
        <v>537</v>
      </c>
      <c r="P998" s="463" t="s">
        <v>537</v>
      </c>
      <c r="Q998" s="465">
        <v>0</v>
      </c>
      <c r="R998" s="470">
        <v>241459</v>
      </c>
      <c r="S998" s="471">
        <v>22337</v>
      </c>
      <c r="T998" s="463">
        <v>20</v>
      </c>
      <c r="U998" s="463">
        <v>15</v>
      </c>
      <c r="V998" s="463">
        <v>25</v>
      </c>
      <c r="W998" s="463">
        <v>20</v>
      </c>
      <c r="X998" s="463">
        <v>8</v>
      </c>
      <c r="Y998" s="463">
        <v>41</v>
      </c>
      <c r="Z998" s="463">
        <v>89.18</v>
      </c>
      <c r="AA998" s="472" t="s">
        <v>612</v>
      </c>
      <c r="AB998" s="463" t="s">
        <v>539</v>
      </c>
      <c r="AC998" s="463" t="s">
        <v>539</v>
      </c>
      <c r="AD998" s="472" t="s">
        <v>565</v>
      </c>
      <c r="AE998" s="463">
        <v>80</v>
      </c>
      <c r="AF998" s="463">
        <v>89.18</v>
      </c>
      <c r="AG998" s="463" t="s">
        <v>375</v>
      </c>
      <c r="AH998" s="476"/>
      <c r="AI998" s="472" t="s">
        <v>2620</v>
      </c>
      <c r="AJ998" s="464"/>
    </row>
    <row r="999" spans="1:36" ht="24" customHeight="1">
      <c r="A999" s="452">
        <v>103</v>
      </c>
      <c r="B999" s="463">
        <v>814</v>
      </c>
      <c r="C999" s="464" t="s">
        <v>377</v>
      </c>
      <c r="D999" s="464"/>
      <c r="E999" s="464" t="s">
        <v>602</v>
      </c>
      <c r="F999" s="464"/>
      <c r="G999" s="464" t="s">
        <v>49</v>
      </c>
      <c r="H999" s="464" t="s">
        <v>2621</v>
      </c>
      <c r="I999" s="465" t="s">
        <v>537</v>
      </c>
      <c r="J999" s="466">
        <v>130000</v>
      </c>
      <c r="K999" s="465" t="s">
        <v>537</v>
      </c>
      <c r="L999" s="465" t="s">
        <v>537</v>
      </c>
      <c r="M999" s="466">
        <v>130000</v>
      </c>
      <c r="N999" s="465" t="s">
        <v>537</v>
      </c>
      <c r="O999" s="463" t="s">
        <v>537</v>
      </c>
      <c r="P999" s="463" t="s">
        <v>537</v>
      </c>
      <c r="Q999" s="465">
        <v>0</v>
      </c>
      <c r="R999" s="470">
        <v>241579</v>
      </c>
      <c r="S999" s="463" t="s">
        <v>988</v>
      </c>
      <c r="T999" s="463">
        <v>480</v>
      </c>
      <c r="U999" s="463">
        <v>30</v>
      </c>
      <c r="V999" s="463">
        <v>320</v>
      </c>
      <c r="W999" s="463">
        <v>468</v>
      </c>
      <c r="X999" s="463">
        <v>45</v>
      </c>
      <c r="Y999" s="463">
        <v>368</v>
      </c>
      <c r="Z999" s="463">
        <v>84.98</v>
      </c>
      <c r="AA999" s="472" t="s">
        <v>612</v>
      </c>
      <c r="AB999" s="463" t="s">
        <v>539</v>
      </c>
      <c r="AC999" s="463" t="s">
        <v>539</v>
      </c>
      <c r="AD999" s="472" t="s">
        <v>565</v>
      </c>
      <c r="AE999" s="463">
        <v>80</v>
      </c>
      <c r="AF999" s="463">
        <v>80.290000000000006</v>
      </c>
      <c r="AG999" s="463" t="s">
        <v>375</v>
      </c>
      <c r="AH999" s="476"/>
      <c r="AI999" s="472" t="s">
        <v>2618</v>
      </c>
      <c r="AJ999" s="464"/>
    </row>
    <row r="1000" spans="1:36" ht="24" hidden="1" customHeight="1">
      <c r="B1000" s="463">
        <v>815</v>
      </c>
      <c r="C1000" s="464" t="s">
        <v>534</v>
      </c>
      <c r="D1000" s="464"/>
      <c r="E1000" s="464" t="s">
        <v>535</v>
      </c>
      <c r="F1000" s="464"/>
      <c r="G1000" s="464" t="s">
        <v>49</v>
      </c>
      <c r="H1000" s="464" t="s">
        <v>2622</v>
      </c>
      <c r="I1000" s="466">
        <v>50000</v>
      </c>
      <c r="J1000" s="465" t="s">
        <v>537</v>
      </c>
      <c r="K1000" s="465" t="s">
        <v>537</v>
      </c>
      <c r="L1000" s="466">
        <v>49751</v>
      </c>
      <c r="M1000" s="465" t="s">
        <v>537</v>
      </c>
      <c r="N1000" s="465" t="s">
        <v>537</v>
      </c>
      <c r="O1000" s="463" t="s">
        <v>537</v>
      </c>
      <c r="P1000" s="463" t="s">
        <v>537</v>
      </c>
      <c r="Q1000" s="465">
        <v>249</v>
      </c>
      <c r="R1000" s="470">
        <v>241487</v>
      </c>
      <c r="S1000" s="463" t="s">
        <v>2623</v>
      </c>
      <c r="T1000" s="463">
        <v>1</v>
      </c>
      <c r="U1000" s="463">
        <v>2</v>
      </c>
      <c r="V1000" s="463">
        <v>0</v>
      </c>
      <c r="W1000" s="463">
        <v>2</v>
      </c>
      <c r="X1000" s="463">
        <v>2</v>
      </c>
      <c r="Y1000" s="463">
        <v>0</v>
      </c>
      <c r="Z1000" s="463">
        <v>97.05</v>
      </c>
      <c r="AA1000" s="472" t="s">
        <v>2624</v>
      </c>
      <c r="AB1000" s="463">
        <v>1</v>
      </c>
      <c r="AC1000" s="463">
        <v>0</v>
      </c>
      <c r="AD1000" s="472" t="s">
        <v>651</v>
      </c>
      <c r="AE1000" s="463">
        <v>1</v>
      </c>
      <c r="AF1000" s="463">
        <v>4</v>
      </c>
      <c r="AG1000" s="463" t="s">
        <v>375</v>
      </c>
      <c r="AH1000" s="476"/>
      <c r="AI1000" s="472" t="s">
        <v>2625</v>
      </c>
      <c r="AJ1000" s="464"/>
    </row>
    <row r="1001" spans="1:36" ht="24" hidden="1" customHeight="1">
      <c r="B1001" s="463">
        <v>816</v>
      </c>
      <c r="C1001" s="464" t="s">
        <v>534</v>
      </c>
      <c r="D1001" s="464"/>
      <c r="E1001" s="464" t="s">
        <v>535</v>
      </c>
      <c r="F1001" s="464"/>
      <c r="G1001" s="464" t="s">
        <v>49</v>
      </c>
      <c r="H1001" s="464" t="s">
        <v>2626</v>
      </c>
      <c r="I1001" s="466">
        <v>50000</v>
      </c>
      <c r="J1001" s="465" t="s">
        <v>537</v>
      </c>
      <c r="K1001" s="465" t="s">
        <v>537</v>
      </c>
      <c r="L1001" s="466">
        <v>43390</v>
      </c>
      <c r="M1001" s="465" t="s">
        <v>537</v>
      </c>
      <c r="N1001" s="465" t="s">
        <v>537</v>
      </c>
      <c r="O1001" s="463" t="s">
        <v>537</v>
      </c>
      <c r="P1001" s="463" t="s">
        <v>537</v>
      </c>
      <c r="Q1001" s="468">
        <v>6610</v>
      </c>
      <c r="R1001" s="470">
        <v>241609</v>
      </c>
      <c r="S1001" s="463" t="s">
        <v>2627</v>
      </c>
      <c r="T1001" s="463">
        <v>10</v>
      </c>
      <c r="U1001" s="463">
        <v>2</v>
      </c>
      <c r="V1001" s="463">
        <v>0</v>
      </c>
      <c r="W1001" s="463">
        <v>5</v>
      </c>
      <c r="X1001" s="463">
        <v>2</v>
      </c>
      <c r="Y1001" s="463">
        <v>0</v>
      </c>
      <c r="Z1001" s="463">
        <v>92.82</v>
      </c>
      <c r="AA1001" s="472" t="s">
        <v>2624</v>
      </c>
      <c r="AB1001" s="463">
        <v>1</v>
      </c>
      <c r="AC1001" s="463">
        <v>1</v>
      </c>
      <c r="AD1001" s="472" t="s">
        <v>651</v>
      </c>
      <c r="AE1001" s="463">
        <v>1</v>
      </c>
      <c r="AF1001" s="463">
        <v>1</v>
      </c>
      <c r="AG1001" s="463" t="s">
        <v>375</v>
      </c>
      <c r="AH1001" s="476"/>
      <c r="AI1001" s="472" t="s">
        <v>2628</v>
      </c>
      <c r="AJ1001" s="464"/>
    </row>
    <row r="1002" spans="1:36" ht="24" hidden="1" customHeight="1">
      <c r="B1002" s="463">
        <v>817</v>
      </c>
      <c r="C1002" s="464" t="s">
        <v>165</v>
      </c>
      <c r="D1002" s="464"/>
      <c r="E1002" s="464" t="s">
        <v>535</v>
      </c>
      <c r="F1002" s="464"/>
      <c r="G1002" s="464" t="s">
        <v>49</v>
      </c>
      <c r="H1002" s="464" t="s">
        <v>2629</v>
      </c>
      <c r="I1002" s="465" t="s">
        <v>537</v>
      </c>
      <c r="J1002" s="466">
        <v>54000</v>
      </c>
      <c r="K1002" s="465" t="s">
        <v>537</v>
      </c>
      <c r="L1002" s="465" t="s">
        <v>537</v>
      </c>
      <c r="M1002" s="466">
        <v>34104</v>
      </c>
      <c r="N1002" s="465" t="s">
        <v>537</v>
      </c>
      <c r="O1002" s="463" t="s">
        <v>537</v>
      </c>
      <c r="P1002" s="463" t="s">
        <v>537</v>
      </c>
      <c r="Q1002" s="468">
        <v>19896</v>
      </c>
      <c r="R1002" s="470">
        <v>241671</v>
      </c>
      <c r="S1002" s="463" t="s">
        <v>2630</v>
      </c>
      <c r="T1002" s="463">
        <v>76</v>
      </c>
      <c r="U1002" s="463">
        <v>4</v>
      </c>
      <c r="V1002" s="463">
        <v>0</v>
      </c>
      <c r="W1002" s="463">
        <v>74</v>
      </c>
      <c r="X1002" s="463">
        <v>4</v>
      </c>
      <c r="Y1002" s="463">
        <v>0</v>
      </c>
      <c r="Z1002" s="463">
        <v>89.5</v>
      </c>
      <c r="AA1002" s="472" t="s">
        <v>633</v>
      </c>
      <c r="AB1002" s="463" t="s">
        <v>539</v>
      </c>
      <c r="AC1002" s="463" t="s">
        <v>539</v>
      </c>
      <c r="AD1002" s="472" t="s">
        <v>635</v>
      </c>
      <c r="AE1002" s="463" t="s">
        <v>539</v>
      </c>
      <c r="AF1002" s="463" t="s">
        <v>539</v>
      </c>
      <c r="AG1002" s="463" t="s">
        <v>375</v>
      </c>
      <c r="AH1002" s="476"/>
      <c r="AI1002" s="472" t="s">
        <v>2631</v>
      </c>
      <c r="AJ1002" s="464"/>
    </row>
    <row r="1003" spans="1:36" ht="24" hidden="1" customHeight="1">
      <c r="B1003" s="463">
        <v>818</v>
      </c>
      <c r="C1003" s="464" t="s">
        <v>534</v>
      </c>
      <c r="D1003" s="464"/>
      <c r="E1003" s="464" t="s">
        <v>535</v>
      </c>
      <c r="F1003" s="464"/>
      <c r="G1003" s="464" t="s">
        <v>49</v>
      </c>
      <c r="H1003" s="464" t="s">
        <v>2632</v>
      </c>
      <c r="I1003" s="465" t="s">
        <v>537</v>
      </c>
      <c r="J1003" s="465" t="s">
        <v>537</v>
      </c>
      <c r="K1003" s="466">
        <v>16000</v>
      </c>
      <c r="L1003" s="465" t="s">
        <v>537</v>
      </c>
      <c r="M1003" s="465" t="s">
        <v>537</v>
      </c>
      <c r="N1003" s="466">
        <v>13240</v>
      </c>
      <c r="O1003" s="463" t="s">
        <v>537</v>
      </c>
      <c r="P1003" s="463" t="s">
        <v>537</v>
      </c>
      <c r="Q1003" s="468">
        <v>2760</v>
      </c>
      <c r="R1003" s="463" t="s">
        <v>646</v>
      </c>
      <c r="S1003" s="463" t="s">
        <v>2633</v>
      </c>
      <c r="T1003" s="463">
        <v>37</v>
      </c>
      <c r="U1003" s="463">
        <v>12</v>
      </c>
      <c r="V1003" s="463">
        <v>2</v>
      </c>
      <c r="W1003" s="463">
        <v>37</v>
      </c>
      <c r="X1003" s="463">
        <v>12</v>
      </c>
      <c r="Y1003" s="463">
        <v>2</v>
      </c>
      <c r="Z1003" s="463">
        <v>89.8</v>
      </c>
      <c r="AA1003" s="472" t="s">
        <v>2634</v>
      </c>
      <c r="AB1003" s="463" t="s">
        <v>539</v>
      </c>
      <c r="AC1003" s="463" t="s">
        <v>539</v>
      </c>
      <c r="AD1003" s="472" t="s">
        <v>548</v>
      </c>
      <c r="AE1003" s="463">
        <v>80</v>
      </c>
      <c r="AF1003" s="463">
        <v>93.43</v>
      </c>
      <c r="AG1003" s="463" t="s">
        <v>375</v>
      </c>
      <c r="AH1003" s="476"/>
      <c r="AI1003" s="464"/>
      <c r="AJ1003" s="472" t="s">
        <v>543</v>
      </c>
    </row>
    <row r="1004" spans="1:36" ht="24" hidden="1" customHeight="1">
      <c r="B1004" s="463">
        <v>819</v>
      </c>
      <c r="C1004" s="464" t="s">
        <v>534</v>
      </c>
      <c r="D1004" s="464"/>
      <c r="E1004" s="464" t="s">
        <v>535</v>
      </c>
      <c r="F1004" s="464"/>
      <c r="G1004" s="464" t="s">
        <v>49</v>
      </c>
      <c r="H1004" s="464" t="s">
        <v>2635</v>
      </c>
      <c r="I1004" s="465" t="s">
        <v>537</v>
      </c>
      <c r="J1004" s="465" t="s">
        <v>537</v>
      </c>
      <c r="K1004" s="466">
        <v>16000</v>
      </c>
      <c r="L1004" s="465" t="s">
        <v>537</v>
      </c>
      <c r="M1004" s="465" t="s">
        <v>537</v>
      </c>
      <c r="N1004" s="466">
        <v>12052.55</v>
      </c>
      <c r="O1004" s="463" t="s">
        <v>537</v>
      </c>
      <c r="P1004" s="463" t="s">
        <v>537</v>
      </c>
      <c r="Q1004" s="468">
        <v>3947</v>
      </c>
      <c r="R1004" s="470">
        <v>241459</v>
      </c>
      <c r="S1004" s="463" t="s">
        <v>2636</v>
      </c>
      <c r="T1004" s="463">
        <v>25</v>
      </c>
      <c r="U1004" s="463">
        <v>12</v>
      </c>
      <c r="V1004" s="463">
        <v>2</v>
      </c>
      <c r="W1004" s="463">
        <v>19</v>
      </c>
      <c r="X1004" s="463">
        <v>7</v>
      </c>
      <c r="Y1004" s="463">
        <v>2</v>
      </c>
      <c r="Z1004" s="463">
        <v>90.42</v>
      </c>
      <c r="AA1004" s="472" t="s">
        <v>547</v>
      </c>
      <c r="AB1004" s="463" t="s">
        <v>539</v>
      </c>
      <c r="AC1004" s="463" t="s">
        <v>539</v>
      </c>
      <c r="AD1004" s="472" t="s">
        <v>1075</v>
      </c>
      <c r="AE1004" s="463">
        <v>80</v>
      </c>
      <c r="AF1004" s="463">
        <v>91.67</v>
      </c>
      <c r="AG1004" s="463" t="s">
        <v>375</v>
      </c>
      <c r="AH1004" s="476"/>
      <c r="AI1004" s="472" t="s">
        <v>2637</v>
      </c>
      <c r="AJ1004" s="472" t="s">
        <v>543</v>
      </c>
    </row>
    <row r="1005" spans="1:36" ht="24" hidden="1" customHeight="1">
      <c r="B1005" s="463">
        <v>820</v>
      </c>
      <c r="C1005" s="464" t="s">
        <v>534</v>
      </c>
      <c r="D1005" s="464"/>
      <c r="E1005" s="464" t="s">
        <v>535</v>
      </c>
      <c r="F1005" s="464"/>
      <c r="G1005" s="464" t="s">
        <v>49</v>
      </c>
      <c r="H1005" s="464" t="s">
        <v>2638</v>
      </c>
      <c r="I1005" s="465" t="s">
        <v>537</v>
      </c>
      <c r="J1005" s="465" t="s">
        <v>537</v>
      </c>
      <c r="K1005" s="466">
        <v>28400</v>
      </c>
      <c r="L1005" s="465" t="s">
        <v>537</v>
      </c>
      <c r="M1005" s="465" t="s">
        <v>537</v>
      </c>
      <c r="N1005" s="466">
        <v>26250</v>
      </c>
      <c r="O1005" s="463" t="s">
        <v>537</v>
      </c>
      <c r="P1005" s="463" t="s">
        <v>537</v>
      </c>
      <c r="Q1005" s="468">
        <v>2150</v>
      </c>
      <c r="R1005" s="470">
        <v>241397</v>
      </c>
      <c r="S1005" s="471">
        <v>22264</v>
      </c>
      <c r="T1005" s="463">
        <v>54</v>
      </c>
      <c r="U1005" s="463">
        <v>16</v>
      </c>
      <c r="V1005" s="463">
        <v>0</v>
      </c>
      <c r="W1005" s="463">
        <v>58</v>
      </c>
      <c r="X1005" s="463">
        <v>7</v>
      </c>
      <c r="Y1005" s="463">
        <v>10</v>
      </c>
      <c r="Z1005" s="463">
        <v>94</v>
      </c>
      <c r="AA1005" s="472" t="s">
        <v>2639</v>
      </c>
      <c r="AB1005" s="463">
        <v>80</v>
      </c>
      <c r="AC1005" s="463">
        <v>95</v>
      </c>
      <c r="AD1005" s="472" t="s">
        <v>565</v>
      </c>
      <c r="AE1005" s="463">
        <v>80</v>
      </c>
      <c r="AF1005" s="463">
        <v>95</v>
      </c>
      <c r="AG1005" s="463" t="s">
        <v>375</v>
      </c>
      <c r="AH1005" s="476"/>
      <c r="AI1005" s="472" t="s">
        <v>2640</v>
      </c>
      <c r="AJ1005" s="472" t="s">
        <v>543</v>
      </c>
    </row>
    <row r="1006" spans="1:36" ht="24" hidden="1" customHeight="1">
      <c r="B1006" s="463">
        <v>821</v>
      </c>
      <c r="C1006" s="464" t="s">
        <v>534</v>
      </c>
      <c r="D1006" s="464"/>
      <c r="E1006" s="464" t="s">
        <v>535</v>
      </c>
      <c r="F1006" s="464"/>
      <c r="G1006" s="464" t="s">
        <v>49</v>
      </c>
      <c r="H1006" s="464" t="s">
        <v>2641</v>
      </c>
      <c r="I1006" s="466">
        <v>150000</v>
      </c>
      <c r="J1006" s="465" t="s">
        <v>537</v>
      </c>
      <c r="K1006" s="465" t="s">
        <v>537</v>
      </c>
      <c r="L1006" s="466">
        <v>150000</v>
      </c>
      <c r="M1006" s="465" t="s">
        <v>537</v>
      </c>
      <c r="N1006" s="465" t="s">
        <v>537</v>
      </c>
      <c r="O1006" s="463" t="s">
        <v>537</v>
      </c>
      <c r="P1006" s="463" t="s">
        <v>537</v>
      </c>
      <c r="Q1006" s="465">
        <v>0</v>
      </c>
      <c r="R1006" s="470">
        <v>241487</v>
      </c>
      <c r="S1006" s="463" t="s">
        <v>1466</v>
      </c>
      <c r="T1006" s="463">
        <v>230</v>
      </c>
      <c r="U1006" s="463">
        <v>40</v>
      </c>
      <c r="V1006" s="463">
        <v>10</v>
      </c>
      <c r="W1006" s="463">
        <v>280</v>
      </c>
      <c r="X1006" s="463">
        <v>90</v>
      </c>
      <c r="Y1006" s="463">
        <v>30</v>
      </c>
      <c r="Z1006" s="463">
        <v>84.52</v>
      </c>
      <c r="AA1006" s="472" t="s">
        <v>2624</v>
      </c>
      <c r="AB1006" s="463">
        <v>1</v>
      </c>
      <c r="AC1006" s="463">
        <v>4</v>
      </c>
      <c r="AD1006" s="472" t="s">
        <v>651</v>
      </c>
      <c r="AE1006" s="463">
        <v>1</v>
      </c>
      <c r="AF1006" s="463">
        <v>15</v>
      </c>
      <c r="AG1006" s="463" t="s">
        <v>375</v>
      </c>
      <c r="AH1006" s="476"/>
      <c r="AI1006" s="472" t="s">
        <v>2615</v>
      </c>
      <c r="AJ1006" s="464"/>
    </row>
    <row r="1007" spans="1:36" ht="24" hidden="1" customHeight="1">
      <c r="B1007" s="463">
        <v>822</v>
      </c>
      <c r="C1007" s="464" t="s">
        <v>534</v>
      </c>
      <c r="D1007" s="464"/>
      <c r="E1007" s="464" t="s">
        <v>535</v>
      </c>
      <c r="F1007" s="464"/>
      <c r="G1007" s="464" t="s">
        <v>49</v>
      </c>
      <c r="H1007" s="464" t="s">
        <v>636</v>
      </c>
      <c r="I1007" s="466">
        <v>200000</v>
      </c>
      <c r="J1007" s="465" t="s">
        <v>537</v>
      </c>
      <c r="K1007" s="465" t="s">
        <v>537</v>
      </c>
      <c r="L1007" s="466">
        <v>179280</v>
      </c>
      <c r="M1007" s="465" t="s">
        <v>537</v>
      </c>
      <c r="N1007" s="465" t="s">
        <v>537</v>
      </c>
      <c r="O1007" s="463" t="s">
        <v>537</v>
      </c>
      <c r="P1007" s="463" t="s">
        <v>537</v>
      </c>
      <c r="Q1007" s="468">
        <v>20720</v>
      </c>
      <c r="R1007" s="470">
        <v>241609</v>
      </c>
      <c r="S1007" s="463" t="s">
        <v>637</v>
      </c>
      <c r="T1007" s="463">
        <v>130</v>
      </c>
      <c r="U1007" s="463">
        <v>0</v>
      </c>
      <c r="V1007" s="463">
        <v>0</v>
      </c>
      <c r="W1007" s="463">
        <v>160</v>
      </c>
      <c r="X1007" s="463">
        <v>40</v>
      </c>
      <c r="Y1007" s="463">
        <v>0</v>
      </c>
      <c r="Z1007" s="463">
        <v>84.34</v>
      </c>
      <c r="AA1007" s="472" t="s">
        <v>2624</v>
      </c>
      <c r="AB1007" s="463">
        <v>1</v>
      </c>
      <c r="AC1007" s="463">
        <v>1</v>
      </c>
      <c r="AD1007" s="472" t="s">
        <v>651</v>
      </c>
      <c r="AE1007" s="463">
        <v>1</v>
      </c>
      <c r="AF1007" s="463">
        <v>1</v>
      </c>
      <c r="AG1007" s="463" t="s">
        <v>375</v>
      </c>
      <c r="AH1007" s="476"/>
      <c r="AI1007" s="472" t="s">
        <v>2618</v>
      </c>
      <c r="AJ1007" s="464"/>
    </row>
    <row r="1008" spans="1:36" ht="24" hidden="1" customHeight="1">
      <c r="B1008" s="463">
        <v>823</v>
      </c>
      <c r="C1008" s="464" t="s">
        <v>534</v>
      </c>
      <c r="D1008" s="464"/>
      <c r="E1008" s="464" t="s">
        <v>535</v>
      </c>
      <c r="F1008" s="464"/>
      <c r="G1008" s="464" t="s">
        <v>49</v>
      </c>
      <c r="H1008" s="464" t="s">
        <v>1008</v>
      </c>
      <c r="I1008" s="465" t="s">
        <v>537</v>
      </c>
      <c r="J1008" s="465" t="s">
        <v>537</v>
      </c>
      <c r="K1008" s="466">
        <v>200000</v>
      </c>
      <c r="L1008" s="465" t="s">
        <v>537</v>
      </c>
      <c r="M1008" s="465" t="s">
        <v>537</v>
      </c>
      <c r="N1008" s="466">
        <v>147940</v>
      </c>
      <c r="O1008" s="463" t="s">
        <v>537</v>
      </c>
      <c r="P1008" s="463" t="s">
        <v>537</v>
      </c>
      <c r="Q1008" s="468">
        <v>52060</v>
      </c>
      <c r="R1008" s="470">
        <v>241428</v>
      </c>
      <c r="S1008" s="463" t="s">
        <v>623</v>
      </c>
      <c r="T1008" s="463">
        <v>40</v>
      </c>
      <c r="U1008" s="463">
        <v>10</v>
      </c>
      <c r="V1008" s="463">
        <v>0</v>
      </c>
      <c r="W1008" s="463">
        <v>26</v>
      </c>
      <c r="X1008" s="463">
        <v>24</v>
      </c>
      <c r="Y1008" s="463">
        <v>0</v>
      </c>
      <c r="Z1008" s="463">
        <v>85.6</v>
      </c>
      <c r="AA1008" s="472" t="s">
        <v>624</v>
      </c>
      <c r="AB1008" s="463" t="s">
        <v>539</v>
      </c>
      <c r="AC1008" s="463" t="s">
        <v>539</v>
      </c>
      <c r="AD1008" s="472" t="s">
        <v>675</v>
      </c>
      <c r="AE1008" s="463">
        <v>80</v>
      </c>
      <c r="AF1008" s="463">
        <v>85.6</v>
      </c>
      <c r="AG1008" s="463" t="s">
        <v>375</v>
      </c>
      <c r="AH1008" s="476"/>
      <c r="AI1008" s="472" t="s">
        <v>2642</v>
      </c>
      <c r="AJ1008" s="472" t="s">
        <v>543</v>
      </c>
    </row>
    <row r="1009" spans="2:36" ht="24" hidden="1" customHeight="1">
      <c r="B1009" s="463">
        <v>824</v>
      </c>
      <c r="C1009" s="464" t="s">
        <v>165</v>
      </c>
      <c r="D1009" s="464"/>
      <c r="E1009" s="464" t="s">
        <v>535</v>
      </c>
      <c r="F1009" s="464"/>
      <c r="G1009" s="464" t="s">
        <v>49</v>
      </c>
      <c r="H1009" s="464" t="s">
        <v>2643</v>
      </c>
      <c r="I1009" s="466">
        <v>19410</v>
      </c>
      <c r="J1009" s="465" t="s">
        <v>537</v>
      </c>
      <c r="K1009" s="465" t="s">
        <v>537</v>
      </c>
      <c r="L1009" s="466">
        <v>19353</v>
      </c>
      <c r="M1009" s="465" t="s">
        <v>537</v>
      </c>
      <c r="N1009" s="465" t="s">
        <v>537</v>
      </c>
      <c r="O1009" s="463" t="s">
        <v>537</v>
      </c>
      <c r="P1009" s="463" t="s">
        <v>537</v>
      </c>
      <c r="Q1009" s="465">
        <v>57</v>
      </c>
      <c r="R1009" s="470">
        <v>241428</v>
      </c>
      <c r="S1009" s="471">
        <v>22305</v>
      </c>
      <c r="T1009" s="463">
        <v>60</v>
      </c>
      <c r="U1009" s="463">
        <v>5</v>
      </c>
      <c r="V1009" s="463">
        <v>2</v>
      </c>
      <c r="W1009" s="463">
        <v>69</v>
      </c>
      <c r="X1009" s="463">
        <v>5</v>
      </c>
      <c r="Y1009" s="463">
        <v>2</v>
      </c>
      <c r="Z1009" s="463">
        <v>89</v>
      </c>
      <c r="AA1009" s="472" t="s">
        <v>2644</v>
      </c>
      <c r="AB1009" s="463" t="s">
        <v>539</v>
      </c>
      <c r="AC1009" s="463" t="s">
        <v>539</v>
      </c>
      <c r="AD1009" s="472" t="s">
        <v>606</v>
      </c>
      <c r="AE1009" s="463">
        <v>80</v>
      </c>
      <c r="AF1009" s="463">
        <v>89</v>
      </c>
      <c r="AG1009" s="463" t="s">
        <v>375</v>
      </c>
      <c r="AH1009" s="476"/>
      <c r="AI1009" s="472" t="s">
        <v>2645</v>
      </c>
      <c r="AJ1009" s="464"/>
    </row>
    <row r="1010" spans="2:36" ht="24" hidden="1" customHeight="1">
      <c r="B1010" s="463">
        <v>825</v>
      </c>
      <c r="C1010" s="464" t="s">
        <v>165</v>
      </c>
      <c r="D1010" s="464"/>
      <c r="E1010" s="464" t="s">
        <v>535</v>
      </c>
      <c r="F1010" s="464"/>
      <c r="G1010" s="464" t="s">
        <v>49</v>
      </c>
      <c r="H1010" s="464" t="s">
        <v>2646</v>
      </c>
      <c r="I1010" s="466">
        <v>79500</v>
      </c>
      <c r="J1010" s="465" t="s">
        <v>537</v>
      </c>
      <c r="K1010" s="465" t="s">
        <v>537</v>
      </c>
      <c r="L1010" s="466">
        <v>38490</v>
      </c>
      <c r="M1010" s="465" t="s">
        <v>537</v>
      </c>
      <c r="N1010" s="465" t="s">
        <v>537</v>
      </c>
      <c r="O1010" s="463" t="s">
        <v>537</v>
      </c>
      <c r="P1010" s="463" t="s">
        <v>537</v>
      </c>
      <c r="Q1010" s="468">
        <v>41010</v>
      </c>
      <c r="R1010" s="470">
        <v>241487</v>
      </c>
      <c r="S1010" s="471">
        <v>22362</v>
      </c>
      <c r="T1010" s="463">
        <v>200</v>
      </c>
      <c r="U1010" s="463">
        <v>0</v>
      </c>
      <c r="V1010" s="463">
        <v>100</v>
      </c>
      <c r="W1010" s="463">
        <v>365</v>
      </c>
      <c r="X1010" s="463">
        <v>0</v>
      </c>
      <c r="Y1010" s="463">
        <v>0</v>
      </c>
      <c r="Z1010" s="463">
        <v>92.5</v>
      </c>
      <c r="AA1010" s="472" t="s">
        <v>1907</v>
      </c>
      <c r="AB1010" s="463" t="s">
        <v>539</v>
      </c>
      <c r="AC1010" s="463" t="s">
        <v>539</v>
      </c>
      <c r="AD1010" s="472" t="s">
        <v>606</v>
      </c>
      <c r="AE1010" s="463">
        <v>80</v>
      </c>
      <c r="AF1010" s="463">
        <v>90</v>
      </c>
      <c r="AG1010" s="463" t="s">
        <v>375</v>
      </c>
      <c r="AH1010" s="476"/>
      <c r="AI1010" s="472" t="s">
        <v>2645</v>
      </c>
      <c r="AJ1010" s="464"/>
    </row>
    <row r="1011" spans="2:36" ht="24" hidden="1" customHeight="1">
      <c r="B1011" s="463">
        <v>826</v>
      </c>
      <c r="C1011" s="464" t="s">
        <v>165</v>
      </c>
      <c r="D1011" s="464"/>
      <c r="E1011" s="464" t="s">
        <v>535</v>
      </c>
      <c r="F1011" s="464"/>
      <c r="G1011" s="464" t="s">
        <v>49</v>
      </c>
      <c r="H1011" s="464" t="s">
        <v>2647</v>
      </c>
      <c r="I1011" s="466">
        <v>22020</v>
      </c>
      <c r="J1011" s="465" t="s">
        <v>537</v>
      </c>
      <c r="K1011" s="465" t="s">
        <v>537</v>
      </c>
      <c r="L1011" s="466">
        <v>22020</v>
      </c>
      <c r="M1011" s="465" t="s">
        <v>537</v>
      </c>
      <c r="N1011" s="465" t="s">
        <v>537</v>
      </c>
      <c r="O1011" s="463" t="s">
        <v>537</v>
      </c>
      <c r="P1011" s="463" t="s">
        <v>537</v>
      </c>
      <c r="Q1011" s="465">
        <v>0</v>
      </c>
      <c r="R1011" s="470">
        <v>241518</v>
      </c>
      <c r="S1011" s="471">
        <v>22395</v>
      </c>
      <c r="T1011" s="463">
        <v>0</v>
      </c>
      <c r="U1011" s="463">
        <v>9</v>
      </c>
      <c r="V1011" s="463">
        <v>54</v>
      </c>
      <c r="W1011" s="463">
        <v>75</v>
      </c>
      <c r="X1011" s="463">
        <v>9</v>
      </c>
      <c r="Y1011" s="463">
        <v>4</v>
      </c>
      <c r="Z1011" s="463">
        <v>96.2</v>
      </c>
      <c r="AA1011" s="472" t="s">
        <v>2648</v>
      </c>
      <c r="AB1011" s="463" t="s">
        <v>539</v>
      </c>
      <c r="AC1011" s="463" t="s">
        <v>539</v>
      </c>
      <c r="AD1011" s="472" t="s">
        <v>565</v>
      </c>
      <c r="AE1011" s="463">
        <v>80</v>
      </c>
      <c r="AF1011" s="463">
        <v>96.8</v>
      </c>
      <c r="AG1011" s="463" t="s">
        <v>375</v>
      </c>
      <c r="AH1011" s="476"/>
      <c r="AI1011" s="472" t="s">
        <v>2645</v>
      </c>
      <c r="AJ1011" s="464"/>
    </row>
    <row r="1012" spans="2:36" ht="24" hidden="1" customHeight="1">
      <c r="B1012" s="463">
        <v>827</v>
      </c>
      <c r="C1012" s="464" t="s">
        <v>165</v>
      </c>
      <c r="D1012" s="464"/>
      <c r="E1012" s="464" t="s">
        <v>535</v>
      </c>
      <c r="F1012" s="464"/>
      <c r="G1012" s="464" t="s">
        <v>49</v>
      </c>
      <c r="H1012" s="464" t="s">
        <v>2649</v>
      </c>
      <c r="I1012" s="466">
        <v>25500</v>
      </c>
      <c r="J1012" s="465" t="s">
        <v>537</v>
      </c>
      <c r="K1012" s="465" t="s">
        <v>537</v>
      </c>
      <c r="L1012" s="466">
        <v>25500</v>
      </c>
      <c r="M1012" s="465" t="s">
        <v>537</v>
      </c>
      <c r="N1012" s="465" t="s">
        <v>537</v>
      </c>
      <c r="O1012" s="463" t="s">
        <v>537</v>
      </c>
      <c r="P1012" s="463" t="s">
        <v>537</v>
      </c>
      <c r="Q1012" s="465">
        <v>0</v>
      </c>
      <c r="R1012" s="470">
        <v>241609</v>
      </c>
      <c r="S1012" s="463" t="s">
        <v>2650</v>
      </c>
      <c r="T1012" s="463">
        <v>50</v>
      </c>
      <c r="U1012" s="463">
        <v>0</v>
      </c>
      <c r="V1012" s="463">
        <v>0</v>
      </c>
      <c r="W1012" s="463">
        <v>55</v>
      </c>
      <c r="X1012" s="463">
        <v>0</v>
      </c>
      <c r="Y1012" s="463">
        <v>0</v>
      </c>
      <c r="Z1012" s="463">
        <v>88.6</v>
      </c>
      <c r="AA1012" s="472" t="s">
        <v>2651</v>
      </c>
      <c r="AB1012" s="463" t="s">
        <v>539</v>
      </c>
      <c r="AC1012" s="463" t="s">
        <v>539</v>
      </c>
      <c r="AD1012" s="472" t="s">
        <v>606</v>
      </c>
      <c r="AE1012" s="463">
        <v>80</v>
      </c>
      <c r="AF1012" s="463">
        <v>87.6</v>
      </c>
      <c r="AG1012" s="463" t="s">
        <v>375</v>
      </c>
      <c r="AH1012" s="476"/>
      <c r="AI1012" s="472" t="s">
        <v>2645</v>
      </c>
      <c r="AJ1012" s="464"/>
    </row>
    <row r="1013" spans="2:36" ht="24" hidden="1" customHeight="1">
      <c r="B1013" s="463">
        <v>828</v>
      </c>
      <c r="C1013" s="464" t="s">
        <v>165</v>
      </c>
      <c r="D1013" s="464"/>
      <c r="E1013" s="464" t="s">
        <v>535</v>
      </c>
      <c r="F1013" s="464"/>
      <c r="G1013" s="464" t="s">
        <v>49</v>
      </c>
      <c r="H1013" s="464" t="s">
        <v>2652</v>
      </c>
      <c r="I1013" s="466">
        <v>43180</v>
      </c>
      <c r="J1013" s="465" t="s">
        <v>537</v>
      </c>
      <c r="K1013" s="465" t="s">
        <v>537</v>
      </c>
      <c r="L1013" s="466">
        <v>22480</v>
      </c>
      <c r="M1013" s="465" t="s">
        <v>537</v>
      </c>
      <c r="N1013" s="465" t="s">
        <v>537</v>
      </c>
      <c r="O1013" s="463" t="s">
        <v>537</v>
      </c>
      <c r="P1013" s="463" t="s">
        <v>537</v>
      </c>
      <c r="Q1013" s="468">
        <v>20700</v>
      </c>
      <c r="R1013" s="470">
        <v>241487</v>
      </c>
      <c r="S1013" s="471">
        <v>22364</v>
      </c>
      <c r="T1013" s="463">
        <v>1900</v>
      </c>
      <c r="U1013" s="463">
        <v>0</v>
      </c>
      <c r="V1013" s="463">
        <v>0</v>
      </c>
      <c r="W1013" s="463">
        <v>1385</v>
      </c>
      <c r="X1013" s="463">
        <v>0</v>
      </c>
      <c r="Y1013" s="463">
        <v>0</v>
      </c>
      <c r="Z1013" s="463">
        <v>83.12</v>
      </c>
      <c r="AA1013" s="472" t="s">
        <v>2651</v>
      </c>
      <c r="AB1013" s="463" t="s">
        <v>539</v>
      </c>
      <c r="AC1013" s="463" t="s">
        <v>539</v>
      </c>
      <c r="AD1013" s="472" t="s">
        <v>606</v>
      </c>
      <c r="AE1013" s="463">
        <v>80</v>
      </c>
      <c r="AF1013" s="463">
        <v>82.75</v>
      </c>
      <c r="AG1013" s="463" t="s">
        <v>375</v>
      </c>
      <c r="AH1013" s="476"/>
      <c r="AI1013" s="472" t="s">
        <v>2653</v>
      </c>
      <c r="AJ1013" s="464"/>
    </row>
    <row r="1014" spans="2:36" ht="24" hidden="1" customHeight="1">
      <c r="B1014" s="463">
        <v>829</v>
      </c>
      <c r="C1014" s="464" t="s">
        <v>165</v>
      </c>
      <c r="D1014" s="464"/>
      <c r="E1014" s="464" t="s">
        <v>535</v>
      </c>
      <c r="F1014" s="464"/>
      <c r="G1014" s="464" t="s">
        <v>49</v>
      </c>
      <c r="H1014" s="464" t="s">
        <v>2654</v>
      </c>
      <c r="I1014" s="466">
        <v>93000</v>
      </c>
      <c r="J1014" s="465" t="s">
        <v>537</v>
      </c>
      <c r="K1014" s="465" t="s">
        <v>537</v>
      </c>
      <c r="L1014" s="466">
        <v>45000</v>
      </c>
      <c r="M1014" s="465" t="s">
        <v>537</v>
      </c>
      <c r="N1014" s="465" t="s">
        <v>537</v>
      </c>
      <c r="O1014" s="463" t="s">
        <v>537</v>
      </c>
      <c r="P1014" s="463" t="s">
        <v>537</v>
      </c>
      <c r="Q1014" s="468">
        <v>48000</v>
      </c>
      <c r="R1014" s="463" t="s">
        <v>984</v>
      </c>
      <c r="S1014" s="463" t="s">
        <v>2655</v>
      </c>
      <c r="T1014" s="463">
        <v>600</v>
      </c>
      <c r="U1014" s="463">
        <v>0</v>
      </c>
      <c r="V1014" s="463">
        <v>0</v>
      </c>
      <c r="W1014" s="463">
        <v>658</v>
      </c>
      <c r="X1014" s="463">
        <v>0</v>
      </c>
      <c r="Y1014" s="463">
        <v>0</v>
      </c>
      <c r="Z1014" s="463">
        <v>90.8</v>
      </c>
      <c r="AA1014" s="472" t="s">
        <v>2651</v>
      </c>
      <c r="AB1014" s="463" t="s">
        <v>539</v>
      </c>
      <c r="AC1014" s="463" t="s">
        <v>539</v>
      </c>
      <c r="AD1014" s="472" t="s">
        <v>606</v>
      </c>
      <c r="AE1014" s="463">
        <v>80</v>
      </c>
      <c r="AF1014" s="463">
        <v>90.8</v>
      </c>
      <c r="AG1014" s="463" t="s">
        <v>375</v>
      </c>
      <c r="AH1014" s="476"/>
      <c r="AI1014" s="472" t="s">
        <v>2645</v>
      </c>
      <c r="AJ1014" s="464"/>
    </row>
    <row r="1015" spans="2:36" ht="24" hidden="1" customHeight="1">
      <c r="B1015" s="463">
        <v>830</v>
      </c>
      <c r="C1015" s="464" t="s">
        <v>165</v>
      </c>
      <c r="D1015" s="464"/>
      <c r="E1015" s="464" t="s">
        <v>535</v>
      </c>
      <c r="F1015" s="464"/>
      <c r="G1015" s="464" t="s">
        <v>49</v>
      </c>
      <c r="H1015" s="464" t="s">
        <v>2656</v>
      </c>
      <c r="I1015" s="465">
        <v>0</v>
      </c>
      <c r="J1015" s="465" t="s">
        <v>537</v>
      </c>
      <c r="K1015" s="465" t="s">
        <v>537</v>
      </c>
      <c r="L1015" s="465">
        <v>0</v>
      </c>
      <c r="M1015" s="465" t="s">
        <v>537</v>
      </c>
      <c r="N1015" s="465" t="s">
        <v>537</v>
      </c>
      <c r="O1015" s="463" t="s">
        <v>537</v>
      </c>
      <c r="P1015" s="463" t="s">
        <v>537</v>
      </c>
      <c r="Q1015" s="465">
        <v>0</v>
      </c>
      <c r="R1015" s="470">
        <v>241428</v>
      </c>
      <c r="S1015" s="463" t="s">
        <v>2657</v>
      </c>
      <c r="T1015" s="463">
        <v>50</v>
      </c>
      <c r="U1015" s="463">
        <v>3</v>
      </c>
      <c r="V1015" s="463">
        <v>0</v>
      </c>
      <c r="W1015" s="463">
        <v>60</v>
      </c>
      <c r="X1015" s="463">
        <v>2</v>
      </c>
      <c r="Y1015" s="463">
        <v>0</v>
      </c>
      <c r="Z1015" s="463">
        <v>96</v>
      </c>
      <c r="AA1015" s="472" t="s">
        <v>633</v>
      </c>
      <c r="AB1015" s="463" t="s">
        <v>539</v>
      </c>
      <c r="AC1015" s="463" t="s">
        <v>539</v>
      </c>
      <c r="AD1015" s="472" t="s">
        <v>635</v>
      </c>
      <c r="AE1015" s="463" t="s">
        <v>539</v>
      </c>
      <c r="AF1015" s="463" t="s">
        <v>539</v>
      </c>
      <c r="AG1015" s="463" t="s">
        <v>375</v>
      </c>
      <c r="AH1015" s="476"/>
      <c r="AI1015" s="464"/>
      <c r="AJ1015" s="464"/>
    </row>
    <row r="1016" spans="2:36" ht="24" hidden="1" customHeight="1">
      <c r="B1016" s="463">
        <v>831</v>
      </c>
      <c r="C1016" s="464" t="s">
        <v>165</v>
      </c>
      <c r="D1016" s="464"/>
      <c r="E1016" s="464" t="s">
        <v>535</v>
      </c>
      <c r="F1016" s="464"/>
      <c r="G1016" s="464" t="s">
        <v>49</v>
      </c>
      <c r="H1016" s="464" t="s">
        <v>2658</v>
      </c>
      <c r="I1016" s="466">
        <v>18500</v>
      </c>
      <c r="J1016" s="465" t="s">
        <v>537</v>
      </c>
      <c r="K1016" s="465" t="s">
        <v>537</v>
      </c>
      <c r="L1016" s="466">
        <v>18500</v>
      </c>
      <c r="M1016" s="465" t="s">
        <v>537</v>
      </c>
      <c r="N1016" s="465" t="s">
        <v>537</v>
      </c>
      <c r="O1016" s="463" t="s">
        <v>537</v>
      </c>
      <c r="P1016" s="463" t="s">
        <v>537</v>
      </c>
      <c r="Q1016" s="465">
        <v>0</v>
      </c>
      <c r="R1016" s="470">
        <v>241609</v>
      </c>
      <c r="S1016" s="463" t="s">
        <v>2659</v>
      </c>
      <c r="T1016" s="463">
        <v>50</v>
      </c>
      <c r="U1016" s="463">
        <v>3</v>
      </c>
      <c r="V1016" s="463">
        <v>0</v>
      </c>
      <c r="W1016" s="463">
        <v>50</v>
      </c>
      <c r="X1016" s="463">
        <v>3</v>
      </c>
      <c r="Y1016" s="463">
        <v>0</v>
      </c>
      <c r="Z1016" s="463">
        <v>93</v>
      </c>
      <c r="AA1016" s="472" t="s">
        <v>633</v>
      </c>
      <c r="AB1016" s="463" t="s">
        <v>539</v>
      </c>
      <c r="AC1016" s="463" t="s">
        <v>539</v>
      </c>
      <c r="AD1016" s="472" t="s">
        <v>635</v>
      </c>
      <c r="AE1016" s="463" t="s">
        <v>539</v>
      </c>
      <c r="AF1016" s="463" t="s">
        <v>539</v>
      </c>
      <c r="AG1016" s="463" t="s">
        <v>375</v>
      </c>
      <c r="AH1016" s="476"/>
      <c r="AI1016" s="472" t="s">
        <v>2660</v>
      </c>
      <c r="AJ1016" s="464"/>
    </row>
    <row r="1017" spans="2:36" ht="24" hidden="1" customHeight="1">
      <c r="B1017" s="463">
        <v>832</v>
      </c>
      <c r="C1017" s="464" t="s">
        <v>165</v>
      </c>
      <c r="D1017" s="464"/>
      <c r="E1017" s="464" t="s">
        <v>535</v>
      </c>
      <c r="F1017" s="464"/>
      <c r="G1017" s="464" t="s">
        <v>49</v>
      </c>
      <c r="H1017" s="464" t="s">
        <v>2661</v>
      </c>
      <c r="I1017" s="466">
        <v>31500</v>
      </c>
      <c r="J1017" s="465" t="s">
        <v>537</v>
      </c>
      <c r="K1017" s="465" t="s">
        <v>537</v>
      </c>
      <c r="L1017" s="466">
        <v>31500</v>
      </c>
      <c r="M1017" s="465" t="s">
        <v>537</v>
      </c>
      <c r="N1017" s="465" t="s">
        <v>537</v>
      </c>
      <c r="O1017" s="463" t="s">
        <v>537</v>
      </c>
      <c r="P1017" s="463" t="s">
        <v>537</v>
      </c>
      <c r="Q1017" s="465">
        <v>0</v>
      </c>
      <c r="R1017" s="470">
        <v>241487</v>
      </c>
      <c r="S1017" s="463" t="s">
        <v>2662</v>
      </c>
      <c r="T1017" s="463">
        <v>50</v>
      </c>
      <c r="U1017" s="463">
        <v>3</v>
      </c>
      <c r="V1017" s="463">
        <v>0</v>
      </c>
      <c r="W1017" s="463">
        <v>50</v>
      </c>
      <c r="X1017" s="463">
        <v>3</v>
      </c>
      <c r="Y1017" s="463">
        <v>0</v>
      </c>
      <c r="Z1017" s="463">
        <v>89.5</v>
      </c>
      <c r="AA1017" s="472" t="s">
        <v>633</v>
      </c>
      <c r="AB1017" s="463" t="s">
        <v>539</v>
      </c>
      <c r="AC1017" s="463" t="s">
        <v>539</v>
      </c>
      <c r="AD1017" s="472" t="s">
        <v>635</v>
      </c>
      <c r="AE1017" s="463" t="s">
        <v>539</v>
      </c>
      <c r="AF1017" s="463" t="s">
        <v>539</v>
      </c>
      <c r="AG1017" s="463" t="s">
        <v>375</v>
      </c>
      <c r="AH1017" s="476"/>
      <c r="AI1017" s="472" t="s">
        <v>2663</v>
      </c>
      <c r="AJ1017" s="464"/>
    </row>
    <row r="1018" spans="2:36" ht="24" hidden="1" customHeight="1">
      <c r="B1018" s="463">
        <v>833</v>
      </c>
      <c r="C1018" s="464" t="s">
        <v>165</v>
      </c>
      <c r="D1018" s="464"/>
      <c r="E1018" s="464" t="s">
        <v>535</v>
      </c>
      <c r="F1018" s="464"/>
      <c r="G1018" s="464" t="s">
        <v>49</v>
      </c>
      <c r="H1018" s="464" t="s">
        <v>2664</v>
      </c>
      <c r="I1018" s="466">
        <v>31500</v>
      </c>
      <c r="J1018" s="465" t="s">
        <v>537</v>
      </c>
      <c r="K1018" s="465" t="s">
        <v>537</v>
      </c>
      <c r="L1018" s="466">
        <v>25380</v>
      </c>
      <c r="M1018" s="465" t="s">
        <v>537</v>
      </c>
      <c r="N1018" s="465" t="s">
        <v>537</v>
      </c>
      <c r="O1018" s="463" t="s">
        <v>537</v>
      </c>
      <c r="P1018" s="463" t="s">
        <v>537</v>
      </c>
      <c r="Q1018" s="468">
        <v>6120</v>
      </c>
      <c r="R1018" s="470">
        <v>241579</v>
      </c>
      <c r="S1018" s="463" t="s">
        <v>2665</v>
      </c>
      <c r="T1018" s="463">
        <v>50</v>
      </c>
      <c r="U1018" s="463">
        <v>3</v>
      </c>
      <c r="V1018" s="463">
        <v>0</v>
      </c>
      <c r="W1018" s="463">
        <v>50</v>
      </c>
      <c r="X1018" s="463">
        <v>3</v>
      </c>
      <c r="Y1018" s="463">
        <v>0</v>
      </c>
      <c r="Z1018" s="463">
        <v>92.8</v>
      </c>
      <c r="AA1018" s="472" t="s">
        <v>633</v>
      </c>
      <c r="AB1018" s="463" t="s">
        <v>539</v>
      </c>
      <c r="AC1018" s="463" t="s">
        <v>539</v>
      </c>
      <c r="AD1018" s="472" t="s">
        <v>635</v>
      </c>
      <c r="AE1018" s="463" t="s">
        <v>539</v>
      </c>
      <c r="AF1018" s="463" t="s">
        <v>539</v>
      </c>
      <c r="AG1018" s="463" t="s">
        <v>375</v>
      </c>
      <c r="AH1018" s="476"/>
      <c r="AI1018" s="464"/>
      <c r="AJ1018" s="464"/>
    </row>
    <row r="1019" spans="2:36" ht="24" hidden="1" customHeight="1">
      <c r="B1019" s="463">
        <v>834</v>
      </c>
      <c r="C1019" s="464" t="s">
        <v>165</v>
      </c>
      <c r="D1019" s="464"/>
      <c r="E1019" s="464" t="s">
        <v>535</v>
      </c>
      <c r="F1019" s="464"/>
      <c r="G1019" s="464" t="s">
        <v>49</v>
      </c>
      <c r="H1019" s="464" t="s">
        <v>2666</v>
      </c>
      <c r="I1019" s="466">
        <v>40000</v>
      </c>
      <c r="J1019" s="465" t="s">
        <v>537</v>
      </c>
      <c r="K1019" s="465" t="s">
        <v>537</v>
      </c>
      <c r="L1019" s="466">
        <v>39959</v>
      </c>
      <c r="M1019" s="465" t="s">
        <v>537</v>
      </c>
      <c r="N1019" s="465" t="s">
        <v>537</v>
      </c>
      <c r="O1019" s="463" t="s">
        <v>537</v>
      </c>
      <c r="P1019" s="463" t="s">
        <v>537</v>
      </c>
      <c r="Q1019" s="465">
        <v>41</v>
      </c>
      <c r="R1019" s="470">
        <v>241459</v>
      </c>
      <c r="S1019" s="471">
        <v>22320</v>
      </c>
      <c r="T1019" s="463">
        <v>50</v>
      </c>
      <c r="U1019" s="463">
        <v>10</v>
      </c>
      <c r="V1019" s="463">
        <v>18</v>
      </c>
      <c r="W1019" s="463">
        <v>112</v>
      </c>
      <c r="X1019" s="463">
        <v>24</v>
      </c>
      <c r="Y1019" s="463">
        <v>18</v>
      </c>
      <c r="Z1019" s="463">
        <v>88.65</v>
      </c>
      <c r="AA1019" s="472" t="s">
        <v>1304</v>
      </c>
      <c r="AB1019" s="463" t="s">
        <v>539</v>
      </c>
      <c r="AC1019" s="463" t="s">
        <v>539</v>
      </c>
      <c r="AD1019" s="472" t="s">
        <v>606</v>
      </c>
      <c r="AE1019" s="463">
        <v>80</v>
      </c>
      <c r="AF1019" s="463">
        <v>88.63</v>
      </c>
      <c r="AG1019" s="463" t="s">
        <v>375</v>
      </c>
      <c r="AH1019" s="476"/>
      <c r="AI1019" s="472" t="s">
        <v>2640</v>
      </c>
      <c r="AJ1019" s="464"/>
    </row>
    <row r="1020" spans="2:36" ht="24" hidden="1" customHeight="1">
      <c r="B1020" s="463">
        <v>835</v>
      </c>
      <c r="C1020" s="464" t="s">
        <v>165</v>
      </c>
      <c r="D1020" s="464"/>
      <c r="E1020" s="464" t="s">
        <v>535</v>
      </c>
      <c r="F1020" s="464"/>
      <c r="G1020" s="464" t="s">
        <v>49</v>
      </c>
      <c r="H1020" s="464" t="s">
        <v>2667</v>
      </c>
      <c r="I1020" s="466">
        <v>65500</v>
      </c>
      <c r="J1020" s="465" t="s">
        <v>537</v>
      </c>
      <c r="K1020" s="465" t="s">
        <v>537</v>
      </c>
      <c r="L1020" s="466">
        <v>60740</v>
      </c>
      <c r="M1020" s="465" t="s">
        <v>537</v>
      </c>
      <c r="N1020" s="465" t="s">
        <v>537</v>
      </c>
      <c r="O1020" s="463" t="s">
        <v>537</v>
      </c>
      <c r="P1020" s="463" t="s">
        <v>537</v>
      </c>
      <c r="Q1020" s="468">
        <v>4760</v>
      </c>
      <c r="R1020" s="463" t="s">
        <v>646</v>
      </c>
      <c r="S1020" s="463" t="s">
        <v>2668</v>
      </c>
      <c r="T1020" s="463">
        <v>150</v>
      </c>
      <c r="U1020" s="463">
        <v>8</v>
      </c>
      <c r="V1020" s="463">
        <v>2</v>
      </c>
      <c r="W1020" s="463">
        <v>150</v>
      </c>
      <c r="X1020" s="463">
        <v>4</v>
      </c>
      <c r="Y1020" s="463">
        <v>2</v>
      </c>
      <c r="Z1020" s="463">
        <v>92.07</v>
      </c>
      <c r="AA1020" s="472" t="s">
        <v>633</v>
      </c>
      <c r="AB1020" s="463" t="s">
        <v>539</v>
      </c>
      <c r="AC1020" s="463">
        <v>92.55</v>
      </c>
      <c r="AD1020" s="472" t="s">
        <v>635</v>
      </c>
      <c r="AE1020" s="463" t="s">
        <v>539</v>
      </c>
      <c r="AF1020" s="463">
        <v>96.35</v>
      </c>
      <c r="AG1020" s="463" t="s">
        <v>376</v>
      </c>
      <c r="AH1020" s="476"/>
      <c r="AI1020" s="472">
        <v>840684964</v>
      </c>
      <c r="AJ1020" s="464"/>
    </row>
    <row r="1021" spans="2:36" ht="24" hidden="1" customHeight="1">
      <c r="B1021" s="463">
        <v>836</v>
      </c>
      <c r="C1021" s="464" t="s">
        <v>165</v>
      </c>
      <c r="D1021" s="464"/>
      <c r="E1021" s="464" t="s">
        <v>535</v>
      </c>
      <c r="F1021" s="464"/>
      <c r="G1021" s="464" t="s">
        <v>49</v>
      </c>
      <c r="H1021" s="464" t="s">
        <v>2669</v>
      </c>
      <c r="I1021" s="466">
        <v>26500</v>
      </c>
      <c r="J1021" s="465" t="s">
        <v>537</v>
      </c>
      <c r="K1021" s="465" t="s">
        <v>537</v>
      </c>
      <c r="L1021" s="466">
        <v>26500</v>
      </c>
      <c r="M1021" s="465" t="s">
        <v>537</v>
      </c>
      <c r="N1021" s="465" t="s">
        <v>537</v>
      </c>
      <c r="O1021" s="463" t="s">
        <v>537</v>
      </c>
      <c r="P1021" s="463" t="s">
        <v>537</v>
      </c>
      <c r="Q1021" s="465">
        <v>0</v>
      </c>
      <c r="R1021" s="470">
        <v>241397</v>
      </c>
      <c r="S1021" s="471">
        <v>22266</v>
      </c>
      <c r="T1021" s="463">
        <v>150</v>
      </c>
      <c r="U1021" s="463">
        <v>8</v>
      </c>
      <c r="V1021" s="463">
        <v>2</v>
      </c>
      <c r="W1021" s="463">
        <v>150</v>
      </c>
      <c r="X1021" s="463">
        <v>10</v>
      </c>
      <c r="Y1021" s="463">
        <v>0</v>
      </c>
      <c r="Z1021" s="463">
        <v>96.5</v>
      </c>
      <c r="AA1021" s="472" t="s">
        <v>547</v>
      </c>
      <c r="AB1021" s="463" t="s">
        <v>539</v>
      </c>
      <c r="AC1021" s="463" t="s">
        <v>539</v>
      </c>
      <c r="AD1021" s="472" t="s">
        <v>548</v>
      </c>
      <c r="AE1021" s="463">
        <v>80</v>
      </c>
      <c r="AF1021" s="463">
        <v>95.25</v>
      </c>
      <c r="AG1021" s="463" t="s">
        <v>375</v>
      </c>
      <c r="AH1021" s="476"/>
      <c r="AI1021" s="472" t="s">
        <v>2670</v>
      </c>
      <c r="AJ1021" s="464"/>
    </row>
    <row r="1022" spans="2:36" ht="24" hidden="1" customHeight="1">
      <c r="B1022" s="463">
        <v>837</v>
      </c>
      <c r="C1022" s="464" t="s">
        <v>165</v>
      </c>
      <c r="D1022" s="464"/>
      <c r="E1022" s="464" t="s">
        <v>535</v>
      </c>
      <c r="F1022" s="464"/>
      <c r="G1022" s="464" t="s">
        <v>49</v>
      </c>
      <c r="H1022" s="464" t="s">
        <v>2671</v>
      </c>
      <c r="I1022" s="466">
        <v>6070</v>
      </c>
      <c r="J1022" s="465" t="s">
        <v>537</v>
      </c>
      <c r="K1022" s="465" t="s">
        <v>537</v>
      </c>
      <c r="L1022" s="466">
        <v>5345</v>
      </c>
      <c r="M1022" s="465" t="s">
        <v>537</v>
      </c>
      <c r="N1022" s="465" t="s">
        <v>537</v>
      </c>
      <c r="O1022" s="463" t="s">
        <v>537</v>
      </c>
      <c r="P1022" s="463" t="s">
        <v>537</v>
      </c>
      <c r="Q1022" s="465">
        <v>725</v>
      </c>
      <c r="R1022" s="470">
        <v>241397</v>
      </c>
      <c r="S1022" s="471">
        <v>22294</v>
      </c>
      <c r="T1022" s="463">
        <v>10</v>
      </c>
      <c r="U1022" s="463">
        <v>17</v>
      </c>
      <c r="V1022" s="463">
        <v>2</v>
      </c>
      <c r="W1022" s="463">
        <v>33</v>
      </c>
      <c r="X1022" s="463">
        <v>17</v>
      </c>
      <c r="Y1022" s="463">
        <v>2</v>
      </c>
      <c r="Z1022" s="463">
        <v>83.32</v>
      </c>
      <c r="AA1022" s="472" t="s">
        <v>2672</v>
      </c>
      <c r="AB1022" s="463" t="s">
        <v>539</v>
      </c>
      <c r="AC1022" s="463" t="s">
        <v>539</v>
      </c>
      <c r="AD1022" s="472" t="s">
        <v>925</v>
      </c>
      <c r="AE1022" s="463">
        <v>80</v>
      </c>
      <c r="AF1022" s="463">
        <v>87.83</v>
      </c>
      <c r="AG1022" s="463" t="s">
        <v>375</v>
      </c>
      <c r="AH1022" s="476"/>
      <c r="AI1022" s="472" t="s">
        <v>2673</v>
      </c>
      <c r="AJ1022" s="464"/>
    </row>
    <row r="1023" spans="2:36" ht="24" hidden="1" customHeight="1">
      <c r="B1023" s="463">
        <v>838</v>
      </c>
      <c r="C1023" s="464" t="s">
        <v>165</v>
      </c>
      <c r="D1023" s="464"/>
      <c r="E1023" s="464" t="s">
        <v>535</v>
      </c>
      <c r="F1023" s="464"/>
      <c r="G1023" s="464" t="s">
        <v>49</v>
      </c>
      <c r="H1023" s="464" t="s">
        <v>2674</v>
      </c>
      <c r="I1023" s="466">
        <v>6070</v>
      </c>
      <c r="J1023" s="465" t="s">
        <v>537</v>
      </c>
      <c r="K1023" s="465" t="s">
        <v>537</v>
      </c>
      <c r="L1023" s="466">
        <v>5345</v>
      </c>
      <c r="M1023" s="465" t="s">
        <v>537</v>
      </c>
      <c r="N1023" s="465" t="s">
        <v>537</v>
      </c>
      <c r="O1023" s="463" t="s">
        <v>537</v>
      </c>
      <c r="P1023" s="463" t="s">
        <v>537</v>
      </c>
      <c r="Q1023" s="465">
        <v>725</v>
      </c>
      <c r="R1023" s="470">
        <v>241428</v>
      </c>
      <c r="S1023" s="471">
        <v>22308</v>
      </c>
      <c r="T1023" s="463">
        <v>10</v>
      </c>
      <c r="U1023" s="463">
        <v>17</v>
      </c>
      <c r="V1023" s="463">
        <v>2</v>
      </c>
      <c r="W1023" s="463">
        <v>17</v>
      </c>
      <c r="X1023" s="463">
        <v>19</v>
      </c>
      <c r="Y1023" s="463">
        <v>3</v>
      </c>
      <c r="Z1023" s="463">
        <v>85.83</v>
      </c>
      <c r="AA1023" s="472" t="s">
        <v>2672</v>
      </c>
      <c r="AB1023" s="463" t="s">
        <v>539</v>
      </c>
      <c r="AC1023" s="463" t="s">
        <v>539</v>
      </c>
      <c r="AD1023" s="472" t="s">
        <v>925</v>
      </c>
      <c r="AE1023" s="463">
        <v>80</v>
      </c>
      <c r="AF1023" s="463">
        <v>83.17</v>
      </c>
      <c r="AG1023" s="463" t="s">
        <v>375</v>
      </c>
      <c r="AH1023" s="476"/>
      <c r="AI1023" s="472" t="s">
        <v>2675</v>
      </c>
      <c r="AJ1023" s="464"/>
    </row>
    <row r="1024" spans="2:36" ht="24" hidden="1" customHeight="1">
      <c r="B1024" s="463">
        <v>839</v>
      </c>
      <c r="C1024" s="464" t="s">
        <v>165</v>
      </c>
      <c r="D1024" s="464"/>
      <c r="E1024" s="464" t="s">
        <v>535</v>
      </c>
      <c r="F1024" s="464"/>
      <c r="G1024" s="464" t="s">
        <v>49</v>
      </c>
      <c r="H1024" s="464" t="s">
        <v>2676</v>
      </c>
      <c r="I1024" s="466">
        <v>10860</v>
      </c>
      <c r="J1024" s="465" t="s">
        <v>537</v>
      </c>
      <c r="K1024" s="465" t="s">
        <v>537</v>
      </c>
      <c r="L1024" s="466">
        <v>10860</v>
      </c>
      <c r="M1024" s="465" t="s">
        <v>537</v>
      </c>
      <c r="N1024" s="465" t="s">
        <v>537</v>
      </c>
      <c r="O1024" s="463" t="s">
        <v>537</v>
      </c>
      <c r="P1024" s="463" t="s">
        <v>537</v>
      </c>
      <c r="Q1024" s="465">
        <v>0</v>
      </c>
      <c r="R1024" s="470">
        <v>241487</v>
      </c>
      <c r="S1024" s="471">
        <v>22343</v>
      </c>
      <c r="T1024" s="463">
        <v>10</v>
      </c>
      <c r="U1024" s="463">
        <v>17</v>
      </c>
      <c r="V1024" s="463">
        <v>2</v>
      </c>
      <c r="W1024" s="463">
        <v>40</v>
      </c>
      <c r="X1024" s="463">
        <v>17</v>
      </c>
      <c r="Y1024" s="463">
        <v>5</v>
      </c>
      <c r="Z1024" s="463">
        <v>86.12</v>
      </c>
      <c r="AA1024" s="472" t="s">
        <v>2672</v>
      </c>
      <c r="AB1024" s="463" t="s">
        <v>539</v>
      </c>
      <c r="AC1024" s="463" t="s">
        <v>539</v>
      </c>
      <c r="AD1024" s="472" t="s">
        <v>925</v>
      </c>
      <c r="AE1024" s="463">
        <v>80</v>
      </c>
      <c r="AF1024" s="463">
        <v>85.95</v>
      </c>
      <c r="AG1024" s="463" t="s">
        <v>375</v>
      </c>
      <c r="AH1024" s="476"/>
      <c r="AI1024" s="472" t="s">
        <v>2675</v>
      </c>
      <c r="AJ1024" s="464"/>
    </row>
    <row r="1025" spans="2:36" ht="24" hidden="1" customHeight="1">
      <c r="B1025" s="463">
        <v>840</v>
      </c>
      <c r="C1025" s="464" t="s">
        <v>165</v>
      </c>
      <c r="D1025" s="464"/>
      <c r="E1025" s="464" t="s">
        <v>535</v>
      </c>
      <c r="F1025" s="464"/>
      <c r="G1025" s="464" t="s">
        <v>49</v>
      </c>
      <c r="H1025" s="464" t="s">
        <v>2677</v>
      </c>
      <c r="I1025" s="466">
        <v>6070</v>
      </c>
      <c r="J1025" s="465" t="s">
        <v>537</v>
      </c>
      <c r="K1025" s="465" t="s">
        <v>537</v>
      </c>
      <c r="L1025" s="466">
        <v>5345</v>
      </c>
      <c r="M1025" s="465" t="s">
        <v>537</v>
      </c>
      <c r="N1025" s="465" t="s">
        <v>537</v>
      </c>
      <c r="O1025" s="463" t="s">
        <v>537</v>
      </c>
      <c r="P1025" s="463" t="s">
        <v>537</v>
      </c>
      <c r="Q1025" s="465">
        <v>725</v>
      </c>
      <c r="R1025" s="470">
        <v>241487</v>
      </c>
      <c r="S1025" s="471">
        <v>22357</v>
      </c>
      <c r="T1025" s="463">
        <v>10</v>
      </c>
      <c r="U1025" s="463">
        <v>17</v>
      </c>
      <c r="V1025" s="463">
        <v>2</v>
      </c>
      <c r="W1025" s="463">
        <v>25</v>
      </c>
      <c r="X1025" s="463">
        <v>12</v>
      </c>
      <c r="Y1025" s="463">
        <v>2</v>
      </c>
      <c r="Z1025" s="463">
        <v>84.75</v>
      </c>
      <c r="AA1025" s="472" t="s">
        <v>2672</v>
      </c>
      <c r="AB1025" s="463" t="s">
        <v>539</v>
      </c>
      <c r="AC1025" s="463" t="s">
        <v>539</v>
      </c>
      <c r="AD1025" s="472" t="s">
        <v>925</v>
      </c>
      <c r="AE1025" s="463">
        <v>80</v>
      </c>
      <c r="AF1025" s="463">
        <v>84.45</v>
      </c>
      <c r="AG1025" s="463" t="s">
        <v>375</v>
      </c>
      <c r="AH1025" s="476"/>
      <c r="AI1025" s="472" t="s">
        <v>2675</v>
      </c>
      <c r="AJ1025" s="464"/>
    </row>
    <row r="1026" spans="2:36" ht="24" hidden="1" customHeight="1">
      <c r="B1026" s="463">
        <v>841</v>
      </c>
      <c r="C1026" s="464" t="s">
        <v>534</v>
      </c>
      <c r="D1026" s="464"/>
      <c r="E1026" s="464" t="s">
        <v>535</v>
      </c>
      <c r="F1026" s="464"/>
      <c r="G1026" s="464" t="s">
        <v>49</v>
      </c>
      <c r="H1026" s="464" t="s">
        <v>2678</v>
      </c>
      <c r="I1026" s="465" t="s">
        <v>537</v>
      </c>
      <c r="J1026" s="466">
        <v>30000</v>
      </c>
      <c r="K1026" s="465" t="s">
        <v>537</v>
      </c>
      <c r="L1026" s="465" t="s">
        <v>537</v>
      </c>
      <c r="M1026" s="466">
        <v>30000</v>
      </c>
      <c r="N1026" s="465" t="s">
        <v>537</v>
      </c>
      <c r="O1026" s="463" t="s">
        <v>537</v>
      </c>
      <c r="P1026" s="463" t="s">
        <v>537</v>
      </c>
      <c r="Q1026" s="465">
        <v>0</v>
      </c>
      <c r="R1026" s="470">
        <v>241518</v>
      </c>
      <c r="S1026" s="463" t="s">
        <v>2679</v>
      </c>
      <c r="T1026" s="463">
        <v>100</v>
      </c>
      <c r="U1026" s="463">
        <v>18</v>
      </c>
      <c r="V1026" s="463">
        <v>82</v>
      </c>
      <c r="W1026" s="463">
        <v>200</v>
      </c>
      <c r="X1026" s="463">
        <v>100</v>
      </c>
      <c r="Y1026" s="463">
        <v>0</v>
      </c>
      <c r="Z1026" s="463">
        <v>83.88</v>
      </c>
      <c r="AA1026" s="472" t="s">
        <v>1304</v>
      </c>
      <c r="AB1026" s="463" t="s">
        <v>539</v>
      </c>
      <c r="AC1026" s="463" t="s">
        <v>539</v>
      </c>
      <c r="AD1026" s="472" t="s">
        <v>565</v>
      </c>
      <c r="AE1026" s="463">
        <v>80</v>
      </c>
      <c r="AF1026" s="463">
        <v>83.88</v>
      </c>
      <c r="AG1026" s="463" t="s">
        <v>375</v>
      </c>
      <c r="AH1026" s="476"/>
      <c r="AI1026" s="472" t="s">
        <v>2680</v>
      </c>
      <c r="AJ1026" s="464"/>
    </row>
    <row r="1027" spans="2:36" ht="24" hidden="1" customHeight="1">
      <c r="B1027" s="463">
        <v>842</v>
      </c>
      <c r="C1027" s="464" t="s">
        <v>534</v>
      </c>
      <c r="D1027" s="464"/>
      <c r="E1027" s="464" t="s">
        <v>535</v>
      </c>
      <c r="F1027" s="464"/>
      <c r="G1027" s="464" t="s">
        <v>49</v>
      </c>
      <c r="H1027" s="464" t="s">
        <v>2681</v>
      </c>
      <c r="I1027" s="465" t="s">
        <v>537</v>
      </c>
      <c r="J1027" s="466">
        <v>12400</v>
      </c>
      <c r="K1027" s="465" t="s">
        <v>537</v>
      </c>
      <c r="L1027" s="465" t="s">
        <v>537</v>
      </c>
      <c r="M1027" s="466">
        <v>12400</v>
      </c>
      <c r="N1027" s="465" t="s">
        <v>537</v>
      </c>
      <c r="O1027" s="463" t="s">
        <v>537</v>
      </c>
      <c r="P1027" s="463" t="s">
        <v>537</v>
      </c>
      <c r="Q1027" s="465">
        <v>0</v>
      </c>
      <c r="R1027" s="470">
        <v>241487</v>
      </c>
      <c r="S1027" s="463" t="s">
        <v>2483</v>
      </c>
      <c r="T1027" s="463">
        <v>220</v>
      </c>
      <c r="U1027" s="463">
        <v>30</v>
      </c>
      <c r="V1027" s="463">
        <v>0</v>
      </c>
      <c r="W1027" s="463">
        <v>296</v>
      </c>
      <c r="X1027" s="463">
        <v>37</v>
      </c>
      <c r="Y1027" s="463">
        <v>73</v>
      </c>
      <c r="Z1027" s="463">
        <v>96.62</v>
      </c>
      <c r="AA1027" s="472" t="s">
        <v>2682</v>
      </c>
      <c r="AB1027" s="463" t="s">
        <v>539</v>
      </c>
      <c r="AC1027" s="463" t="s">
        <v>539</v>
      </c>
      <c r="AD1027" s="472" t="s">
        <v>548</v>
      </c>
      <c r="AE1027" s="463">
        <v>80</v>
      </c>
      <c r="AF1027" s="463">
        <v>97.27</v>
      </c>
      <c r="AG1027" s="463" t="s">
        <v>375</v>
      </c>
      <c r="AH1027" s="476"/>
      <c r="AI1027" s="472" t="s">
        <v>2683</v>
      </c>
      <c r="AJ1027" s="464"/>
    </row>
    <row r="1028" spans="2:36" ht="24" hidden="1" customHeight="1">
      <c r="B1028" s="463">
        <v>843</v>
      </c>
      <c r="C1028" s="464" t="s">
        <v>534</v>
      </c>
      <c r="D1028" s="464"/>
      <c r="E1028" s="464" t="s">
        <v>535</v>
      </c>
      <c r="F1028" s="464"/>
      <c r="G1028" s="464" t="s">
        <v>49</v>
      </c>
      <c r="H1028" s="464" t="s">
        <v>2684</v>
      </c>
      <c r="I1028" s="465" t="s">
        <v>537</v>
      </c>
      <c r="J1028" s="466">
        <v>18000</v>
      </c>
      <c r="K1028" s="465" t="s">
        <v>537</v>
      </c>
      <c r="L1028" s="465" t="s">
        <v>537</v>
      </c>
      <c r="M1028" s="466">
        <v>17460</v>
      </c>
      <c r="N1028" s="465" t="s">
        <v>537</v>
      </c>
      <c r="O1028" s="463" t="s">
        <v>537</v>
      </c>
      <c r="P1028" s="463" t="s">
        <v>537</v>
      </c>
      <c r="Q1028" s="465">
        <v>540</v>
      </c>
      <c r="R1028" s="470">
        <v>241487</v>
      </c>
      <c r="S1028" s="463" t="s">
        <v>2483</v>
      </c>
      <c r="T1028" s="463">
        <v>44</v>
      </c>
      <c r="U1028" s="463">
        <v>6</v>
      </c>
      <c r="V1028" s="463">
        <v>50</v>
      </c>
      <c r="W1028" s="463">
        <v>100</v>
      </c>
      <c r="X1028" s="463">
        <v>8</v>
      </c>
      <c r="Y1028" s="463">
        <v>7</v>
      </c>
      <c r="Z1028" s="463">
        <v>89.25</v>
      </c>
      <c r="AA1028" s="472" t="s">
        <v>2624</v>
      </c>
      <c r="AB1028" s="463">
        <v>1</v>
      </c>
      <c r="AC1028" s="463">
        <v>1</v>
      </c>
      <c r="AD1028" s="472" t="s">
        <v>651</v>
      </c>
      <c r="AE1028" s="463">
        <v>1</v>
      </c>
      <c r="AF1028" s="463">
        <v>1</v>
      </c>
      <c r="AG1028" s="463" t="s">
        <v>375</v>
      </c>
      <c r="AH1028" s="476"/>
      <c r="AI1028" s="472" t="s">
        <v>2685</v>
      </c>
      <c r="AJ1028" s="464"/>
    </row>
    <row r="1029" spans="2:36" ht="24" hidden="1" customHeight="1">
      <c r="B1029" s="463">
        <v>844</v>
      </c>
      <c r="C1029" s="464" t="s">
        <v>534</v>
      </c>
      <c r="D1029" s="464"/>
      <c r="E1029" s="464" t="s">
        <v>535</v>
      </c>
      <c r="F1029" s="464"/>
      <c r="G1029" s="464" t="s">
        <v>49</v>
      </c>
      <c r="H1029" s="464" t="s">
        <v>2686</v>
      </c>
      <c r="I1029" s="465" t="s">
        <v>537</v>
      </c>
      <c r="J1029" s="466">
        <v>11000</v>
      </c>
      <c r="K1029" s="465" t="s">
        <v>537</v>
      </c>
      <c r="L1029" s="465" t="s">
        <v>537</v>
      </c>
      <c r="M1029" s="466">
        <v>9900</v>
      </c>
      <c r="N1029" s="465" t="s">
        <v>537</v>
      </c>
      <c r="O1029" s="463" t="s">
        <v>537</v>
      </c>
      <c r="P1029" s="463" t="s">
        <v>537</v>
      </c>
      <c r="Q1029" s="468">
        <v>1100</v>
      </c>
      <c r="R1029" s="463" t="s">
        <v>643</v>
      </c>
      <c r="S1029" s="463" t="s">
        <v>2687</v>
      </c>
      <c r="T1029" s="463">
        <v>80</v>
      </c>
      <c r="U1029" s="463">
        <v>18</v>
      </c>
      <c r="V1029" s="463">
        <v>0</v>
      </c>
      <c r="W1029" s="463">
        <v>88</v>
      </c>
      <c r="X1029" s="463">
        <v>15</v>
      </c>
      <c r="Y1029" s="463">
        <v>0</v>
      </c>
      <c r="Z1029" s="463">
        <v>81.81</v>
      </c>
      <c r="AA1029" s="472" t="s">
        <v>547</v>
      </c>
      <c r="AB1029" s="463" t="s">
        <v>539</v>
      </c>
      <c r="AC1029" s="463" t="s">
        <v>539</v>
      </c>
      <c r="AD1029" s="472" t="s">
        <v>548</v>
      </c>
      <c r="AE1029" s="463">
        <v>80</v>
      </c>
      <c r="AF1029" s="463">
        <v>82.68</v>
      </c>
      <c r="AG1029" s="463" t="s">
        <v>375</v>
      </c>
      <c r="AH1029" s="476"/>
      <c r="AI1029" s="472" t="s">
        <v>2688</v>
      </c>
      <c r="AJ1029" s="464"/>
    </row>
    <row r="1030" spans="2:36" ht="24" hidden="1" customHeight="1">
      <c r="B1030" s="463">
        <v>845</v>
      </c>
      <c r="C1030" s="464" t="s">
        <v>534</v>
      </c>
      <c r="D1030" s="464"/>
      <c r="E1030" s="464" t="s">
        <v>535</v>
      </c>
      <c r="F1030" s="464"/>
      <c r="G1030" s="464" t="s">
        <v>49</v>
      </c>
      <c r="H1030" s="464" t="s">
        <v>2689</v>
      </c>
      <c r="I1030" s="465" t="s">
        <v>537</v>
      </c>
      <c r="J1030" s="466">
        <v>18000</v>
      </c>
      <c r="K1030" s="465" t="s">
        <v>537</v>
      </c>
      <c r="L1030" s="465" t="s">
        <v>537</v>
      </c>
      <c r="M1030" s="466">
        <v>18000</v>
      </c>
      <c r="N1030" s="465" t="s">
        <v>537</v>
      </c>
      <c r="O1030" s="463" t="s">
        <v>537</v>
      </c>
      <c r="P1030" s="463" t="s">
        <v>537</v>
      </c>
      <c r="Q1030" s="465">
        <v>0</v>
      </c>
      <c r="R1030" s="470">
        <v>241579</v>
      </c>
      <c r="S1030" s="471">
        <v>22461</v>
      </c>
      <c r="T1030" s="463">
        <v>35</v>
      </c>
      <c r="U1030" s="463">
        <v>6</v>
      </c>
      <c r="V1030" s="463">
        <v>0</v>
      </c>
      <c r="W1030" s="463">
        <v>35</v>
      </c>
      <c r="X1030" s="463">
        <v>6</v>
      </c>
      <c r="Y1030" s="463">
        <v>1</v>
      </c>
      <c r="Z1030" s="464"/>
      <c r="AA1030" s="472" t="s">
        <v>547</v>
      </c>
      <c r="AB1030" s="463" t="s">
        <v>539</v>
      </c>
      <c r="AC1030" s="463" t="s">
        <v>539</v>
      </c>
      <c r="AD1030" s="472" t="s">
        <v>548</v>
      </c>
      <c r="AE1030" s="463">
        <v>80</v>
      </c>
      <c r="AF1030" s="463">
        <v>93.89</v>
      </c>
      <c r="AG1030" s="463" t="s">
        <v>375</v>
      </c>
      <c r="AH1030" s="476"/>
      <c r="AI1030" s="464"/>
      <c r="AJ1030" s="464"/>
    </row>
    <row r="1031" spans="2:36" ht="24" hidden="1" customHeight="1">
      <c r="B1031" s="463">
        <v>846</v>
      </c>
      <c r="C1031" s="464" t="s">
        <v>534</v>
      </c>
      <c r="D1031" s="464"/>
      <c r="E1031" s="464" t="s">
        <v>535</v>
      </c>
      <c r="F1031" s="464"/>
      <c r="G1031" s="464" t="s">
        <v>49</v>
      </c>
      <c r="H1031" s="464" t="s">
        <v>2690</v>
      </c>
      <c r="I1031" s="465" t="s">
        <v>537</v>
      </c>
      <c r="J1031" s="466">
        <v>6600</v>
      </c>
      <c r="K1031" s="465" t="s">
        <v>537</v>
      </c>
      <c r="L1031" s="465" t="s">
        <v>537</v>
      </c>
      <c r="M1031" s="466">
        <v>6600</v>
      </c>
      <c r="N1031" s="465" t="s">
        <v>537</v>
      </c>
      <c r="O1031" s="463" t="s">
        <v>537</v>
      </c>
      <c r="P1031" s="463" t="s">
        <v>537</v>
      </c>
      <c r="Q1031" s="465">
        <v>0</v>
      </c>
      <c r="R1031" s="470">
        <v>241609</v>
      </c>
      <c r="S1031" s="471">
        <v>22475</v>
      </c>
      <c r="T1031" s="463">
        <v>15</v>
      </c>
      <c r="U1031" s="463">
        <v>15</v>
      </c>
      <c r="V1031" s="463">
        <v>30</v>
      </c>
      <c r="W1031" s="463">
        <v>17</v>
      </c>
      <c r="X1031" s="463">
        <v>14</v>
      </c>
      <c r="Y1031" s="463">
        <v>30</v>
      </c>
      <c r="Z1031" s="463">
        <v>90.93</v>
      </c>
      <c r="AA1031" s="472" t="s">
        <v>547</v>
      </c>
      <c r="AB1031" s="463" t="s">
        <v>539</v>
      </c>
      <c r="AC1031" s="463" t="s">
        <v>539</v>
      </c>
      <c r="AD1031" s="472" t="s">
        <v>548</v>
      </c>
      <c r="AE1031" s="463">
        <v>80</v>
      </c>
      <c r="AF1031" s="463">
        <v>93.89</v>
      </c>
      <c r="AG1031" s="463" t="s">
        <v>375</v>
      </c>
      <c r="AH1031" s="476"/>
      <c r="AI1031" s="472" t="s">
        <v>2691</v>
      </c>
      <c r="AJ1031" s="464"/>
    </row>
    <row r="1032" spans="2:36" ht="24" hidden="1" customHeight="1">
      <c r="B1032" s="463">
        <v>847</v>
      </c>
      <c r="C1032" s="464" t="s">
        <v>534</v>
      </c>
      <c r="D1032" s="464"/>
      <c r="E1032" s="464" t="s">
        <v>535</v>
      </c>
      <c r="F1032" s="464"/>
      <c r="G1032" s="464" t="s">
        <v>49</v>
      </c>
      <c r="H1032" s="464" t="s">
        <v>2692</v>
      </c>
      <c r="I1032" s="465" t="s">
        <v>537</v>
      </c>
      <c r="J1032" s="466">
        <v>14000</v>
      </c>
      <c r="K1032" s="465" t="s">
        <v>537</v>
      </c>
      <c r="L1032" s="465" t="s">
        <v>537</v>
      </c>
      <c r="M1032" s="466">
        <v>14000</v>
      </c>
      <c r="N1032" s="465" t="s">
        <v>537</v>
      </c>
      <c r="O1032" s="463" t="s">
        <v>537</v>
      </c>
      <c r="P1032" s="463" t="s">
        <v>537</v>
      </c>
      <c r="Q1032" s="465">
        <v>0</v>
      </c>
      <c r="R1032" s="470">
        <v>241609</v>
      </c>
      <c r="S1032" s="463" t="s">
        <v>2693</v>
      </c>
      <c r="T1032" s="463">
        <v>40</v>
      </c>
      <c r="U1032" s="463">
        <v>5</v>
      </c>
      <c r="V1032" s="463">
        <v>40</v>
      </c>
      <c r="W1032" s="463">
        <v>44</v>
      </c>
      <c r="X1032" s="463">
        <v>6</v>
      </c>
      <c r="Y1032" s="463">
        <v>66</v>
      </c>
      <c r="Z1032" s="463">
        <v>9216</v>
      </c>
      <c r="AA1032" s="472" t="s">
        <v>547</v>
      </c>
      <c r="AB1032" s="463" t="s">
        <v>539</v>
      </c>
      <c r="AC1032" s="463" t="s">
        <v>539</v>
      </c>
      <c r="AD1032" s="472" t="s">
        <v>548</v>
      </c>
      <c r="AE1032" s="463">
        <v>80</v>
      </c>
      <c r="AF1032" s="463">
        <v>92</v>
      </c>
      <c r="AG1032" s="463" t="s">
        <v>375</v>
      </c>
      <c r="AH1032" s="476"/>
      <c r="AI1032" s="472" t="s">
        <v>2628</v>
      </c>
      <c r="AJ1032" s="464"/>
    </row>
    <row r="1033" spans="2:36" ht="24" hidden="1" customHeight="1">
      <c r="B1033" s="463">
        <v>848</v>
      </c>
      <c r="C1033" s="464" t="s">
        <v>534</v>
      </c>
      <c r="D1033" s="464"/>
      <c r="E1033" s="464" t="s">
        <v>535</v>
      </c>
      <c r="F1033" s="464"/>
      <c r="G1033" s="464" t="s">
        <v>49</v>
      </c>
      <c r="H1033" s="464" t="s">
        <v>2694</v>
      </c>
      <c r="I1033" s="465" t="s">
        <v>537</v>
      </c>
      <c r="J1033" s="466">
        <v>40000</v>
      </c>
      <c r="K1033" s="465" t="s">
        <v>537</v>
      </c>
      <c r="L1033" s="465" t="s">
        <v>537</v>
      </c>
      <c r="M1033" s="466">
        <v>40000</v>
      </c>
      <c r="N1033" s="465" t="s">
        <v>537</v>
      </c>
      <c r="O1033" s="463" t="s">
        <v>537</v>
      </c>
      <c r="P1033" s="463" t="s">
        <v>537</v>
      </c>
      <c r="Q1033" s="465">
        <v>0</v>
      </c>
      <c r="R1033" s="470">
        <v>241487</v>
      </c>
      <c r="S1033" s="463" t="s">
        <v>2335</v>
      </c>
      <c r="T1033" s="463">
        <v>86</v>
      </c>
      <c r="U1033" s="463">
        <v>12</v>
      </c>
      <c r="V1033" s="463">
        <v>2</v>
      </c>
      <c r="W1033" s="463">
        <v>86</v>
      </c>
      <c r="X1033" s="463">
        <v>12</v>
      </c>
      <c r="Y1033" s="463">
        <v>2</v>
      </c>
      <c r="Z1033" s="463">
        <v>91.46</v>
      </c>
      <c r="AA1033" s="472" t="s">
        <v>547</v>
      </c>
      <c r="AB1033" s="463" t="s">
        <v>539</v>
      </c>
      <c r="AC1033" s="463" t="s">
        <v>539</v>
      </c>
      <c r="AD1033" s="472" t="s">
        <v>548</v>
      </c>
      <c r="AE1033" s="463">
        <v>80</v>
      </c>
      <c r="AF1033" s="463">
        <v>91.97</v>
      </c>
      <c r="AG1033" s="463" t="s">
        <v>375</v>
      </c>
      <c r="AH1033" s="476"/>
      <c r="AI1033" s="472" t="s">
        <v>2625</v>
      </c>
      <c r="AJ1033" s="464"/>
    </row>
    <row r="1034" spans="2:36" ht="24" hidden="1" customHeight="1">
      <c r="B1034" s="463">
        <v>849</v>
      </c>
      <c r="C1034" s="464" t="s">
        <v>534</v>
      </c>
      <c r="D1034" s="464"/>
      <c r="E1034" s="464" t="s">
        <v>535</v>
      </c>
      <c r="F1034" s="464"/>
      <c r="G1034" s="464" t="s">
        <v>49</v>
      </c>
      <c r="H1034" s="464" t="s">
        <v>2695</v>
      </c>
      <c r="I1034" s="465" t="s">
        <v>537</v>
      </c>
      <c r="J1034" s="466">
        <v>65000</v>
      </c>
      <c r="K1034" s="465" t="s">
        <v>537</v>
      </c>
      <c r="L1034" s="465" t="s">
        <v>537</v>
      </c>
      <c r="M1034" s="466">
        <v>65000</v>
      </c>
      <c r="N1034" s="465" t="s">
        <v>537</v>
      </c>
      <c r="O1034" s="463" t="s">
        <v>537</v>
      </c>
      <c r="P1034" s="463" t="s">
        <v>537</v>
      </c>
      <c r="Q1034" s="465">
        <v>0</v>
      </c>
      <c r="R1034" s="470">
        <v>241428</v>
      </c>
      <c r="S1034" s="463" t="s">
        <v>1639</v>
      </c>
      <c r="T1034" s="463">
        <v>60</v>
      </c>
      <c r="U1034" s="463">
        <v>4</v>
      </c>
      <c r="V1034" s="463">
        <v>0</v>
      </c>
      <c r="W1034" s="463">
        <v>69</v>
      </c>
      <c r="X1034" s="463">
        <v>6</v>
      </c>
      <c r="Y1034" s="463">
        <v>0</v>
      </c>
      <c r="Z1034" s="463">
        <v>90.28</v>
      </c>
      <c r="AA1034" s="472" t="s">
        <v>2696</v>
      </c>
      <c r="AB1034" s="463">
        <v>80</v>
      </c>
      <c r="AC1034" s="463">
        <v>90.28</v>
      </c>
      <c r="AD1034" s="472" t="s">
        <v>2697</v>
      </c>
      <c r="AE1034" s="463">
        <v>1</v>
      </c>
      <c r="AF1034" s="463">
        <v>1</v>
      </c>
      <c r="AG1034" s="463" t="s">
        <v>375</v>
      </c>
      <c r="AH1034" s="476"/>
      <c r="AI1034" s="472" t="s">
        <v>2698</v>
      </c>
      <c r="AJ1034" s="464"/>
    </row>
    <row r="1035" spans="2:36" ht="24" hidden="1" customHeight="1">
      <c r="B1035" s="463">
        <v>850</v>
      </c>
      <c r="C1035" s="464" t="s">
        <v>534</v>
      </c>
      <c r="D1035" s="464"/>
      <c r="E1035" s="464" t="s">
        <v>535</v>
      </c>
      <c r="F1035" s="464"/>
      <c r="G1035" s="464" t="s">
        <v>49</v>
      </c>
      <c r="H1035" s="464" t="s">
        <v>2699</v>
      </c>
      <c r="I1035" s="465" t="s">
        <v>537</v>
      </c>
      <c r="J1035" s="466">
        <v>32000</v>
      </c>
      <c r="K1035" s="465" t="s">
        <v>537</v>
      </c>
      <c r="L1035" s="465" t="s">
        <v>537</v>
      </c>
      <c r="M1035" s="466">
        <v>30948</v>
      </c>
      <c r="N1035" s="465" t="s">
        <v>537</v>
      </c>
      <c r="O1035" s="463" t="s">
        <v>537</v>
      </c>
      <c r="P1035" s="463" t="s">
        <v>537</v>
      </c>
      <c r="Q1035" s="468">
        <v>1052</v>
      </c>
      <c r="R1035" s="470">
        <v>241487</v>
      </c>
      <c r="S1035" s="471">
        <v>22360</v>
      </c>
      <c r="T1035" s="463">
        <v>350</v>
      </c>
      <c r="U1035" s="463">
        <v>30</v>
      </c>
      <c r="V1035" s="463">
        <v>0</v>
      </c>
      <c r="W1035" s="463">
        <v>309</v>
      </c>
      <c r="X1035" s="463">
        <v>45</v>
      </c>
      <c r="Y1035" s="463">
        <v>0</v>
      </c>
      <c r="Z1035" s="463">
        <v>83.59</v>
      </c>
      <c r="AA1035" s="472" t="s">
        <v>547</v>
      </c>
      <c r="AB1035" s="463" t="s">
        <v>539</v>
      </c>
      <c r="AC1035" s="463" t="s">
        <v>539</v>
      </c>
      <c r="AD1035" s="472" t="s">
        <v>548</v>
      </c>
      <c r="AE1035" s="463">
        <v>80</v>
      </c>
      <c r="AF1035" s="463">
        <v>84.74</v>
      </c>
      <c r="AG1035" s="463" t="s">
        <v>375</v>
      </c>
      <c r="AH1035" s="476"/>
      <c r="AI1035" s="472" t="s">
        <v>2618</v>
      </c>
      <c r="AJ1035" s="464"/>
    </row>
    <row r="1036" spans="2:36" ht="24" hidden="1" customHeight="1">
      <c r="B1036" s="463">
        <v>851</v>
      </c>
      <c r="C1036" s="464" t="s">
        <v>534</v>
      </c>
      <c r="D1036" s="464"/>
      <c r="E1036" s="464" t="s">
        <v>535</v>
      </c>
      <c r="F1036" s="464"/>
      <c r="G1036" s="464" t="s">
        <v>49</v>
      </c>
      <c r="H1036" s="464" t="s">
        <v>667</v>
      </c>
      <c r="I1036" s="465" t="s">
        <v>537</v>
      </c>
      <c r="J1036" s="466">
        <v>42000</v>
      </c>
      <c r="K1036" s="465" t="s">
        <v>537</v>
      </c>
      <c r="L1036" s="465" t="s">
        <v>537</v>
      </c>
      <c r="M1036" s="466">
        <v>41860</v>
      </c>
      <c r="N1036" s="465" t="s">
        <v>537</v>
      </c>
      <c r="O1036" s="463" t="s">
        <v>537</v>
      </c>
      <c r="P1036" s="463" t="s">
        <v>537</v>
      </c>
      <c r="Q1036" s="465">
        <v>140</v>
      </c>
      <c r="R1036" s="470">
        <v>241579</v>
      </c>
      <c r="S1036" s="471">
        <v>22452</v>
      </c>
      <c r="T1036" s="463">
        <v>430</v>
      </c>
      <c r="U1036" s="463">
        <v>30</v>
      </c>
      <c r="V1036" s="463">
        <v>0</v>
      </c>
      <c r="W1036" s="463">
        <v>449</v>
      </c>
      <c r="X1036" s="463">
        <v>73</v>
      </c>
      <c r="Y1036" s="463">
        <v>0</v>
      </c>
      <c r="Z1036" s="463">
        <v>81.36</v>
      </c>
      <c r="AA1036" s="472" t="s">
        <v>547</v>
      </c>
      <c r="AB1036" s="463" t="s">
        <v>539</v>
      </c>
      <c r="AC1036" s="463" t="s">
        <v>539</v>
      </c>
      <c r="AD1036" s="472" t="s">
        <v>548</v>
      </c>
      <c r="AE1036" s="463">
        <v>80</v>
      </c>
      <c r="AF1036" s="463">
        <v>81.36</v>
      </c>
      <c r="AG1036" s="463" t="s">
        <v>375</v>
      </c>
      <c r="AH1036" s="476"/>
      <c r="AI1036" s="472" t="s">
        <v>2618</v>
      </c>
      <c r="AJ1036" s="464"/>
    </row>
    <row r="1037" spans="2:36" ht="24" hidden="1" customHeight="1">
      <c r="B1037" s="463">
        <v>852</v>
      </c>
      <c r="C1037" s="464" t="s">
        <v>165</v>
      </c>
      <c r="D1037" s="464"/>
      <c r="E1037" s="464" t="s">
        <v>535</v>
      </c>
      <c r="F1037" s="464"/>
      <c r="G1037" s="464" t="s">
        <v>49</v>
      </c>
      <c r="H1037" s="464" t="s">
        <v>2700</v>
      </c>
      <c r="I1037" s="465" t="s">
        <v>537</v>
      </c>
      <c r="J1037" s="466">
        <v>17200</v>
      </c>
      <c r="K1037" s="465" t="s">
        <v>537</v>
      </c>
      <c r="L1037" s="465" t="s">
        <v>537</v>
      </c>
      <c r="M1037" s="466">
        <v>17200</v>
      </c>
      <c r="N1037" s="465" t="s">
        <v>537</v>
      </c>
      <c r="O1037" s="463" t="s">
        <v>537</v>
      </c>
      <c r="P1037" s="463" t="s">
        <v>537</v>
      </c>
      <c r="Q1037" s="465">
        <v>0</v>
      </c>
      <c r="R1037" s="470">
        <v>241459</v>
      </c>
      <c r="S1037" s="463" t="s">
        <v>2701</v>
      </c>
      <c r="T1037" s="463">
        <v>150</v>
      </c>
      <c r="U1037" s="463">
        <v>20</v>
      </c>
      <c r="V1037" s="463">
        <v>0</v>
      </c>
      <c r="W1037" s="463">
        <v>150</v>
      </c>
      <c r="X1037" s="463">
        <v>31</v>
      </c>
      <c r="Y1037" s="463">
        <v>0</v>
      </c>
      <c r="Z1037" s="463">
        <v>92.5</v>
      </c>
      <c r="AA1037" s="472" t="s">
        <v>547</v>
      </c>
      <c r="AB1037" s="463" t="s">
        <v>539</v>
      </c>
      <c r="AC1037" s="463" t="s">
        <v>539</v>
      </c>
      <c r="AD1037" s="472" t="s">
        <v>2702</v>
      </c>
      <c r="AE1037" s="463" t="s">
        <v>539</v>
      </c>
      <c r="AF1037" s="463">
        <v>92.86</v>
      </c>
      <c r="AG1037" s="463" t="s">
        <v>376</v>
      </c>
      <c r="AH1037" s="476"/>
      <c r="AI1037" s="472" t="s">
        <v>2653</v>
      </c>
      <c r="AJ1037" s="464"/>
    </row>
    <row r="1038" spans="2:36" ht="24" hidden="1" customHeight="1">
      <c r="B1038" s="463">
        <v>853</v>
      </c>
      <c r="C1038" s="464" t="s">
        <v>165</v>
      </c>
      <c r="D1038" s="464"/>
      <c r="E1038" s="464" t="s">
        <v>535</v>
      </c>
      <c r="F1038" s="464"/>
      <c r="G1038" s="464" t="s">
        <v>49</v>
      </c>
      <c r="H1038" s="464" t="s">
        <v>2703</v>
      </c>
      <c r="I1038" s="465" t="s">
        <v>537</v>
      </c>
      <c r="J1038" s="466">
        <v>191400</v>
      </c>
      <c r="K1038" s="465" t="s">
        <v>537</v>
      </c>
      <c r="L1038" s="465" t="s">
        <v>537</v>
      </c>
      <c r="M1038" s="466">
        <v>168034</v>
      </c>
      <c r="N1038" s="465" t="s">
        <v>537</v>
      </c>
      <c r="O1038" s="463" t="s">
        <v>537</v>
      </c>
      <c r="P1038" s="463" t="s">
        <v>537</v>
      </c>
      <c r="Q1038" s="468">
        <v>23366</v>
      </c>
      <c r="R1038" s="470">
        <v>241518</v>
      </c>
      <c r="S1038" s="463" t="s">
        <v>2704</v>
      </c>
      <c r="T1038" s="463">
        <v>20</v>
      </c>
      <c r="U1038" s="463">
        <v>2</v>
      </c>
      <c r="V1038" s="463">
        <v>0</v>
      </c>
      <c r="W1038" s="463">
        <v>20</v>
      </c>
      <c r="X1038" s="463">
        <v>4</v>
      </c>
      <c r="Y1038" s="463">
        <v>0</v>
      </c>
      <c r="Z1038" s="463">
        <v>90.56</v>
      </c>
      <c r="AA1038" s="472" t="s">
        <v>633</v>
      </c>
      <c r="AB1038" s="463" t="s">
        <v>539</v>
      </c>
      <c r="AC1038" s="463" t="s">
        <v>539</v>
      </c>
      <c r="AD1038" s="472" t="s">
        <v>635</v>
      </c>
      <c r="AE1038" s="463" t="s">
        <v>539</v>
      </c>
      <c r="AF1038" s="463" t="s">
        <v>539</v>
      </c>
      <c r="AG1038" s="463" t="s">
        <v>375</v>
      </c>
      <c r="AH1038" s="476"/>
      <c r="AI1038" s="472" t="s">
        <v>2653</v>
      </c>
      <c r="AJ1038" s="464"/>
    </row>
    <row r="1039" spans="2:36" ht="24" hidden="1" customHeight="1">
      <c r="B1039" s="463">
        <v>854</v>
      </c>
      <c r="C1039" s="464" t="s">
        <v>165</v>
      </c>
      <c r="D1039" s="464"/>
      <c r="E1039" s="464" t="s">
        <v>535</v>
      </c>
      <c r="F1039" s="464"/>
      <c r="G1039" s="464" t="s">
        <v>49</v>
      </c>
      <c r="H1039" s="464" t="s">
        <v>2705</v>
      </c>
      <c r="I1039" s="465" t="s">
        <v>537</v>
      </c>
      <c r="J1039" s="466">
        <v>191400</v>
      </c>
      <c r="K1039" s="465" t="s">
        <v>537</v>
      </c>
      <c r="L1039" s="465" t="s">
        <v>537</v>
      </c>
      <c r="M1039" s="466">
        <v>171054</v>
      </c>
      <c r="N1039" s="465" t="s">
        <v>537</v>
      </c>
      <c r="O1039" s="463" t="s">
        <v>537</v>
      </c>
      <c r="P1039" s="463" t="s">
        <v>537</v>
      </c>
      <c r="Q1039" s="468">
        <v>20346</v>
      </c>
      <c r="R1039" s="463" t="s">
        <v>643</v>
      </c>
      <c r="S1039" s="463" t="s">
        <v>2706</v>
      </c>
      <c r="T1039" s="463">
        <v>20</v>
      </c>
      <c r="U1039" s="463">
        <v>0</v>
      </c>
      <c r="V1039" s="463">
        <v>0</v>
      </c>
      <c r="W1039" s="463">
        <v>0</v>
      </c>
      <c r="X1039" s="463">
        <v>18</v>
      </c>
      <c r="Y1039" s="463">
        <v>0</v>
      </c>
      <c r="Z1039" s="463">
        <v>93.34</v>
      </c>
      <c r="AA1039" s="472" t="s">
        <v>633</v>
      </c>
      <c r="AB1039" s="463" t="s">
        <v>539</v>
      </c>
      <c r="AC1039" s="463" t="s">
        <v>539</v>
      </c>
      <c r="AD1039" s="472" t="s">
        <v>635</v>
      </c>
      <c r="AE1039" s="463" t="s">
        <v>539</v>
      </c>
      <c r="AF1039" s="463" t="s">
        <v>539</v>
      </c>
      <c r="AG1039" s="463" t="s">
        <v>375</v>
      </c>
      <c r="AH1039" s="476"/>
      <c r="AI1039" s="472" t="s">
        <v>2653</v>
      </c>
      <c r="AJ1039" s="464"/>
    </row>
    <row r="1040" spans="2:36" ht="24" hidden="1" customHeight="1">
      <c r="B1040" s="463">
        <v>855</v>
      </c>
      <c r="C1040" s="464" t="s">
        <v>165</v>
      </c>
      <c r="D1040" s="464"/>
      <c r="E1040" s="464" t="s">
        <v>535</v>
      </c>
      <c r="F1040" s="464"/>
      <c r="G1040" s="464" t="s">
        <v>49</v>
      </c>
      <c r="H1040" s="464" t="s">
        <v>2707</v>
      </c>
      <c r="I1040" s="465" t="s">
        <v>537</v>
      </c>
      <c r="J1040" s="466">
        <v>117000</v>
      </c>
      <c r="K1040" s="465" t="s">
        <v>537</v>
      </c>
      <c r="L1040" s="465" t="s">
        <v>537</v>
      </c>
      <c r="M1040" s="466">
        <v>63168</v>
      </c>
      <c r="N1040" s="465" t="s">
        <v>537</v>
      </c>
      <c r="O1040" s="463" t="s">
        <v>537</v>
      </c>
      <c r="P1040" s="463" t="s">
        <v>537</v>
      </c>
      <c r="Q1040" s="468">
        <v>53832</v>
      </c>
      <c r="R1040" s="470">
        <v>241640</v>
      </c>
      <c r="S1040" s="463" t="s">
        <v>2708</v>
      </c>
      <c r="T1040" s="463">
        <v>24</v>
      </c>
      <c r="U1040" s="463">
        <v>6</v>
      </c>
      <c r="V1040" s="463">
        <v>0</v>
      </c>
      <c r="W1040" s="463">
        <v>7</v>
      </c>
      <c r="X1040" s="463">
        <v>8</v>
      </c>
      <c r="Y1040" s="463">
        <v>0</v>
      </c>
      <c r="Z1040" s="463">
        <v>92.85</v>
      </c>
      <c r="AA1040" s="472" t="s">
        <v>2709</v>
      </c>
      <c r="AB1040" s="463" t="s">
        <v>539</v>
      </c>
      <c r="AC1040" s="463" t="s">
        <v>539</v>
      </c>
      <c r="AD1040" s="472" t="s">
        <v>2710</v>
      </c>
      <c r="AE1040" s="463">
        <v>1</v>
      </c>
      <c r="AF1040" s="463">
        <v>2</v>
      </c>
      <c r="AG1040" s="463" t="s">
        <v>375</v>
      </c>
      <c r="AH1040" s="476"/>
      <c r="AI1040" s="472" t="s">
        <v>2711</v>
      </c>
      <c r="AJ1040" s="464"/>
    </row>
    <row r="1041" spans="2:36" ht="24" hidden="1" customHeight="1">
      <c r="B1041" s="463">
        <v>856</v>
      </c>
      <c r="C1041" s="464" t="s">
        <v>165</v>
      </c>
      <c r="D1041" s="464"/>
      <c r="E1041" s="464" t="s">
        <v>535</v>
      </c>
      <c r="F1041" s="464"/>
      <c r="G1041" s="464" t="s">
        <v>49</v>
      </c>
      <c r="H1041" s="464" t="s">
        <v>2712</v>
      </c>
      <c r="I1041" s="465" t="s">
        <v>537</v>
      </c>
      <c r="J1041" s="466">
        <v>24000</v>
      </c>
      <c r="K1041" s="465" t="s">
        <v>537</v>
      </c>
      <c r="L1041" s="465" t="s">
        <v>537</v>
      </c>
      <c r="M1041" s="466">
        <v>22000</v>
      </c>
      <c r="N1041" s="465" t="s">
        <v>537</v>
      </c>
      <c r="O1041" s="463" t="s">
        <v>537</v>
      </c>
      <c r="P1041" s="463" t="s">
        <v>537</v>
      </c>
      <c r="Q1041" s="468">
        <v>2000</v>
      </c>
      <c r="R1041" s="470">
        <v>241487</v>
      </c>
      <c r="S1041" s="471">
        <v>22362</v>
      </c>
      <c r="T1041" s="463">
        <v>60</v>
      </c>
      <c r="U1041" s="463">
        <v>15</v>
      </c>
      <c r="V1041" s="463">
        <v>15</v>
      </c>
      <c r="W1041" s="463">
        <v>71</v>
      </c>
      <c r="X1041" s="463">
        <v>25</v>
      </c>
      <c r="Y1041" s="463">
        <v>0</v>
      </c>
      <c r="Z1041" s="463">
        <v>91.11</v>
      </c>
      <c r="AA1041" s="472" t="s">
        <v>1304</v>
      </c>
      <c r="AB1041" s="463" t="s">
        <v>539</v>
      </c>
      <c r="AC1041" s="463" t="s">
        <v>539</v>
      </c>
      <c r="AD1041" s="472" t="s">
        <v>606</v>
      </c>
      <c r="AE1041" s="463">
        <v>80</v>
      </c>
      <c r="AF1041" s="463">
        <v>93.72</v>
      </c>
      <c r="AG1041" s="463" t="s">
        <v>375</v>
      </c>
      <c r="AH1041" s="476"/>
      <c r="AI1041" s="472" t="s">
        <v>2713</v>
      </c>
      <c r="AJ1041" s="464"/>
    </row>
    <row r="1042" spans="2:36" ht="24" hidden="1" customHeight="1">
      <c r="B1042" s="463">
        <v>857</v>
      </c>
      <c r="C1042" s="464" t="s">
        <v>165</v>
      </c>
      <c r="D1042" s="464"/>
      <c r="E1042" s="464" t="s">
        <v>535</v>
      </c>
      <c r="F1042" s="464"/>
      <c r="G1042" s="464" t="s">
        <v>49</v>
      </c>
      <c r="H1042" s="464" t="s">
        <v>2714</v>
      </c>
      <c r="I1042" s="465" t="s">
        <v>537</v>
      </c>
      <c r="J1042" s="466">
        <v>110000</v>
      </c>
      <c r="K1042" s="465" t="s">
        <v>537</v>
      </c>
      <c r="L1042" s="465" t="s">
        <v>537</v>
      </c>
      <c r="M1042" s="466">
        <v>88981.25</v>
      </c>
      <c r="N1042" s="465" t="s">
        <v>537</v>
      </c>
      <c r="O1042" s="463" t="s">
        <v>537</v>
      </c>
      <c r="P1042" s="463" t="s">
        <v>537</v>
      </c>
      <c r="Q1042" s="468">
        <v>21019</v>
      </c>
      <c r="R1042" s="463" t="s">
        <v>747</v>
      </c>
      <c r="S1042" s="463" t="s">
        <v>1064</v>
      </c>
      <c r="T1042" s="463">
        <v>0</v>
      </c>
      <c r="U1042" s="463">
        <v>0</v>
      </c>
      <c r="V1042" s="463">
        <v>250</v>
      </c>
      <c r="W1042" s="463">
        <v>0</v>
      </c>
      <c r="X1042" s="463">
        <v>0</v>
      </c>
      <c r="Y1042" s="463">
        <v>0</v>
      </c>
      <c r="Z1042" s="463">
        <v>90</v>
      </c>
      <c r="AA1042" s="472" t="s">
        <v>2715</v>
      </c>
      <c r="AB1042" s="463" t="s">
        <v>539</v>
      </c>
      <c r="AC1042" s="463" t="s">
        <v>539</v>
      </c>
      <c r="AD1042" s="472" t="s">
        <v>1016</v>
      </c>
      <c r="AE1042" s="463">
        <v>80</v>
      </c>
      <c r="AF1042" s="463">
        <v>90</v>
      </c>
      <c r="AG1042" s="463" t="s">
        <v>375</v>
      </c>
      <c r="AH1042" s="476"/>
      <c r="AI1042" s="472" t="s">
        <v>2653</v>
      </c>
      <c r="AJ1042" s="464"/>
    </row>
    <row r="1043" spans="2:36" ht="24" hidden="1" customHeight="1">
      <c r="B1043" s="463">
        <v>858</v>
      </c>
      <c r="C1043" s="464" t="s">
        <v>165</v>
      </c>
      <c r="D1043" s="464"/>
      <c r="E1043" s="464" t="s">
        <v>535</v>
      </c>
      <c r="F1043" s="464"/>
      <c r="G1043" s="464" t="s">
        <v>49</v>
      </c>
      <c r="H1043" s="464" t="s">
        <v>2716</v>
      </c>
      <c r="I1043" s="465" t="s">
        <v>537</v>
      </c>
      <c r="J1043" s="466">
        <v>30000</v>
      </c>
      <c r="K1043" s="465" t="s">
        <v>537</v>
      </c>
      <c r="L1043" s="465" t="s">
        <v>537</v>
      </c>
      <c r="M1043" s="466">
        <v>29945</v>
      </c>
      <c r="N1043" s="465" t="s">
        <v>537</v>
      </c>
      <c r="O1043" s="463" t="s">
        <v>537</v>
      </c>
      <c r="P1043" s="463" t="s">
        <v>537</v>
      </c>
      <c r="Q1043" s="465">
        <v>55</v>
      </c>
      <c r="R1043" s="470">
        <v>241459</v>
      </c>
      <c r="S1043" s="471">
        <v>22321</v>
      </c>
      <c r="T1043" s="463">
        <v>60</v>
      </c>
      <c r="U1043" s="463">
        <v>8</v>
      </c>
      <c r="V1043" s="463">
        <v>38</v>
      </c>
      <c r="W1043" s="463">
        <v>122</v>
      </c>
      <c r="X1043" s="463">
        <v>24</v>
      </c>
      <c r="Y1043" s="463">
        <v>56</v>
      </c>
      <c r="Z1043" s="463">
        <v>92</v>
      </c>
      <c r="AA1043" s="472" t="s">
        <v>1304</v>
      </c>
      <c r="AB1043" s="463" t="s">
        <v>539</v>
      </c>
      <c r="AC1043" s="463" t="s">
        <v>539</v>
      </c>
      <c r="AD1043" s="472" t="s">
        <v>606</v>
      </c>
      <c r="AE1043" s="463">
        <v>80</v>
      </c>
      <c r="AF1043" s="463">
        <v>95</v>
      </c>
      <c r="AG1043" s="463" t="s">
        <v>375</v>
      </c>
      <c r="AH1043" s="476"/>
      <c r="AI1043" s="464"/>
      <c r="AJ1043" s="464"/>
    </row>
    <row r="1044" spans="2:36" ht="24" hidden="1" customHeight="1">
      <c r="B1044" s="463">
        <v>859</v>
      </c>
      <c r="C1044" s="464" t="s">
        <v>165</v>
      </c>
      <c r="D1044" s="464"/>
      <c r="E1044" s="464" t="s">
        <v>535</v>
      </c>
      <c r="F1044" s="464"/>
      <c r="G1044" s="464" t="s">
        <v>49</v>
      </c>
      <c r="H1044" s="464" t="s">
        <v>2717</v>
      </c>
      <c r="I1044" s="465" t="s">
        <v>537</v>
      </c>
      <c r="J1044" s="466">
        <v>70000</v>
      </c>
      <c r="K1044" s="465" t="s">
        <v>537</v>
      </c>
      <c r="L1044" s="465" t="s">
        <v>537</v>
      </c>
      <c r="M1044" s="466">
        <v>70000</v>
      </c>
      <c r="N1044" s="465" t="s">
        <v>537</v>
      </c>
      <c r="O1044" s="463" t="s">
        <v>537</v>
      </c>
      <c r="P1044" s="463" t="s">
        <v>537</v>
      </c>
      <c r="Q1044" s="465">
        <v>0</v>
      </c>
      <c r="R1044" s="470">
        <v>241609</v>
      </c>
      <c r="S1044" s="471">
        <v>22494</v>
      </c>
      <c r="T1044" s="463">
        <v>59</v>
      </c>
      <c r="U1044" s="463">
        <v>6</v>
      </c>
      <c r="V1044" s="463">
        <v>7</v>
      </c>
      <c r="W1044" s="463">
        <v>59</v>
      </c>
      <c r="X1044" s="463">
        <v>7</v>
      </c>
      <c r="Y1044" s="463">
        <v>7</v>
      </c>
      <c r="Z1044" s="463">
        <v>92.19</v>
      </c>
      <c r="AA1044" s="472" t="s">
        <v>1304</v>
      </c>
      <c r="AB1044" s="463" t="s">
        <v>539</v>
      </c>
      <c r="AC1044" s="463" t="s">
        <v>539</v>
      </c>
      <c r="AD1044" s="472" t="s">
        <v>606</v>
      </c>
      <c r="AE1044" s="463">
        <v>80</v>
      </c>
      <c r="AF1044" s="463">
        <v>91.32</v>
      </c>
      <c r="AG1044" s="463" t="s">
        <v>375</v>
      </c>
      <c r="AH1044" s="476"/>
      <c r="AI1044" s="472" t="s">
        <v>2640</v>
      </c>
      <c r="AJ1044" s="464"/>
    </row>
    <row r="1045" spans="2:36" ht="24" hidden="1" customHeight="1">
      <c r="B1045" s="463">
        <v>860</v>
      </c>
      <c r="C1045" s="464" t="s">
        <v>165</v>
      </c>
      <c r="D1045" s="464"/>
      <c r="E1045" s="464" t="s">
        <v>535</v>
      </c>
      <c r="F1045" s="464"/>
      <c r="G1045" s="464" t="s">
        <v>49</v>
      </c>
      <c r="H1045" s="464" t="s">
        <v>2718</v>
      </c>
      <c r="I1045" s="465" t="s">
        <v>537</v>
      </c>
      <c r="J1045" s="466">
        <v>26500</v>
      </c>
      <c r="K1045" s="465" t="s">
        <v>537</v>
      </c>
      <c r="L1045" s="465" t="s">
        <v>537</v>
      </c>
      <c r="M1045" s="466">
        <v>26500</v>
      </c>
      <c r="N1045" s="465" t="s">
        <v>537</v>
      </c>
      <c r="O1045" s="463" t="s">
        <v>537</v>
      </c>
      <c r="P1045" s="463" t="s">
        <v>537</v>
      </c>
      <c r="Q1045" s="465">
        <v>0</v>
      </c>
      <c r="R1045" s="463" t="s">
        <v>646</v>
      </c>
      <c r="S1045" s="463" t="s">
        <v>2719</v>
      </c>
      <c r="T1045" s="463">
        <v>190</v>
      </c>
      <c r="U1045" s="463">
        <v>10</v>
      </c>
      <c r="V1045" s="463">
        <v>0</v>
      </c>
      <c r="W1045" s="463">
        <v>182</v>
      </c>
      <c r="X1045" s="463">
        <v>22</v>
      </c>
      <c r="Y1045" s="463">
        <v>0</v>
      </c>
      <c r="Z1045" s="463">
        <v>91.1</v>
      </c>
      <c r="AA1045" s="472" t="s">
        <v>1304</v>
      </c>
      <c r="AB1045" s="463" t="s">
        <v>539</v>
      </c>
      <c r="AC1045" s="463" t="s">
        <v>539</v>
      </c>
      <c r="AD1045" s="472" t="s">
        <v>606</v>
      </c>
      <c r="AE1045" s="463">
        <v>80</v>
      </c>
      <c r="AF1045" s="463">
        <v>91.1</v>
      </c>
      <c r="AG1045" s="463" t="s">
        <v>375</v>
      </c>
      <c r="AH1045" s="476"/>
      <c r="AI1045" s="472" t="s">
        <v>2720</v>
      </c>
      <c r="AJ1045" s="464"/>
    </row>
    <row r="1046" spans="2:36" ht="24" hidden="1" customHeight="1">
      <c r="B1046" s="463">
        <v>861</v>
      </c>
      <c r="C1046" s="464" t="s">
        <v>165</v>
      </c>
      <c r="D1046" s="464"/>
      <c r="E1046" s="464" t="s">
        <v>535</v>
      </c>
      <c r="F1046" s="464"/>
      <c r="G1046" s="464" t="s">
        <v>49</v>
      </c>
      <c r="H1046" s="464" t="s">
        <v>669</v>
      </c>
      <c r="I1046" s="465" t="s">
        <v>537</v>
      </c>
      <c r="J1046" s="466">
        <v>200000</v>
      </c>
      <c r="K1046" s="465" t="s">
        <v>537</v>
      </c>
      <c r="L1046" s="465" t="s">
        <v>537</v>
      </c>
      <c r="M1046" s="466">
        <v>200000</v>
      </c>
      <c r="N1046" s="465" t="s">
        <v>537</v>
      </c>
      <c r="O1046" s="463" t="s">
        <v>537</v>
      </c>
      <c r="P1046" s="463" t="s">
        <v>537</v>
      </c>
      <c r="Q1046" s="465">
        <v>0</v>
      </c>
      <c r="R1046" s="463" t="s">
        <v>727</v>
      </c>
      <c r="S1046" s="471">
        <v>22498</v>
      </c>
      <c r="T1046" s="463">
        <v>100</v>
      </c>
      <c r="U1046" s="463">
        <v>15</v>
      </c>
      <c r="V1046" s="463">
        <v>0</v>
      </c>
      <c r="W1046" s="463">
        <v>100</v>
      </c>
      <c r="X1046" s="463">
        <v>15</v>
      </c>
      <c r="Y1046" s="463">
        <v>0</v>
      </c>
      <c r="Z1046" s="463">
        <v>83.81</v>
      </c>
      <c r="AA1046" s="472" t="s">
        <v>728</v>
      </c>
      <c r="AB1046" s="463">
        <v>1</v>
      </c>
      <c r="AC1046" s="463">
        <v>1</v>
      </c>
      <c r="AD1046" s="472" t="s">
        <v>729</v>
      </c>
      <c r="AE1046" s="463">
        <v>1</v>
      </c>
      <c r="AF1046" s="463">
        <v>1</v>
      </c>
      <c r="AG1046" s="463" t="s">
        <v>375</v>
      </c>
      <c r="AH1046" s="476"/>
      <c r="AI1046" s="472" t="s">
        <v>2618</v>
      </c>
      <c r="AJ1046" s="464"/>
    </row>
    <row r="1047" spans="2:36" ht="24" hidden="1" customHeight="1">
      <c r="B1047" s="463">
        <v>862</v>
      </c>
      <c r="C1047" s="464" t="s">
        <v>165</v>
      </c>
      <c r="D1047" s="464"/>
      <c r="E1047" s="464" t="s">
        <v>535</v>
      </c>
      <c r="F1047" s="464"/>
      <c r="G1047" s="464" t="s">
        <v>49</v>
      </c>
      <c r="H1047" s="464" t="s">
        <v>668</v>
      </c>
      <c r="I1047" s="465" t="s">
        <v>537</v>
      </c>
      <c r="J1047" s="466">
        <v>15000</v>
      </c>
      <c r="K1047" s="465" t="s">
        <v>537</v>
      </c>
      <c r="L1047" s="465" t="s">
        <v>537</v>
      </c>
      <c r="M1047" s="466">
        <v>15000</v>
      </c>
      <c r="N1047" s="465" t="s">
        <v>537</v>
      </c>
      <c r="O1047" s="463" t="s">
        <v>537</v>
      </c>
      <c r="P1047" s="463" t="s">
        <v>537</v>
      </c>
      <c r="Q1047" s="465">
        <v>0</v>
      </c>
      <c r="R1047" s="470">
        <v>241487</v>
      </c>
      <c r="S1047" s="471">
        <v>22359</v>
      </c>
      <c r="T1047" s="463">
        <v>350</v>
      </c>
      <c r="U1047" s="463">
        <v>30</v>
      </c>
      <c r="V1047" s="463">
        <v>0</v>
      </c>
      <c r="W1047" s="463">
        <v>323</v>
      </c>
      <c r="X1047" s="463">
        <v>58</v>
      </c>
      <c r="Y1047" s="463">
        <v>0</v>
      </c>
      <c r="Z1047" s="463">
        <v>89.42</v>
      </c>
      <c r="AA1047" s="472" t="s">
        <v>547</v>
      </c>
      <c r="AB1047" s="463" t="s">
        <v>539</v>
      </c>
      <c r="AC1047" s="463" t="s">
        <v>539</v>
      </c>
      <c r="AD1047" s="472" t="s">
        <v>2702</v>
      </c>
      <c r="AE1047" s="463">
        <v>80</v>
      </c>
      <c r="AF1047" s="463">
        <v>88.83</v>
      </c>
      <c r="AG1047" s="463" t="s">
        <v>375</v>
      </c>
      <c r="AH1047" s="476"/>
      <c r="AI1047" s="472" t="s">
        <v>2618</v>
      </c>
      <c r="AJ1047" s="464"/>
    </row>
    <row r="1048" spans="2:36" ht="24" hidden="1" customHeight="1">
      <c r="B1048" s="463">
        <v>863</v>
      </c>
      <c r="C1048" s="464" t="s">
        <v>165</v>
      </c>
      <c r="D1048" s="464"/>
      <c r="E1048" s="464" t="s">
        <v>535</v>
      </c>
      <c r="F1048" s="464"/>
      <c r="G1048" s="464" t="s">
        <v>49</v>
      </c>
      <c r="H1048" s="464" t="s">
        <v>2721</v>
      </c>
      <c r="I1048" s="465" t="s">
        <v>537</v>
      </c>
      <c r="J1048" s="466">
        <v>200000</v>
      </c>
      <c r="K1048" s="465" t="s">
        <v>537</v>
      </c>
      <c r="L1048" s="465" t="s">
        <v>537</v>
      </c>
      <c r="M1048" s="466">
        <v>191525</v>
      </c>
      <c r="N1048" s="465" t="s">
        <v>537</v>
      </c>
      <c r="O1048" s="463" t="s">
        <v>537</v>
      </c>
      <c r="P1048" s="463" t="s">
        <v>537</v>
      </c>
      <c r="Q1048" s="468">
        <v>8475</v>
      </c>
      <c r="R1048" s="470">
        <v>241459</v>
      </c>
      <c r="S1048" s="463" t="s">
        <v>666</v>
      </c>
      <c r="T1048" s="463">
        <v>33</v>
      </c>
      <c r="U1048" s="463">
        <v>15</v>
      </c>
      <c r="V1048" s="463">
        <v>0</v>
      </c>
      <c r="W1048" s="463">
        <v>30</v>
      </c>
      <c r="X1048" s="463">
        <v>18</v>
      </c>
      <c r="Y1048" s="463">
        <v>0</v>
      </c>
      <c r="Z1048" s="463">
        <v>91.04</v>
      </c>
      <c r="AA1048" s="472" t="s">
        <v>2722</v>
      </c>
      <c r="AB1048" s="463">
        <v>1</v>
      </c>
      <c r="AC1048" s="463">
        <v>15</v>
      </c>
      <c r="AD1048" s="472" t="s">
        <v>729</v>
      </c>
      <c r="AE1048" s="463">
        <v>1</v>
      </c>
      <c r="AF1048" s="463">
        <v>1</v>
      </c>
      <c r="AG1048" s="463" t="s">
        <v>375</v>
      </c>
      <c r="AH1048" s="476"/>
      <c r="AI1048" s="472" t="s">
        <v>2637</v>
      </c>
      <c r="AJ1048" s="464"/>
    </row>
    <row r="1049" spans="2:36" ht="24" hidden="1" customHeight="1">
      <c r="B1049" s="701">
        <v>864</v>
      </c>
      <c r="C1049" s="699" t="s">
        <v>337</v>
      </c>
      <c r="D1049" s="699"/>
      <c r="E1049" s="699" t="s">
        <v>545</v>
      </c>
      <c r="F1049" s="699"/>
      <c r="G1049" s="699" t="s">
        <v>49</v>
      </c>
      <c r="H1049" s="699" t="s">
        <v>2723</v>
      </c>
      <c r="I1049" s="712">
        <v>26000</v>
      </c>
      <c r="J1049" s="709" t="s">
        <v>537</v>
      </c>
      <c r="K1049" s="709" t="s">
        <v>537</v>
      </c>
      <c r="L1049" s="712">
        <v>25992</v>
      </c>
      <c r="M1049" s="709" t="s">
        <v>537</v>
      </c>
      <c r="N1049" s="709" t="s">
        <v>537</v>
      </c>
      <c r="O1049" s="701" t="s">
        <v>537</v>
      </c>
      <c r="P1049" s="701" t="s">
        <v>537</v>
      </c>
      <c r="Q1049" s="709">
        <v>8</v>
      </c>
      <c r="R1049" s="707">
        <v>241518</v>
      </c>
      <c r="S1049" s="721">
        <v>22390</v>
      </c>
      <c r="T1049" s="701">
        <v>0</v>
      </c>
      <c r="U1049" s="701">
        <v>3</v>
      </c>
      <c r="V1049" s="701">
        <v>35</v>
      </c>
      <c r="W1049" s="701">
        <v>0</v>
      </c>
      <c r="X1049" s="701">
        <v>10</v>
      </c>
      <c r="Y1049" s="701">
        <v>31</v>
      </c>
      <c r="Z1049" s="701">
        <v>86.1</v>
      </c>
      <c r="AA1049" s="458" t="s">
        <v>1074</v>
      </c>
      <c r="AB1049" s="459" t="s">
        <v>539</v>
      </c>
      <c r="AC1049" s="459" t="s">
        <v>539</v>
      </c>
      <c r="AD1049" s="697" t="s">
        <v>2724</v>
      </c>
      <c r="AE1049" s="701">
        <v>80</v>
      </c>
      <c r="AF1049" s="701">
        <v>85.69</v>
      </c>
      <c r="AG1049" s="701" t="s">
        <v>375</v>
      </c>
      <c r="AH1049" s="728"/>
      <c r="AI1049" s="697" t="s">
        <v>2640</v>
      </c>
      <c r="AJ1049" s="699"/>
    </row>
    <row r="1050" spans="2:36" ht="24" hidden="1" customHeight="1">
      <c r="B1050" s="702"/>
      <c r="C1050" s="700"/>
      <c r="D1050" s="700"/>
      <c r="E1050" s="700"/>
      <c r="F1050" s="700"/>
      <c r="G1050" s="700"/>
      <c r="H1050" s="700"/>
      <c r="I1050" s="713"/>
      <c r="J1050" s="710"/>
      <c r="K1050" s="710"/>
      <c r="L1050" s="713"/>
      <c r="M1050" s="710"/>
      <c r="N1050" s="710"/>
      <c r="O1050" s="702"/>
      <c r="P1050" s="702"/>
      <c r="Q1050" s="710"/>
      <c r="R1050" s="708"/>
      <c r="S1050" s="722"/>
      <c r="T1050" s="702"/>
      <c r="U1050" s="702"/>
      <c r="V1050" s="702"/>
      <c r="W1050" s="702"/>
      <c r="X1050" s="702"/>
      <c r="Y1050" s="702"/>
      <c r="Z1050" s="702"/>
      <c r="AA1050" s="473" t="s">
        <v>2725</v>
      </c>
      <c r="AB1050" s="474" t="s">
        <v>539</v>
      </c>
      <c r="AC1050" s="474" t="s">
        <v>539</v>
      </c>
      <c r="AD1050" s="698"/>
      <c r="AE1050" s="702"/>
      <c r="AF1050" s="702"/>
      <c r="AG1050" s="702"/>
      <c r="AH1050" s="729"/>
      <c r="AI1050" s="698"/>
      <c r="AJ1050" s="700"/>
    </row>
    <row r="1051" spans="2:36" ht="24" hidden="1" customHeight="1">
      <c r="B1051" s="463">
        <v>865</v>
      </c>
      <c r="C1051" s="464" t="s">
        <v>337</v>
      </c>
      <c r="D1051" s="464"/>
      <c r="E1051" s="464" t="s">
        <v>545</v>
      </c>
      <c r="F1051" s="464"/>
      <c r="G1051" s="464" t="s">
        <v>49</v>
      </c>
      <c r="H1051" s="464" t="s">
        <v>2726</v>
      </c>
      <c r="I1051" s="466">
        <v>10000</v>
      </c>
      <c r="J1051" s="465" t="s">
        <v>537</v>
      </c>
      <c r="K1051" s="465" t="s">
        <v>537</v>
      </c>
      <c r="L1051" s="466">
        <v>10000</v>
      </c>
      <c r="M1051" s="465" t="s">
        <v>537</v>
      </c>
      <c r="N1051" s="465" t="s">
        <v>537</v>
      </c>
      <c r="O1051" s="463" t="s">
        <v>537</v>
      </c>
      <c r="P1051" s="463" t="s">
        <v>537</v>
      </c>
      <c r="Q1051" s="465">
        <v>0</v>
      </c>
      <c r="R1051" s="470">
        <v>241428</v>
      </c>
      <c r="S1051" s="471">
        <v>22305</v>
      </c>
      <c r="T1051" s="463">
        <v>0</v>
      </c>
      <c r="U1051" s="463">
        <v>3</v>
      </c>
      <c r="V1051" s="463">
        <v>30</v>
      </c>
      <c r="W1051" s="463">
        <v>0</v>
      </c>
      <c r="X1051" s="463">
        <v>16</v>
      </c>
      <c r="Y1051" s="463">
        <v>30</v>
      </c>
      <c r="Z1051" s="463">
        <v>86.56</v>
      </c>
      <c r="AA1051" s="472" t="s">
        <v>1074</v>
      </c>
      <c r="AB1051" s="463" t="s">
        <v>539</v>
      </c>
      <c r="AC1051" s="463" t="s">
        <v>539</v>
      </c>
      <c r="AD1051" s="472" t="s">
        <v>606</v>
      </c>
      <c r="AE1051" s="463">
        <v>80</v>
      </c>
      <c r="AF1051" s="463">
        <v>86.56</v>
      </c>
      <c r="AG1051" s="463" t="s">
        <v>375</v>
      </c>
      <c r="AH1051" s="476"/>
      <c r="AI1051" s="472" t="s">
        <v>2727</v>
      </c>
      <c r="AJ1051" s="464"/>
    </row>
    <row r="1052" spans="2:36" ht="24" hidden="1" customHeight="1">
      <c r="B1052" s="463">
        <v>866</v>
      </c>
      <c r="C1052" s="464" t="s">
        <v>337</v>
      </c>
      <c r="D1052" s="464"/>
      <c r="E1052" s="464" t="s">
        <v>545</v>
      </c>
      <c r="F1052" s="464"/>
      <c r="G1052" s="464" t="s">
        <v>49</v>
      </c>
      <c r="H1052" s="464" t="s">
        <v>2728</v>
      </c>
      <c r="I1052" s="466">
        <v>27000</v>
      </c>
      <c r="J1052" s="465" t="s">
        <v>537</v>
      </c>
      <c r="K1052" s="465" t="s">
        <v>537</v>
      </c>
      <c r="L1052" s="466">
        <v>26200</v>
      </c>
      <c r="M1052" s="465" t="s">
        <v>537</v>
      </c>
      <c r="N1052" s="465" t="s">
        <v>537</v>
      </c>
      <c r="O1052" s="463" t="s">
        <v>537</v>
      </c>
      <c r="P1052" s="463" t="s">
        <v>537</v>
      </c>
      <c r="Q1052" s="465">
        <v>800</v>
      </c>
      <c r="R1052" s="470">
        <v>241487</v>
      </c>
      <c r="S1052" s="471">
        <v>22367</v>
      </c>
      <c r="T1052" s="463">
        <v>0</v>
      </c>
      <c r="U1052" s="463">
        <v>2</v>
      </c>
      <c r="V1052" s="463">
        <v>20</v>
      </c>
      <c r="W1052" s="463">
        <v>0</v>
      </c>
      <c r="X1052" s="463">
        <v>8</v>
      </c>
      <c r="Y1052" s="463">
        <v>23</v>
      </c>
      <c r="Z1052" s="463">
        <v>93.82</v>
      </c>
      <c r="AA1052" s="472" t="s">
        <v>1074</v>
      </c>
      <c r="AB1052" s="463" t="s">
        <v>539</v>
      </c>
      <c r="AC1052" s="463" t="s">
        <v>539</v>
      </c>
      <c r="AD1052" s="472" t="s">
        <v>548</v>
      </c>
      <c r="AE1052" s="463">
        <v>80</v>
      </c>
      <c r="AF1052" s="463">
        <v>94.91</v>
      </c>
      <c r="AG1052" s="463" t="s">
        <v>375</v>
      </c>
      <c r="AH1052" s="476"/>
      <c r="AI1052" s="472" t="s">
        <v>2729</v>
      </c>
      <c r="AJ1052" s="464"/>
    </row>
    <row r="1053" spans="2:36" ht="24" hidden="1" customHeight="1">
      <c r="B1053" s="701">
        <v>867</v>
      </c>
      <c r="C1053" s="699" t="s">
        <v>337</v>
      </c>
      <c r="D1053" s="699"/>
      <c r="E1053" s="699" t="s">
        <v>545</v>
      </c>
      <c r="F1053" s="699"/>
      <c r="G1053" s="699" t="s">
        <v>49</v>
      </c>
      <c r="H1053" s="699" t="s">
        <v>2730</v>
      </c>
      <c r="I1053" s="712">
        <v>25000</v>
      </c>
      <c r="J1053" s="709" t="s">
        <v>537</v>
      </c>
      <c r="K1053" s="709" t="s">
        <v>537</v>
      </c>
      <c r="L1053" s="712">
        <v>25000</v>
      </c>
      <c r="M1053" s="709" t="s">
        <v>537</v>
      </c>
      <c r="N1053" s="709" t="s">
        <v>537</v>
      </c>
      <c r="O1053" s="701" t="s">
        <v>537</v>
      </c>
      <c r="P1053" s="701" t="s">
        <v>537</v>
      </c>
      <c r="Q1053" s="709">
        <v>0</v>
      </c>
      <c r="R1053" s="701" t="s">
        <v>643</v>
      </c>
      <c r="S1053" s="701" t="s">
        <v>2105</v>
      </c>
      <c r="T1053" s="701">
        <v>0</v>
      </c>
      <c r="U1053" s="701">
        <v>3</v>
      </c>
      <c r="V1053" s="701">
        <v>30</v>
      </c>
      <c r="W1053" s="701">
        <v>0</v>
      </c>
      <c r="X1053" s="701">
        <v>9</v>
      </c>
      <c r="Y1053" s="701">
        <v>42</v>
      </c>
      <c r="Z1053" s="701">
        <v>93.82</v>
      </c>
      <c r="AA1053" s="458" t="s">
        <v>1074</v>
      </c>
      <c r="AB1053" s="459" t="s">
        <v>539</v>
      </c>
      <c r="AC1053" s="459" t="s">
        <v>539</v>
      </c>
      <c r="AD1053" s="458" t="s">
        <v>548</v>
      </c>
      <c r="AE1053" s="459">
        <v>80</v>
      </c>
      <c r="AF1053" s="459">
        <v>94.24</v>
      </c>
      <c r="AG1053" s="701" t="s">
        <v>375</v>
      </c>
      <c r="AH1053" s="728"/>
      <c r="AI1053" s="697" t="s">
        <v>2685</v>
      </c>
      <c r="AJ1053" s="699"/>
    </row>
    <row r="1054" spans="2:36" ht="24" hidden="1" customHeight="1">
      <c r="B1054" s="715"/>
      <c r="C1054" s="714"/>
      <c r="D1054" s="714"/>
      <c r="E1054" s="714"/>
      <c r="F1054" s="714"/>
      <c r="G1054" s="714"/>
      <c r="H1054" s="714"/>
      <c r="I1054" s="720"/>
      <c r="J1054" s="717"/>
      <c r="K1054" s="717"/>
      <c r="L1054" s="720"/>
      <c r="M1054" s="717"/>
      <c r="N1054" s="717"/>
      <c r="O1054" s="715"/>
      <c r="P1054" s="715"/>
      <c r="Q1054" s="717"/>
      <c r="R1054" s="715"/>
      <c r="S1054" s="715"/>
      <c r="T1054" s="715"/>
      <c r="U1054" s="715"/>
      <c r="V1054" s="715"/>
      <c r="W1054" s="715"/>
      <c r="X1054" s="715"/>
      <c r="Y1054" s="715"/>
      <c r="Z1054" s="715"/>
      <c r="AA1054" s="460" t="s">
        <v>2731</v>
      </c>
      <c r="AB1054" s="461" t="s">
        <v>539</v>
      </c>
      <c r="AC1054" s="461" t="s">
        <v>539</v>
      </c>
      <c r="AD1054" s="460" t="s">
        <v>2732</v>
      </c>
      <c r="AE1054" s="461" t="s">
        <v>539</v>
      </c>
      <c r="AF1054" s="461" t="s">
        <v>539</v>
      </c>
      <c r="AG1054" s="715"/>
      <c r="AH1054" s="730"/>
      <c r="AI1054" s="711"/>
      <c r="AJ1054" s="714"/>
    </row>
    <row r="1055" spans="2:36" ht="24" hidden="1" customHeight="1">
      <c r="B1055" s="702"/>
      <c r="C1055" s="700"/>
      <c r="D1055" s="700"/>
      <c r="E1055" s="700"/>
      <c r="F1055" s="700"/>
      <c r="G1055" s="700"/>
      <c r="H1055" s="700"/>
      <c r="I1055" s="713"/>
      <c r="J1055" s="710"/>
      <c r="K1055" s="710"/>
      <c r="L1055" s="713"/>
      <c r="M1055" s="710"/>
      <c r="N1055" s="710"/>
      <c r="O1055" s="702"/>
      <c r="P1055" s="702"/>
      <c r="Q1055" s="710"/>
      <c r="R1055" s="702"/>
      <c r="S1055" s="702"/>
      <c r="T1055" s="702"/>
      <c r="U1055" s="702"/>
      <c r="V1055" s="702"/>
      <c r="W1055" s="702"/>
      <c r="X1055" s="702"/>
      <c r="Y1055" s="702"/>
      <c r="Z1055" s="702"/>
      <c r="AA1055" s="462"/>
      <c r="AB1055" s="462"/>
      <c r="AC1055" s="462"/>
      <c r="AD1055" s="473" t="s">
        <v>2733</v>
      </c>
      <c r="AE1055" s="474" t="s">
        <v>539</v>
      </c>
      <c r="AF1055" s="474" t="s">
        <v>539</v>
      </c>
      <c r="AG1055" s="702"/>
      <c r="AH1055" s="729"/>
      <c r="AI1055" s="698"/>
      <c r="AJ1055" s="700"/>
    </row>
    <row r="1056" spans="2:36" ht="24" hidden="1" customHeight="1">
      <c r="B1056" s="701">
        <v>868</v>
      </c>
      <c r="C1056" s="699" t="s">
        <v>337</v>
      </c>
      <c r="D1056" s="699"/>
      <c r="E1056" s="699" t="s">
        <v>545</v>
      </c>
      <c r="F1056" s="699"/>
      <c r="G1056" s="699" t="s">
        <v>49</v>
      </c>
      <c r="H1056" s="699" t="s">
        <v>2734</v>
      </c>
      <c r="I1056" s="712">
        <v>35000</v>
      </c>
      <c r="J1056" s="709" t="s">
        <v>537</v>
      </c>
      <c r="K1056" s="709" t="s">
        <v>537</v>
      </c>
      <c r="L1056" s="712">
        <v>35000</v>
      </c>
      <c r="M1056" s="709" t="s">
        <v>537</v>
      </c>
      <c r="N1056" s="709" t="s">
        <v>537</v>
      </c>
      <c r="O1056" s="701" t="s">
        <v>537</v>
      </c>
      <c r="P1056" s="701" t="s">
        <v>537</v>
      </c>
      <c r="Q1056" s="709">
        <v>0</v>
      </c>
      <c r="R1056" s="701" t="s">
        <v>643</v>
      </c>
      <c r="S1056" s="701" t="s">
        <v>2735</v>
      </c>
      <c r="T1056" s="701">
        <v>0</v>
      </c>
      <c r="U1056" s="701">
        <v>3</v>
      </c>
      <c r="V1056" s="701">
        <v>30</v>
      </c>
      <c r="W1056" s="701">
        <v>0</v>
      </c>
      <c r="X1056" s="701">
        <v>5</v>
      </c>
      <c r="Y1056" s="701">
        <v>30</v>
      </c>
      <c r="Z1056" s="701">
        <v>96.17</v>
      </c>
      <c r="AA1056" s="697" t="s">
        <v>1074</v>
      </c>
      <c r="AB1056" s="701" t="s">
        <v>539</v>
      </c>
      <c r="AC1056" s="701" t="s">
        <v>539</v>
      </c>
      <c r="AD1056" s="458" t="s">
        <v>548</v>
      </c>
      <c r="AE1056" s="459">
        <v>80</v>
      </c>
      <c r="AF1056" s="459">
        <v>95.81</v>
      </c>
      <c r="AG1056" s="701" t="s">
        <v>375</v>
      </c>
      <c r="AH1056" s="728"/>
      <c r="AI1056" s="697" t="s">
        <v>2736</v>
      </c>
      <c r="AJ1056" s="699"/>
    </row>
    <row r="1057" spans="2:36" ht="24" hidden="1" customHeight="1">
      <c r="B1057" s="715"/>
      <c r="C1057" s="714"/>
      <c r="D1057" s="714"/>
      <c r="E1057" s="714"/>
      <c r="F1057" s="714"/>
      <c r="G1057" s="714"/>
      <c r="H1057" s="714"/>
      <c r="I1057" s="720"/>
      <c r="J1057" s="717"/>
      <c r="K1057" s="717"/>
      <c r="L1057" s="720"/>
      <c r="M1057" s="717"/>
      <c r="N1057" s="717"/>
      <c r="O1057" s="715"/>
      <c r="P1057" s="715"/>
      <c r="Q1057" s="717"/>
      <c r="R1057" s="715"/>
      <c r="S1057" s="715"/>
      <c r="T1057" s="715"/>
      <c r="U1057" s="715"/>
      <c r="V1057" s="715"/>
      <c r="W1057" s="715"/>
      <c r="X1057" s="715"/>
      <c r="Y1057" s="715"/>
      <c r="Z1057" s="715"/>
      <c r="AA1057" s="711"/>
      <c r="AB1057" s="715"/>
      <c r="AC1057" s="715"/>
      <c r="AD1057" s="460" t="s">
        <v>2737</v>
      </c>
      <c r="AE1057" s="461">
        <v>33</v>
      </c>
      <c r="AF1057" s="461">
        <v>35</v>
      </c>
      <c r="AG1057" s="715"/>
      <c r="AH1057" s="730"/>
      <c r="AI1057" s="711"/>
      <c r="AJ1057" s="714"/>
    </row>
    <row r="1058" spans="2:36" ht="24" hidden="1" customHeight="1">
      <c r="B1058" s="702"/>
      <c r="C1058" s="700"/>
      <c r="D1058" s="700"/>
      <c r="E1058" s="700"/>
      <c r="F1058" s="700"/>
      <c r="G1058" s="700"/>
      <c r="H1058" s="700"/>
      <c r="I1058" s="713"/>
      <c r="J1058" s="710"/>
      <c r="K1058" s="710"/>
      <c r="L1058" s="713"/>
      <c r="M1058" s="710"/>
      <c r="N1058" s="710"/>
      <c r="O1058" s="702"/>
      <c r="P1058" s="702"/>
      <c r="Q1058" s="710"/>
      <c r="R1058" s="702"/>
      <c r="S1058" s="702"/>
      <c r="T1058" s="702"/>
      <c r="U1058" s="702"/>
      <c r="V1058" s="702"/>
      <c r="W1058" s="702"/>
      <c r="X1058" s="702"/>
      <c r="Y1058" s="702"/>
      <c r="Z1058" s="702"/>
      <c r="AA1058" s="698"/>
      <c r="AB1058" s="702"/>
      <c r="AC1058" s="702"/>
      <c r="AD1058" s="473" t="s">
        <v>2738</v>
      </c>
      <c r="AE1058" s="474" t="s">
        <v>539</v>
      </c>
      <c r="AF1058" s="474" t="s">
        <v>539</v>
      </c>
      <c r="AG1058" s="702"/>
      <c r="AH1058" s="729"/>
      <c r="AI1058" s="698"/>
      <c r="AJ1058" s="700"/>
    </row>
    <row r="1059" spans="2:36" ht="24" hidden="1" customHeight="1">
      <c r="B1059" s="701">
        <v>869</v>
      </c>
      <c r="C1059" s="699" t="s">
        <v>337</v>
      </c>
      <c r="D1059" s="699"/>
      <c r="E1059" s="699" t="s">
        <v>545</v>
      </c>
      <c r="F1059" s="699"/>
      <c r="G1059" s="699" t="s">
        <v>49</v>
      </c>
      <c r="H1059" s="699" t="s">
        <v>2739</v>
      </c>
      <c r="I1059" s="712">
        <v>27000</v>
      </c>
      <c r="J1059" s="709" t="s">
        <v>537</v>
      </c>
      <c r="K1059" s="709" t="s">
        <v>537</v>
      </c>
      <c r="L1059" s="712">
        <v>27000</v>
      </c>
      <c r="M1059" s="709" t="s">
        <v>537</v>
      </c>
      <c r="N1059" s="709" t="s">
        <v>537</v>
      </c>
      <c r="O1059" s="701" t="s">
        <v>537</v>
      </c>
      <c r="P1059" s="701" t="s">
        <v>537</v>
      </c>
      <c r="Q1059" s="709">
        <v>0</v>
      </c>
      <c r="R1059" s="707">
        <v>241640</v>
      </c>
      <c r="S1059" s="701" t="s">
        <v>2599</v>
      </c>
      <c r="T1059" s="701">
        <v>0</v>
      </c>
      <c r="U1059" s="701">
        <v>2</v>
      </c>
      <c r="V1059" s="701">
        <v>20</v>
      </c>
      <c r="W1059" s="701">
        <v>0</v>
      </c>
      <c r="X1059" s="701">
        <v>6</v>
      </c>
      <c r="Y1059" s="701">
        <v>25</v>
      </c>
      <c r="Z1059" s="701">
        <v>88.79</v>
      </c>
      <c r="AA1059" s="458" t="s">
        <v>1074</v>
      </c>
      <c r="AB1059" s="459" t="s">
        <v>539</v>
      </c>
      <c r="AC1059" s="459" t="s">
        <v>539</v>
      </c>
      <c r="AD1059" s="458" t="s">
        <v>548</v>
      </c>
      <c r="AE1059" s="459">
        <v>80</v>
      </c>
      <c r="AF1059" s="459">
        <v>89.29</v>
      </c>
      <c r="AG1059" s="701" t="s">
        <v>375</v>
      </c>
      <c r="AH1059" s="728"/>
      <c r="AI1059" s="697" t="s">
        <v>2740</v>
      </c>
      <c r="AJ1059" s="699"/>
    </row>
    <row r="1060" spans="2:36" ht="24" hidden="1" customHeight="1">
      <c r="B1060" s="702"/>
      <c r="C1060" s="700"/>
      <c r="D1060" s="700"/>
      <c r="E1060" s="700"/>
      <c r="F1060" s="700"/>
      <c r="G1060" s="700"/>
      <c r="H1060" s="700"/>
      <c r="I1060" s="713"/>
      <c r="J1060" s="710"/>
      <c r="K1060" s="710"/>
      <c r="L1060" s="713"/>
      <c r="M1060" s="710"/>
      <c r="N1060" s="710"/>
      <c r="O1060" s="702"/>
      <c r="P1060" s="702"/>
      <c r="Q1060" s="710"/>
      <c r="R1060" s="708"/>
      <c r="S1060" s="702"/>
      <c r="T1060" s="702"/>
      <c r="U1060" s="702"/>
      <c r="V1060" s="702"/>
      <c r="W1060" s="702"/>
      <c r="X1060" s="702"/>
      <c r="Y1060" s="702"/>
      <c r="Z1060" s="702"/>
      <c r="AA1060" s="473" t="s">
        <v>2741</v>
      </c>
      <c r="AB1060" s="474" t="s">
        <v>539</v>
      </c>
      <c r="AC1060" s="474" t="s">
        <v>539</v>
      </c>
      <c r="AD1060" s="473" t="s">
        <v>2742</v>
      </c>
      <c r="AE1060" s="474">
        <v>80</v>
      </c>
      <c r="AF1060" s="474">
        <v>93.29</v>
      </c>
      <c r="AG1060" s="702"/>
      <c r="AH1060" s="729"/>
      <c r="AI1060" s="698"/>
      <c r="AJ1060" s="700"/>
    </row>
    <row r="1061" spans="2:36" ht="24" hidden="1" customHeight="1">
      <c r="B1061" s="701">
        <v>870</v>
      </c>
      <c r="C1061" s="699" t="s">
        <v>337</v>
      </c>
      <c r="D1061" s="699"/>
      <c r="E1061" s="699" t="s">
        <v>545</v>
      </c>
      <c r="F1061" s="699"/>
      <c r="G1061" s="699" t="s">
        <v>49</v>
      </c>
      <c r="H1061" s="699" t="s">
        <v>2743</v>
      </c>
      <c r="I1061" s="709">
        <v>0</v>
      </c>
      <c r="J1061" s="709" t="s">
        <v>537</v>
      </c>
      <c r="K1061" s="709" t="s">
        <v>537</v>
      </c>
      <c r="L1061" s="709">
        <v>0</v>
      </c>
      <c r="M1061" s="709" t="s">
        <v>537</v>
      </c>
      <c r="N1061" s="709" t="s">
        <v>537</v>
      </c>
      <c r="O1061" s="701" t="s">
        <v>537</v>
      </c>
      <c r="P1061" s="701" t="s">
        <v>537</v>
      </c>
      <c r="Q1061" s="709">
        <v>0</v>
      </c>
      <c r="R1061" s="707">
        <v>241671</v>
      </c>
      <c r="S1061" s="721">
        <v>22529</v>
      </c>
      <c r="T1061" s="701">
        <v>0</v>
      </c>
      <c r="U1061" s="701">
        <v>5</v>
      </c>
      <c r="V1061" s="701">
        <v>55</v>
      </c>
      <c r="W1061" s="701">
        <v>0</v>
      </c>
      <c r="X1061" s="701">
        <v>31</v>
      </c>
      <c r="Y1061" s="701">
        <v>37</v>
      </c>
      <c r="Z1061" s="701">
        <v>95.76</v>
      </c>
      <c r="AA1061" s="458" t="s">
        <v>1074</v>
      </c>
      <c r="AB1061" s="459" t="s">
        <v>539</v>
      </c>
      <c r="AC1061" s="459" t="s">
        <v>539</v>
      </c>
      <c r="AD1061" s="458" t="s">
        <v>548</v>
      </c>
      <c r="AE1061" s="459">
        <v>80</v>
      </c>
      <c r="AF1061" s="459">
        <v>97.94</v>
      </c>
      <c r="AG1061" s="701" t="s">
        <v>375</v>
      </c>
      <c r="AH1061" s="728"/>
      <c r="AI1061" s="697" t="s">
        <v>2615</v>
      </c>
      <c r="AJ1061" s="699"/>
    </row>
    <row r="1062" spans="2:36" ht="24" hidden="1" customHeight="1">
      <c r="B1062" s="702"/>
      <c r="C1062" s="700"/>
      <c r="D1062" s="700"/>
      <c r="E1062" s="700"/>
      <c r="F1062" s="700"/>
      <c r="G1062" s="700"/>
      <c r="H1062" s="700"/>
      <c r="I1062" s="710"/>
      <c r="J1062" s="710"/>
      <c r="K1062" s="710"/>
      <c r="L1062" s="710"/>
      <c r="M1062" s="710"/>
      <c r="N1062" s="710"/>
      <c r="O1062" s="702"/>
      <c r="P1062" s="702"/>
      <c r="Q1062" s="710"/>
      <c r="R1062" s="708"/>
      <c r="S1062" s="722"/>
      <c r="T1062" s="702"/>
      <c r="U1062" s="702"/>
      <c r="V1062" s="702"/>
      <c r="W1062" s="702"/>
      <c r="X1062" s="702"/>
      <c r="Y1062" s="702"/>
      <c r="Z1062" s="702"/>
      <c r="AA1062" s="473" t="s">
        <v>2744</v>
      </c>
      <c r="AB1062" s="474" t="s">
        <v>539</v>
      </c>
      <c r="AC1062" s="474" t="s">
        <v>539</v>
      </c>
      <c r="AD1062" s="473" t="s">
        <v>2745</v>
      </c>
      <c r="AE1062" s="474">
        <v>80</v>
      </c>
      <c r="AF1062" s="474">
        <v>97.65</v>
      </c>
      <c r="AG1062" s="702"/>
      <c r="AH1062" s="729"/>
      <c r="AI1062" s="698"/>
      <c r="AJ1062" s="700"/>
    </row>
    <row r="1063" spans="2:36" ht="24" hidden="1" customHeight="1">
      <c r="B1063" s="701">
        <v>871</v>
      </c>
      <c r="C1063" s="699" t="s">
        <v>337</v>
      </c>
      <c r="D1063" s="699"/>
      <c r="E1063" s="699" t="s">
        <v>545</v>
      </c>
      <c r="F1063" s="699"/>
      <c r="G1063" s="699" t="s">
        <v>49</v>
      </c>
      <c r="H1063" s="699" t="s">
        <v>2746</v>
      </c>
      <c r="I1063" s="709" t="s">
        <v>537</v>
      </c>
      <c r="J1063" s="709" t="s">
        <v>537</v>
      </c>
      <c r="K1063" s="712">
        <v>25000</v>
      </c>
      <c r="L1063" s="709" t="s">
        <v>537</v>
      </c>
      <c r="M1063" s="709" t="s">
        <v>537</v>
      </c>
      <c r="N1063" s="712">
        <v>25000</v>
      </c>
      <c r="O1063" s="701" t="s">
        <v>537</v>
      </c>
      <c r="P1063" s="701" t="s">
        <v>537</v>
      </c>
      <c r="Q1063" s="709">
        <v>0</v>
      </c>
      <c r="R1063" s="701" t="s">
        <v>2747</v>
      </c>
      <c r="S1063" s="701" t="s">
        <v>2748</v>
      </c>
      <c r="T1063" s="701">
        <v>2</v>
      </c>
      <c r="U1063" s="701">
        <v>3</v>
      </c>
      <c r="V1063" s="701">
        <v>5</v>
      </c>
      <c r="W1063" s="701">
        <v>0</v>
      </c>
      <c r="X1063" s="701">
        <v>7</v>
      </c>
      <c r="Y1063" s="701">
        <v>10</v>
      </c>
      <c r="Z1063" s="701">
        <v>97.5</v>
      </c>
      <c r="AA1063" s="458" t="s">
        <v>2749</v>
      </c>
      <c r="AB1063" s="459" t="s">
        <v>539</v>
      </c>
      <c r="AC1063" s="459" t="s">
        <v>539</v>
      </c>
      <c r="AD1063" s="458" t="s">
        <v>2750</v>
      </c>
      <c r="AE1063" s="459" t="s">
        <v>539</v>
      </c>
      <c r="AF1063" s="459" t="s">
        <v>539</v>
      </c>
      <c r="AG1063" s="701" t="s">
        <v>375</v>
      </c>
      <c r="AH1063" s="728"/>
      <c r="AI1063" s="699"/>
      <c r="AJ1063" s="697" t="s">
        <v>543</v>
      </c>
    </row>
    <row r="1064" spans="2:36" ht="24" hidden="1" customHeight="1">
      <c r="B1064" s="702"/>
      <c r="C1064" s="700"/>
      <c r="D1064" s="700"/>
      <c r="E1064" s="700"/>
      <c r="F1064" s="700"/>
      <c r="G1064" s="700"/>
      <c r="H1064" s="700"/>
      <c r="I1064" s="710"/>
      <c r="J1064" s="710"/>
      <c r="K1064" s="713"/>
      <c r="L1064" s="710"/>
      <c r="M1064" s="710"/>
      <c r="N1064" s="713"/>
      <c r="O1064" s="702"/>
      <c r="P1064" s="702"/>
      <c r="Q1064" s="710"/>
      <c r="R1064" s="702"/>
      <c r="S1064" s="702"/>
      <c r="T1064" s="702"/>
      <c r="U1064" s="702"/>
      <c r="V1064" s="702"/>
      <c r="W1064" s="702"/>
      <c r="X1064" s="702"/>
      <c r="Y1064" s="702"/>
      <c r="Z1064" s="702"/>
      <c r="AA1064" s="473" t="s">
        <v>2751</v>
      </c>
      <c r="AB1064" s="474" t="s">
        <v>539</v>
      </c>
      <c r="AC1064" s="474" t="s">
        <v>539</v>
      </c>
      <c r="AD1064" s="473" t="s">
        <v>2752</v>
      </c>
      <c r="AE1064" s="474" t="s">
        <v>539</v>
      </c>
      <c r="AF1064" s="474" t="s">
        <v>539</v>
      </c>
      <c r="AG1064" s="702"/>
      <c r="AH1064" s="729"/>
      <c r="AI1064" s="700"/>
      <c r="AJ1064" s="698"/>
    </row>
    <row r="1065" spans="2:36" ht="24" hidden="1" customHeight="1">
      <c r="B1065" s="701">
        <v>872</v>
      </c>
      <c r="C1065" s="699" t="s">
        <v>337</v>
      </c>
      <c r="D1065" s="699"/>
      <c r="E1065" s="699" t="s">
        <v>545</v>
      </c>
      <c r="F1065" s="699"/>
      <c r="G1065" s="699" t="s">
        <v>49</v>
      </c>
      <c r="H1065" s="699" t="s">
        <v>2753</v>
      </c>
      <c r="I1065" s="709" t="s">
        <v>537</v>
      </c>
      <c r="J1065" s="709" t="s">
        <v>537</v>
      </c>
      <c r="K1065" s="712">
        <v>15000</v>
      </c>
      <c r="L1065" s="709" t="s">
        <v>537</v>
      </c>
      <c r="M1065" s="709" t="s">
        <v>537</v>
      </c>
      <c r="N1065" s="712">
        <v>15000</v>
      </c>
      <c r="O1065" s="701" t="s">
        <v>537</v>
      </c>
      <c r="P1065" s="701" t="s">
        <v>537</v>
      </c>
      <c r="Q1065" s="709">
        <v>0</v>
      </c>
      <c r="R1065" s="707">
        <v>241609</v>
      </c>
      <c r="S1065" s="721">
        <v>22480</v>
      </c>
      <c r="T1065" s="701">
        <v>0</v>
      </c>
      <c r="U1065" s="701">
        <v>3</v>
      </c>
      <c r="V1065" s="701">
        <v>25</v>
      </c>
      <c r="W1065" s="701">
        <v>0</v>
      </c>
      <c r="X1065" s="701">
        <v>3</v>
      </c>
      <c r="Y1065" s="701">
        <v>25</v>
      </c>
      <c r="Z1065" s="701">
        <v>95</v>
      </c>
      <c r="AA1065" s="458" t="s">
        <v>2754</v>
      </c>
      <c r="AB1065" s="459" t="s">
        <v>539</v>
      </c>
      <c r="AC1065" s="459" t="s">
        <v>539</v>
      </c>
      <c r="AD1065" s="458" t="s">
        <v>2755</v>
      </c>
      <c r="AE1065" s="459" t="s">
        <v>539</v>
      </c>
      <c r="AF1065" s="459" t="s">
        <v>539</v>
      </c>
      <c r="AG1065" s="701" t="s">
        <v>375</v>
      </c>
      <c r="AH1065" s="728"/>
      <c r="AI1065" s="697" t="s">
        <v>2756</v>
      </c>
      <c r="AJ1065" s="697" t="s">
        <v>543</v>
      </c>
    </row>
    <row r="1066" spans="2:36" ht="24" hidden="1" customHeight="1">
      <c r="B1066" s="715"/>
      <c r="C1066" s="714"/>
      <c r="D1066" s="714"/>
      <c r="E1066" s="714"/>
      <c r="F1066" s="714"/>
      <c r="G1066" s="714"/>
      <c r="H1066" s="714"/>
      <c r="I1066" s="717"/>
      <c r="J1066" s="717"/>
      <c r="K1066" s="720"/>
      <c r="L1066" s="717"/>
      <c r="M1066" s="717"/>
      <c r="N1066" s="720"/>
      <c r="O1066" s="715"/>
      <c r="P1066" s="715"/>
      <c r="Q1066" s="717"/>
      <c r="R1066" s="719"/>
      <c r="S1066" s="731"/>
      <c r="T1066" s="715"/>
      <c r="U1066" s="715"/>
      <c r="V1066" s="715"/>
      <c r="W1066" s="715"/>
      <c r="X1066" s="715"/>
      <c r="Y1066" s="715"/>
      <c r="Z1066" s="715"/>
      <c r="AA1066" s="460" t="s">
        <v>2757</v>
      </c>
      <c r="AB1066" s="461" t="s">
        <v>539</v>
      </c>
      <c r="AC1066" s="461" t="s">
        <v>539</v>
      </c>
      <c r="AD1066" s="460" t="s">
        <v>2758</v>
      </c>
      <c r="AE1066" s="461" t="s">
        <v>539</v>
      </c>
      <c r="AF1066" s="461" t="s">
        <v>539</v>
      </c>
      <c r="AG1066" s="715"/>
      <c r="AH1066" s="730"/>
      <c r="AI1066" s="711"/>
      <c r="AJ1066" s="711"/>
    </row>
    <row r="1067" spans="2:36" ht="24" hidden="1" customHeight="1">
      <c r="B1067" s="702"/>
      <c r="C1067" s="700"/>
      <c r="D1067" s="700"/>
      <c r="E1067" s="700"/>
      <c r="F1067" s="700"/>
      <c r="G1067" s="700"/>
      <c r="H1067" s="700"/>
      <c r="I1067" s="710"/>
      <c r="J1067" s="710"/>
      <c r="K1067" s="713"/>
      <c r="L1067" s="710"/>
      <c r="M1067" s="710"/>
      <c r="N1067" s="713"/>
      <c r="O1067" s="702"/>
      <c r="P1067" s="702"/>
      <c r="Q1067" s="710"/>
      <c r="R1067" s="708"/>
      <c r="S1067" s="722"/>
      <c r="T1067" s="702"/>
      <c r="U1067" s="702"/>
      <c r="V1067" s="702"/>
      <c r="W1067" s="702"/>
      <c r="X1067" s="702"/>
      <c r="Y1067" s="702"/>
      <c r="Z1067" s="702"/>
      <c r="AA1067" s="473" t="s">
        <v>2759</v>
      </c>
      <c r="AB1067" s="474" t="s">
        <v>539</v>
      </c>
      <c r="AC1067" s="474" t="s">
        <v>539</v>
      </c>
      <c r="AD1067" s="473" t="s">
        <v>2760</v>
      </c>
      <c r="AE1067" s="474" t="s">
        <v>539</v>
      </c>
      <c r="AF1067" s="474" t="s">
        <v>539</v>
      </c>
      <c r="AG1067" s="702"/>
      <c r="AH1067" s="729"/>
      <c r="AI1067" s="698"/>
      <c r="AJ1067" s="698"/>
    </row>
    <row r="1068" spans="2:36" ht="24" hidden="1" customHeight="1">
      <c r="B1068" s="463">
        <v>873</v>
      </c>
      <c r="C1068" s="464" t="s">
        <v>337</v>
      </c>
      <c r="D1068" s="464"/>
      <c r="E1068" s="464" t="s">
        <v>545</v>
      </c>
      <c r="F1068" s="464"/>
      <c r="G1068" s="464" t="s">
        <v>49</v>
      </c>
      <c r="H1068" s="464" t="s">
        <v>2761</v>
      </c>
      <c r="I1068" s="465" t="s">
        <v>537</v>
      </c>
      <c r="J1068" s="465" t="s">
        <v>537</v>
      </c>
      <c r="K1068" s="466">
        <v>18000</v>
      </c>
      <c r="L1068" s="465" t="s">
        <v>537</v>
      </c>
      <c r="M1068" s="465" t="s">
        <v>537</v>
      </c>
      <c r="N1068" s="466">
        <v>18000</v>
      </c>
      <c r="O1068" s="463" t="s">
        <v>537</v>
      </c>
      <c r="P1068" s="463" t="s">
        <v>537</v>
      </c>
      <c r="Q1068" s="465">
        <v>0</v>
      </c>
      <c r="R1068" s="463" t="s">
        <v>643</v>
      </c>
      <c r="S1068" s="463" t="s">
        <v>2031</v>
      </c>
      <c r="T1068" s="463">
        <v>0</v>
      </c>
      <c r="U1068" s="463">
        <v>2</v>
      </c>
      <c r="V1068" s="463">
        <v>10</v>
      </c>
      <c r="W1068" s="463">
        <v>0</v>
      </c>
      <c r="X1068" s="463">
        <v>2</v>
      </c>
      <c r="Y1068" s="463">
        <v>15</v>
      </c>
      <c r="Z1068" s="463">
        <v>90</v>
      </c>
      <c r="AA1068" s="472" t="s">
        <v>2762</v>
      </c>
      <c r="AB1068" s="463" t="s">
        <v>539</v>
      </c>
      <c r="AC1068" s="463" t="s">
        <v>539</v>
      </c>
      <c r="AD1068" s="472" t="s">
        <v>2763</v>
      </c>
      <c r="AE1068" s="463" t="s">
        <v>539</v>
      </c>
      <c r="AF1068" s="463" t="s">
        <v>539</v>
      </c>
      <c r="AG1068" s="463" t="s">
        <v>375</v>
      </c>
      <c r="AH1068" s="476"/>
      <c r="AI1068" s="472" t="s">
        <v>2756</v>
      </c>
      <c r="AJ1068" s="472" t="s">
        <v>543</v>
      </c>
    </row>
    <row r="1069" spans="2:36" ht="24" hidden="1" customHeight="1">
      <c r="B1069" s="463">
        <v>874</v>
      </c>
      <c r="C1069" s="464" t="s">
        <v>165</v>
      </c>
      <c r="D1069" s="464"/>
      <c r="E1069" s="464" t="s">
        <v>535</v>
      </c>
      <c r="F1069" s="464"/>
      <c r="G1069" s="464" t="s">
        <v>49</v>
      </c>
      <c r="H1069" s="464" t="s">
        <v>642</v>
      </c>
      <c r="I1069" s="466">
        <v>60000</v>
      </c>
      <c r="J1069" s="465" t="s">
        <v>537</v>
      </c>
      <c r="K1069" s="465" t="s">
        <v>537</v>
      </c>
      <c r="L1069" s="466">
        <v>43969</v>
      </c>
      <c r="M1069" s="465" t="s">
        <v>537</v>
      </c>
      <c r="N1069" s="465" t="s">
        <v>537</v>
      </c>
      <c r="O1069" s="463" t="s">
        <v>537</v>
      </c>
      <c r="P1069" s="463" t="s">
        <v>537</v>
      </c>
      <c r="Q1069" s="468">
        <v>16031</v>
      </c>
      <c r="R1069" s="463" t="s">
        <v>643</v>
      </c>
      <c r="S1069" s="463" t="s">
        <v>2764</v>
      </c>
      <c r="T1069" s="463">
        <v>0</v>
      </c>
      <c r="U1069" s="463">
        <v>1</v>
      </c>
      <c r="V1069" s="463">
        <v>0</v>
      </c>
      <c r="W1069" s="463">
        <v>0</v>
      </c>
      <c r="X1069" s="463">
        <v>1</v>
      </c>
      <c r="Y1069" s="463">
        <v>0</v>
      </c>
      <c r="Z1069" s="463">
        <v>97.14</v>
      </c>
      <c r="AA1069" s="472" t="s">
        <v>633</v>
      </c>
      <c r="AB1069" s="463" t="s">
        <v>539</v>
      </c>
      <c r="AC1069" s="463" t="s">
        <v>539</v>
      </c>
      <c r="AD1069" s="472" t="s">
        <v>635</v>
      </c>
      <c r="AE1069" s="463" t="s">
        <v>539</v>
      </c>
      <c r="AF1069" s="463" t="s">
        <v>539</v>
      </c>
      <c r="AG1069" s="463" t="s">
        <v>375</v>
      </c>
      <c r="AH1069" s="476"/>
      <c r="AI1069" s="472" t="s">
        <v>2765</v>
      </c>
      <c r="AJ1069" s="464"/>
    </row>
    <row r="1070" spans="2:36" ht="24" hidden="1" customHeight="1">
      <c r="B1070" s="701">
        <v>875</v>
      </c>
      <c r="C1070" s="699" t="s">
        <v>534</v>
      </c>
      <c r="D1070" s="699"/>
      <c r="E1070" s="699" t="s">
        <v>577</v>
      </c>
      <c r="F1070" s="699"/>
      <c r="G1070" s="699" t="s">
        <v>49</v>
      </c>
      <c r="H1070" s="699" t="s">
        <v>2766</v>
      </c>
      <c r="I1070" s="709" t="s">
        <v>537</v>
      </c>
      <c r="J1070" s="709" t="s">
        <v>537</v>
      </c>
      <c r="K1070" s="712">
        <v>50000</v>
      </c>
      <c r="L1070" s="709" t="s">
        <v>537</v>
      </c>
      <c r="M1070" s="709" t="s">
        <v>537</v>
      </c>
      <c r="N1070" s="712">
        <v>50000</v>
      </c>
      <c r="O1070" s="701" t="s">
        <v>537</v>
      </c>
      <c r="P1070" s="701" t="s">
        <v>537</v>
      </c>
      <c r="Q1070" s="709">
        <v>0</v>
      </c>
      <c r="R1070" s="707">
        <v>241609</v>
      </c>
      <c r="S1070" s="701" t="s">
        <v>2767</v>
      </c>
      <c r="T1070" s="701">
        <v>0</v>
      </c>
      <c r="U1070" s="701">
        <v>0</v>
      </c>
      <c r="V1070" s="701">
        <v>0</v>
      </c>
      <c r="W1070" s="701">
        <v>10</v>
      </c>
      <c r="X1070" s="701">
        <v>5</v>
      </c>
      <c r="Y1070" s="701">
        <v>5</v>
      </c>
      <c r="Z1070" s="701">
        <v>100</v>
      </c>
      <c r="AA1070" s="697" t="s">
        <v>2768</v>
      </c>
      <c r="AB1070" s="701" t="s">
        <v>539</v>
      </c>
      <c r="AC1070" s="701" t="s">
        <v>539</v>
      </c>
      <c r="AD1070" s="458" t="s">
        <v>2769</v>
      </c>
      <c r="AE1070" s="459" t="s">
        <v>539</v>
      </c>
      <c r="AF1070" s="459">
        <v>5</v>
      </c>
      <c r="AG1070" s="701" t="s">
        <v>376</v>
      </c>
      <c r="AH1070" s="728"/>
      <c r="AI1070" s="697" t="s">
        <v>2770</v>
      </c>
      <c r="AJ1070" s="697" t="s">
        <v>543</v>
      </c>
    </row>
    <row r="1071" spans="2:36" ht="24" hidden="1" customHeight="1">
      <c r="B1071" s="702"/>
      <c r="C1071" s="700"/>
      <c r="D1071" s="700"/>
      <c r="E1071" s="700"/>
      <c r="F1071" s="700"/>
      <c r="G1071" s="700"/>
      <c r="H1071" s="700"/>
      <c r="I1071" s="710"/>
      <c r="J1071" s="710"/>
      <c r="K1071" s="713"/>
      <c r="L1071" s="710"/>
      <c r="M1071" s="710"/>
      <c r="N1071" s="713"/>
      <c r="O1071" s="702"/>
      <c r="P1071" s="702"/>
      <c r="Q1071" s="710"/>
      <c r="R1071" s="708"/>
      <c r="S1071" s="702"/>
      <c r="T1071" s="702"/>
      <c r="U1071" s="702"/>
      <c r="V1071" s="702"/>
      <c r="W1071" s="702"/>
      <c r="X1071" s="702"/>
      <c r="Y1071" s="702"/>
      <c r="Z1071" s="702"/>
      <c r="AA1071" s="698"/>
      <c r="AB1071" s="702"/>
      <c r="AC1071" s="702"/>
      <c r="AD1071" s="473" t="s">
        <v>2771</v>
      </c>
      <c r="AE1071" s="474" t="s">
        <v>539</v>
      </c>
      <c r="AF1071" s="474">
        <v>5</v>
      </c>
      <c r="AG1071" s="702"/>
      <c r="AH1071" s="729"/>
      <c r="AI1071" s="698"/>
      <c r="AJ1071" s="698"/>
    </row>
    <row r="1072" spans="2:36" ht="24" hidden="1" customHeight="1">
      <c r="B1072" s="463">
        <v>876</v>
      </c>
      <c r="C1072" s="464" t="s">
        <v>10</v>
      </c>
      <c r="D1072" s="464"/>
      <c r="E1072" s="464" t="s">
        <v>558</v>
      </c>
      <c r="F1072" s="464"/>
      <c r="G1072" s="464" t="s">
        <v>49</v>
      </c>
      <c r="H1072" s="464" t="s">
        <v>2772</v>
      </c>
      <c r="I1072" s="465" t="s">
        <v>537</v>
      </c>
      <c r="J1072" s="465" t="s">
        <v>537</v>
      </c>
      <c r="K1072" s="466">
        <v>13950</v>
      </c>
      <c r="L1072" s="465" t="s">
        <v>537</v>
      </c>
      <c r="M1072" s="465" t="s">
        <v>537</v>
      </c>
      <c r="N1072" s="466">
        <v>13950</v>
      </c>
      <c r="O1072" s="463" t="s">
        <v>537</v>
      </c>
      <c r="P1072" s="463" t="s">
        <v>537</v>
      </c>
      <c r="Q1072" s="465">
        <v>0</v>
      </c>
      <c r="R1072" s="470">
        <v>241671</v>
      </c>
      <c r="S1072" s="471">
        <v>22528</v>
      </c>
      <c r="T1072" s="463">
        <v>0</v>
      </c>
      <c r="U1072" s="463">
        <v>18</v>
      </c>
      <c r="V1072" s="463">
        <v>3</v>
      </c>
      <c r="W1072" s="463">
        <v>0</v>
      </c>
      <c r="X1072" s="463">
        <v>18</v>
      </c>
      <c r="Y1072" s="463">
        <v>3</v>
      </c>
      <c r="Z1072" s="463">
        <v>92.5</v>
      </c>
      <c r="AA1072" s="472" t="s">
        <v>2773</v>
      </c>
      <c r="AB1072" s="463">
        <v>80</v>
      </c>
      <c r="AC1072" s="463">
        <v>91.8</v>
      </c>
      <c r="AD1072" s="472" t="s">
        <v>2774</v>
      </c>
      <c r="AE1072" s="463">
        <v>80</v>
      </c>
      <c r="AF1072" s="463">
        <v>90.25</v>
      </c>
      <c r="AG1072" s="463" t="s">
        <v>375</v>
      </c>
      <c r="AH1072" s="476"/>
      <c r="AI1072" s="472" t="s">
        <v>2775</v>
      </c>
      <c r="AJ1072" s="472" t="s">
        <v>562</v>
      </c>
    </row>
    <row r="1073" spans="2:36" ht="24" hidden="1" customHeight="1">
      <c r="B1073" s="463">
        <v>877</v>
      </c>
      <c r="C1073" s="464" t="s">
        <v>10</v>
      </c>
      <c r="D1073" s="464"/>
      <c r="E1073" s="464" t="s">
        <v>558</v>
      </c>
      <c r="F1073" s="464"/>
      <c r="G1073" s="464" t="s">
        <v>49</v>
      </c>
      <c r="H1073" s="464" t="s">
        <v>2776</v>
      </c>
      <c r="I1073" s="465" t="s">
        <v>537</v>
      </c>
      <c r="J1073" s="465" t="s">
        <v>537</v>
      </c>
      <c r="K1073" s="466">
        <v>22800</v>
      </c>
      <c r="L1073" s="465" t="s">
        <v>537</v>
      </c>
      <c r="M1073" s="465" t="s">
        <v>537</v>
      </c>
      <c r="N1073" s="466">
        <v>14516</v>
      </c>
      <c r="O1073" s="463" t="s">
        <v>537</v>
      </c>
      <c r="P1073" s="463" t="s">
        <v>537</v>
      </c>
      <c r="Q1073" s="468">
        <v>8284</v>
      </c>
      <c r="R1073" s="470">
        <v>241671</v>
      </c>
      <c r="S1073" s="471">
        <v>22531</v>
      </c>
      <c r="T1073" s="463">
        <v>0</v>
      </c>
      <c r="U1073" s="463">
        <v>14</v>
      </c>
      <c r="V1073" s="463">
        <v>2</v>
      </c>
      <c r="W1073" s="463">
        <v>0</v>
      </c>
      <c r="X1073" s="463">
        <v>14</v>
      </c>
      <c r="Y1073" s="463">
        <v>2</v>
      </c>
      <c r="Z1073" s="463">
        <v>92.5</v>
      </c>
      <c r="AA1073" s="472" t="s">
        <v>547</v>
      </c>
      <c r="AB1073" s="463" t="s">
        <v>539</v>
      </c>
      <c r="AC1073" s="463">
        <v>90.25</v>
      </c>
      <c r="AD1073" s="472" t="s">
        <v>548</v>
      </c>
      <c r="AE1073" s="463">
        <v>80</v>
      </c>
      <c r="AF1073" s="463">
        <v>88.25</v>
      </c>
      <c r="AG1073" s="463" t="s">
        <v>375</v>
      </c>
      <c r="AH1073" s="476"/>
      <c r="AI1073" s="472" t="s">
        <v>2775</v>
      </c>
      <c r="AJ1073" s="472" t="s">
        <v>562</v>
      </c>
    </row>
    <row r="1074" spans="2:36" ht="24" hidden="1" customHeight="1">
      <c r="B1074" s="463">
        <v>878</v>
      </c>
      <c r="C1074" s="464" t="s">
        <v>10</v>
      </c>
      <c r="D1074" s="464"/>
      <c r="E1074" s="464" t="s">
        <v>558</v>
      </c>
      <c r="F1074" s="464"/>
      <c r="G1074" s="464" t="s">
        <v>49</v>
      </c>
      <c r="H1074" s="464" t="s">
        <v>2777</v>
      </c>
      <c r="I1074" s="465" t="s">
        <v>537</v>
      </c>
      <c r="J1074" s="465" t="s">
        <v>537</v>
      </c>
      <c r="K1074" s="466">
        <v>8700</v>
      </c>
      <c r="L1074" s="465" t="s">
        <v>537</v>
      </c>
      <c r="M1074" s="465" t="s">
        <v>537</v>
      </c>
      <c r="N1074" s="466">
        <v>8700</v>
      </c>
      <c r="O1074" s="463" t="s">
        <v>537</v>
      </c>
      <c r="P1074" s="463" t="s">
        <v>537</v>
      </c>
      <c r="Q1074" s="465">
        <v>0</v>
      </c>
      <c r="R1074" s="470">
        <v>241609</v>
      </c>
      <c r="S1074" s="471">
        <v>22486</v>
      </c>
      <c r="T1074" s="463">
        <v>60</v>
      </c>
      <c r="U1074" s="463">
        <v>9</v>
      </c>
      <c r="V1074" s="463">
        <v>0</v>
      </c>
      <c r="W1074" s="463">
        <v>65</v>
      </c>
      <c r="X1074" s="463">
        <v>17</v>
      </c>
      <c r="Y1074" s="463">
        <v>0</v>
      </c>
      <c r="Z1074" s="463">
        <v>84.47</v>
      </c>
      <c r="AA1074" s="472" t="s">
        <v>547</v>
      </c>
      <c r="AB1074" s="463" t="s">
        <v>539</v>
      </c>
      <c r="AC1074" s="463" t="s">
        <v>539</v>
      </c>
      <c r="AD1074" s="472" t="s">
        <v>548</v>
      </c>
      <c r="AE1074" s="463">
        <v>80</v>
      </c>
      <c r="AF1074" s="463">
        <v>83.84</v>
      </c>
      <c r="AG1074" s="463" t="s">
        <v>375</v>
      </c>
      <c r="AH1074" s="476"/>
      <c r="AI1074" s="472" t="s">
        <v>2778</v>
      </c>
      <c r="AJ1074" s="472" t="s">
        <v>562</v>
      </c>
    </row>
    <row r="1075" spans="2:36" ht="24" hidden="1" customHeight="1">
      <c r="B1075" s="463">
        <v>879</v>
      </c>
      <c r="C1075" s="464" t="s">
        <v>10</v>
      </c>
      <c r="D1075" s="464"/>
      <c r="E1075" s="464" t="s">
        <v>558</v>
      </c>
      <c r="F1075" s="464"/>
      <c r="G1075" s="464" t="s">
        <v>49</v>
      </c>
      <c r="H1075" s="464" t="s">
        <v>2779</v>
      </c>
      <c r="I1075" s="465" t="s">
        <v>537</v>
      </c>
      <c r="J1075" s="465" t="s">
        <v>537</v>
      </c>
      <c r="K1075" s="466">
        <v>7600</v>
      </c>
      <c r="L1075" s="465" t="s">
        <v>537</v>
      </c>
      <c r="M1075" s="465" t="s">
        <v>537</v>
      </c>
      <c r="N1075" s="466">
        <v>7600</v>
      </c>
      <c r="O1075" s="463" t="s">
        <v>537</v>
      </c>
      <c r="P1075" s="463" t="s">
        <v>537</v>
      </c>
      <c r="Q1075" s="465">
        <v>0</v>
      </c>
      <c r="R1075" s="463" t="s">
        <v>727</v>
      </c>
      <c r="S1075" s="463" t="s">
        <v>2780</v>
      </c>
      <c r="T1075" s="463">
        <v>40</v>
      </c>
      <c r="U1075" s="463">
        <v>6</v>
      </c>
      <c r="V1075" s="463">
        <v>0</v>
      </c>
      <c r="W1075" s="463">
        <v>40</v>
      </c>
      <c r="X1075" s="463">
        <v>10</v>
      </c>
      <c r="Y1075" s="463">
        <v>0</v>
      </c>
      <c r="Z1075" s="463">
        <v>88</v>
      </c>
      <c r="AA1075" s="472" t="s">
        <v>547</v>
      </c>
      <c r="AB1075" s="463" t="s">
        <v>539</v>
      </c>
      <c r="AC1075" s="463" t="s">
        <v>539</v>
      </c>
      <c r="AD1075" s="472" t="s">
        <v>548</v>
      </c>
      <c r="AE1075" s="463">
        <v>80</v>
      </c>
      <c r="AF1075" s="463">
        <v>90</v>
      </c>
      <c r="AG1075" s="463" t="s">
        <v>375</v>
      </c>
      <c r="AH1075" s="476"/>
      <c r="AI1075" s="472" t="s">
        <v>2756</v>
      </c>
      <c r="AJ1075" s="472" t="s">
        <v>562</v>
      </c>
    </row>
    <row r="1076" spans="2:36" ht="24" hidden="1" customHeight="1">
      <c r="B1076" s="463">
        <v>880</v>
      </c>
      <c r="C1076" s="464" t="s">
        <v>10</v>
      </c>
      <c r="D1076" s="464"/>
      <c r="E1076" s="464" t="s">
        <v>558</v>
      </c>
      <c r="F1076" s="464"/>
      <c r="G1076" s="464" t="s">
        <v>49</v>
      </c>
      <c r="H1076" s="464" t="s">
        <v>2781</v>
      </c>
      <c r="I1076" s="465" t="s">
        <v>537</v>
      </c>
      <c r="J1076" s="465" t="s">
        <v>537</v>
      </c>
      <c r="K1076" s="466">
        <v>38300</v>
      </c>
      <c r="L1076" s="465" t="s">
        <v>537</v>
      </c>
      <c r="M1076" s="465" t="s">
        <v>537</v>
      </c>
      <c r="N1076" s="466">
        <v>26100</v>
      </c>
      <c r="O1076" s="463" t="s">
        <v>537</v>
      </c>
      <c r="P1076" s="463" t="s">
        <v>537</v>
      </c>
      <c r="Q1076" s="468">
        <v>12200</v>
      </c>
      <c r="R1076" s="463" t="s">
        <v>643</v>
      </c>
      <c r="S1076" s="463" t="s">
        <v>2460</v>
      </c>
      <c r="T1076" s="463">
        <v>86</v>
      </c>
      <c r="U1076" s="463">
        <v>4</v>
      </c>
      <c r="V1076" s="463">
        <v>0</v>
      </c>
      <c r="W1076" s="463">
        <v>86</v>
      </c>
      <c r="X1076" s="463">
        <v>25</v>
      </c>
      <c r="Y1076" s="463">
        <v>0</v>
      </c>
      <c r="Z1076" s="463">
        <v>88.85</v>
      </c>
      <c r="AA1076" s="472" t="s">
        <v>2782</v>
      </c>
      <c r="AB1076" s="463" t="s">
        <v>539</v>
      </c>
      <c r="AC1076" s="463" t="s">
        <v>539</v>
      </c>
      <c r="AD1076" s="472" t="s">
        <v>2783</v>
      </c>
      <c r="AE1076" s="463" t="s">
        <v>539</v>
      </c>
      <c r="AF1076" s="463" t="s">
        <v>539</v>
      </c>
      <c r="AG1076" s="463" t="s">
        <v>375</v>
      </c>
      <c r="AH1076" s="476"/>
      <c r="AI1076" s="472" t="s">
        <v>537</v>
      </c>
      <c r="AJ1076" s="472" t="s">
        <v>562</v>
      </c>
    </row>
    <row r="1077" spans="2:36" ht="24" hidden="1" customHeight="1">
      <c r="B1077" s="463">
        <v>881</v>
      </c>
      <c r="C1077" s="464" t="s">
        <v>10</v>
      </c>
      <c r="D1077" s="464"/>
      <c r="E1077" s="464" t="s">
        <v>558</v>
      </c>
      <c r="F1077" s="464"/>
      <c r="G1077" s="464" t="s">
        <v>49</v>
      </c>
      <c r="H1077" s="464" t="s">
        <v>2784</v>
      </c>
      <c r="I1077" s="465" t="s">
        <v>537</v>
      </c>
      <c r="J1077" s="465" t="s">
        <v>537</v>
      </c>
      <c r="K1077" s="466">
        <v>265000</v>
      </c>
      <c r="L1077" s="465" t="s">
        <v>537</v>
      </c>
      <c r="M1077" s="465" t="s">
        <v>537</v>
      </c>
      <c r="N1077" s="466">
        <v>240039</v>
      </c>
      <c r="O1077" s="463" t="s">
        <v>537</v>
      </c>
      <c r="P1077" s="463" t="s">
        <v>537</v>
      </c>
      <c r="Q1077" s="468">
        <v>24961</v>
      </c>
      <c r="R1077" s="470">
        <v>241579</v>
      </c>
      <c r="S1077" s="463" t="s">
        <v>743</v>
      </c>
      <c r="T1077" s="463">
        <v>0</v>
      </c>
      <c r="U1077" s="463">
        <v>86</v>
      </c>
      <c r="V1077" s="463">
        <v>2</v>
      </c>
      <c r="W1077" s="463">
        <v>0</v>
      </c>
      <c r="X1077" s="463">
        <v>84</v>
      </c>
      <c r="Y1077" s="463">
        <v>2</v>
      </c>
      <c r="Z1077" s="463">
        <v>92.03</v>
      </c>
      <c r="AA1077" s="472" t="s">
        <v>547</v>
      </c>
      <c r="AB1077" s="463" t="s">
        <v>539</v>
      </c>
      <c r="AC1077" s="463" t="s">
        <v>539</v>
      </c>
      <c r="AD1077" s="472" t="s">
        <v>548</v>
      </c>
      <c r="AE1077" s="463">
        <v>80</v>
      </c>
      <c r="AF1077" s="463">
        <v>90.71</v>
      </c>
      <c r="AG1077" s="463" t="s">
        <v>375</v>
      </c>
      <c r="AH1077" s="476"/>
      <c r="AI1077" s="472" t="s">
        <v>2785</v>
      </c>
      <c r="AJ1077" s="472" t="s">
        <v>562</v>
      </c>
    </row>
    <row r="1078" spans="2:36" ht="24" hidden="1" customHeight="1">
      <c r="B1078" s="463">
        <v>882</v>
      </c>
      <c r="C1078" s="464" t="s">
        <v>10</v>
      </c>
      <c r="D1078" s="464"/>
      <c r="E1078" s="464" t="s">
        <v>558</v>
      </c>
      <c r="F1078" s="464"/>
      <c r="G1078" s="464" t="s">
        <v>49</v>
      </c>
      <c r="H1078" s="464" t="s">
        <v>2786</v>
      </c>
      <c r="I1078" s="465" t="s">
        <v>537</v>
      </c>
      <c r="J1078" s="465" t="s">
        <v>537</v>
      </c>
      <c r="K1078" s="466">
        <v>35000</v>
      </c>
      <c r="L1078" s="465" t="s">
        <v>537</v>
      </c>
      <c r="M1078" s="465" t="s">
        <v>537</v>
      </c>
      <c r="N1078" s="466">
        <v>35000</v>
      </c>
      <c r="O1078" s="463" t="s">
        <v>537</v>
      </c>
      <c r="P1078" s="463" t="s">
        <v>537</v>
      </c>
      <c r="Q1078" s="465">
        <v>0</v>
      </c>
      <c r="R1078" s="470">
        <v>241640</v>
      </c>
      <c r="S1078" s="471">
        <v>22511</v>
      </c>
      <c r="T1078" s="463">
        <v>150</v>
      </c>
      <c r="U1078" s="463">
        <v>80</v>
      </c>
      <c r="V1078" s="463">
        <v>0</v>
      </c>
      <c r="W1078" s="463">
        <v>150</v>
      </c>
      <c r="X1078" s="463">
        <v>30</v>
      </c>
      <c r="Y1078" s="463">
        <v>70</v>
      </c>
      <c r="Z1078" s="463">
        <v>85.77</v>
      </c>
      <c r="AA1078" s="472" t="s">
        <v>2787</v>
      </c>
      <c r="AB1078" s="463" t="s">
        <v>539</v>
      </c>
      <c r="AC1078" s="463" t="s">
        <v>539</v>
      </c>
      <c r="AD1078" s="472" t="s">
        <v>565</v>
      </c>
      <c r="AE1078" s="463">
        <v>80</v>
      </c>
      <c r="AF1078" s="463">
        <v>82.6</v>
      </c>
      <c r="AG1078" s="463" t="s">
        <v>375</v>
      </c>
      <c r="AH1078" s="476"/>
      <c r="AI1078" s="472" t="s">
        <v>2788</v>
      </c>
      <c r="AJ1078" s="472" t="s">
        <v>562</v>
      </c>
    </row>
    <row r="1079" spans="2:36" ht="24" hidden="1" customHeight="1">
      <c r="B1079" s="463">
        <v>883</v>
      </c>
      <c r="C1079" s="464" t="s">
        <v>534</v>
      </c>
      <c r="D1079" s="464" t="s">
        <v>544</v>
      </c>
      <c r="E1079" s="464" t="s">
        <v>535</v>
      </c>
      <c r="F1079" s="464"/>
      <c r="G1079" s="464" t="s">
        <v>467</v>
      </c>
      <c r="H1079" s="464" t="s">
        <v>2789</v>
      </c>
      <c r="I1079" s="465" t="s">
        <v>537</v>
      </c>
      <c r="J1079" s="466">
        <v>28000</v>
      </c>
      <c r="K1079" s="465" t="s">
        <v>537</v>
      </c>
      <c r="L1079" s="465" t="s">
        <v>537</v>
      </c>
      <c r="M1079" s="466">
        <v>28000</v>
      </c>
      <c r="N1079" s="465" t="s">
        <v>537</v>
      </c>
      <c r="O1079" s="463" t="s">
        <v>537</v>
      </c>
      <c r="P1079" s="463" t="s">
        <v>537</v>
      </c>
      <c r="Q1079" s="465">
        <v>0</v>
      </c>
      <c r="R1079" s="470">
        <v>241640</v>
      </c>
      <c r="S1079" s="471">
        <v>22493</v>
      </c>
      <c r="T1079" s="463">
        <v>100</v>
      </c>
      <c r="U1079" s="463">
        <v>0</v>
      </c>
      <c r="V1079" s="463">
        <v>0</v>
      </c>
      <c r="W1079" s="463">
        <v>119</v>
      </c>
      <c r="X1079" s="463">
        <v>0</v>
      </c>
      <c r="Y1079" s="463">
        <v>0</v>
      </c>
      <c r="Z1079" s="463">
        <v>84.2</v>
      </c>
      <c r="AA1079" s="472" t="s">
        <v>547</v>
      </c>
      <c r="AB1079" s="463" t="s">
        <v>539</v>
      </c>
      <c r="AC1079" s="463" t="s">
        <v>539</v>
      </c>
      <c r="AD1079" s="472" t="s">
        <v>548</v>
      </c>
      <c r="AE1079" s="463">
        <v>80</v>
      </c>
      <c r="AF1079" s="463">
        <v>100</v>
      </c>
      <c r="AG1079" s="463" t="s">
        <v>375</v>
      </c>
      <c r="AH1079" s="476"/>
      <c r="AI1079" s="472" t="s">
        <v>1598</v>
      </c>
      <c r="AJ1079" s="464"/>
    </row>
    <row r="1080" spans="2:36" ht="24" hidden="1" customHeight="1">
      <c r="B1080" s="463">
        <v>884</v>
      </c>
      <c r="C1080" s="464" t="s">
        <v>534</v>
      </c>
      <c r="D1080" s="464" t="s">
        <v>544</v>
      </c>
      <c r="E1080" s="464" t="s">
        <v>535</v>
      </c>
      <c r="F1080" s="464"/>
      <c r="G1080" s="464" t="s">
        <v>467</v>
      </c>
      <c r="H1080" s="464" t="s">
        <v>2790</v>
      </c>
      <c r="I1080" s="465" t="s">
        <v>537</v>
      </c>
      <c r="J1080" s="466">
        <v>50000</v>
      </c>
      <c r="K1080" s="465" t="s">
        <v>537</v>
      </c>
      <c r="L1080" s="465" t="s">
        <v>537</v>
      </c>
      <c r="M1080" s="466">
        <v>47480</v>
      </c>
      <c r="N1080" s="465" t="s">
        <v>537</v>
      </c>
      <c r="O1080" s="463" t="s">
        <v>537</v>
      </c>
      <c r="P1080" s="463" t="s">
        <v>537</v>
      </c>
      <c r="Q1080" s="468">
        <v>2520</v>
      </c>
      <c r="R1080" s="470">
        <v>241579</v>
      </c>
      <c r="S1080" s="471">
        <v>22454</v>
      </c>
      <c r="T1080" s="463">
        <v>500</v>
      </c>
      <c r="U1080" s="463">
        <v>20</v>
      </c>
      <c r="V1080" s="463">
        <v>180</v>
      </c>
      <c r="W1080" s="463">
        <v>212</v>
      </c>
      <c r="X1080" s="463">
        <v>19</v>
      </c>
      <c r="Y1080" s="463">
        <v>499</v>
      </c>
      <c r="Z1080" s="463">
        <v>80</v>
      </c>
      <c r="AA1080" s="472" t="s">
        <v>1119</v>
      </c>
      <c r="AB1080" s="463" t="s">
        <v>539</v>
      </c>
      <c r="AC1080" s="463" t="s">
        <v>539</v>
      </c>
      <c r="AD1080" s="472" t="s">
        <v>1016</v>
      </c>
      <c r="AE1080" s="463">
        <v>80</v>
      </c>
      <c r="AF1080" s="463">
        <v>80</v>
      </c>
      <c r="AG1080" s="463" t="s">
        <v>375</v>
      </c>
      <c r="AH1080" s="476"/>
      <c r="AI1080" s="472" t="s">
        <v>1613</v>
      </c>
      <c r="AJ1080" s="464"/>
    </row>
    <row r="1081" spans="2:36" ht="24" hidden="1" customHeight="1">
      <c r="B1081" s="463">
        <v>885</v>
      </c>
      <c r="C1081" s="464" t="s">
        <v>534</v>
      </c>
      <c r="D1081" s="464"/>
      <c r="E1081" s="464" t="s">
        <v>535</v>
      </c>
      <c r="F1081" s="464"/>
      <c r="G1081" s="464" t="s">
        <v>467</v>
      </c>
      <c r="H1081" s="464" t="s">
        <v>2791</v>
      </c>
      <c r="I1081" s="465" t="s">
        <v>537</v>
      </c>
      <c r="J1081" s="466">
        <v>40000</v>
      </c>
      <c r="K1081" s="465" t="s">
        <v>537</v>
      </c>
      <c r="L1081" s="465" t="s">
        <v>537</v>
      </c>
      <c r="M1081" s="466">
        <v>40000</v>
      </c>
      <c r="N1081" s="465" t="s">
        <v>537</v>
      </c>
      <c r="O1081" s="463" t="s">
        <v>537</v>
      </c>
      <c r="P1081" s="463" t="s">
        <v>537</v>
      </c>
      <c r="Q1081" s="465">
        <v>0</v>
      </c>
      <c r="R1081" s="470">
        <v>241579</v>
      </c>
      <c r="S1081" s="471">
        <v>22437</v>
      </c>
      <c r="T1081" s="463">
        <v>0</v>
      </c>
      <c r="U1081" s="463">
        <v>200</v>
      </c>
      <c r="V1081" s="463">
        <v>0</v>
      </c>
      <c r="W1081" s="463">
        <v>0</v>
      </c>
      <c r="X1081" s="463">
        <v>200</v>
      </c>
      <c r="Y1081" s="463">
        <v>0</v>
      </c>
      <c r="Z1081" s="463">
        <v>95</v>
      </c>
      <c r="AA1081" s="472" t="s">
        <v>612</v>
      </c>
      <c r="AB1081" s="463" t="s">
        <v>539</v>
      </c>
      <c r="AC1081" s="463" t="s">
        <v>539</v>
      </c>
      <c r="AD1081" s="472" t="s">
        <v>613</v>
      </c>
      <c r="AE1081" s="463">
        <v>85</v>
      </c>
      <c r="AF1081" s="463">
        <v>95</v>
      </c>
      <c r="AG1081" s="463" t="s">
        <v>375</v>
      </c>
      <c r="AH1081" s="476"/>
      <c r="AI1081" s="472" t="s">
        <v>566</v>
      </c>
      <c r="AJ1081" s="472" t="s">
        <v>537</v>
      </c>
    </row>
    <row r="1082" spans="2:36" ht="24" hidden="1" customHeight="1">
      <c r="B1082" s="463">
        <v>886</v>
      </c>
      <c r="C1082" s="464" t="s">
        <v>534</v>
      </c>
      <c r="D1082" s="464"/>
      <c r="E1082" s="464" t="s">
        <v>535</v>
      </c>
      <c r="F1082" s="464"/>
      <c r="G1082" s="464" t="s">
        <v>467</v>
      </c>
      <c r="H1082" s="464" t="s">
        <v>2792</v>
      </c>
      <c r="I1082" s="465" t="s">
        <v>537</v>
      </c>
      <c r="J1082" s="465" t="s">
        <v>537</v>
      </c>
      <c r="K1082" s="466">
        <v>505000</v>
      </c>
      <c r="L1082" s="465" t="s">
        <v>537</v>
      </c>
      <c r="M1082" s="465" t="s">
        <v>537</v>
      </c>
      <c r="N1082" s="466">
        <v>505000</v>
      </c>
      <c r="O1082" s="463" t="s">
        <v>537</v>
      </c>
      <c r="P1082" s="463" t="s">
        <v>537</v>
      </c>
      <c r="Q1082" s="465">
        <v>0</v>
      </c>
      <c r="R1082" s="470">
        <v>241459</v>
      </c>
      <c r="S1082" s="463" t="s">
        <v>1591</v>
      </c>
      <c r="T1082" s="463">
        <v>15</v>
      </c>
      <c r="U1082" s="463">
        <v>0</v>
      </c>
      <c r="V1082" s="463">
        <v>0</v>
      </c>
      <c r="W1082" s="463">
        <v>15</v>
      </c>
      <c r="X1082" s="463">
        <v>0</v>
      </c>
      <c r="Y1082" s="463">
        <v>0</v>
      </c>
      <c r="Z1082" s="463">
        <v>92.22</v>
      </c>
      <c r="AA1082" s="472" t="s">
        <v>2787</v>
      </c>
      <c r="AB1082" s="463" t="s">
        <v>539</v>
      </c>
      <c r="AC1082" s="463" t="s">
        <v>539</v>
      </c>
      <c r="AD1082" s="472" t="s">
        <v>606</v>
      </c>
      <c r="AE1082" s="463">
        <v>80</v>
      </c>
      <c r="AF1082" s="463">
        <v>93.4</v>
      </c>
      <c r="AG1082" s="463" t="s">
        <v>375</v>
      </c>
      <c r="AH1082" s="476"/>
      <c r="AI1082" s="472" t="s">
        <v>537</v>
      </c>
      <c r="AJ1082" s="472" t="s">
        <v>792</v>
      </c>
    </row>
    <row r="1083" spans="2:36" ht="24" hidden="1" customHeight="1">
      <c r="B1083" s="463">
        <v>887</v>
      </c>
      <c r="C1083" s="464" t="s">
        <v>534</v>
      </c>
      <c r="D1083" s="464"/>
      <c r="E1083" s="464" t="s">
        <v>535</v>
      </c>
      <c r="F1083" s="464"/>
      <c r="G1083" s="464" t="s">
        <v>467</v>
      </c>
      <c r="H1083" s="464" t="s">
        <v>2793</v>
      </c>
      <c r="I1083" s="465" t="s">
        <v>537</v>
      </c>
      <c r="J1083" s="465" t="s">
        <v>537</v>
      </c>
      <c r="K1083" s="466">
        <v>384200</v>
      </c>
      <c r="L1083" s="465" t="s">
        <v>537</v>
      </c>
      <c r="M1083" s="465" t="s">
        <v>537</v>
      </c>
      <c r="N1083" s="466">
        <v>384200</v>
      </c>
      <c r="O1083" s="463" t="s">
        <v>537</v>
      </c>
      <c r="P1083" s="463" t="s">
        <v>537</v>
      </c>
      <c r="Q1083" s="465">
        <v>0</v>
      </c>
      <c r="R1083" s="470">
        <v>241459</v>
      </c>
      <c r="S1083" s="463" t="s">
        <v>2794</v>
      </c>
      <c r="T1083" s="463">
        <v>100</v>
      </c>
      <c r="U1083" s="463">
        <v>150</v>
      </c>
      <c r="V1083" s="463">
        <v>200</v>
      </c>
      <c r="W1083" s="463">
        <v>100</v>
      </c>
      <c r="X1083" s="463">
        <v>150</v>
      </c>
      <c r="Y1083" s="463">
        <v>200</v>
      </c>
      <c r="Z1083" s="463">
        <v>89.5</v>
      </c>
      <c r="AA1083" s="472" t="s">
        <v>2795</v>
      </c>
      <c r="AB1083" s="463">
        <v>80</v>
      </c>
      <c r="AC1083" s="463">
        <v>89.5</v>
      </c>
      <c r="AD1083" s="472" t="s">
        <v>2796</v>
      </c>
      <c r="AE1083" s="463">
        <v>50</v>
      </c>
      <c r="AF1083" s="463">
        <v>50</v>
      </c>
      <c r="AG1083" s="463" t="s">
        <v>375</v>
      </c>
      <c r="AH1083" s="476"/>
      <c r="AI1083" s="472" t="s">
        <v>537</v>
      </c>
      <c r="AJ1083" s="472" t="s">
        <v>792</v>
      </c>
    </row>
    <row r="1084" spans="2:36" ht="24" hidden="1" customHeight="1">
      <c r="B1084" s="463">
        <v>888</v>
      </c>
      <c r="C1084" s="464" t="s">
        <v>534</v>
      </c>
      <c r="D1084" s="464"/>
      <c r="E1084" s="464" t="s">
        <v>535</v>
      </c>
      <c r="F1084" s="464"/>
      <c r="G1084" s="464" t="s">
        <v>467</v>
      </c>
      <c r="H1084" s="464" t="s">
        <v>2797</v>
      </c>
      <c r="I1084" s="465" t="s">
        <v>537</v>
      </c>
      <c r="J1084" s="465" t="s">
        <v>537</v>
      </c>
      <c r="K1084" s="466">
        <v>32000</v>
      </c>
      <c r="L1084" s="465" t="s">
        <v>537</v>
      </c>
      <c r="M1084" s="465" t="s">
        <v>537</v>
      </c>
      <c r="N1084" s="466">
        <v>32000</v>
      </c>
      <c r="O1084" s="463" t="s">
        <v>537</v>
      </c>
      <c r="P1084" s="463" t="s">
        <v>537</v>
      </c>
      <c r="Q1084" s="465">
        <v>0</v>
      </c>
      <c r="R1084" s="470">
        <v>241459</v>
      </c>
      <c r="S1084" s="463" t="s">
        <v>2798</v>
      </c>
      <c r="T1084" s="463">
        <v>100</v>
      </c>
      <c r="U1084" s="463">
        <v>50</v>
      </c>
      <c r="V1084" s="463">
        <v>150</v>
      </c>
      <c r="W1084" s="463">
        <v>100</v>
      </c>
      <c r="X1084" s="463">
        <v>50</v>
      </c>
      <c r="Y1084" s="463">
        <v>150</v>
      </c>
      <c r="Z1084" s="463">
        <v>92.89</v>
      </c>
      <c r="AA1084" s="472" t="s">
        <v>1304</v>
      </c>
      <c r="AB1084" s="463" t="s">
        <v>539</v>
      </c>
      <c r="AC1084" s="463" t="s">
        <v>539</v>
      </c>
      <c r="AD1084" s="472" t="s">
        <v>565</v>
      </c>
      <c r="AE1084" s="463">
        <v>80</v>
      </c>
      <c r="AF1084" s="463">
        <v>92.8</v>
      </c>
      <c r="AG1084" s="463" t="s">
        <v>375</v>
      </c>
      <c r="AH1084" s="476"/>
      <c r="AI1084" s="472" t="s">
        <v>537</v>
      </c>
      <c r="AJ1084" s="472" t="s">
        <v>792</v>
      </c>
    </row>
    <row r="1085" spans="2:36" ht="24" hidden="1" customHeight="1">
      <c r="B1085" s="463">
        <v>889</v>
      </c>
      <c r="C1085" s="464" t="s">
        <v>534</v>
      </c>
      <c r="D1085" s="464"/>
      <c r="E1085" s="464" t="s">
        <v>535</v>
      </c>
      <c r="F1085" s="464"/>
      <c r="G1085" s="464" t="s">
        <v>467</v>
      </c>
      <c r="H1085" s="464" t="s">
        <v>2799</v>
      </c>
      <c r="I1085" s="465" t="s">
        <v>537</v>
      </c>
      <c r="J1085" s="465" t="s">
        <v>537</v>
      </c>
      <c r="K1085" s="466">
        <v>30000</v>
      </c>
      <c r="L1085" s="465" t="s">
        <v>537</v>
      </c>
      <c r="M1085" s="465" t="s">
        <v>537</v>
      </c>
      <c r="N1085" s="466">
        <v>27958</v>
      </c>
      <c r="O1085" s="463" t="s">
        <v>537</v>
      </c>
      <c r="P1085" s="463" t="s">
        <v>537</v>
      </c>
      <c r="Q1085" s="468">
        <v>2042</v>
      </c>
      <c r="R1085" s="470">
        <v>241459</v>
      </c>
      <c r="S1085" s="463" t="s">
        <v>2800</v>
      </c>
      <c r="T1085" s="463">
        <v>58</v>
      </c>
      <c r="U1085" s="463">
        <v>10</v>
      </c>
      <c r="V1085" s="463">
        <v>2</v>
      </c>
      <c r="W1085" s="463">
        <v>58</v>
      </c>
      <c r="X1085" s="463">
        <v>10</v>
      </c>
      <c r="Y1085" s="463">
        <v>2</v>
      </c>
      <c r="Z1085" s="463">
        <v>90.75</v>
      </c>
      <c r="AA1085" s="472" t="s">
        <v>2787</v>
      </c>
      <c r="AB1085" s="463" t="s">
        <v>539</v>
      </c>
      <c r="AC1085" s="463" t="s">
        <v>539</v>
      </c>
      <c r="AD1085" s="472" t="s">
        <v>565</v>
      </c>
      <c r="AE1085" s="463">
        <v>80</v>
      </c>
      <c r="AF1085" s="463">
        <v>90.5</v>
      </c>
      <c r="AG1085" s="463" t="s">
        <v>375</v>
      </c>
      <c r="AH1085" s="476"/>
      <c r="AI1085" s="472" t="s">
        <v>537</v>
      </c>
      <c r="AJ1085" s="472" t="s">
        <v>792</v>
      </c>
    </row>
    <row r="1086" spans="2:36" ht="24" hidden="1" customHeight="1">
      <c r="B1086" s="463">
        <v>890</v>
      </c>
      <c r="C1086" s="464" t="s">
        <v>534</v>
      </c>
      <c r="D1086" s="464"/>
      <c r="E1086" s="464" t="s">
        <v>535</v>
      </c>
      <c r="F1086" s="464"/>
      <c r="G1086" s="464" t="s">
        <v>467</v>
      </c>
      <c r="H1086" s="464" t="s">
        <v>2801</v>
      </c>
      <c r="I1086" s="465" t="s">
        <v>537</v>
      </c>
      <c r="J1086" s="465" t="s">
        <v>537</v>
      </c>
      <c r="K1086" s="466">
        <v>131400</v>
      </c>
      <c r="L1086" s="465" t="s">
        <v>537</v>
      </c>
      <c r="M1086" s="465" t="s">
        <v>537</v>
      </c>
      <c r="N1086" s="466">
        <v>121303</v>
      </c>
      <c r="O1086" s="463" t="s">
        <v>537</v>
      </c>
      <c r="P1086" s="463" t="s">
        <v>537</v>
      </c>
      <c r="Q1086" s="468">
        <v>10097</v>
      </c>
      <c r="R1086" s="470">
        <v>241459</v>
      </c>
      <c r="S1086" s="463" t="s">
        <v>2794</v>
      </c>
      <c r="T1086" s="463">
        <v>400</v>
      </c>
      <c r="U1086" s="463">
        <v>60</v>
      </c>
      <c r="V1086" s="463">
        <v>100</v>
      </c>
      <c r="W1086" s="463">
        <v>400</v>
      </c>
      <c r="X1086" s="463">
        <v>60</v>
      </c>
      <c r="Y1086" s="463">
        <v>100</v>
      </c>
      <c r="Z1086" s="463">
        <v>95</v>
      </c>
      <c r="AA1086" s="472" t="s">
        <v>2802</v>
      </c>
      <c r="AB1086" s="463" t="s">
        <v>539</v>
      </c>
      <c r="AC1086" s="463" t="s">
        <v>539</v>
      </c>
      <c r="AD1086" s="472" t="s">
        <v>2803</v>
      </c>
      <c r="AE1086" s="463">
        <v>80</v>
      </c>
      <c r="AF1086" s="463">
        <v>95</v>
      </c>
      <c r="AG1086" s="463" t="s">
        <v>375</v>
      </c>
      <c r="AH1086" s="476"/>
      <c r="AI1086" s="472" t="s">
        <v>537</v>
      </c>
      <c r="AJ1086" s="472" t="s">
        <v>2804</v>
      </c>
    </row>
    <row r="1087" spans="2:36" ht="24" hidden="1" customHeight="1">
      <c r="B1087" s="463">
        <v>891</v>
      </c>
      <c r="C1087" s="464" t="s">
        <v>534</v>
      </c>
      <c r="D1087" s="464"/>
      <c r="E1087" s="464" t="s">
        <v>535</v>
      </c>
      <c r="F1087" s="464"/>
      <c r="G1087" s="464" t="s">
        <v>467</v>
      </c>
      <c r="H1087" s="464" t="s">
        <v>2805</v>
      </c>
      <c r="I1087" s="465" t="s">
        <v>537</v>
      </c>
      <c r="J1087" s="465" t="s">
        <v>537</v>
      </c>
      <c r="K1087" s="466">
        <v>104500</v>
      </c>
      <c r="L1087" s="465" t="s">
        <v>537</v>
      </c>
      <c r="M1087" s="465" t="s">
        <v>537</v>
      </c>
      <c r="N1087" s="466">
        <v>104500</v>
      </c>
      <c r="O1087" s="463" t="s">
        <v>537</v>
      </c>
      <c r="P1087" s="463" t="s">
        <v>537</v>
      </c>
      <c r="Q1087" s="465">
        <v>0</v>
      </c>
      <c r="R1087" s="470">
        <v>241459</v>
      </c>
      <c r="S1087" s="463" t="s">
        <v>2794</v>
      </c>
      <c r="T1087" s="463">
        <v>800</v>
      </c>
      <c r="U1087" s="463">
        <v>0</v>
      </c>
      <c r="V1087" s="463">
        <v>0</v>
      </c>
      <c r="W1087" s="463">
        <v>800</v>
      </c>
      <c r="X1087" s="463">
        <v>0</v>
      </c>
      <c r="Y1087" s="463">
        <v>0</v>
      </c>
      <c r="Z1087" s="463">
        <v>95</v>
      </c>
      <c r="AA1087" s="472" t="s">
        <v>2802</v>
      </c>
      <c r="AB1087" s="463" t="s">
        <v>539</v>
      </c>
      <c r="AC1087" s="463" t="s">
        <v>539</v>
      </c>
      <c r="AD1087" s="472" t="s">
        <v>2803</v>
      </c>
      <c r="AE1087" s="463">
        <v>80</v>
      </c>
      <c r="AF1087" s="463">
        <v>95</v>
      </c>
      <c r="AG1087" s="463" t="s">
        <v>375</v>
      </c>
      <c r="AH1087" s="476"/>
      <c r="AI1087" s="472" t="s">
        <v>537</v>
      </c>
      <c r="AJ1087" s="472" t="s">
        <v>2804</v>
      </c>
    </row>
    <row r="1088" spans="2:36" ht="24" hidden="1" customHeight="1">
      <c r="B1088" s="463">
        <v>892</v>
      </c>
      <c r="C1088" s="464" t="s">
        <v>534</v>
      </c>
      <c r="D1088" s="464"/>
      <c r="E1088" s="464" t="s">
        <v>535</v>
      </c>
      <c r="F1088" s="464"/>
      <c r="G1088" s="464" t="s">
        <v>467</v>
      </c>
      <c r="H1088" s="464" t="s">
        <v>2806</v>
      </c>
      <c r="I1088" s="465" t="s">
        <v>537</v>
      </c>
      <c r="J1088" s="465" t="s">
        <v>537</v>
      </c>
      <c r="K1088" s="466">
        <v>330000</v>
      </c>
      <c r="L1088" s="465" t="s">
        <v>537</v>
      </c>
      <c r="M1088" s="465" t="s">
        <v>537</v>
      </c>
      <c r="N1088" s="466">
        <v>327332</v>
      </c>
      <c r="O1088" s="463" t="s">
        <v>537</v>
      </c>
      <c r="P1088" s="463" t="s">
        <v>537</v>
      </c>
      <c r="Q1088" s="468">
        <v>2668</v>
      </c>
      <c r="R1088" s="470">
        <v>241459</v>
      </c>
      <c r="S1088" s="463" t="s">
        <v>2794</v>
      </c>
      <c r="T1088" s="463">
        <v>198</v>
      </c>
      <c r="U1088" s="463">
        <v>0</v>
      </c>
      <c r="V1088" s="463">
        <v>0</v>
      </c>
      <c r="W1088" s="463">
        <v>198</v>
      </c>
      <c r="X1088" s="463">
        <v>0</v>
      </c>
      <c r="Y1088" s="463">
        <v>0</v>
      </c>
      <c r="Z1088" s="463">
        <v>94.8</v>
      </c>
      <c r="AA1088" s="472" t="s">
        <v>2802</v>
      </c>
      <c r="AB1088" s="463" t="s">
        <v>539</v>
      </c>
      <c r="AC1088" s="463" t="s">
        <v>539</v>
      </c>
      <c r="AD1088" s="472" t="s">
        <v>2803</v>
      </c>
      <c r="AE1088" s="463">
        <v>80</v>
      </c>
      <c r="AF1088" s="463">
        <v>94.8</v>
      </c>
      <c r="AG1088" s="463" t="s">
        <v>375</v>
      </c>
      <c r="AH1088" s="476"/>
      <c r="AI1088" s="472" t="s">
        <v>537</v>
      </c>
      <c r="AJ1088" s="472" t="s">
        <v>2804</v>
      </c>
    </row>
    <row r="1089" spans="1:36" ht="24" hidden="1" customHeight="1">
      <c r="B1089" s="463">
        <v>893</v>
      </c>
      <c r="C1089" s="464" t="s">
        <v>534</v>
      </c>
      <c r="D1089" s="464"/>
      <c r="E1089" s="464" t="s">
        <v>535</v>
      </c>
      <c r="F1089" s="464"/>
      <c r="G1089" s="464" t="s">
        <v>467</v>
      </c>
      <c r="H1089" s="464" t="s">
        <v>2807</v>
      </c>
      <c r="I1089" s="465" t="s">
        <v>537</v>
      </c>
      <c r="J1089" s="465" t="s">
        <v>537</v>
      </c>
      <c r="K1089" s="466">
        <v>51000</v>
      </c>
      <c r="L1089" s="465" t="s">
        <v>537</v>
      </c>
      <c r="M1089" s="465" t="s">
        <v>537</v>
      </c>
      <c r="N1089" s="466">
        <v>51000</v>
      </c>
      <c r="O1089" s="463" t="s">
        <v>537</v>
      </c>
      <c r="P1089" s="463" t="s">
        <v>537</v>
      </c>
      <c r="Q1089" s="465">
        <v>0</v>
      </c>
      <c r="R1089" s="470">
        <v>241487</v>
      </c>
      <c r="S1089" s="463" t="s">
        <v>1495</v>
      </c>
      <c r="T1089" s="463">
        <v>222</v>
      </c>
      <c r="U1089" s="463">
        <v>9</v>
      </c>
      <c r="V1089" s="463">
        <v>0</v>
      </c>
      <c r="W1089" s="463">
        <v>229</v>
      </c>
      <c r="X1089" s="463">
        <v>7</v>
      </c>
      <c r="Y1089" s="463">
        <v>0</v>
      </c>
      <c r="Z1089" s="463">
        <v>95</v>
      </c>
      <c r="AA1089" s="472" t="s">
        <v>547</v>
      </c>
      <c r="AB1089" s="463" t="s">
        <v>539</v>
      </c>
      <c r="AC1089" s="463" t="s">
        <v>539</v>
      </c>
      <c r="AD1089" s="472" t="s">
        <v>675</v>
      </c>
      <c r="AE1089" s="463">
        <v>80</v>
      </c>
      <c r="AF1089" s="463">
        <v>96.35</v>
      </c>
      <c r="AG1089" s="463" t="s">
        <v>375</v>
      </c>
      <c r="AH1089" s="476"/>
      <c r="AI1089" s="472" t="s">
        <v>537</v>
      </c>
      <c r="AJ1089" s="472" t="s">
        <v>792</v>
      </c>
    </row>
    <row r="1090" spans="1:36" ht="24" hidden="1" customHeight="1">
      <c r="B1090" s="463">
        <v>894</v>
      </c>
      <c r="C1090" s="464" t="s">
        <v>534</v>
      </c>
      <c r="D1090" s="464"/>
      <c r="E1090" s="464" t="s">
        <v>535</v>
      </c>
      <c r="F1090" s="464"/>
      <c r="G1090" s="464" t="s">
        <v>467</v>
      </c>
      <c r="H1090" s="464" t="s">
        <v>2808</v>
      </c>
      <c r="I1090" s="465" t="s">
        <v>537</v>
      </c>
      <c r="J1090" s="465" t="s">
        <v>537</v>
      </c>
      <c r="K1090" s="466">
        <v>35500</v>
      </c>
      <c r="L1090" s="465" t="s">
        <v>537</v>
      </c>
      <c r="M1090" s="465" t="s">
        <v>537</v>
      </c>
      <c r="N1090" s="466">
        <v>35500</v>
      </c>
      <c r="O1090" s="463" t="s">
        <v>537</v>
      </c>
      <c r="P1090" s="463" t="s">
        <v>537</v>
      </c>
      <c r="Q1090" s="465">
        <v>0</v>
      </c>
      <c r="R1090" s="470">
        <v>241487</v>
      </c>
      <c r="S1090" s="463" t="s">
        <v>1495</v>
      </c>
      <c r="T1090" s="463">
        <v>34</v>
      </c>
      <c r="U1090" s="463">
        <v>6</v>
      </c>
      <c r="V1090" s="463">
        <v>60</v>
      </c>
      <c r="W1090" s="463">
        <v>34</v>
      </c>
      <c r="X1090" s="463">
        <v>6</v>
      </c>
      <c r="Y1090" s="463">
        <v>60</v>
      </c>
      <c r="Z1090" s="463">
        <v>96</v>
      </c>
      <c r="AA1090" s="472" t="s">
        <v>547</v>
      </c>
      <c r="AB1090" s="463" t="s">
        <v>539</v>
      </c>
      <c r="AC1090" s="463" t="s">
        <v>539</v>
      </c>
      <c r="AD1090" s="472" t="s">
        <v>675</v>
      </c>
      <c r="AE1090" s="463">
        <v>80</v>
      </c>
      <c r="AF1090" s="463">
        <v>96</v>
      </c>
      <c r="AG1090" s="463" t="s">
        <v>375</v>
      </c>
      <c r="AH1090" s="476"/>
      <c r="AI1090" s="472" t="s">
        <v>566</v>
      </c>
      <c r="AJ1090" s="472" t="s">
        <v>2804</v>
      </c>
    </row>
    <row r="1091" spans="1:36" ht="24" hidden="1" customHeight="1">
      <c r="B1091" s="463">
        <v>895</v>
      </c>
      <c r="C1091" s="464" t="s">
        <v>534</v>
      </c>
      <c r="D1091" s="464"/>
      <c r="E1091" s="464" t="s">
        <v>535</v>
      </c>
      <c r="F1091" s="464"/>
      <c r="G1091" s="464" t="s">
        <v>467</v>
      </c>
      <c r="H1091" s="464" t="s">
        <v>2809</v>
      </c>
      <c r="I1091" s="465" t="s">
        <v>537</v>
      </c>
      <c r="J1091" s="465" t="s">
        <v>537</v>
      </c>
      <c r="K1091" s="466">
        <v>163500</v>
      </c>
      <c r="L1091" s="465" t="s">
        <v>537</v>
      </c>
      <c r="M1091" s="465" t="s">
        <v>537</v>
      </c>
      <c r="N1091" s="466">
        <v>128340</v>
      </c>
      <c r="O1091" s="463" t="s">
        <v>537</v>
      </c>
      <c r="P1091" s="463" t="s">
        <v>537</v>
      </c>
      <c r="Q1091" s="468">
        <v>35160</v>
      </c>
      <c r="R1091" s="470">
        <v>241487</v>
      </c>
      <c r="S1091" s="463" t="s">
        <v>2483</v>
      </c>
      <c r="T1091" s="463">
        <v>70</v>
      </c>
      <c r="U1091" s="463">
        <v>30</v>
      </c>
      <c r="V1091" s="463">
        <v>0</v>
      </c>
      <c r="W1091" s="463">
        <v>123</v>
      </c>
      <c r="X1091" s="463">
        <v>37</v>
      </c>
      <c r="Y1091" s="463">
        <v>0</v>
      </c>
      <c r="Z1091" s="463">
        <v>90.68</v>
      </c>
      <c r="AA1091" s="472" t="s">
        <v>547</v>
      </c>
      <c r="AB1091" s="463" t="s">
        <v>539</v>
      </c>
      <c r="AC1091" s="463" t="s">
        <v>539</v>
      </c>
      <c r="AD1091" s="472" t="s">
        <v>675</v>
      </c>
      <c r="AE1091" s="463">
        <v>80</v>
      </c>
      <c r="AF1091" s="463">
        <v>91.07</v>
      </c>
      <c r="AG1091" s="463" t="s">
        <v>375</v>
      </c>
      <c r="AH1091" s="476"/>
      <c r="AI1091" s="472" t="s">
        <v>537</v>
      </c>
      <c r="AJ1091" s="472" t="s">
        <v>792</v>
      </c>
    </row>
    <row r="1092" spans="1:36" ht="24" hidden="1" customHeight="1">
      <c r="B1092" s="463">
        <v>896</v>
      </c>
      <c r="C1092" s="464" t="s">
        <v>534</v>
      </c>
      <c r="D1092" s="464"/>
      <c r="E1092" s="464" t="s">
        <v>535</v>
      </c>
      <c r="F1092" s="464"/>
      <c r="G1092" s="464" t="s">
        <v>467</v>
      </c>
      <c r="H1092" s="464" t="s">
        <v>2810</v>
      </c>
      <c r="I1092" s="465" t="s">
        <v>537</v>
      </c>
      <c r="J1092" s="465" t="s">
        <v>537</v>
      </c>
      <c r="K1092" s="466">
        <v>350000</v>
      </c>
      <c r="L1092" s="465" t="s">
        <v>537</v>
      </c>
      <c r="M1092" s="465" t="s">
        <v>537</v>
      </c>
      <c r="N1092" s="466">
        <v>285490</v>
      </c>
      <c r="O1092" s="463" t="s">
        <v>537</v>
      </c>
      <c r="P1092" s="463" t="s">
        <v>537</v>
      </c>
      <c r="Q1092" s="468">
        <v>64510</v>
      </c>
      <c r="R1092" s="470">
        <v>241487</v>
      </c>
      <c r="S1092" s="463" t="s">
        <v>2483</v>
      </c>
      <c r="T1092" s="463">
        <v>70</v>
      </c>
      <c r="U1092" s="463">
        <v>80</v>
      </c>
      <c r="V1092" s="463">
        <v>850</v>
      </c>
      <c r="W1092" s="463">
        <v>1395</v>
      </c>
      <c r="X1092" s="463">
        <v>114</v>
      </c>
      <c r="Y1092" s="463">
        <v>506</v>
      </c>
      <c r="Z1092" s="463">
        <v>89.78</v>
      </c>
      <c r="AA1092" s="472" t="s">
        <v>547</v>
      </c>
      <c r="AB1092" s="463" t="s">
        <v>539</v>
      </c>
      <c r="AC1092" s="463" t="s">
        <v>539</v>
      </c>
      <c r="AD1092" s="472" t="s">
        <v>2811</v>
      </c>
      <c r="AE1092" s="463">
        <v>80</v>
      </c>
      <c r="AF1092" s="463">
        <v>89.78</v>
      </c>
      <c r="AG1092" s="463" t="s">
        <v>375</v>
      </c>
      <c r="AH1092" s="476"/>
      <c r="AI1092" s="472" t="s">
        <v>2356</v>
      </c>
      <c r="AJ1092" s="472" t="s">
        <v>792</v>
      </c>
    </row>
    <row r="1093" spans="1:36" ht="24" hidden="1" customHeight="1">
      <c r="B1093" s="463">
        <v>897</v>
      </c>
      <c r="C1093" s="464" t="s">
        <v>534</v>
      </c>
      <c r="D1093" s="464"/>
      <c r="E1093" s="464" t="s">
        <v>535</v>
      </c>
      <c r="F1093" s="464"/>
      <c r="G1093" s="464" t="s">
        <v>195</v>
      </c>
      <c r="H1093" s="464" t="s">
        <v>2812</v>
      </c>
      <c r="I1093" s="465" t="s">
        <v>537</v>
      </c>
      <c r="J1093" s="465" t="s">
        <v>537</v>
      </c>
      <c r="K1093" s="466">
        <v>150000</v>
      </c>
      <c r="L1093" s="465" t="s">
        <v>537</v>
      </c>
      <c r="M1093" s="465" t="s">
        <v>537</v>
      </c>
      <c r="N1093" s="466">
        <v>149800</v>
      </c>
      <c r="O1093" s="463" t="s">
        <v>537</v>
      </c>
      <c r="P1093" s="463" t="s">
        <v>537</v>
      </c>
      <c r="Q1093" s="465">
        <v>200</v>
      </c>
      <c r="R1093" s="470">
        <v>241428</v>
      </c>
      <c r="S1093" s="463" t="s">
        <v>623</v>
      </c>
      <c r="T1093" s="463">
        <v>0</v>
      </c>
      <c r="U1093" s="463">
        <v>0</v>
      </c>
      <c r="V1093" s="463">
        <v>500</v>
      </c>
      <c r="W1093" s="463">
        <v>500</v>
      </c>
      <c r="X1093" s="464"/>
      <c r="Y1093" s="463">
        <v>500</v>
      </c>
      <c r="Z1093" s="463">
        <v>86</v>
      </c>
      <c r="AA1093" s="472" t="s">
        <v>1119</v>
      </c>
      <c r="AB1093" s="463" t="s">
        <v>539</v>
      </c>
      <c r="AC1093" s="463" t="s">
        <v>539</v>
      </c>
      <c r="AD1093" s="472" t="s">
        <v>2813</v>
      </c>
      <c r="AE1093" s="463">
        <v>80</v>
      </c>
      <c r="AF1093" s="463">
        <v>86</v>
      </c>
      <c r="AG1093" s="463" t="s">
        <v>375</v>
      </c>
      <c r="AH1093" s="476"/>
      <c r="AI1093" s="472">
        <v>896555747</v>
      </c>
      <c r="AJ1093" s="472" t="s">
        <v>543</v>
      </c>
    </row>
    <row r="1094" spans="1:36" ht="24" hidden="1" customHeight="1">
      <c r="B1094" s="463">
        <v>898</v>
      </c>
      <c r="C1094" s="464" t="s">
        <v>534</v>
      </c>
      <c r="D1094" s="464"/>
      <c r="E1094" s="464" t="s">
        <v>535</v>
      </c>
      <c r="F1094" s="464"/>
      <c r="G1094" s="464" t="s">
        <v>195</v>
      </c>
      <c r="H1094" s="464" t="s">
        <v>2814</v>
      </c>
      <c r="I1094" s="465" t="s">
        <v>537</v>
      </c>
      <c r="J1094" s="465" t="s">
        <v>537</v>
      </c>
      <c r="K1094" s="466">
        <v>30000</v>
      </c>
      <c r="L1094" s="465" t="s">
        <v>537</v>
      </c>
      <c r="M1094" s="465" t="s">
        <v>537</v>
      </c>
      <c r="N1094" s="466">
        <v>20160</v>
      </c>
      <c r="O1094" s="463" t="s">
        <v>537</v>
      </c>
      <c r="P1094" s="463" t="s">
        <v>537</v>
      </c>
      <c r="Q1094" s="468">
        <v>9840</v>
      </c>
      <c r="R1094" s="470">
        <v>241428</v>
      </c>
      <c r="S1094" s="463" t="s">
        <v>2815</v>
      </c>
      <c r="T1094" s="463">
        <v>0</v>
      </c>
      <c r="U1094" s="463">
        <v>15</v>
      </c>
      <c r="V1094" s="463">
        <v>500</v>
      </c>
      <c r="W1094" s="463">
        <v>1000</v>
      </c>
      <c r="X1094" s="463">
        <v>15</v>
      </c>
      <c r="Y1094" s="464"/>
      <c r="Z1094" s="463">
        <v>85.25</v>
      </c>
      <c r="AA1094" s="472" t="s">
        <v>2816</v>
      </c>
      <c r="AB1094" s="463" t="s">
        <v>539</v>
      </c>
      <c r="AC1094" s="463">
        <v>85.25</v>
      </c>
      <c r="AD1094" s="472" t="s">
        <v>548</v>
      </c>
      <c r="AE1094" s="463">
        <v>80</v>
      </c>
      <c r="AF1094" s="463">
        <v>86.78</v>
      </c>
      <c r="AG1094" s="463" t="s">
        <v>375</v>
      </c>
      <c r="AH1094" s="476"/>
      <c r="AI1094" s="472">
        <v>816082425</v>
      </c>
      <c r="AJ1094" s="472" t="s">
        <v>543</v>
      </c>
    </row>
    <row r="1095" spans="1:36" ht="24" hidden="1" customHeight="1">
      <c r="B1095" s="463">
        <v>899</v>
      </c>
      <c r="C1095" s="464" t="s">
        <v>534</v>
      </c>
      <c r="D1095" s="464"/>
      <c r="E1095" s="464" t="s">
        <v>535</v>
      </c>
      <c r="F1095" s="464"/>
      <c r="G1095" s="464" t="s">
        <v>195</v>
      </c>
      <c r="H1095" s="464" t="s">
        <v>2817</v>
      </c>
      <c r="I1095" s="465" t="s">
        <v>537</v>
      </c>
      <c r="J1095" s="465" t="s">
        <v>537</v>
      </c>
      <c r="K1095" s="466">
        <v>89300</v>
      </c>
      <c r="L1095" s="465" t="s">
        <v>537</v>
      </c>
      <c r="M1095" s="465" t="s">
        <v>537</v>
      </c>
      <c r="N1095" s="466">
        <v>60240</v>
      </c>
      <c r="O1095" s="463" t="s">
        <v>537</v>
      </c>
      <c r="P1095" s="463" t="s">
        <v>537</v>
      </c>
      <c r="Q1095" s="468">
        <v>29060</v>
      </c>
      <c r="R1095" s="470">
        <v>241609</v>
      </c>
      <c r="S1095" s="463" t="s">
        <v>1995</v>
      </c>
      <c r="T1095" s="463">
        <v>0</v>
      </c>
      <c r="U1095" s="463">
        <v>15</v>
      </c>
      <c r="V1095" s="463">
        <v>500</v>
      </c>
      <c r="W1095" s="463">
        <v>2500</v>
      </c>
      <c r="X1095" s="463">
        <v>14</v>
      </c>
      <c r="Y1095" s="463">
        <v>0</v>
      </c>
      <c r="Z1095" s="463">
        <v>88.53</v>
      </c>
      <c r="AA1095" s="472" t="s">
        <v>2816</v>
      </c>
      <c r="AB1095" s="463" t="s">
        <v>539</v>
      </c>
      <c r="AC1095" s="463" t="s">
        <v>539</v>
      </c>
      <c r="AD1095" s="472" t="s">
        <v>548</v>
      </c>
      <c r="AE1095" s="463">
        <v>80</v>
      </c>
      <c r="AF1095" s="463">
        <v>87</v>
      </c>
      <c r="AG1095" s="463" t="s">
        <v>375</v>
      </c>
      <c r="AH1095" s="476"/>
      <c r="AI1095" s="472">
        <v>816082425</v>
      </c>
      <c r="AJ1095" s="472" t="s">
        <v>543</v>
      </c>
    </row>
    <row r="1096" spans="1:36" ht="24" hidden="1" customHeight="1">
      <c r="B1096" s="463">
        <v>900</v>
      </c>
      <c r="C1096" s="464" t="s">
        <v>534</v>
      </c>
      <c r="D1096" s="464"/>
      <c r="E1096" s="464" t="s">
        <v>535</v>
      </c>
      <c r="F1096" s="464"/>
      <c r="G1096" s="464" t="s">
        <v>195</v>
      </c>
      <c r="H1096" s="464" t="s">
        <v>2818</v>
      </c>
      <c r="I1096" s="465" t="s">
        <v>537</v>
      </c>
      <c r="J1096" s="465" t="s">
        <v>537</v>
      </c>
      <c r="K1096" s="466">
        <v>29000</v>
      </c>
      <c r="L1096" s="465" t="s">
        <v>537</v>
      </c>
      <c r="M1096" s="465" t="s">
        <v>537</v>
      </c>
      <c r="N1096" s="466">
        <v>23520</v>
      </c>
      <c r="O1096" s="463" t="s">
        <v>537</v>
      </c>
      <c r="P1096" s="463" t="s">
        <v>537</v>
      </c>
      <c r="Q1096" s="468">
        <v>5480</v>
      </c>
      <c r="R1096" s="470">
        <v>241640</v>
      </c>
      <c r="S1096" s="463" t="s">
        <v>2819</v>
      </c>
      <c r="T1096" s="463">
        <v>0</v>
      </c>
      <c r="U1096" s="463">
        <v>15</v>
      </c>
      <c r="V1096" s="463">
        <v>50</v>
      </c>
      <c r="W1096" s="463">
        <v>2000</v>
      </c>
      <c r="X1096" s="463">
        <v>14</v>
      </c>
      <c r="Y1096" s="463">
        <v>0</v>
      </c>
      <c r="Z1096" s="463">
        <v>89.55</v>
      </c>
      <c r="AA1096" s="472" t="s">
        <v>2816</v>
      </c>
      <c r="AB1096" s="463" t="s">
        <v>539</v>
      </c>
      <c r="AC1096" s="463" t="s">
        <v>539</v>
      </c>
      <c r="AD1096" s="472" t="s">
        <v>548</v>
      </c>
      <c r="AE1096" s="463">
        <v>80</v>
      </c>
      <c r="AF1096" s="463">
        <v>87.64</v>
      </c>
      <c r="AG1096" s="463" t="s">
        <v>375</v>
      </c>
      <c r="AH1096" s="476"/>
      <c r="AI1096" s="472">
        <v>816082425</v>
      </c>
      <c r="AJ1096" s="472" t="s">
        <v>543</v>
      </c>
    </row>
    <row r="1097" spans="1:36" ht="24" hidden="1" customHeight="1">
      <c r="B1097" s="463">
        <v>901</v>
      </c>
      <c r="C1097" s="464" t="s">
        <v>534</v>
      </c>
      <c r="D1097" s="464"/>
      <c r="E1097" s="464" t="s">
        <v>535</v>
      </c>
      <c r="F1097" s="464"/>
      <c r="G1097" s="464" t="s">
        <v>195</v>
      </c>
      <c r="H1097" s="464" t="s">
        <v>2820</v>
      </c>
      <c r="I1097" s="465" t="s">
        <v>537</v>
      </c>
      <c r="J1097" s="465" t="s">
        <v>537</v>
      </c>
      <c r="K1097" s="466">
        <v>61700</v>
      </c>
      <c r="L1097" s="465" t="s">
        <v>537</v>
      </c>
      <c r="M1097" s="465" t="s">
        <v>537</v>
      </c>
      <c r="N1097" s="466">
        <v>51000</v>
      </c>
      <c r="O1097" s="463" t="s">
        <v>537</v>
      </c>
      <c r="P1097" s="463" t="s">
        <v>537</v>
      </c>
      <c r="Q1097" s="468">
        <v>10700</v>
      </c>
      <c r="R1097" s="470">
        <v>241609</v>
      </c>
      <c r="S1097" s="471">
        <v>22488</v>
      </c>
      <c r="T1097" s="463">
        <v>0</v>
      </c>
      <c r="U1097" s="463">
        <v>20</v>
      </c>
      <c r="V1097" s="463">
        <v>80</v>
      </c>
      <c r="W1097" s="463">
        <v>12</v>
      </c>
      <c r="X1097" s="463">
        <v>47</v>
      </c>
      <c r="Y1097" s="463">
        <v>75</v>
      </c>
      <c r="Z1097" s="463">
        <v>89.45</v>
      </c>
      <c r="AA1097" s="472" t="s">
        <v>2816</v>
      </c>
      <c r="AB1097" s="463" t="s">
        <v>539</v>
      </c>
      <c r="AC1097" s="463" t="s">
        <v>539</v>
      </c>
      <c r="AD1097" s="472" t="s">
        <v>548</v>
      </c>
      <c r="AE1097" s="463">
        <v>80</v>
      </c>
      <c r="AF1097" s="463">
        <v>85</v>
      </c>
      <c r="AG1097" s="463" t="s">
        <v>375</v>
      </c>
      <c r="AH1097" s="476"/>
      <c r="AI1097" s="472">
        <v>816082425</v>
      </c>
      <c r="AJ1097" s="472" t="s">
        <v>543</v>
      </c>
    </row>
    <row r="1098" spans="1:36" ht="24" hidden="1" customHeight="1">
      <c r="B1098" s="463">
        <v>902</v>
      </c>
      <c r="C1098" s="464" t="s">
        <v>165</v>
      </c>
      <c r="D1098" s="464"/>
      <c r="E1098" s="464" t="s">
        <v>535</v>
      </c>
      <c r="F1098" s="464"/>
      <c r="G1098" s="464" t="s">
        <v>195</v>
      </c>
      <c r="H1098" s="464" t="s">
        <v>2821</v>
      </c>
      <c r="I1098" s="465" t="s">
        <v>537</v>
      </c>
      <c r="J1098" s="465" t="s">
        <v>537</v>
      </c>
      <c r="K1098" s="466">
        <v>28100</v>
      </c>
      <c r="L1098" s="465" t="s">
        <v>537</v>
      </c>
      <c r="M1098" s="465" t="s">
        <v>537</v>
      </c>
      <c r="N1098" s="466">
        <v>8520</v>
      </c>
      <c r="O1098" s="463" t="s">
        <v>537</v>
      </c>
      <c r="P1098" s="463" t="s">
        <v>537</v>
      </c>
      <c r="Q1098" s="468">
        <v>19580</v>
      </c>
      <c r="R1098" s="470">
        <v>241640</v>
      </c>
      <c r="S1098" s="471">
        <v>22503</v>
      </c>
      <c r="T1098" s="463">
        <v>0</v>
      </c>
      <c r="U1098" s="463">
        <v>15</v>
      </c>
      <c r="V1098" s="463">
        <v>55</v>
      </c>
      <c r="W1098" s="463">
        <v>0</v>
      </c>
      <c r="X1098" s="463">
        <v>32</v>
      </c>
      <c r="Y1098" s="464"/>
      <c r="Z1098" s="463">
        <v>86.5</v>
      </c>
      <c r="AA1098" s="472" t="s">
        <v>547</v>
      </c>
      <c r="AB1098" s="463" t="s">
        <v>539</v>
      </c>
      <c r="AC1098" s="463" t="s">
        <v>539</v>
      </c>
      <c r="AD1098" s="472" t="s">
        <v>1075</v>
      </c>
      <c r="AE1098" s="463">
        <v>80</v>
      </c>
      <c r="AF1098" s="463">
        <v>88.7</v>
      </c>
      <c r="AG1098" s="463" t="s">
        <v>375</v>
      </c>
      <c r="AH1098" s="476"/>
      <c r="AI1098" s="472">
        <v>929679129</v>
      </c>
      <c r="AJ1098" s="472" t="s">
        <v>543</v>
      </c>
    </row>
    <row r="1099" spans="1:36" ht="24" customHeight="1">
      <c r="A1099" s="452">
        <v>104</v>
      </c>
      <c r="B1099" s="701">
        <v>903</v>
      </c>
      <c r="C1099" s="699" t="s">
        <v>377</v>
      </c>
      <c r="D1099" s="699"/>
      <c r="E1099" s="699" t="s">
        <v>602</v>
      </c>
      <c r="F1099" s="699"/>
      <c r="G1099" s="699" t="s">
        <v>47</v>
      </c>
      <c r="H1099" s="699" t="s">
        <v>2822</v>
      </c>
      <c r="I1099" s="712">
        <v>200000</v>
      </c>
      <c r="J1099" s="709" t="s">
        <v>537</v>
      </c>
      <c r="K1099" s="709" t="s">
        <v>537</v>
      </c>
      <c r="L1099" s="712">
        <v>196800</v>
      </c>
      <c r="M1099" s="709" t="s">
        <v>537</v>
      </c>
      <c r="N1099" s="709" t="s">
        <v>537</v>
      </c>
      <c r="O1099" s="701" t="s">
        <v>537</v>
      </c>
      <c r="P1099" s="701" t="s">
        <v>537</v>
      </c>
      <c r="Q1099" s="705">
        <v>3200</v>
      </c>
      <c r="R1099" s="707">
        <v>241428</v>
      </c>
      <c r="S1099" s="701" t="s">
        <v>2823</v>
      </c>
      <c r="T1099" s="701">
        <v>38</v>
      </c>
      <c r="U1099" s="701">
        <v>8</v>
      </c>
      <c r="V1099" s="701">
        <v>0</v>
      </c>
      <c r="W1099" s="701">
        <v>40</v>
      </c>
      <c r="X1099" s="701">
        <v>6</v>
      </c>
      <c r="Y1099" s="701">
        <v>0</v>
      </c>
      <c r="Z1099" s="701">
        <v>90</v>
      </c>
      <c r="AA1099" s="697" t="s">
        <v>612</v>
      </c>
      <c r="AB1099" s="701" t="s">
        <v>539</v>
      </c>
      <c r="AC1099" s="701" t="s">
        <v>539</v>
      </c>
      <c r="AD1099" s="458" t="s">
        <v>2824</v>
      </c>
      <c r="AE1099" s="459">
        <v>80</v>
      </c>
      <c r="AF1099" s="459">
        <v>89</v>
      </c>
      <c r="AG1099" s="701" t="s">
        <v>375</v>
      </c>
      <c r="AH1099" s="728"/>
      <c r="AI1099" s="697">
        <v>635911094</v>
      </c>
      <c r="AJ1099" s="699"/>
    </row>
    <row r="1100" spans="1:36" ht="24" hidden="1" customHeight="1">
      <c r="B1100" s="702"/>
      <c r="C1100" s="700"/>
      <c r="D1100" s="700"/>
      <c r="E1100" s="700"/>
      <c r="F1100" s="700"/>
      <c r="G1100" s="700"/>
      <c r="H1100" s="700"/>
      <c r="I1100" s="713"/>
      <c r="J1100" s="710"/>
      <c r="K1100" s="710"/>
      <c r="L1100" s="713"/>
      <c r="M1100" s="710"/>
      <c r="N1100" s="710"/>
      <c r="O1100" s="702"/>
      <c r="P1100" s="702"/>
      <c r="Q1100" s="706"/>
      <c r="R1100" s="708"/>
      <c r="S1100" s="702"/>
      <c r="T1100" s="702"/>
      <c r="U1100" s="702"/>
      <c r="V1100" s="702"/>
      <c r="W1100" s="702"/>
      <c r="X1100" s="702"/>
      <c r="Y1100" s="702"/>
      <c r="Z1100" s="702"/>
      <c r="AA1100" s="698"/>
      <c r="AB1100" s="702"/>
      <c r="AC1100" s="702"/>
      <c r="AD1100" s="473" t="s">
        <v>2825</v>
      </c>
      <c r="AE1100" s="474">
        <v>38</v>
      </c>
      <c r="AF1100" s="474">
        <v>46</v>
      </c>
      <c r="AG1100" s="702"/>
      <c r="AH1100" s="729"/>
      <c r="AI1100" s="698"/>
      <c r="AJ1100" s="700"/>
    </row>
    <row r="1101" spans="1:36" ht="24" customHeight="1">
      <c r="A1101" s="452">
        <v>105</v>
      </c>
      <c r="B1101" s="701">
        <v>904</v>
      </c>
      <c r="C1101" s="699" t="s">
        <v>377</v>
      </c>
      <c r="D1101" s="699"/>
      <c r="E1101" s="699" t="s">
        <v>602</v>
      </c>
      <c r="F1101" s="699"/>
      <c r="G1101" s="699" t="s">
        <v>47</v>
      </c>
      <c r="H1101" s="699" t="s">
        <v>2826</v>
      </c>
      <c r="I1101" s="712">
        <v>200000</v>
      </c>
      <c r="J1101" s="709" t="s">
        <v>537</v>
      </c>
      <c r="K1101" s="709" t="s">
        <v>537</v>
      </c>
      <c r="L1101" s="712">
        <v>109000</v>
      </c>
      <c r="M1101" s="709" t="s">
        <v>537</v>
      </c>
      <c r="N1101" s="709" t="s">
        <v>537</v>
      </c>
      <c r="O1101" s="701" t="s">
        <v>537</v>
      </c>
      <c r="P1101" s="701" t="s">
        <v>537</v>
      </c>
      <c r="Q1101" s="705">
        <v>91000</v>
      </c>
      <c r="R1101" s="707">
        <v>241579</v>
      </c>
      <c r="S1101" s="701" t="s">
        <v>2827</v>
      </c>
      <c r="T1101" s="701">
        <v>35</v>
      </c>
      <c r="U1101" s="701">
        <v>6</v>
      </c>
      <c r="V1101" s="701">
        <v>4</v>
      </c>
      <c r="W1101" s="701">
        <v>31</v>
      </c>
      <c r="X1101" s="701">
        <v>5</v>
      </c>
      <c r="Y1101" s="701">
        <v>4</v>
      </c>
      <c r="Z1101" s="701">
        <v>91</v>
      </c>
      <c r="AA1101" s="697" t="s">
        <v>612</v>
      </c>
      <c r="AB1101" s="701" t="s">
        <v>539</v>
      </c>
      <c r="AC1101" s="701" t="s">
        <v>539</v>
      </c>
      <c r="AD1101" s="458" t="s">
        <v>2824</v>
      </c>
      <c r="AE1101" s="459">
        <v>80</v>
      </c>
      <c r="AF1101" s="459">
        <v>91</v>
      </c>
      <c r="AG1101" s="701" t="s">
        <v>375</v>
      </c>
      <c r="AH1101" s="728"/>
      <c r="AI1101" s="697">
        <v>937133243</v>
      </c>
      <c r="AJ1101" s="699"/>
    </row>
    <row r="1102" spans="1:36" ht="24" hidden="1" customHeight="1">
      <c r="B1102" s="702"/>
      <c r="C1102" s="700"/>
      <c r="D1102" s="700"/>
      <c r="E1102" s="700"/>
      <c r="F1102" s="700"/>
      <c r="G1102" s="700"/>
      <c r="H1102" s="700"/>
      <c r="I1102" s="713"/>
      <c r="J1102" s="710"/>
      <c r="K1102" s="710"/>
      <c r="L1102" s="713"/>
      <c r="M1102" s="710"/>
      <c r="N1102" s="710"/>
      <c r="O1102" s="702"/>
      <c r="P1102" s="702"/>
      <c r="Q1102" s="706"/>
      <c r="R1102" s="708"/>
      <c r="S1102" s="702"/>
      <c r="T1102" s="702"/>
      <c r="U1102" s="702"/>
      <c r="V1102" s="702"/>
      <c r="W1102" s="702"/>
      <c r="X1102" s="702"/>
      <c r="Y1102" s="702"/>
      <c r="Z1102" s="702"/>
      <c r="AA1102" s="698"/>
      <c r="AB1102" s="702"/>
      <c r="AC1102" s="702"/>
      <c r="AD1102" s="473" t="s">
        <v>2828</v>
      </c>
      <c r="AE1102" s="474">
        <v>80</v>
      </c>
      <c r="AF1102" s="474">
        <v>91</v>
      </c>
      <c r="AG1102" s="702"/>
      <c r="AH1102" s="729"/>
      <c r="AI1102" s="698"/>
      <c r="AJ1102" s="700"/>
    </row>
    <row r="1103" spans="1:36" ht="24" customHeight="1">
      <c r="A1103" s="452">
        <v>105</v>
      </c>
      <c r="B1103" s="463">
        <v>905</v>
      </c>
      <c r="C1103" s="464" t="s">
        <v>377</v>
      </c>
      <c r="D1103" s="464"/>
      <c r="E1103" s="464" t="s">
        <v>602</v>
      </c>
      <c r="F1103" s="464"/>
      <c r="G1103" s="464" t="s">
        <v>47</v>
      </c>
      <c r="H1103" s="464" t="s">
        <v>2829</v>
      </c>
      <c r="I1103" s="465" t="s">
        <v>537</v>
      </c>
      <c r="J1103" s="465" t="s">
        <v>537</v>
      </c>
      <c r="K1103" s="466">
        <v>94920</v>
      </c>
      <c r="L1103" s="465" t="s">
        <v>537</v>
      </c>
      <c r="M1103" s="465" t="s">
        <v>537</v>
      </c>
      <c r="N1103" s="466">
        <v>91570</v>
      </c>
      <c r="O1103" s="463" t="s">
        <v>537</v>
      </c>
      <c r="P1103" s="463" t="s">
        <v>537</v>
      </c>
      <c r="Q1103" s="468">
        <v>3350</v>
      </c>
      <c r="R1103" s="470">
        <v>241671</v>
      </c>
      <c r="S1103" s="463" t="s">
        <v>1389</v>
      </c>
      <c r="T1103" s="463">
        <v>45</v>
      </c>
      <c r="U1103" s="463">
        <v>5</v>
      </c>
      <c r="V1103" s="463">
        <v>0</v>
      </c>
      <c r="W1103" s="463">
        <v>45</v>
      </c>
      <c r="X1103" s="463">
        <v>5</v>
      </c>
      <c r="Y1103" s="463">
        <v>0</v>
      </c>
      <c r="Z1103" s="463">
        <v>90</v>
      </c>
      <c r="AA1103" s="472" t="s">
        <v>2830</v>
      </c>
      <c r="AB1103" s="463" t="s">
        <v>539</v>
      </c>
      <c r="AC1103" s="463" t="s">
        <v>539</v>
      </c>
      <c r="AD1103" s="472" t="s">
        <v>2831</v>
      </c>
      <c r="AE1103" s="463">
        <v>80</v>
      </c>
      <c r="AF1103" s="463">
        <v>90</v>
      </c>
      <c r="AG1103" s="463" t="s">
        <v>375</v>
      </c>
      <c r="AH1103" s="476"/>
      <c r="AI1103" s="472">
        <v>973458487</v>
      </c>
      <c r="AJ1103" s="472" t="s">
        <v>543</v>
      </c>
    </row>
    <row r="1104" spans="1:36" ht="24" customHeight="1">
      <c r="A1104" s="452">
        <v>107</v>
      </c>
      <c r="B1104" s="463">
        <v>906</v>
      </c>
      <c r="C1104" s="464" t="s">
        <v>377</v>
      </c>
      <c r="D1104" s="464"/>
      <c r="E1104" s="464" t="s">
        <v>602</v>
      </c>
      <c r="F1104" s="464"/>
      <c r="G1104" s="464" t="s">
        <v>47</v>
      </c>
      <c r="H1104" s="464" t="s">
        <v>1229</v>
      </c>
      <c r="I1104" s="465" t="s">
        <v>537</v>
      </c>
      <c r="J1104" s="466">
        <v>80000</v>
      </c>
      <c r="K1104" s="465" t="s">
        <v>537</v>
      </c>
      <c r="L1104" s="465" t="s">
        <v>537</v>
      </c>
      <c r="M1104" s="466">
        <v>80000</v>
      </c>
      <c r="N1104" s="465" t="s">
        <v>537</v>
      </c>
      <c r="O1104" s="463" t="s">
        <v>537</v>
      </c>
      <c r="P1104" s="463" t="s">
        <v>537</v>
      </c>
      <c r="Q1104" s="465">
        <v>0</v>
      </c>
      <c r="R1104" s="463" t="s">
        <v>643</v>
      </c>
      <c r="S1104" s="463" t="s">
        <v>2832</v>
      </c>
      <c r="T1104" s="463">
        <v>180</v>
      </c>
      <c r="U1104" s="463">
        <v>20</v>
      </c>
      <c r="V1104" s="463">
        <v>0</v>
      </c>
      <c r="W1104" s="463">
        <v>183</v>
      </c>
      <c r="X1104" s="463">
        <v>23</v>
      </c>
      <c r="Y1104" s="463">
        <v>0</v>
      </c>
      <c r="Z1104" s="463">
        <v>83</v>
      </c>
      <c r="AA1104" s="472" t="s">
        <v>612</v>
      </c>
      <c r="AB1104" s="463" t="s">
        <v>539</v>
      </c>
      <c r="AC1104" s="463" t="s">
        <v>539</v>
      </c>
      <c r="AD1104" s="472" t="s">
        <v>565</v>
      </c>
      <c r="AE1104" s="463">
        <v>80</v>
      </c>
      <c r="AF1104" s="463">
        <v>84.75</v>
      </c>
      <c r="AG1104" s="463" t="s">
        <v>375</v>
      </c>
      <c r="AH1104" s="476"/>
      <c r="AI1104" s="472">
        <v>887823563</v>
      </c>
      <c r="AJ1104" s="464"/>
    </row>
    <row r="1105" spans="2:36" ht="24" hidden="1" customHeight="1">
      <c r="B1105" s="463">
        <v>907</v>
      </c>
      <c r="C1105" s="464" t="s">
        <v>534</v>
      </c>
      <c r="D1105" s="464"/>
      <c r="E1105" s="464" t="s">
        <v>535</v>
      </c>
      <c r="F1105" s="464"/>
      <c r="G1105" s="464" t="s">
        <v>47</v>
      </c>
      <c r="H1105" s="464" t="s">
        <v>667</v>
      </c>
      <c r="I1105" s="465" t="s">
        <v>537</v>
      </c>
      <c r="J1105" s="466">
        <v>20000</v>
      </c>
      <c r="K1105" s="465" t="s">
        <v>537</v>
      </c>
      <c r="L1105" s="465" t="s">
        <v>537</v>
      </c>
      <c r="M1105" s="466">
        <v>20000</v>
      </c>
      <c r="N1105" s="465" t="s">
        <v>537</v>
      </c>
      <c r="O1105" s="463" t="s">
        <v>537</v>
      </c>
      <c r="P1105" s="463" t="s">
        <v>537</v>
      </c>
      <c r="Q1105" s="465">
        <v>0</v>
      </c>
      <c r="R1105" s="463" t="s">
        <v>643</v>
      </c>
      <c r="S1105" s="471">
        <v>22448</v>
      </c>
      <c r="T1105" s="463">
        <v>200</v>
      </c>
      <c r="U1105" s="463">
        <v>0</v>
      </c>
      <c r="V1105" s="463">
        <v>0</v>
      </c>
      <c r="W1105" s="463">
        <v>157</v>
      </c>
      <c r="X1105" s="463">
        <v>27</v>
      </c>
      <c r="Y1105" s="463">
        <v>118</v>
      </c>
      <c r="Z1105" s="463">
        <v>93</v>
      </c>
      <c r="AA1105" s="472" t="s">
        <v>2071</v>
      </c>
      <c r="AB1105" s="463" t="s">
        <v>539</v>
      </c>
      <c r="AC1105" s="463" t="s">
        <v>539</v>
      </c>
      <c r="AD1105" s="472" t="s">
        <v>2833</v>
      </c>
      <c r="AE1105" s="463">
        <v>80</v>
      </c>
      <c r="AF1105" s="463">
        <v>89.5</v>
      </c>
      <c r="AG1105" s="463" t="s">
        <v>375</v>
      </c>
      <c r="AH1105" s="476"/>
      <c r="AI1105" s="472">
        <v>836523856</v>
      </c>
      <c r="AJ1105" s="464"/>
    </row>
    <row r="1106" spans="2:36" ht="24" hidden="1" customHeight="1">
      <c r="B1106" s="463">
        <v>908</v>
      </c>
      <c r="C1106" s="464" t="s">
        <v>534</v>
      </c>
      <c r="D1106" s="464"/>
      <c r="E1106" s="464" t="s">
        <v>535</v>
      </c>
      <c r="F1106" s="464"/>
      <c r="G1106" s="464" t="s">
        <v>47</v>
      </c>
      <c r="H1106" s="464" t="s">
        <v>668</v>
      </c>
      <c r="I1106" s="465" t="s">
        <v>537</v>
      </c>
      <c r="J1106" s="466">
        <v>20000</v>
      </c>
      <c r="K1106" s="465" t="s">
        <v>537</v>
      </c>
      <c r="L1106" s="465" t="s">
        <v>537</v>
      </c>
      <c r="M1106" s="466">
        <v>20000</v>
      </c>
      <c r="N1106" s="465" t="s">
        <v>537</v>
      </c>
      <c r="O1106" s="463" t="s">
        <v>537</v>
      </c>
      <c r="P1106" s="463" t="s">
        <v>537</v>
      </c>
      <c r="Q1106" s="465">
        <v>0</v>
      </c>
      <c r="R1106" s="470">
        <v>241487</v>
      </c>
      <c r="S1106" s="471">
        <v>22350</v>
      </c>
      <c r="T1106" s="463">
        <v>187</v>
      </c>
      <c r="U1106" s="463">
        <v>13</v>
      </c>
      <c r="V1106" s="463">
        <v>0</v>
      </c>
      <c r="W1106" s="463">
        <v>173</v>
      </c>
      <c r="X1106" s="463">
        <v>31</v>
      </c>
      <c r="Y1106" s="463">
        <v>1</v>
      </c>
      <c r="Z1106" s="463">
        <v>92.25</v>
      </c>
      <c r="AA1106" s="472" t="s">
        <v>2071</v>
      </c>
      <c r="AB1106" s="463" t="s">
        <v>539</v>
      </c>
      <c r="AC1106" s="463" t="s">
        <v>539</v>
      </c>
      <c r="AD1106" s="472" t="s">
        <v>2833</v>
      </c>
      <c r="AE1106" s="463">
        <v>80</v>
      </c>
      <c r="AF1106" s="463">
        <v>91</v>
      </c>
      <c r="AG1106" s="463" t="s">
        <v>375</v>
      </c>
      <c r="AH1106" s="476"/>
      <c r="AI1106" s="472">
        <v>836523856</v>
      </c>
      <c r="AJ1106" s="464"/>
    </row>
    <row r="1107" spans="2:36" ht="24" hidden="1" customHeight="1">
      <c r="B1107" s="701">
        <v>909</v>
      </c>
      <c r="C1107" s="699" t="s">
        <v>534</v>
      </c>
      <c r="D1107" s="699"/>
      <c r="E1107" s="699" t="s">
        <v>535</v>
      </c>
      <c r="F1107" s="699"/>
      <c r="G1107" s="699" t="s">
        <v>47</v>
      </c>
      <c r="H1107" s="699" t="s">
        <v>669</v>
      </c>
      <c r="I1107" s="709" t="s">
        <v>537</v>
      </c>
      <c r="J1107" s="712">
        <v>220000</v>
      </c>
      <c r="K1107" s="709" t="s">
        <v>537</v>
      </c>
      <c r="L1107" s="709" t="s">
        <v>537</v>
      </c>
      <c r="M1107" s="712">
        <v>219540.65</v>
      </c>
      <c r="N1107" s="709" t="s">
        <v>537</v>
      </c>
      <c r="O1107" s="701" t="s">
        <v>537</v>
      </c>
      <c r="P1107" s="701" t="s">
        <v>537</v>
      </c>
      <c r="Q1107" s="709">
        <v>459</v>
      </c>
      <c r="R1107" s="707">
        <v>241609</v>
      </c>
      <c r="S1107" s="701" t="s">
        <v>583</v>
      </c>
      <c r="T1107" s="701">
        <v>130</v>
      </c>
      <c r="U1107" s="701">
        <v>10</v>
      </c>
      <c r="V1107" s="701">
        <v>0</v>
      </c>
      <c r="W1107" s="701">
        <v>130</v>
      </c>
      <c r="X1107" s="701">
        <v>10</v>
      </c>
      <c r="Y1107" s="701">
        <v>0</v>
      </c>
      <c r="Z1107" s="701">
        <v>98</v>
      </c>
      <c r="AA1107" s="697" t="s">
        <v>899</v>
      </c>
      <c r="AB1107" s="701" t="s">
        <v>539</v>
      </c>
      <c r="AC1107" s="701" t="s">
        <v>539</v>
      </c>
      <c r="AD1107" s="458" t="s">
        <v>2834</v>
      </c>
      <c r="AE1107" s="459">
        <v>1</v>
      </c>
      <c r="AF1107" s="459">
        <v>1</v>
      </c>
      <c r="AG1107" s="701" t="s">
        <v>375</v>
      </c>
      <c r="AH1107" s="728"/>
      <c r="AI1107" s="697">
        <v>869602490</v>
      </c>
      <c r="AJ1107" s="699"/>
    </row>
    <row r="1108" spans="2:36" ht="24" hidden="1" customHeight="1">
      <c r="B1108" s="715"/>
      <c r="C1108" s="714"/>
      <c r="D1108" s="714"/>
      <c r="E1108" s="714"/>
      <c r="F1108" s="714"/>
      <c r="G1108" s="714"/>
      <c r="H1108" s="714"/>
      <c r="I1108" s="717"/>
      <c r="J1108" s="720"/>
      <c r="K1108" s="717"/>
      <c r="L1108" s="717"/>
      <c r="M1108" s="720"/>
      <c r="N1108" s="717"/>
      <c r="O1108" s="715"/>
      <c r="P1108" s="715"/>
      <c r="Q1108" s="717"/>
      <c r="R1108" s="719"/>
      <c r="S1108" s="715"/>
      <c r="T1108" s="715"/>
      <c r="U1108" s="715"/>
      <c r="V1108" s="715"/>
      <c r="W1108" s="715"/>
      <c r="X1108" s="715"/>
      <c r="Y1108" s="715"/>
      <c r="Z1108" s="715"/>
      <c r="AA1108" s="711"/>
      <c r="AB1108" s="715"/>
      <c r="AC1108" s="715"/>
      <c r="AD1108" s="460" t="s">
        <v>2835</v>
      </c>
      <c r="AE1108" s="461">
        <v>80</v>
      </c>
      <c r="AF1108" s="461">
        <v>100</v>
      </c>
      <c r="AG1108" s="715"/>
      <c r="AH1108" s="730"/>
      <c r="AI1108" s="711"/>
      <c r="AJ1108" s="714"/>
    </row>
    <row r="1109" spans="2:36" ht="24" hidden="1" customHeight="1">
      <c r="B1109" s="702"/>
      <c r="C1109" s="700"/>
      <c r="D1109" s="700"/>
      <c r="E1109" s="700"/>
      <c r="F1109" s="700"/>
      <c r="G1109" s="700"/>
      <c r="H1109" s="700"/>
      <c r="I1109" s="710"/>
      <c r="J1109" s="713"/>
      <c r="K1109" s="710"/>
      <c r="L1109" s="710"/>
      <c r="M1109" s="713"/>
      <c r="N1109" s="710"/>
      <c r="O1109" s="702"/>
      <c r="P1109" s="702"/>
      <c r="Q1109" s="710"/>
      <c r="R1109" s="708"/>
      <c r="S1109" s="702"/>
      <c r="T1109" s="702"/>
      <c r="U1109" s="702"/>
      <c r="V1109" s="702"/>
      <c r="W1109" s="702"/>
      <c r="X1109" s="702"/>
      <c r="Y1109" s="702"/>
      <c r="Z1109" s="702"/>
      <c r="AA1109" s="698"/>
      <c r="AB1109" s="702"/>
      <c r="AC1109" s="702"/>
      <c r="AD1109" s="473" t="s">
        <v>2836</v>
      </c>
      <c r="AE1109" s="474">
        <v>1</v>
      </c>
      <c r="AF1109" s="474">
        <v>1</v>
      </c>
      <c r="AG1109" s="702"/>
      <c r="AH1109" s="729"/>
      <c r="AI1109" s="698"/>
      <c r="AJ1109" s="700"/>
    </row>
    <row r="1110" spans="2:36" ht="24" hidden="1" customHeight="1">
      <c r="B1110" s="463">
        <v>910</v>
      </c>
      <c r="C1110" s="464" t="s">
        <v>534</v>
      </c>
      <c r="D1110" s="464"/>
      <c r="E1110" s="464" t="s">
        <v>535</v>
      </c>
      <c r="F1110" s="464"/>
      <c r="G1110" s="464" t="s">
        <v>47</v>
      </c>
      <c r="H1110" s="464" t="s">
        <v>2837</v>
      </c>
      <c r="I1110" s="465" t="s">
        <v>537</v>
      </c>
      <c r="J1110" s="466">
        <v>20000</v>
      </c>
      <c r="K1110" s="465" t="s">
        <v>537</v>
      </c>
      <c r="L1110" s="465" t="s">
        <v>537</v>
      </c>
      <c r="M1110" s="466">
        <v>20000</v>
      </c>
      <c r="N1110" s="465" t="s">
        <v>537</v>
      </c>
      <c r="O1110" s="463" t="s">
        <v>537</v>
      </c>
      <c r="P1110" s="463" t="s">
        <v>537</v>
      </c>
      <c r="Q1110" s="465">
        <v>0</v>
      </c>
      <c r="R1110" s="470">
        <v>241487</v>
      </c>
      <c r="S1110" s="471">
        <v>22350</v>
      </c>
      <c r="T1110" s="463">
        <v>187</v>
      </c>
      <c r="U1110" s="463">
        <v>13</v>
      </c>
      <c r="V1110" s="463">
        <v>0</v>
      </c>
      <c r="W1110" s="463">
        <v>193</v>
      </c>
      <c r="X1110" s="463">
        <v>26</v>
      </c>
      <c r="Y1110" s="463">
        <v>1</v>
      </c>
      <c r="Z1110" s="463">
        <v>92.75</v>
      </c>
      <c r="AA1110" s="472" t="s">
        <v>547</v>
      </c>
      <c r="AB1110" s="463" t="s">
        <v>539</v>
      </c>
      <c r="AC1110" s="463" t="s">
        <v>539</v>
      </c>
      <c r="AD1110" s="472" t="s">
        <v>548</v>
      </c>
      <c r="AE1110" s="463">
        <v>80</v>
      </c>
      <c r="AF1110" s="463">
        <v>89</v>
      </c>
      <c r="AG1110" s="463" t="s">
        <v>375</v>
      </c>
      <c r="AH1110" s="476"/>
      <c r="AI1110" s="472">
        <v>869602490</v>
      </c>
      <c r="AJ1110" s="464"/>
    </row>
    <row r="1111" spans="2:36" ht="24" hidden="1" customHeight="1">
      <c r="B1111" s="463">
        <v>911</v>
      </c>
      <c r="C1111" s="464" t="s">
        <v>534</v>
      </c>
      <c r="D1111" s="464"/>
      <c r="E1111" s="464" t="s">
        <v>535</v>
      </c>
      <c r="F1111" s="464"/>
      <c r="G1111" s="464" t="s">
        <v>47</v>
      </c>
      <c r="H1111" s="464" t="s">
        <v>2838</v>
      </c>
      <c r="I1111" s="465" t="s">
        <v>537</v>
      </c>
      <c r="J1111" s="466">
        <v>34000</v>
      </c>
      <c r="K1111" s="465" t="s">
        <v>537</v>
      </c>
      <c r="L1111" s="465" t="s">
        <v>537</v>
      </c>
      <c r="M1111" s="466">
        <v>34000</v>
      </c>
      <c r="N1111" s="465" t="s">
        <v>537</v>
      </c>
      <c r="O1111" s="463" t="s">
        <v>537</v>
      </c>
      <c r="P1111" s="463" t="s">
        <v>537</v>
      </c>
      <c r="Q1111" s="465">
        <v>0</v>
      </c>
      <c r="R1111" s="470">
        <v>241671</v>
      </c>
      <c r="S1111" s="463" t="s">
        <v>2839</v>
      </c>
      <c r="T1111" s="463">
        <v>0</v>
      </c>
      <c r="U1111" s="463">
        <v>50</v>
      </c>
      <c r="V1111" s="463">
        <v>0</v>
      </c>
      <c r="W1111" s="463">
        <v>0</v>
      </c>
      <c r="X1111" s="463">
        <v>50</v>
      </c>
      <c r="Y1111" s="463">
        <v>0</v>
      </c>
      <c r="Z1111" s="463">
        <v>90</v>
      </c>
      <c r="AA1111" s="472" t="s">
        <v>547</v>
      </c>
      <c r="AB1111" s="463" t="s">
        <v>539</v>
      </c>
      <c r="AC1111" s="463" t="s">
        <v>539</v>
      </c>
      <c r="AD1111" s="472" t="s">
        <v>548</v>
      </c>
      <c r="AE1111" s="463">
        <v>80</v>
      </c>
      <c r="AF1111" s="463">
        <v>89.5</v>
      </c>
      <c r="AG1111" s="463" t="s">
        <v>375</v>
      </c>
      <c r="AH1111" s="476"/>
      <c r="AI1111" s="472">
        <v>841953351</v>
      </c>
      <c r="AJ1111" s="464"/>
    </row>
    <row r="1112" spans="2:36" ht="24" hidden="1" customHeight="1">
      <c r="B1112" s="463">
        <v>912</v>
      </c>
      <c r="C1112" s="464" t="s">
        <v>534</v>
      </c>
      <c r="D1112" s="464"/>
      <c r="E1112" s="464" t="s">
        <v>535</v>
      </c>
      <c r="F1112" s="464"/>
      <c r="G1112" s="464" t="s">
        <v>47</v>
      </c>
      <c r="H1112" s="464" t="s">
        <v>2840</v>
      </c>
      <c r="I1112" s="465" t="s">
        <v>537</v>
      </c>
      <c r="J1112" s="465" t="s">
        <v>537</v>
      </c>
      <c r="K1112" s="466">
        <v>200000</v>
      </c>
      <c r="L1112" s="465" t="s">
        <v>537</v>
      </c>
      <c r="M1112" s="465" t="s">
        <v>537</v>
      </c>
      <c r="N1112" s="466">
        <v>196460</v>
      </c>
      <c r="O1112" s="463" t="s">
        <v>537</v>
      </c>
      <c r="P1112" s="463" t="s">
        <v>537</v>
      </c>
      <c r="Q1112" s="468">
        <v>3540</v>
      </c>
      <c r="R1112" s="470">
        <v>241428</v>
      </c>
      <c r="S1112" s="463" t="s">
        <v>2841</v>
      </c>
      <c r="T1112" s="463">
        <v>8</v>
      </c>
      <c r="U1112" s="463">
        <v>5</v>
      </c>
      <c r="V1112" s="463">
        <v>100</v>
      </c>
      <c r="W1112" s="463">
        <v>20</v>
      </c>
      <c r="X1112" s="463">
        <v>5</v>
      </c>
      <c r="Y1112" s="463">
        <v>300</v>
      </c>
      <c r="Z1112" s="463">
        <v>90.33</v>
      </c>
      <c r="AA1112" s="472" t="s">
        <v>624</v>
      </c>
      <c r="AB1112" s="463" t="s">
        <v>539</v>
      </c>
      <c r="AC1112" s="463" t="s">
        <v>539</v>
      </c>
      <c r="AD1112" s="472" t="s">
        <v>571</v>
      </c>
      <c r="AE1112" s="463">
        <v>80</v>
      </c>
      <c r="AF1112" s="463">
        <v>92.29</v>
      </c>
      <c r="AG1112" s="463" t="s">
        <v>375</v>
      </c>
      <c r="AH1112" s="476"/>
      <c r="AI1112" s="472">
        <v>818972480</v>
      </c>
      <c r="AJ1112" s="472" t="s">
        <v>543</v>
      </c>
    </row>
    <row r="1113" spans="2:36" ht="24" hidden="1" customHeight="1">
      <c r="B1113" s="463">
        <v>913</v>
      </c>
      <c r="C1113" s="464" t="s">
        <v>534</v>
      </c>
      <c r="D1113" s="464"/>
      <c r="E1113" s="464" t="s">
        <v>535</v>
      </c>
      <c r="F1113" s="464"/>
      <c r="G1113" s="464" t="s">
        <v>47</v>
      </c>
      <c r="H1113" s="464" t="s">
        <v>636</v>
      </c>
      <c r="I1113" s="466">
        <v>200000</v>
      </c>
      <c r="J1113" s="465" t="s">
        <v>537</v>
      </c>
      <c r="K1113" s="465" t="s">
        <v>537</v>
      </c>
      <c r="L1113" s="466">
        <v>200000</v>
      </c>
      <c r="M1113" s="465" t="s">
        <v>537</v>
      </c>
      <c r="N1113" s="465" t="s">
        <v>537</v>
      </c>
      <c r="O1113" s="463" t="s">
        <v>537</v>
      </c>
      <c r="P1113" s="463" t="s">
        <v>537</v>
      </c>
      <c r="Q1113" s="465">
        <v>0</v>
      </c>
      <c r="R1113" s="470">
        <v>241609</v>
      </c>
      <c r="S1113" s="463" t="s">
        <v>637</v>
      </c>
      <c r="T1113" s="463">
        <v>120</v>
      </c>
      <c r="U1113" s="463">
        <v>30</v>
      </c>
      <c r="V1113" s="463">
        <v>0</v>
      </c>
      <c r="W1113" s="463">
        <v>171</v>
      </c>
      <c r="X1113" s="463">
        <v>0</v>
      </c>
      <c r="Y1113" s="463">
        <v>0</v>
      </c>
      <c r="Z1113" s="463">
        <v>90.25</v>
      </c>
      <c r="AA1113" s="472" t="s">
        <v>728</v>
      </c>
      <c r="AB1113" s="463">
        <v>1</v>
      </c>
      <c r="AC1113" s="463">
        <v>11</v>
      </c>
      <c r="AD1113" s="472" t="s">
        <v>729</v>
      </c>
      <c r="AE1113" s="463">
        <v>1</v>
      </c>
      <c r="AF1113" s="463">
        <v>1</v>
      </c>
      <c r="AG1113" s="463" t="s">
        <v>375</v>
      </c>
      <c r="AH1113" s="476"/>
      <c r="AI1113" s="472">
        <v>869602490</v>
      </c>
      <c r="AJ1113" s="464"/>
    </row>
    <row r="1114" spans="2:36" ht="24" hidden="1" customHeight="1">
      <c r="B1114" s="463">
        <v>914</v>
      </c>
      <c r="C1114" s="464" t="s">
        <v>534</v>
      </c>
      <c r="D1114" s="464"/>
      <c r="E1114" s="464" t="s">
        <v>535</v>
      </c>
      <c r="F1114" s="464"/>
      <c r="G1114" s="464" t="s">
        <v>47</v>
      </c>
      <c r="H1114" s="464" t="s">
        <v>2842</v>
      </c>
      <c r="I1114" s="466">
        <v>150000</v>
      </c>
      <c r="J1114" s="465" t="s">
        <v>537</v>
      </c>
      <c r="K1114" s="465" t="s">
        <v>537</v>
      </c>
      <c r="L1114" s="466">
        <v>138180</v>
      </c>
      <c r="M1114" s="465" t="s">
        <v>537</v>
      </c>
      <c r="N1114" s="465" t="s">
        <v>537</v>
      </c>
      <c r="O1114" s="463" t="s">
        <v>537</v>
      </c>
      <c r="P1114" s="463" t="s">
        <v>537</v>
      </c>
      <c r="Q1114" s="468">
        <v>11820</v>
      </c>
      <c r="R1114" s="463" t="s">
        <v>643</v>
      </c>
      <c r="S1114" s="463" t="s">
        <v>2843</v>
      </c>
      <c r="T1114" s="463">
        <v>60</v>
      </c>
      <c r="U1114" s="463">
        <v>30</v>
      </c>
      <c r="V1114" s="463">
        <v>60</v>
      </c>
      <c r="W1114" s="463">
        <v>206</v>
      </c>
      <c r="X1114" s="463">
        <v>45</v>
      </c>
      <c r="Y1114" s="463">
        <v>150</v>
      </c>
      <c r="Z1114" s="463">
        <v>94.4</v>
      </c>
      <c r="AA1114" s="472" t="s">
        <v>547</v>
      </c>
      <c r="AB1114" s="463" t="s">
        <v>539</v>
      </c>
      <c r="AC1114" s="463" t="s">
        <v>539</v>
      </c>
      <c r="AD1114" s="472" t="s">
        <v>675</v>
      </c>
      <c r="AE1114" s="463">
        <v>80</v>
      </c>
      <c r="AF1114" s="463">
        <v>95.64</v>
      </c>
      <c r="AG1114" s="463" t="s">
        <v>375</v>
      </c>
      <c r="AH1114" s="476"/>
      <c r="AI1114" s="472">
        <v>824165207</v>
      </c>
      <c r="AJ1114" s="464"/>
    </row>
    <row r="1115" spans="2:36" ht="24" hidden="1" customHeight="1">
      <c r="B1115" s="701">
        <v>915</v>
      </c>
      <c r="C1115" s="699" t="s">
        <v>534</v>
      </c>
      <c r="D1115" s="699"/>
      <c r="E1115" s="699" t="s">
        <v>535</v>
      </c>
      <c r="F1115" s="699"/>
      <c r="G1115" s="699" t="s">
        <v>47</v>
      </c>
      <c r="H1115" s="699" t="s">
        <v>2844</v>
      </c>
      <c r="I1115" s="712">
        <v>300000</v>
      </c>
      <c r="J1115" s="709" t="s">
        <v>537</v>
      </c>
      <c r="K1115" s="709" t="s">
        <v>537</v>
      </c>
      <c r="L1115" s="712">
        <v>291600</v>
      </c>
      <c r="M1115" s="709" t="s">
        <v>537</v>
      </c>
      <c r="N1115" s="709" t="s">
        <v>537</v>
      </c>
      <c r="O1115" s="701" t="s">
        <v>537</v>
      </c>
      <c r="P1115" s="701" t="s">
        <v>537</v>
      </c>
      <c r="Q1115" s="705">
        <v>8400</v>
      </c>
      <c r="R1115" s="701" t="s">
        <v>643</v>
      </c>
      <c r="S1115" s="701" t="s">
        <v>2845</v>
      </c>
      <c r="T1115" s="701">
        <v>30</v>
      </c>
      <c r="U1115" s="701">
        <v>5</v>
      </c>
      <c r="V1115" s="701">
        <v>0</v>
      </c>
      <c r="W1115" s="701">
        <v>30</v>
      </c>
      <c r="X1115" s="701">
        <v>5</v>
      </c>
      <c r="Y1115" s="701">
        <v>0</v>
      </c>
      <c r="Z1115" s="701">
        <v>89.14</v>
      </c>
      <c r="AA1115" s="697" t="s">
        <v>547</v>
      </c>
      <c r="AB1115" s="701" t="s">
        <v>539</v>
      </c>
      <c r="AC1115" s="701" t="s">
        <v>539</v>
      </c>
      <c r="AD1115" s="458" t="s">
        <v>2846</v>
      </c>
      <c r="AE1115" s="459">
        <v>80</v>
      </c>
      <c r="AF1115" s="459">
        <v>94.48</v>
      </c>
      <c r="AG1115" s="701" t="s">
        <v>375</v>
      </c>
      <c r="AH1115" s="728"/>
      <c r="AI1115" s="697">
        <v>894634204</v>
      </c>
      <c r="AJ1115" s="699"/>
    </row>
    <row r="1116" spans="2:36" ht="24" hidden="1" customHeight="1">
      <c r="B1116" s="702"/>
      <c r="C1116" s="700"/>
      <c r="D1116" s="700"/>
      <c r="E1116" s="700"/>
      <c r="F1116" s="700"/>
      <c r="G1116" s="700"/>
      <c r="H1116" s="700"/>
      <c r="I1116" s="713"/>
      <c r="J1116" s="710"/>
      <c r="K1116" s="710"/>
      <c r="L1116" s="713"/>
      <c r="M1116" s="710"/>
      <c r="N1116" s="710"/>
      <c r="O1116" s="702"/>
      <c r="P1116" s="702"/>
      <c r="Q1116" s="706"/>
      <c r="R1116" s="702"/>
      <c r="S1116" s="702"/>
      <c r="T1116" s="702"/>
      <c r="U1116" s="702"/>
      <c r="V1116" s="702"/>
      <c r="W1116" s="702"/>
      <c r="X1116" s="702"/>
      <c r="Y1116" s="702"/>
      <c r="Z1116" s="702"/>
      <c r="AA1116" s="698"/>
      <c r="AB1116" s="702"/>
      <c r="AC1116" s="702"/>
      <c r="AD1116" s="473" t="s">
        <v>2847</v>
      </c>
      <c r="AE1116" s="474">
        <v>1</v>
      </c>
      <c r="AF1116" s="474">
        <v>1</v>
      </c>
      <c r="AG1116" s="702"/>
      <c r="AH1116" s="729"/>
      <c r="AI1116" s="698"/>
      <c r="AJ1116" s="700"/>
    </row>
    <row r="1117" spans="2:36" ht="24" hidden="1" customHeight="1">
      <c r="B1117" s="701">
        <v>916</v>
      </c>
      <c r="C1117" s="699" t="s">
        <v>534</v>
      </c>
      <c r="D1117" s="699"/>
      <c r="E1117" s="699" t="s">
        <v>535</v>
      </c>
      <c r="F1117" s="699"/>
      <c r="G1117" s="699" t="s">
        <v>47</v>
      </c>
      <c r="H1117" s="699" t="s">
        <v>2848</v>
      </c>
      <c r="I1117" s="712">
        <v>108920</v>
      </c>
      <c r="J1117" s="709" t="s">
        <v>537</v>
      </c>
      <c r="K1117" s="709" t="s">
        <v>537</v>
      </c>
      <c r="L1117" s="712">
        <v>108920</v>
      </c>
      <c r="M1117" s="709" t="s">
        <v>537</v>
      </c>
      <c r="N1117" s="709" t="s">
        <v>537</v>
      </c>
      <c r="O1117" s="701" t="s">
        <v>537</v>
      </c>
      <c r="P1117" s="701" t="s">
        <v>537</v>
      </c>
      <c r="Q1117" s="709">
        <v>0</v>
      </c>
      <c r="R1117" s="707">
        <v>241397</v>
      </c>
      <c r="S1117" s="701" t="s">
        <v>2849</v>
      </c>
      <c r="T1117" s="701">
        <v>76</v>
      </c>
      <c r="U1117" s="701">
        <v>20</v>
      </c>
      <c r="V1117" s="701">
        <v>4</v>
      </c>
      <c r="W1117" s="701">
        <v>130</v>
      </c>
      <c r="X1117" s="701">
        <v>24</v>
      </c>
      <c r="Y1117" s="701">
        <v>4</v>
      </c>
      <c r="Z1117" s="701">
        <v>92.54</v>
      </c>
      <c r="AA1117" s="697" t="s">
        <v>677</v>
      </c>
      <c r="AB1117" s="701" t="s">
        <v>539</v>
      </c>
      <c r="AC1117" s="701" t="s">
        <v>539</v>
      </c>
      <c r="AD1117" s="458" t="s">
        <v>2204</v>
      </c>
      <c r="AE1117" s="459">
        <v>80</v>
      </c>
      <c r="AF1117" s="459">
        <v>92.81</v>
      </c>
      <c r="AG1117" s="701" t="s">
        <v>375</v>
      </c>
      <c r="AH1117" s="728"/>
      <c r="AI1117" s="697" t="s">
        <v>2850</v>
      </c>
      <c r="AJ1117" s="699"/>
    </row>
    <row r="1118" spans="2:36" ht="24" hidden="1" customHeight="1">
      <c r="B1118" s="702"/>
      <c r="C1118" s="700"/>
      <c r="D1118" s="700"/>
      <c r="E1118" s="700"/>
      <c r="F1118" s="700"/>
      <c r="G1118" s="700"/>
      <c r="H1118" s="700"/>
      <c r="I1118" s="713"/>
      <c r="J1118" s="710"/>
      <c r="K1118" s="710"/>
      <c r="L1118" s="713"/>
      <c r="M1118" s="710"/>
      <c r="N1118" s="710"/>
      <c r="O1118" s="702"/>
      <c r="P1118" s="702"/>
      <c r="Q1118" s="710"/>
      <c r="R1118" s="708"/>
      <c r="S1118" s="702"/>
      <c r="T1118" s="702"/>
      <c r="U1118" s="702"/>
      <c r="V1118" s="702"/>
      <c r="W1118" s="702"/>
      <c r="X1118" s="702"/>
      <c r="Y1118" s="702"/>
      <c r="Z1118" s="702"/>
      <c r="AA1118" s="698"/>
      <c r="AB1118" s="702"/>
      <c r="AC1118" s="702"/>
      <c r="AD1118" s="473" t="s">
        <v>2851</v>
      </c>
      <c r="AE1118" s="474">
        <v>65</v>
      </c>
      <c r="AF1118" s="474">
        <v>73</v>
      </c>
      <c r="AG1118" s="702"/>
      <c r="AH1118" s="729"/>
      <c r="AI1118" s="698"/>
      <c r="AJ1118" s="700"/>
    </row>
    <row r="1119" spans="2:36" ht="24" hidden="1" customHeight="1">
      <c r="B1119" s="701">
        <v>917</v>
      </c>
      <c r="C1119" s="699" t="s">
        <v>534</v>
      </c>
      <c r="D1119" s="699"/>
      <c r="E1119" s="699" t="s">
        <v>535</v>
      </c>
      <c r="F1119" s="699"/>
      <c r="G1119" s="699" t="s">
        <v>47</v>
      </c>
      <c r="H1119" s="699" t="s">
        <v>2852</v>
      </c>
      <c r="I1119" s="712">
        <v>84823</v>
      </c>
      <c r="J1119" s="709" t="s">
        <v>537</v>
      </c>
      <c r="K1119" s="709" t="s">
        <v>537</v>
      </c>
      <c r="L1119" s="712">
        <v>84823</v>
      </c>
      <c r="M1119" s="709" t="s">
        <v>537</v>
      </c>
      <c r="N1119" s="709" t="s">
        <v>537</v>
      </c>
      <c r="O1119" s="701" t="s">
        <v>537</v>
      </c>
      <c r="P1119" s="701" t="s">
        <v>537</v>
      </c>
      <c r="Q1119" s="709">
        <v>0</v>
      </c>
      <c r="R1119" s="707">
        <v>241518</v>
      </c>
      <c r="S1119" s="701" t="s">
        <v>2853</v>
      </c>
      <c r="T1119" s="701">
        <v>76</v>
      </c>
      <c r="U1119" s="701">
        <v>20</v>
      </c>
      <c r="V1119" s="701">
        <v>4</v>
      </c>
      <c r="W1119" s="701">
        <v>120</v>
      </c>
      <c r="X1119" s="701">
        <v>26</v>
      </c>
      <c r="Y1119" s="701">
        <v>4</v>
      </c>
      <c r="Z1119" s="701">
        <v>89.64</v>
      </c>
      <c r="AA1119" s="697" t="s">
        <v>677</v>
      </c>
      <c r="AB1119" s="701" t="s">
        <v>539</v>
      </c>
      <c r="AC1119" s="701" t="s">
        <v>539</v>
      </c>
      <c r="AD1119" s="458" t="s">
        <v>2204</v>
      </c>
      <c r="AE1119" s="459">
        <v>80</v>
      </c>
      <c r="AF1119" s="459">
        <v>92.87</v>
      </c>
      <c r="AG1119" s="701" t="s">
        <v>375</v>
      </c>
      <c r="AH1119" s="728"/>
      <c r="AI1119" s="697" t="s">
        <v>2850</v>
      </c>
      <c r="AJ1119" s="699"/>
    </row>
    <row r="1120" spans="2:36" ht="24" hidden="1" customHeight="1">
      <c r="B1120" s="702"/>
      <c r="C1120" s="700"/>
      <c r="D1120" s="700"/>
      <c r="E1120" s="700"/>
      <c r="F1120" s="700"/>
      <c r="G1120" s="700"/>
      <c r="H1120" s="700"/>
      <c r="I1120" s="713"/>
      <c r="J1120" s="710"/>
      <c r="K1120" s="710"/>
      <c r="L1120" s="713"/>
      <c r="M1120" s="710"/>
      <c r="N1120" s="710"/>
      <c r="O1120" s="702"/>
      <c r="P1120" s="702"/>
      <c r="Q1120" s="710"/>
      <c r="R1120" s="708"/>
      <c r="S1120" s="702"/>
      <c r="T1120" s="702"/>
      <c r="U1120" s="702"/>
      <c r="V1120" s="702"/>
      <c r="W1120" s="702"/>
      <c r="X1120" s="702"/>
      <c r="Y1120" s="702"/>
      <c r="Z1120" s="702"/>
      <c r="AA1120" s="698"/>
      <c r="AB1120" s="702"/>
      <c r="AC1120" s="702"/>
      <c r="AD1120" s="473" t="s">
        <v>2854</v>
      </c>
      <c r="AE1120" s="474">
        <v>50</v>
      </c>
      <c r="AF1120" s="474">
        <v>65</v>
      </c>
      <c r="AG1120" s="702"/>
      <c r="AH1120" s="729"/>
      <c r="AI1120" s="698"/>
      <c r="AJ1120" s="700"/>
    </row>
    <row r="1121" spans="2:36" ht="24" hidden="1" customHeight="1">
      <c r="B1121" s="701">
        <v>918</v>
      </c>
      <c r="C1121" s="699" t="s">
        <v>534</v>
      </c>
      <c r="D1121" s="699"/>
      <c r="E1121" s="699" t="s">
        <v>535</v>
      </c>
      <c r="F1121" s="699"/>
      <c r="G1121" s="699" t="s">
        <v>47</v>
      </c>
      <c r="H1121" s="699" t="s">
        <v>2855</v>
      </c>
      <c r="I1121" s="712">
        <v>106257</v>
      </c>
      <c r="J1121" s="709" t="s">
        <v>537</v>
      </c>
      <c r="K1121" s="709" t="s">
        <v>537</v>
      </c>
      <c r="L1121" s="712">
        <v>99768</v>
      </c>
      <c r="M1121" s="709" t="s">
        <v>537</v>
      </c>
      <c r="N1121" s="709" t="s">
        <v>537</v>
      </c>
      <c r="O1121" s="701" t="s">
        <v>537</v>
      </c>
      <c r="P1121" s="701" t="s">
        <v>537</v>
      </c>
      <c r="Q1121" s="705">
        <v>6489</v>
      </c>
      <c r="R1121" s="707">
        <v>241640</v>
      </c>
      <c r="S1121" s="701" t="s">
        <v>2856</v>
      </c>
      <c r="T1121" s="701">
        <v>76</v>
      </c>
      <c r="U1121" s="701">
        <v>20</v>
      </c>
      <c r="V1121" s="701">
        <v>4</v>
      </c>
      <c r="W1121" s="701">
        <v>120</v>
      </c>
      <c r="X1121" s="701">
        <v>25</v>
      </c>
      <c r="Y1121" s="701">
        <v>4</v>
      </c>
      <c r="Z1121" s="701">
        <v>89.62</v>
      </c>
      <c r="AA1121" s="697" t="s">
        <v>677</v>
      </c>
      <c r="AB1121" s="701" t="s">
        <v>539</v>
      </c>
      <c r="AC1121" s="701" t="s">
        <v>539</v>
      </c>
      <c r="AD1121" s="458" t="s">
        <v>548</v>
      </c>
      <c r="AE1121" s="459">
        <v>80</v>
      </c>
      <c r="AF1121" s="459">
        <v>90.94</v>
      </c>
      <c r="AG1121" s="701" t="s">
        <v>375</v>
      </c>
      <c r="AH1121" s="728"/>
      <c r="AI1121" s="697" t="s">
        <v>2850</v>
      </c>
      <c r="AJ1121" s="699"/>
    </row>
    <row r="1122" spans="2:36" ht="24" hidden="1" customHeight="1">
      <c r="B1122" s="702"/>
      <c r="C1122" s="700"/>
      <c r="D1122" s="700"/>
      <c r="E1122" s="700"/>
      <c r="F1122" s="700"/>
      <c r="G1122" s="700"/>
      <c r="H1122" s="700"/>
      <c r="I1122" s="713"/>
      <c r="J1122" s="710"/>
      <c r="K1122" s="710"/>
      <c r="L1122" s="713"/>
      <c r="M1122" s="710"/>
      <c r="N1122" s="710"/>
      <c r="O1122" s="702"/>
      <c r="P1122" s="702"/>
      <c r="Q1122" s="706"/>
      <c r="R1122" s="708"/>
      <c r="S1122" s="702"/>
      <c r="T1122" s="702"/>
      <c r="U1122" s="702"/>
      <c r="V1122" s="702"/>
      <c r="W1122" s="702"/>
      <c r="X1122" s="702"/>
      <c r="Y1122" s="702"/>
      <c r="Z1122" s="702"/>
      <c r="AA1122" s="698"/>
      <c r="AB1122" s="702"/>
      <c r="AC1122" s="702"/>
      <c r="AD1122" s="473" t="s">
        <v>2857</v>
      </c>
      <c r="AE1122" s="474">
        <v>50</v>
      </c>
      <c r="AF1122" s="474">
        <v>66</v>
      </c>
      <c r="AG1122" s="702"/>
      <c r="AH1122" s="729"/>
      <c r="AI1122" s="698"/>
      <c r="AJ1122" s="700"/>
    </row>
    <row r="1123" spans="2:36" ht="24" hidden="1" customHeight="1">
      <c r="B1123" s="463">
        <v>919</v>
      </c>
      <c r="C1123" s="464" t="s">
        <v>534</v>
      </c>
      <c r="D1123" s="464"/>
      <c r="E1123" s="464" t="s">
        <v>535</v>
      </c>
      <c r="F1123" s="464"/>
      <c r="G1123" s="464" t="s">
        <v>47</v>
      </c>
      <c r="H1123" s="464" t="s">
        <v>2858</v>
      </c>
      <c r="I1123" s="466">
        <v>40000</v>
      </c>
      <c r="J1123" s="465" t="s">
        <v>537</v>
      </c>
      <c r="K1123" s="465" t="s">
        <v>537</v>
      </c>
      <c r="L1123" s="466">
        <v>38000</v>
      </c>
      <c r="M1123" s="465" t="s">
        <v>537</v>
      </c>
      <c r="N1123" s="465" t="s">
        <v>537</v>
      </c>
      <c r="O1123" s="463" t="s">
        <v>537</v>
      </c>
      <c r="P1123" s="463" t="s">
        <v>537</v>
      </c>
      <c r="Q1123" s="468">
        <v>2000</v>
      </c>
      <c r="R1123" s="470">
        <v>241487</v>
      </c>
      <c r="S1123" s="463" t="s">
        <v>2859</v>
      </c>
      <c r="T1123" s="463">
        <v>62</v>
      </c>
      <c r="U1123" s="463">
        <v>10</v>
      </c>
      <c r="V1123" s="463">
        <v>4</v>
      </c>
      <c r="W1123" s="463">
        <v>86</v>
      </c>
      <c r="X1123" s="463">
        <v>11</v>
      </c>
      <c r="Y1123" s="463">
        <v>4</v>
      </c>
      <c r="Z1123" s="463">
        <v>88.65</v>
      </c>
      <c r="AA1123" s="472" t="s">
        <v>677</v>
      </c>
      <c r="AB1123" s="463" t="s">
        <v>539</v>
      </c>
      <c r="AC1123" s="463" t="s">
        <v>539</v>
      </c>
      <c r="AD1123" s="472" t="s">
        <v>548</v>
      </c>
      <c r="AE1123" s="463">
        <v>80</v>
      </c>
      <c r="AF1123" s="463">
        <v>93.27</v>
      </c>
      <c r="AG1123" s="463" t="s">
        <v>375</v>
      </c>
      <c r="AH1123" s="476"/>
      <c r="AI1123" s="472">
        <v>850726101</v>
      </c>
      <c r="AJ1123" s="464"/>
    </row>
    <row r="1124" spans="2:36" ht="24" hidden="1" customHeight="1">
      <c r="B1124" s="701">
        <v>920</v>
      </c>
      <c r="C1124" s="699" t="s">
        <v>534</v>
      </c>
      <c r="D1124" s="699"/>
      <c r="E1124" s="699" t="s">
        <v>535</v>
      </c>
      <c r="F1124" s="699"/>
      <c r="G1124" s="699" t="s">
        <v>47</v>
      </c>
      <c r="H1124" s="699" t="s">
        <v>2860</v>
      </c>
      <c r="I1124" s="712">
        <v>200000</v>
      </c>
      <c r="J1124" s="709" t="s">
        <v>537</v>
      </c>
      <c r="K1124" s="709" t="s">
        <v>537</v>
      </c>
      <c r="L1124" s="712">
        <v>126180</v>
      </c>
      <c r="M1124" s="709" t="s">
        <v>537</v>
      </c>
      <c r="N1124" s="709" t="s">
        <v>537</v>
      </c>
      <c r="O1124" s="701" t="s">
        <v>537</v>
      </c>
      <c r="P1124" s="701" t="s">
        <v>537</v>
      </c>
      <c r="Q1124" s="705">
        <v>73820</v>
      </c>
      <c r="R1124" s="707">
        <v>241397</v>
      </c>
      <c r="S1124" s="701" t="s">
        <v>2861</v>
      </c>
      <c r="T1124" s="701">
        <v>3</v>
      </c>
      <c r="U1124" s="701">
        <v>5</v>
      </c>
      <c r="V1124" s="701">
        <v>43</v>
      </c>
      <c r="W1124" s="701">
        <v>43</v>
      </c>
      <c r="X1124" s="701">
        <v>8</v>
      </c>
      <c r="Y1124" s="701">
        <v>3</v>
      </c>
      <c r="Z1124" s="701">
        <v>89.26</v>
      </c>
      <c r="AA1124" s="458" t="s">
        <v>2862</v>
      </c>
      <c r="AB1124" s="459" t="s">
        <v>539</v>
      </c>
      <c r="AC1124" s="459" t="s">
        <v>539</v>
      </c>
      <c r="AD1124" s="458" t="s">
        <v>2204</v>
      </c>
      <c r="AE1124" s="459">
        <v>80</v>
      </c>
      <c r="AF1124" s="459">
        <v>94.72</v>
      </c>
      <c r="AG1124" s="701" t="s">
        <v>375</v>
      </c>
      <c r="AH1124" s="728"/>
      <c r="AI1124" s="697">
        <v>850726101</v>
      </c>
      <c r="AJ1124" s="699"/>
    </row>
    <row r="1125" spans="2:36" ht="24" hidden="1" customHeight="1">
      <c r="B1125" s="702"/>
      <c r="C1125" s="700"/>
      <c r="D1125" s="700"/>
      <c r="E1125" s="700"/>
      <c r="F1125" s="700"/>
      <c r="G1125" s="700"/>
      <c r="H1125" s="700"/>
      <c r="I1125" s="713"/>
      <c r="J1125" s="710"/>
      <c r="K1125" s="710"/>
      <c r="L1125" s="713"/>
      <c r="M1125" s="710"/>
      <c r="N1125" s="710"/>
      <c r="O1125" s="702"/>
      <c r="P1125" s="702"/>
      <c r="Q1125" s="706"/>
      <c r="R1125" s="708"/>
      <c r="S1125" s="702"/>
      <c r="T1125" s="702"/>
      <c r="U1125" s="702"/>
      <c r="V1125" s="702"/>
      <c r="W1125" s="702"/>
      <c r="X1125" s="702"/>
      <c r="Y1125" s="702"/>
      <c r="Z1125" s="702"/>
      <c r="AA1125" s="473" t="s">
        <v>2863</v>
      </c>
      <c r="AB1125" s="474" t="s">
        <v>539</v>
      </c>
      <c r="AC1125" s="474" t="s">
        <v>539</v>
      </c>
      <c r="AD1125" s="473" t="s">
        <v>2864</v>
      </c>
      <c r="AE1125" s="474">
        <v>80</v>
      </c>
      <c r="AF1125" s="474">
        <v>92.96</v>
      </c>
      <c r="AG1125" s="702"/>
      <c r="AH1125" s="729"/>
      <c r="AI1125" s="698"/>
      <c r="AJ1125" s="700"/>
    </row>
    <row r="1126" spans="2:36" ht="24" hidden="1" customHeight="1">
      <c r="B1126" s="701">
        <v>921</v>
      </c>
      <c r="C1126" s="699" t="s">
        <v>534</v>
      </c>
      <c r="D1126" s="699"/>
      <c r="E1126" s="699" t="s">
        <v>535</v>
      </c>
      <c r="F1126" s="699"/>
      <c r="G1126" s="699" t="s">
        <v>47</v>
      </c>
      <c r="H1126" s="699" t="s">
        <v>2865</v>
      </c>
      <c r="I1126" s="709">
        <v>0</v>
      </c>
      <c r="J1126" s="709" t="s">
        <v>537</v>
      </c>
      <c r="K1126" s="709" t="s">
        <v>537</v>
      </c>
      <c r="L1126" s="709">
        <v>0</v>
      </c>
      <c r="M1126" s="709" t="s">
        <v>537</v>
      </c>
      <c r="N1126" s="709" t="s">
        <v>537</v>
      </c>
      <c r="O1126" s="701" t="s">
        <v>537</v>
      </c>
      <c r="P1126" s="701" t="s">
        <v>537</v>
      </c>
      <c r="Q1126" s="709">
        <v>0</v>
      </c>
      <c r="R1126" s="707">
        <v>241428</v>
      </c>
      <c r="S1126" s="701" t="s">
        <v>2866</v>
      </c>
      <c r="T1126" s="701">
        <v>3</v>
      </c>
      <c r="U1126" s="701">
        <v>5</v>
      </c>
      <c r="V1126" s="701">
        <v>43</v>
      </c>
      <c r="W1126" s="701">
        <v>43</v>
      </c>
      <c r="X1126" s="701">
        <v>8</v>
      </c>
      <c r="Y1126" s="701">
        <v>0</v>
      </c>
      <c r="Z1126" s="701">
        <v>89.26</v>
      </c>
      <c r="AA1126" s="697" t="s">
        <v>677</v>
      </c>
      <c r="AB1126" s="701" t="s">
        <v>539</v>
      </c>
      <c r="AC1126" s="701" t="s">
        <v>539</v>
      </c>
      <c r="AD1126" s="458" t="s">
        <v>2282</v>
      </c>
      <c r="AE1126" s="459">
        <v>1</v>
      </c>
      <c r="AF1126" s="459">
        <v>1</v>
      </c>
      <c r="AG1126" s="701" t="s">
        <v>375</v>
      </c>
      <c r="AH1126" s="728"/>
      <c r="AI1126" s="697">
        <v>850726101</v>
      </c>
      <c r="AJ1126" s="699"/>
    </row>
    <row r="1127" spans="2:36" ht="24" hidden="1" customHeight="1">
      <c r="B1127" s="702"/>
      <c r="C1127" s="700"/>
      <c r="D1127" s="700"/>
      <c r="E1127" s="700"/>
      <c r="F1127" s="700"/>
      <c r="G1127" s="700"/>
      <c r="H1127" s="700"/>
      <c r="I1127" s="710"/>
      <c r="J1127" s="710"/>
      <c r="K1127" s="710"/>
      <c r="L1127" s="710"/>
      <c r="M1127" s="710"/>
      <c r="N1127" s="710"/>
      <c r="O1127" s="702"/>
      <c r="P1127" s="702"/>
      <c r="Q1127" s="710"/>
      <c r="R1127" s="708"/>
      <c r="S1127" s="702"/>
      <c r="T1127" s="702"/>
      <c r="U1127" s="702"/>
      <c r="V1127" s="702"/>
      <c r="W1127" s="702"/>
      <c r="X1127" s="702"/>
      <c r="Y1127" s="702"/>
      <c r="Z1127" s="702"/>
      <c r="AA1127" s="698"/>
      <c r="AB1127" s="702"/>
      <c r="AC1127" s="702"/>
      <c r="AD1127" s="473" t="s">
        <v>2867</v>
      </c>
      <c r="AE1127" s="474">
        <v>80</v>
      </c>
      <c r="AF1127" s="474">
        <v>92.96</v>
      </c>
      <c r="AG1127" s="702"/>
      <c r="AH1127" s="729"/>
      <c r="AI1127" s="698"/>
      <c r="AJ1127" s="700"/>
    </row>
    <row r="1128" spans="2:36" ht="24" hidden="1" customHeight="1">
      <c r="B1128" s="701">
        <v>922</v>
      </c>
      <c r="C1128" s="699" t="s">
        <v>534</v>
      </c>
      <c r="D1128" s="699"/>
      <c r="E1128" s="699" t="s">
        <v>535</v>
      </c>
      <c r="F1128" s="699"/>
      <c r="G1128" s="699" t="s">
        <v>47</v>
      </c>
      <c r="H1128" s="699" t="s">
        <v>2868</v>
      </c>
      <c r="I1128" s="712">
        <v>102000</v>
      </c>
      <c r="J1128" s="709" t="s">
        <v>537</v>
      </c>
      <c r="K1128" s="709" t="s">
        <v>537</v>
      </c>
      <c r="L1128" s="712">
        <v>102000</v>
      </c>
      <c r="M1128" s="709" t="s">
        <v>537</v>
      </c>
      <c r="N1128" s="709" t="s">
        <v>537</v>
      </c>
      <c r="O1128" s="701" t="s">
        <v>537</v>
      </c>
      <c r="P1128" s="701" t="s">
        <v>537</v>
      </c>
      <c r="Q1128" s="709">
        <v>0</v>
      </c>
      <c r="R1128" s="707">
        <v>241487</v>
      </c>
      <c r="S1128" s="721">
        <v>22288</v>
      </c>
      <c r="T1128" s="701">
        <v>17</v>
      </c>
      <c r="U1128" s="701">
        <v>2</v>
      </c>
      <c r="V1128" s="701">
        <v>6</v>
      </c>
      <c r="W1128" s="701">
        <v>17</v>
      </c>
      <c r="X1128" s="701">
        <v>2</v>
      </c>
      <c r="Y1128" s="701">
        <v>6</v>
      </c>
      <c r="Z1128" s="701">
        <v>92</v>
      </c>
      <c r="AA1128" s="458" t="s">
        <v>2286</v>
      </c>
      <c r="AB1128" s="459" t="s">
        <v>539</v>
      </c>
      <c r="AC1128" s="459" t="s">
        <v>539</v>
      </c>
      <c r="AD1128" s="697" t="s">
        <v>675</v>
      </c>
      <c r="AE1128" s="701">
        <v>80</v>
      </c>
      <c r="AF1128" s="701">
        <v>90</v>
      </c>
      <c r="AG1128" s="701" t="s">
        <v>375</v>
      </c>
      <c r="AH1128" s="728"/>
      <c r="AI1128" s="697">
        <v>849974176</v>
      </c>
      <c r="AJ1128" s="699"/>
    </row>
    <row r="1129" spans="2:36" ht="24" hidden="1" customHeight="1">
      <c r="B1129" s="702"/>
      <c r="C1129" s="700"/>
      <c r="D1129" s="700"/>
      <c r="E1129" s="700"/>
      <c r="F1129" s="700"/>
      <c r="G1129" s="700"/>
      <c r="H1129" s="700"/>
      <c r="I1129" s="713"/>
      <c r="J1129" s="710"/>
      <c r="K1129" s="710"/>
      <c r="L1129" s="713"/>
      <c r="M1129" s="710"/>
      <c r="N1129" s="710"/>
      <c r="O1129" s="702"/>
      <c r="P1129" s="702"/>
      <c r="Q1129" s="710"/>
      <c r="R1129" s="708"/>
      <c r="S1129" s="722"/>
      <c r="T1129" s="702"/>
      <c r="U1129" s="702"/>
      <c r="V1129" s="702"/>
      <c r="W1129" s="702"/>
      <c r="X1129" s="702"/>
      <c r="Y1129" s="702"/>
      <c r="Z1129" s="702"/>
      <c r="AA1129" s="473" t="s">
        <v>2869</v>
      </c>
      <c r="AB1129" s="474" t="s">
        <v>539</v>
      </c>
      <c r="AC1129" s="474" t="s">
        <v>539</v>
      </c>
      <c r="AD1129" s="698"/>
      <c r="AE1129" s="702"/>
      <c r="AF1129" s="702"/>
      <c r="AG1129" s="702"/>
      <c r="AH1129" s="729"/>
      <c r="AI1129" s="698"/>
      <c r="AJ1129" s="700"/>
    </row>
    <row r="1130" spans="2:36" ht="24" hidden="1" customHeight="1">
      <c r="B1130" s="701">
        <v>923</v>
      </c>
      <c r="C1130" s="699" t="s">
        <v>534</v>
      </c>
      <c r="D1130" s="699"/>
      <c r="E1130" s="699" t="s">
        <v>535</v>
      </c>
      <c r="F1130" s="699"/>
      <c r="G1130" s="699" t="s">
        <v>47</v>
      </c>
      <c r="H1130" s="699" t="s">
        <v>2870</v>
      </c>
      <c r="I1130" s="712">
        <v>198000</v>
      </c>
      <c r="J1130" s="709" t="s">
        <v>537</v>
      </c>
      <c r="K1130" s="709" t="s">
        <v>537</v>
      </c>
      <c r="L1130" s="712">
        <v>198000</v>
      </c>
      <c r="M1130" s="709" t="s">
        <v>537</v>
      </c>
      <c r="N1130" s="709" t="s">
        <v>537</v>
      </c>
      <c r="O1130" s="701" t="s">
        <v>537</v>
      </c>
      <c r="P1130" s="701" t="s">
        <v>537</v>
      </c>
      <c r="Q1130" s="709">
        <v>0</v>
      </c>
      <c r="R1130" s="701" t="s">
        <v>643</v>
      </c>
      <c r="S1130" s="721">
        <v>22349</v>
      </c>
      <c r="T1130" s="701">
        <v>100</v>
      </c>
      <c r="U1130" s="701">
        <v>10</v>
      </c>
      <c r="V1130" s="701">
        <v>30</v>
      </c>
      <c r="W1130" s="701">
        <v>87</v>
      </c>
      <c r="X1130" s="701">
        <v>23</v>
      </c>
      <c r="Y1130" s="701">
        <v>149</v>
      </c>
      <c r="Z1130" s="701">
        <v>92</v>
      </c>
      <c r="AA1130" s="458" t="s">
        <v>2286</v>
      </c>
      <c r="AB1130" s="459" t="s">
        <v>539</v>
      </c>
      <c r="AC1130" s="459" t="s">
        <v>539</v>
      </c>
      <c r="AD1130" s="458" t="s">
        <v>2871</v>
      </c>
      <c r="AE1130" s="459">
        <v>80</v>
      </c>
      <c r="AF1130" s="459">
        <v>90</v>
      </c>
      <c r="AG1130" s="701" t="s">
        <v>375</v>
      </c>
      <c r="AH1130" s="728"/>
      <c r="AI1130" s="697">
        <v>849974176</v>
      </c>
      <c r="AJ1130" s="697" t="s">
        <v>537</v>
      </c>
    </row>
    <row r="1131" spans="2:36" ht="24" hidden="1" customHeight="1">
      <c r="B1131" s="702"/>
      <c r="C1131" s="700"/>
      <c r="D1131" s="700"/>
      <c r="E1131" s="700"/>
      <c r="F1131" s="700"/>
      <c r="G1131" s="700"/>
      <c r="H1131" s="700"/>
      <c r="I1131" s="713"/>
      <c r="J1131" s="710"/>
      <c r="K1131" s="710"/>
      <c r="L1131" s="713"/>
      <c r="M1131" s="710"/>
      <c r="N1131" s="710"/>
      <c r="O1131" s="702"/>
      <c r="P1131" s="702"/>
      <c r="Q1131" s="710"/>
      <c r="R1131" s="702"/>
      <c r="S1131" s="722"/>
      <c r="T1131" s="702"/>
      <c r="U1131" s="702"/>
      <c r="V1131" s="702"/>
      <c r="W1131" s="702"/>
      <c r="X1131" s="702"/>
      <c r="Y1131" s="702"/>
      <c r="Z1131" s="702"/>
      <c r="AA1131" s="473" t="s">
        <v>2869</v>
      </c>
      <c r="AB1131" s="474" t="s">
        <v>539</v>
      </c>
      <c r="AC1131" s="474" t="s">
        <v>539</v>
      </c>
      <c r="AD1131" s="473" t="s">
        <v>2872</v>
      </c>
      <c r="AE1131" s="474">
        <v>136</v>
      </c>
      <c r="AF1131" s="474">
        <v>136</v>
      </c>
      <c r="AG1131" s="702"/>
      <c r="AH1131" s="729"/>
      <c r="AI1131" s="698"/>
      <c r="AJ1131" s="698"/>
    </row>
    <row r="1132" spans="2:36" ht="24" hidden="1" customHeight="1">
      <c r="B1132" s="701">
        <v>924</v>
      </c>
      <c r="C1132" s="699" t="s">
        <v>534</v>
      </c>
      <c r="D1132" s="699"/>
      <c r="E1132" s="699" t="s">
        <v>535</v>
      </c>
      <c r="F1132" s="699"/>
      <c r="G1132" s="699" t="s">
        <v>47</v>
      </c>
      <c r="H1132" s="699" t="s">
        <v>2873</v>
      </c>
      <c r="I1132" s="712">
        <v>200000</v>
      </c>
      <c r="J1132" s="709" t="s">
        <v>537</v>
      </c>
      <c r="K1132" s="709" t="s">
        <v>537</v>
      </c>
      <c r="L1132" s="712">
        <v>199604</v>
      </c>
      <c r="M1132" s="709" t="s">
        <v>537</v>
      </c>
      <c r="N1132" s="709" t="s">
        <v>537</v>
      </c>
      <c r="O1132" s="701" t="s">
        <v>537</v>
      </c>
      <c r="P1132" s="701" t="s">
        <v>537</v>
      </c>
      <c r="Q1132" s="709">
        <v>396</v>
      </c>
      <c r="R1132" s="707">
        <v>241459</v>
      </c>
      <c r="S1132" s="701" t="s">
        <v>2874</v>
      </c>
      <c r="T1132" s="701">
        <v>80</v>
      </c>
      <c r="U1132" s="701">
        <v>10</v>
      </c>
      <c r="V1132" s="701">
        <v>20</v>
      </c>
      <c r="W1132" s="701">
        <v>80</v>
      </c>
      <c r="X1132" s="701">
        <v>10</v>
      </c>
      <c r="Y1132" s="701">
        <v>35</v>
      </c>
      <c r="Z1132" s="701">
        <v>84.95</v>
      </c>
      <c r="AA1132" s="458" t="s">
        <v>2286</v>
      </c>
      <c r="AB1132" s="459" t="s">
        <v>539</v>
      </c>
      <c r="AC1132" s="459" t="s">
        <v>539</v>
      </c>
      <c r="AD1132" s="458" t="s">
        <v>2204</v>
      </c>
      <c r="AE1132" s="459">
        <v>80</v>
      </c>
      <c r="AF1132" s="459">
        <v>89.07</v>
      </c>
      <c r="AG1132" s="701" t="s">
        <v>375</v>
      </c>
      <c r="AH1132" s="728"/>
      <c r="AI1132" s="697">
        <v>810961595</v>
      </c>
      <c r="AJ1132" s="699"/>
    </row>
    <row r="1133" spans="2:36" ht="24" hidden="1" customHeight="1">
      <c r="B1133" s="715"/>
      <c r="C1133" s="714"/>
      <c r="D1133" s="714"/>
      <c r="E1133" s="714"/>
      <c r="F1133" s="714"/>
      <c r="G1133" s="714"/>
      <c r="H1133" s="714"/>
      <c r="I1133" s="720"/>
      <c r="J1133" s="717"/>
      <c r="K1133" s="717"/>
      <c r="L1133" s="720"/>
      <c r="M1133" s="717"/>
      <c r="N1133" s="717"/>
      <c r="O1133" s="715"/>
      <c r="P1133" s="715"/>
      <c r="Q1133" s="717"/>
      <c r="R1133" s="719"/>
      <c r="S1133" s="715"/>
      <c r="T1133" s="715"/>
      <c r="U1133" s="715"/>
      <c r="V1133" s="715"/>
      <c r="W1133" s="715"/>
      <c r="X1133" s="715"/>
      <c r="Y1133" s="715"/>
      <c r="Z1133" s="715"/>
      <c r="AA1133" s="460" t="s">
        <v>2875</v>
      </c>
      <c r="AB1133" s="461" t="s">
        <v>539</v>
      </c>
      <c r="AC1133" s="461" t="s">
        <v>539</v>
      </c>
      <c r="AD1133" s="460" t="s">
        <v>2876</v>
      </c>
      <c r="AE1133" s="461">
        <v>80</v>
      </c>
      <c r="AF1133" s="461">
        <v>92.29</v>
      </c>
      <c r="AG1133" s="715"/>
      <c r="AH1133" s="730"/>
      <c r="AI1133" s="711"/>
      <c r="AJ1133" s="714"/>
    </row>
    <row r="1134" spans="2:36" ht="24" hidden="1" customHeight="1">
      <c r="B1134" s="715"/>
      <c r="C1134" s="714"/>
      <c r="D1134" s="714"/>
      <c r="E1134" s="714"/>
      <c r="F1134" s="714"/>
      <c r="G1134" s="714"/>
      <c r="H1134" s="714"/>
      <c r="I1134" s="720"/>
      <c r="J1134" s="717"/>
      <c r="K1134" s="717"/>
      <c r="L1134" s="720"/>
      <c r="M1134" s="717"/>
      <c r="N1134" s="717"/>
      <c r="O1134" s="715"/>
      <c r="P1134" s="715"/>
      <c r="Q1134" s="717"/>
      <c r="R1134" s="719"/>
      <c r="S1134" s="715"/>
      <c r="T1134" s="715"/>
      <c r="U1134" s="715"/>
      <c r="V1134" s="715"/>
      <c r="W1134" s="715"/>
      <c r="X1134" s="715"/>
      <c r="Y1134" s="715"/>
      <c r="Z1134" s="715"/>
      <c r="AA1134" s="460" t="s">
        <v>2877</v>
      </c>
      <c r="AB1134" s="461">
        <v>3</v>
      </c>
      <c r="AC1134" s="461">
        <v>5</v>
      </c>
      <c r="AD1134" s="477"/>
      <c r="AE1134" s="477"/>
      <c r="AF1134" s="477"/>
      <c r="AG1134" s="715"/>
      <c r="AH1134" s="730"/>
      <c r="AI1134" s="711"/>
      <c r="AJ1134" s="714"/>
    </row>
    <row r="1135" spans="2:36" ht="24" hidden="1" customHeight="1">
      <c r="B1135" s="702"/>
      <c r="C1135" s="700"/>
      <c r="D1135" s="700"/>
      <c r="E1135" s="700"/>
      <c r="F1135" s="700"/>
      <c r="G1135" s="700"/>
      <c r="H1135" s="700"/>
      <c r="I1135" s="713"/>
      <c r="J1135" s="710"/>
      <c r="K1135" s="710"/>
      <c r="L1135" s="713"/>
      <c r="M1135" s="710"/>
      <c r="N1135" s="710"/>
      <c r="O1135" s="702"/>
      <c r="P1135" s="702"/>
      <c r="Q1135" s="710"/>
      <c r="R1135" s="708"/>
      <c r="S1135" s="702"/>
      <c r="T1135" s="702"/>
      <c r="U1135" s="702"/>
      <c r="V1135" s="702"/>
      <c r="W1135" s="702"/>
      <c r="X1135" s="702"/>
      <c r="Y1135" s="702"/>
      <c r="Z1135" s="702"/>
      <c r="AA1135" s="473" t="s">
        <v>2878</v>
      </c>
      <c r="AB1135" s="474" t="s">
        <v>539</v>
      </c>
      <c r="AC1135" s="474" t="s">
        <v>539</v>
      </c>
      <c r="AD1135" s="462"/>
      <c r="AE1135" s="462"/>
      <c r="AF1135" s="462"/>
      <c r="AG1135" s="702"/>
      <c r="AH1135" s="729"/>
      <c r="AI1135" s="698"/>
      <c r="AJ1135" s="700"/>
    </row>
    <row r="1136" spans="2:36" ht="24" hidden="1" customHeight="1">
      <c r="B1136" s="701">
        <v>925</v>
      </c>
      <c r="C1136" s="699" t="s">
        <v>534</v>
      </c>
      <c r="D1136" s="699"/>
      <c r="E1136" s="699" t="s">
        <v>535</v>
      </c>
      <c r="F1136" s="699"/>
      <c r="G1136" s="699" t="s">
        <v>47</v>
      </c>
      <c r="H1136" s="699" t="s">
        <v>2879</v>
      </c>
      <c r="I1136" s="712">
        <v>35000</v>
      </c>
      <c r="J1136" s="709" t="s">
        <v>537</v>
      </c>
      <c r="K1136" s="709" t="s">
        <v>537</v>
      </c>
      <c r="L1136" s="712">
        <v>35000</v>
      </c>
      <c r="M1136" s="709" t="s">
        <v>537</v>
      </c>
      <c r="N1136" s="709" t="s">
        <v>537</v>
      </c>
      <c r="O1136" s="701" t="s">
        <v>537</v>
      </c>
      <c r="P1136" s="701" t="s">
        <v>537</v>
      </c>
      <c r="Q1136" s="709">
        <v>0</v>
      </c>
      <c r="R1136" s="707">
        <v>241428</v>
      </c>
      <c r="S1136" s="721">
        <v>22299</v>
      </c>
      <c r="T1136" s="701">
        <v>17</v>
      </c>
      <c r="U1136" s="701">
        <v>3</v>
      </c>
      <c r="V1136" s="701">
        <v>0</v>
      </c>
      <c r="W1136" s="701">
        <v>42</v>
      </c>
      <c r="X1136" s="701">
        <v>3</v>
      </c>
      <c r="Y1136" s="701">
        <v>0</v>
      </c>
      <c r="Z1136" s="701">
        <v>94.28</v>
      </c>
      <c r="AA1136" s="697" t="s">
        <v>728</v>
      </c>
      <c r="AB1136" s="701">
        <v>1</v>
      </c>
      <c r="AC1136" s="701">
        <v>1</v>
      </c>
      <c r="AD1136" s="458" t="s">
        <v>2834</v>
      </c>
      <c r="AE1136" s="459">
        <v>1</v>
      </c>
      <c r="AF1136" s="459">
        <v>1</v>
      </c>
      <c r="AG1136" s="701" t="s">
        <v>375</v>
      </c>
      <c r="AH1136" s="728"/>
      <c r="AI1136" s="697">
        <v>810961595</v>
      </c>
      <c r="AJ1136" s="699"/>
    </row>
    <row r="1137" spans="2:36" ht="24" hidden="1" customHeight="1">
      <c r="B1137" s="702"/>
      <c r="C1137" s="700"/>
      <c r="D1137" s="700"/>
      <c r="E1137" s="700"/>
      <c r="F1137" s="700"/>
      <c r="G1137" s="700"/>
      <c r="H1137" s="700"/>
      <c r="I1137" s="713"/>
      <c r="J1137" s="710"/>
      <c r="K1137" s="710"/>
      <c r="L1137" s="713"/>
      <c r="M1137" s="710"/>
      <c r="N1137" s="710"/>
      <c r="O1137" s="702"/>
      <c r="P1137" s="702"/>
      <c r="Q1137" s="710"/>
      <c r="R1137" s="708"/>
      <c r="S1137" s="722"/>
      <c r="T1137" s="702"/>
      <c r="U1137" s="702"/>
      <c r="V1137" s="702"/>
      <c r="W1137" s="702"/>
      <c r="X1137" s="702"/>
      <c r="Y1137" s="702"/>
      <c r="Z1137" s="702"/>
      <c r="AA1137" s="698"/>
      <c r="AB1137" s="702"/>
      <c r="AC1137" s="702"/>
      <c r="AD1137" s="473" t="s">
        <v>2880</v>
      </c>
      <c r="AE1137" s="474">
        <v>1</v>
      </c>
      <c r="AF1137" s="474">
        <v>1</v>
      </c>
      <c r="AG1137" s="702"/>
      <c r="AH1137" s="729"/>
      <c r="AI1137" s="698"/>
      <c r="AJ1137" s="700"/>
    </row>
    <row r="1138" spans="2:36" ht="24" hidden="1" customHeight="1">
      <c r="B1138" s="463">
        <v>926</v>
      </c>
      <c r="C1138" s="464" t="s">
        <v>534</v>
      </c>
      <c r="D1138" s="464"/>
      <c r="E1138" s="464" t="s">
        <v>535</v>
      </c>
      <c r="F1138" s="464"/>
      <c r="G1138" s="464" t="s">
        <v>47</v>
      </c>
      <c r="H1138" s="464" t="s">
        <v>2881</v>
      </c>
      <c r="I1138" s="466">
        <v>35000</v>
      </c>
      <c r="J1138" s="465" t="s">
        <v>537</v>
      </c>
      <c r="K1138" s="465" t="s">
        <v>537</v>
      </c>
      <c r="L1138" s="466">
        <v>35000</v>
      </c>
      <c r="M1138" s="465" t="s">
        <v>537</v>
      </c>
      <c r="N1138" s="465" t="s">
        <v>537</v>
      </c>
      <c r="O1138" s="463" t="s">
        <v>537</v>
      </c>
      <c r="P1138" s="463" t="s">
        <v>537</v>
      </c>
      <c r="Q1138" s="465">
        <v>0</v>
      </c>
      <c r="R1138" s="470">
        <v>241428</v>
      </c>
      <c r="S1138" s="471">
        <v>22306</v>
      </c>
      <c r="T1138" s="463">
        <v>17</v>
      </c>
      <c r="U1138" s="463">
        <v>3</v>
      </c>
      <c r="V1138" s="463">
        <v>0</v>
      </c>
      <c r="W1138" s="463">
        <v>42</v>
      </c>
      <c r="X1138" s="463">
        <v>3</v>
      </c>
      <c r="Y1138" s="463">
        <v>0</v>
      </c>
      <c r="Z1138" s="463">
        <v>91.5</v>
      </c>
      <c r="AA1138" s="472" t="s">
        <v>2882</v>
      </c>
      <c r="AB1138" s="463">
        <v>1</v>
      </c>
      <c r="AC1138" s="463">
        <v>1</v>
      </c>
      <c r="AD1138" s="472" t="s">
        <v>2834</v>
      </c>
      <c r="AE1138" s="463">
        <v>1</v>
      </c>
      <c r="AF1138" s="463">
        <v>1</v>
      </c>
      <c r="AG1138" s="463" t="s">
        <v>375</v>
      </c>
      <c r="AH1138" s="476"/>
      <c r="AI1138" s="472">
        <v>810961595</v>
      </c>
      <c r="AJ1138" s="464"/>
    </row>
    <row r="1139" spans="2:36" ht="24" hidden="1" customHeight="1">
      <c r="B1139" s="701">
        <v>927</v>
      </c>
      <c r="C1139" s="699" t="s">
        <v>534</v>
      </c>
      <c r="D1139" s="699"/>
      <c r="E1139" s="699" t="s">
        <v>535</v>
      </c>
      <c r="F1139" s="699"/>
      <c r="G1139" s="699" t="s">
        <v>47</v>
      </c>
      <c r="H1139" s="699" t="s">
        <v>2883</v>
      </c>
      <c r="I1139" s="712">
        <v>30000</v>
      </c>
      <c r="J1139" s="709" t="s">
        <v>537</v>
      </c>
      <c r="K1139" s="709" t="s">
        <v>537</v>
      </c>
      <c r="L1139" s="712">
        <v>2400</v>
      </c>
      <c r="M1139" s="709" t="s">
        <v>537</v>
      </c>
      <c r="N1139" s="709" t="s">
        <v>537</v>
      </c>
      <c r="O1139" s="701" t="s">
        <v>537</v>
      </c>
      <c r="P1139" s="701" t="s">
        <v>537</v>
      </c>
      <c r="Q1139" s="705">
        <v>27600</v>
      </c>
      <c r="R1139" s="701" t="s">
        <v>2884</v>
      </c>
      <c r="S1139" s="721">
        <v>22359</v>
      </c>
      <c r="T1139" s="701">
        <v>17</v>
      </c>
      <c r="U1139" s="701">
        <v>3</v>
      </c>
      <c r="V1139" s="701">
        <v>0</v>
      </c>
      <c r="W1139" s="701">
        <v>42</v>
      </c>
      <c r="X1139" s="701">
        <v>3</v>
      </c>
      <c r="Y1139" s="701">
        <v>0</v>
      </c>
      <c r="Z1139" s="701">
        <v>94</v>
      </c>
      <c r="AA1139" s="697" t="s">
        <v>2882</v>
      </c>
      <c r="AB1139" s="701">
        <v>1</v>
      </c>
      <c r="AC1139" s="701">
        <v>6</v>
      </c>
      <c r="AD1139" s="458" t="s">
        <v>2834</v>
      </c>
      <c r="AE1139" s="459">
        <v>1</v>
      </c>
      <c r="AF1139" s="459">
        <v>1</v>
      </c>
      <c r="AG1139" s="701" t="s">
        <v>375</v>
      </c>
      <c r="AH1139" s="728"/>
      <c r="AI1139" s="697">
        <v>810961595</v>
      </c>
      <c r="AJ1139" s="699"/>
    </row>
    <row r="1140" spans="2:36" ht="24" hidden="1" customHeight="1">
      <c r="B1140" s="702"/>
      <c r="C1140" s="700"/>
      <c r="D1140" s="700"/>
      <c r="E1140" s="700"/>
      <c r="F1140" s="700"/>
      <c r="G1140" s="700"/>
      <c r="H1140" s="700"/>
      <c r="I1140" s="713"/>
      <c r="J1140" s="710"/>
      <c r="K1140" s="710"/>
      <c r="L1140" s="713"/>
      <c r="M1140" s="710"/>
      <c r="N1140" s="710"/>
      <c r="O1140" s="702"/>
      <c r="P1140" s="702"/>
      <c r="Q1140" s="706"/>
      <c r="R1140" s="702"/>
      <c r="S1140" s="722"/>
      <c r="T1140" s="702"/>
      <c r="U1140" s="702"/>
      <c r="V1140" s="702"/>
      <c r="W1140" s="702"/>
      <c r="X1140" s="702"/>
      <c r="Y1140" s="702"/>
      <c r="Z1140" s="702"/>
      <c r="AA1140" s="698"/>
      <c r="AB1140" s="702"/>
      <c r="AC1140" s="702"/>
      <c r="AD1140" s="473" t="s">
        <v>2880</v>
      </c>
      <c r="AE1140" s="474">
        <v>1</v>
      </c>
      <c r="AF1140" s="474">
        <v>6</v>
      </c>
      <c r="AG1140" s="702"/>
      <c r="AH1140" s="729"/>
      <c r="AI1140" s="698"/>
      <c r="AJ1140" s="700"/>
    </row>
    <row r="1141" spans="2:36" ht="24" hidden="1" customHeight="1">
      <c r="B1141" s="463">
        <v>928</v>
      </c>
      <c r="C1141" s="464" t="s">
        <v>534</v>
      </c>
      <c r="D1141" s="464"/>
      <c r="E1141" s="464" t="s">
        <v>535</v>
      </c>
      <c r="F1141" s="464"/>
      <c r="G1141" s="464" t="s">
        <v>47</v>
      </c>
      <c r="H1141" s="464" t="s">
        <v>2885</v>
      </c>
      <c r="I1141" s="466">
        <v>50000</v>
      </c>
      <c r="J1141" s="465" t="s">
        <v>537</v>
      </c>
      <c r="K1141" s="465" t="s">
        <v>537</v>
      </c>
      <c r="L1141" s="466">
        <v>50000</v>
      </c>
      <c r="M1141" s="465" t="s">
        <v>537</v>
      </c>
      <c r="N1141" s="465" t="s">
        <v>537</v>
      </c>
      <c r="O1141" s="463" t="s">
        <v>537</v>
      </c>
      <c r="P1141" s="463" t="s">
        <v>537</v>
      </c>
      <c r="Q1141" s="465">
        <v>0</v>
      </c>
      <c r="R1141" s="470">
        <v>241609</v>
      </c>
      <c r="S1141" s="463" t="s">
        <v>2886</v>
      </c>
      <c r="T1141" s="463">
        <v>55</v>
      </c>
      <c r="U1141" s="463">
        <v>5</v>
      </c>
      <c r="V1141" s="463">
        <v>0</v>
      </c>
      <c r="W1141" s="463">
        <v>53</v>
      </c>
      <c r="X1141" s="463">
        <v>6</v>
      </c>
      <c r="Y1141" s="463">
        <v>1</v>
      </c>
      <c r="Z1141" s="463">
        <v>89</v>
      </c>
      <c r="AA1141" s="472" t="s">
        <v>2071</v>
      </c>
      <c r="AB1141" s="463" t="s">
        <v>539</v>
      </c>
      <c r="AC1141" s="463" t="s">
        <v>539</v>
      </c>
      <c r="AD1141" s="472" t="s">
        <v>2833</v>
      </c>
      <c r="AE1141" s="463">
        <v>80</v>
      </c>
      <c r="AF1141" s="463">
        <v>89</v>
      </c>
      <c r="AG1141" s="463" t="s">
        <v>375</v>
      </c>
      <c r="AH1141" s="476"/>
      <c r="AI1141" s="472">
        <v>973458487</v>
      </c>
      <c r="AJ1141" s="464"/>
    </row>
    <row r="1142" spans="2:36" ht="24" hidden="1" customHeight="1">
      <c r="B1142" s="463">
        <v>929</v>
      </c>
      <c r="C1142" s="464" t="s">
        <v>165</v>
      </c>
      <c r="D1142" s="464"/>
      <c r="E1142" s="464" t="s">
        <v>535</v>
      </c>
      <c r="F1142" s="464"/>
      <c r="G1142" s="464" t="s">
        <v>47</v>
      </c>
      <c r="H1142" s="464" t="s">
        <v>2887</v>
      </c>
      <c r="I1142" s="466">
        <v>200000</v>
      </c>
      <c r="J1142" s="465" t="s">
        <v>537</v>
      </c>
      <c r="K1142" s="465" t="s">
        <v>537</v>
      </c>
      <c r="L1142" s="466">
        <v>198504.67</v>
      </c>
      <c r="M1142" s="465" t="s">
        <v>537</v>
      </c>
      <c r="N1142" s="465" t="s">
        <v>537</v>
      </c>
      <c r="O1142" s="463" t="s">
        <v>537</v>
      </c>
      <c r="P1142" s="463" t="s">
        <v>537</v>
      </c>
      <c r="Q1142" s="468">
        <v>1495</v>
      </c>
      <c r="R1142" s="463" t="s">
        <v>643</v>
      </c>
      <c r="S1142" s="463" t="s">
        <v>2888</v>
      </c>
      <c r="T1142" s="463">
        <v>30</v>
      </c>
      <c r="U1142" s="463">
        <v>10</v>
      </c>
      <c r="V1142" s="463">
        <v>120</v>
      </c>
      <c r="W1142" s="463">
        <v>30</v>
      </c>
      <c r="X1142" s="463">
        <v>10</v>
      </c>
      <c r="Y1142" s="463">
        <v>120</v>
      </c>
      <c r="Z1142" s="463">
        <v>88</v>
      </c>
      <c r="AA1142" s="472" t="s">
        <v>547</v>
      </c>
      <c r="AB1142" s="463" t="s">
        <v>539</v>
      </c>
      <c r="AC1142" s="463" t="s">
        <v>539</v>
      </c>
      <c r="AD1142" s="472" t="s">
        <v>675</v>
      </c>
      <c r="AE1142" s="463">
        <v>80</v>
      </c>
      <c r="AF1142" s="463">
        <v>88</v>
      </c>
      <c r="AG1142" s="463" t="s">
        <v>375</v>
      </c>
      <c r="AH1142" s="476"/>
      <c r="AI1142" s="472">
        <v>815417360</v>
      </c>
      <c r="AJ1142" s="464"/>
    </row>
    <row r="1143" spans="2:36" ht="24" hidden="1" customHeight="1">
      <c r="B1143" s="701">
        <v>930</v>
      </c>
      <c r="C1143" s="699" t="s">
        <v>165</v>
      </c>
      <c r="D1143" s="699"/>
      <c r="E1143" s="699" t="s">
        <v>535</v>
      </c>
      <c r="F1143" s="699"/>
      <c r="G1143" s="699" t="s">
        <v>47</v>
      </c>
      <c r="H1143" s="699" t="s">
        <v>2889</v>
      </c>
      <c r="I1143" s="712">
        <v>200000</v>
      </c>
      <c r="J1143" s="709" t="s">
        <v>537</v>
      </c>
      <c r="K1143" s="709" t="s">
        <v>537</v>
      </c>
      <c r="L1143" s="712">
        <v>198700</v>
      </c>
      <c r="M1143" s="709" t="s">
        <v>537</v>
      </c>
      <c r="N1143" s="709" t="s">
        <v>537</v>
      </c>
      <c r="O1143" s="701" t="s">
        <v>537</v>
      </c>
      <c r="P1143" s="701" t="s">
        <v>537</v>
      </c>
      <c r="Q1143" s="705">
        <v>1300</v>
      </c>
      <c r="R1143" s="707">
        <v>241609</v>
      </c>
      <c r="S1143" s="701" t="s">
        <v>2890</v>
      </c>
      <c r="T1143" s="701">
        <v>80</v>
      </c>
      <c r="U1143" s="701">
        <v>18</v>
      </c>
      <c r="V1143" s="701">
        <v>102</v>
      </c>
      <c r="W1143" s="701">
        <v>80</v>
      </c>
      <c r="X1143" s="701">
        <v>18</v>
      </c>
      <c r="Y1143" s="701">
        <v>102</v>
      </c>
      <c r="Z1143" s="701">
        <v>90</v>
      </c>
      <c r="AA1143" s="458" t="s">
        <v>2891</v>
      </c>
      <c r="AB1143" s="459">
        <v>1</v>
      </c>
      <c r="AC1143" s="459">
        <v>1</v>
      </c>
      <c r="AD1143" s="697" t="s">
        <v>651</v>
      </c>
      <c r="AE1143" s="701">
        <v>1</v>
      </c>
      <c r="AF1143" s="701">
        <v>1</v>
      </c>
      <c r="AG1143" s="701" t="s">
        <v>375</v>
      </c>
      <c r="AH1143" s="728"/>
      <c r="AI1143" s="697">
        <v>991063718</v>
      </c>
      <c r="AJ1143" s="699"/>
    </row>
    <row r="1144" spans="2:36" ht="24" hidden="1" customHeight="1">
      <c r="B1144" s="702"/>
      <c r="C1144" s="700"/>
      <c r="D1144" s="700"/>
      <c r="E1144" s="700"/>
      <c r="F1144" s="700"/>
      <c r="G1144" s="700"/>
      <c r="H1144" s="700"/>
      <c r="I1144" s="713"/>
      <c r="J1144" s="710"/>
      <c r="K1144" s="710"/>
      <c r="L1144" s="713"/>
      <c r="M1144" s="710"/>
      <c r="N1144" s="710"/>
      <c r="O1144" s="702"/>
      <c r="P1144" s="702"/>
      <c r="Q1144" s="706"/>
      <c r="R1144" s="708"/>
      <c r="S1144" s="702"/>
      <c r="T1144" s="702"/>
      <c r="U1144" s="702"/>
      <c r="V1144" s="702"/>
      <c r="W1144" s="702"/>
      <c r="X1144" s="702"/>
      <c r="Y1144" s="702"/>
      <c r="Z1144" s="702"/>
      <c r="AA1144" s="473" t="s">
        <v>2892</v>
      </c>
      <c r="AB1144" s="474" t="s">
        <v>539</v>
      </c>
      <c r="AC1144" s="474" t="s">
        <v>539</v>
      </c>
      <c r="AD1144" s="698"/>
      <c r="AE1144" s="702"/>
      <c r="AF1144" s="702"/>
      <c r="AG1144" s="702"/>
      <c r="AH1144" s="729"/>
      <c r="AI1144" s="698"/>
      <c r="AJ1144" s="700"/>
    </row>
    <row r="1145" spans="2:36" ht="24" hidden="1" customHeight="1">
      <c r="B1145" s="463">
        <v>931</v>
      </c>
      <c r="C1145" s="464" t="s">
        <v>534</v>
      </c>
      <c r="D1145" s="464"/>
      <c r="E1145" s="464" t="s">
        <v>577</v>
      </c>
      <c r="F1145" s="464"/>
      <c r="G1145" s="464" t="s">
        <v>47</v>
      </c>
      <c r="H1145" s="464" t="s">
        <v>2893</v>
      </c>
      <c r="I1145" s="465" t="s">
        <v>537</v>
      </c>
      <c r="J1145" s="465" t="s">
        <v>537</v>
      </c>
      <c r="K1145" s="466">
        <v>100000</v>
      </c>
      <c r="L1145" s="465" t="s">
        <v>537</v>
      </c>
      <c r="M1145" s="465" t="s">
        <v>537</v>
      </c>
      <c r="N1145" s="466">
        <v>96190</v>
      </c>
      <c r="O1145" s="463" t="s">
        <v>537</v>
      </c>
      <c r="P1145" s="463" t="s">
        <v>537</v>
      </c>
      <c r="Q1145" s="468">
        <v>3810</v>
      </c>
      <c r="R1145" s="463" t="s">
        <v>976</v>
      </c>
      <c r="S1145" s="463" t="s">
        <v>2894</v>
      </c>
      <c r="T1145" s="463">
        <v>0</v>
      </c>
      <c r="U1145" s="463">
        <v>0</v>
      </c>
      <c r="V1145" s="463">
        <v>0</v>
      </c>
      <c r="W1145" s="463">
        <v>0</v>
      </c>
      <c r="X1145" s="463">
        <v>0</v>
      </c>
      <c r="Y1145" s="463">
        <v>0</v>
      </c>
      <c r="Z1145" s="463">
        <v>85</v>
      </c>
      <c r="AA1145" s="472" t="s">
        <v>2895</v>
      </c>
      <c r="AB1145" s="463" t="s">
        <v>539</v>
      </c>
      <c r="AC1145" s="463" t="s">
        <v>539</v>
      </c>
      <c r="AD1145" s="472" t="s">
        <v>2896</v>
      </c>
      <c r="AE1145" s="463" t="s">
        <v>539</v>
      </c>
      <c r="AF1145" s="463" t="s">
        <v>539</v>
      </c>
      <c r="AG1145" s="463" t="s">
        <v>375</v>
      </c>
      <c r="AH1145" s="476"/>
      <c r="AI1145" s="472" t="s">
        <v>566</v>
      </c>
      <c r="AJ1145" s="472" t="s">
        <v>543</v>
      </c>
    </row>
    <row r="1146" spans="2:36" ht="24" hidden="1" customHeight="1">
      <c r="B1146" s="463">
        <v>932</v>
      </c>
      <c r="C1146" s="464" t="s">
        <v>534</v>
      </c>
      <c r="D1146" s="464"/>
      <c r="E1146" s="464" t="s">
        <v>1633</v>
      </c>
      <c r="F1146" s="464"/>
      <c r="G1146" s="464" t="s">
        <v>47</v>
      </c>
      <c r="H1146" s="464" t="s">
        <v>636</v>
      </c>
      <c r="I1146" s="465" t="s">
        <v>537</v>
      </c>
      <c r="J1146" s="465" t="s">
        <v>537</v>
      </c>
      <c r="K1146" s="466">
        <v>1200000</v>
      </c>
      <c r="L1146" s="465" t="s">
        <v>537</v>
      </c>
      <c r="M1146" s="465" t="s">
        <v>537</v>
      </c>
      <c r="N1146" s="466">
        <v>1190321.32</v>
      </c>
      <c r="O1146" s="463" t="s">
        <v>537</v>
      </c>
      <c r="P1146" s="463" t="s">
        <v>537</v>
      </c>
      <c r="Q1146" s="468">
        <v>9679</v>
      </c>
      <c r="R1146" s="470">
        <v>241609</v>
      </c>
      <c r="S1146" s="463" t="s">
        <v>637</v>
      </c>
      <c r="T1146" s="463">
        <v>1500</v>
      </c>
      <c r="U1146" s="463">
        <v>100</v>
      </c>
      <c r="V1146" s="463">
        <v>200</v>
      </c>
      <c r="W1146" s="463">
        <v>1500</v>
      </c>
      <c r="X1146" s="463">
        <v>100</v>
      </c>
      <c r="Y1146" s="463">
        <v>200</v>
      </c>
      <c r="Z1146" s="463">
        <v>84.61</v>
      </c>
      <c r="AA1146" s="472" t="s">
        <v>565</v>
      </c>
      <c r="AB1146" s="463">
        <v>80</v>
      </c>
      <c r="AC1146" s="463">
        <v>84.61</v>
      </c>
      <c r="AD1146" s="472" t="s">
        <v>2787</v>
      </c>
      <c r="AE1146" s="463" t="s">
        <v>539</v>
      </c>
      <c r="AF1146" s="463" t="s">
        <v>539</v>
      </c>
      <c r="AG1146" s="463" t="s">
        <v>375</v>
      </c>
      <c r="AH1146" s="476"/>
      <c r="AI1146" s="472">
        <v>819691032</v>
      </c>
      <c r="AJ1146" s="472" t="s">
        <v>543</v>
      </c>
    </row>
    <row r="1147" spans="2:36" ht="24" hidden="1" customHeight="1">
      <c r="B1147" s="701">
        <v>933</v>
      </c>
      <c r="C1147" s="699" t="s">
        <v>337</v>
      </c>
      <c r="D1147" s="699"/>
      <c r="E1147" s="699" t="s">
        <v>545</v>
      </c>
      <c r="F1147" s="699"/>
      <c r="G1147" s="699" t="s">
        <v>47</v>
      </c>
      <c r="H1147" s="699" t="s">
        <v>2897</v>
      </c>
      <c r="I1147" s="712">
        <v>40000</v>
      </c>
      <c r="J1147" s="709" t="s">
        <v>537</v>
      </c>
      <c r="K1147" s="709" t="s">
        <v>537</v>
      </c>
      <c r="L1147" s="712">
        <v>22500</v>
      </c>
      <c r="M1147" s="709" t="s">
        <v>537</v>
      </c>
      <c r="N1147" s="709" t="s">
        <v>537</v>
      </c>
      <c r="O1147" s="701" t="s">
        <v>537</v>
      </c>
      <c r="P1147" s="701" t="s">
        <v>537</v>
      </c>
      <c r="Q1147" s="705">
        <v>17500</v>
      </c>
      <c r="R1147" s="707">
        <v>241518</v>
      </c>
      <c r="S1147" s="701" t="s">
        <v>2898</v>
      </c>
      <c r="T1147" s="701">
        <v>0</v>
      </c>
      <c r="U1147" s="701">
        <v>2</v>
      </c>
      <c r="V1147" s="701">
        <v>20</v>
      </c>
      <c r="W1147" s="701">
        <v>2</v>
      </c>
      <c r="X1147" s="701">
        <v>2</v>
      </c>
      <c r="Y1147" s="701">
        <v>25</v>
      </c>
      <c r="Z1147" s="701">
        <v>91.2</v>
      </c>
      <c r="AA1147" s="458" t="s">
        <v>2899</v>
      </c>
      <c r="AB1147" s="459" t="s">
        <v>539</v>
      </c>
      <c r="AC1147" s="459" t="s">
        <v>539</v>
      </c>
      <c r="AD1147" s="458" t="s">
        <v>2900</v>
      </c>
      <c r="AE1147" s="459">
        <v>20</v>
      </c>
      <c r="AF1147" s="459">
        <v>25</v>
      </c>
      <c r="AG1147" s="701" t="s">
        <v>375</v>
      </c>
      <c r="AH1147" s="728"/>
      <c r="AI1147" s="697">
        <v>8558709.3900000006</v>
      </c>
      <c r="AJ1147" s="699"/>
    </row>
    <row r="1148" spans="2:36" ht="24" hidden="1" customHeight="1">
      <c r="B1148" s="715"/>
      <c r="C1148" s="714"/>
      <c r="D1148" s="714"/>
      <c r="E1148" s="714"/>
      <c r="F1148" s="714"/>
      <c r="G1148" s="714"/>
      <c r="H1148" s="714"/>
      <c r="I1148" s="720"/>
      <c r="J1148" s="717"/>
      <c r="K1148" s="717"/>
      <c r="L1148" s="720"/>
      <c r="M1148" s="717"/>
      <c r="N1148" s="717"/>
      <c r="O1148" s="715"/>
      <c r="P1148" s="715"/>
      <c r="Q1148" s="718"/>
      <c r="R1148" s="719"/>
      <c r="S1148" s="715"/>
      <c r="T1148" s="715"/>
      <c r="U1148" s="715"/>
      <c r="V1148" s="715"/>
      <c r="W1148" s="715"/>
      <c r="X1148" s="715"/>
      <c r="Y1148" s="715"/>
      <c r="Z1148" s="715"/>
      <c r="AA1148" s="460" t="s">
        <v>2892</v>
      </c>
      <c r="AB1148" s="461" t="s">
        <v>539</v>
      </c>
      <c r="AC1148" s="461" t="s">
        <v>539</v>
      </c>
      <c r="AD1148" s="460" t="s">
        <v>2901</v>
      </c>
      <c r="AE1148" s="461">
        <v>20</v>
      </c>
      <c r="AF1148" s="461">
        <v>25</v>
      </c>
      <c r="AG1148" s="715"/>
      <c r="AH1148" s="730"/>
      <c r="AI1148" s="711"/>
      <c r="AJ1148" s="714"/>
    </row>
    <row r="1149" spans="2:36" ht="24" hidden="1" customHeight="1">
      <c r="B1149" s="702"/>
      <c r="C1149" s="700"/>
      <c r="D1149" s="700"/>
      <c r="E1149" s="700"/>
      <c r="F1149" s="700"/>
      <c r="G1149" s="700"/>
      <c r="H1149" s="700"/>
      <c r="I1149" s="713"/>
      <c r="J1149" s="710"/>
      <c r="K1149" s="710"/>
      <c r="L1149" s="713"/>
      <c r="M1149" s="710"/>
      <c r="N1149" s="710"/>
      <c r="O1149" s="702"/>
      <c r="P1149" s="702"/>
      <c r="Q1149" s="706"/>
      <c r="R1149" s="708"/>
      <c r="S1149" s="702"/>
      <c r="T1149" s="702"/>
      <c r="U1149" s="702"/>
      <c r="V1149" s="702"/>
      <c r="W1149" s="702"/>
      <c r="X1149" s="702"/>
      <c r="Y1149" s="702"/>
      <c r="Z1149" s="702"/>
      <c r="AA1149" s="462"/>
      <c r="AB1149" s="462"/>
      <c r="AC1149" s="462"/>
      <c r="AD1149" s="473" t="s">
        <v>2902</v>
      </c>
      <c r="AE1149" s="474">
        <v>80</v>
      </c>
      <c r="AF1149" s="474">
        <v>100</v>
      </c>
      <c r="AG1149" s="702"/>
      <c r="AH1149" s="729"/>
      <c r="AI1149" s="698"/>
      <c r="AJ1149" s="700"/>
    </row>
    <row r="1150" spans="2:36" ht="24" hidden="1" customHeight="1">
      <c r="B1150" s="701">
        <v>934</v>
      </c>
      <c r="C1150" s="699" t="s">
        <v>337</v>
      </c>
      <c r="D1150" s="699"/>
      <c r="E1150" s="699" t="s">
        <v>545</v>
      </c>
      <c r="F1150" s="699"/>
      <c r="G1150" s="699" t="s">
        <v>47</v>
      </c>
      <c r="H1150" s="699" t="s">
        <v>2903</v>
      </c>
      <c r="I1150" s="712">
        <v>5000</v>
      </c>
      <c r="J1150" s="709" t="s">
        <v>537</v>
      </c>
      <c r="K1150" s="709" t="s">
        <v>537</v>
      </c>
      <c r="L1150" s="712">
        <v>5000</v>
      </c>
      <c r="M1150" s="709" t="s">
        <v>537</v>
      </c>
      <c r="N1150" s="709" t="s">
        <v>537</v>
      </c>
      <c r="O1150" s="701" t="s">
        <v>537</v>
      </c>
      <c r="P1150" s="701" t="s">
        <v>537</v>
      </c>
      <c r="Q1150" s="709">
        <v>0</v>
      </c>
      <c r="R1150" s="707">
        <v>241397</v>
      </c>
      <c r="S1150" s="701" t="s">
        <v>2904</v>
      </c>
      <c r="T1150" s="701">
        <v>0</v>
      </c>
      <c r="U1150" s="701">
        <v>4</v>
      </c>
      <c r="V1150" s="701">
        <v>35</v>
      </c>
      <c r="W1150" s="701">
        <v>0</v>
      </c>
      <c r="X1150" s="701">
        <v>15</v>
      </c>
      <c r="Y1150" s="701">
        <v>22</v>
      </c>
      <c r="Z1150" s="701">
        <v>92.25</v>
      </c>
      <c r="AA1150" s="458" t="s">
        <v>2905</v>
      </c>
      <c r="AB1150" s="459" t="s">
        <v>539</v>
      </c>
      <c r="AC1150" s="459" t="s">
        <v>539</v>
      </c>
      <c r="AD1150" s="458" t="s">
        <v>2906</v>
      </c>
      <c r="AE1150" s="459" t="s">
        <v>539</v>
      </c>
      <c r="AF1150" s="459" t="s">
        <v>539</v>
      </c>
      <c r="AG1150" s="701" t="s">
        <v>375</v>
      </c>
      <c r="AH1150" s="728"/>
      <c r="AI1150" s="697" t="s">
        <v>2907</v>
      </c>
      <c r="AJ1150" s="699"/>
    </row>
    <row r="1151" spans="2:36" ht="24" hidden="1" customHeight="1">
      <c r="B1151" s="715"/>
      <c r="C1151" s="714"/>
      <c r="D1151" s="714"/>
      <c r="E1151" s="714"/>
      <c r="F1151" s="714"/>
      <c r="G1151" s="714"/>
      <c r="H1151" s="714"/>
      <c r="I1151" s="720"/>
      <c r="J1151" s="717"/>
      <c r="K1151" s="717"/>
      <c r="L1151" s="720"/>
      <c r="M1151" s="717"/>
      <c r="N1151" s="717"/>
      <c r="O1151" s="715"/>
      <c r="P1151" s="715"/>
      <c r="Q1151" s="717"/>
      <c r="R1151" s="719"/>
      <c r="S1151" s="715"/>
      <c r="T1151" s="715"/>
      <c r="U1151" s="715"/>
      <c r="V1151" s="715"/>
      <c r="W1151" s="715"/>
      <c r="X1151" s="715"/>
      <c r="Y1151" s="715"/>
      <c r="Z1151" s="715"/>
      <c r="AA1151" s="460" t="s">
        <v>2892</v>
      </c>
      <c r="AB1151" s="461" t="s">
        <v>539</v>
      </c>
      <c r="AC1151" s="461" t="s">
        <v>539</v>
      </c>
      <c r="AD1151" s="460" t="s">
        <v>2908</v>
      </c>
      <c r="AE1151" s="461" t="s">
        <v>539</v>
      </c>
      <c r="AF1151" s="461" t="s">
        <v>539</v>
      </c>
      <c r="AG1151" s="715"/>
      <c r="AH1151" s="730"/>
      <c r="AI1151" s="711"/>
      <c r="AJ1151" s="714"/>
    </row>
    <row r="1152" spans="2:36" ht="24" hidden="1" customHeight="1">
      <c r="B1152" s="702"/>
      <c r="C1152" s="700"/>
      <c r="D1152" s="700"/>
      <c r="E1152" s="700"/>
      <c r="F1152" s="700"/>
      <c r="G1152" s="700"/>
      <c r="H1152" s="700"/>
      <c r="I1152" s="713"/>
      <c r="J1152" s="710"/>
      <c r="K1152" s="710"/>
      <c r="L1152" s="713"/>
      <c r="M1152" s="710"/>
      <c r="N1152" s="710"/>
      <c r="O1152" s="702"/>
      <c r="P1152" s="702"/>
      <c r="Q1152" s="710"/>
      <c r="R1152" s="708"/>
      <c r="S1152" s="702"/>
      <c r="T1152" s="702"/>
      <c r="U1152" s="702"/>
      <c r="V1152" s="702"/>
      <c r="W1152" s="702"/>
      <c r="X1152" s="702"/>
      <c r="Y1152" s="702"/>
      <c r="Z1152" s="702"/>
      <c r="AA1152" s="462"/>
      <c r="AB1152" s="462"/>
      <c r="AC1152" s="462"/>
      <c r="AD1152" s="473" t="s">
        <v>2909</v>
      </c>
      <c r="AE1152" s="474">
        <v>80</v>
      </c>
      <c r="AF1152" s="474">
        <v>89.9</v>
      </c>
      <c r="AG1152" s="702"/>
      <c r="AH1152" s="729"/>
      <c r="AI1152" s="698"/>
      <c r="AJ1152" s="700"/>
    </row>
    <row r="1153" spans="2:36" ht="24" hidden="1" customHeight="1">
      <c r="B1153" s="701">
        <v>935</v>
      </c>
      <c r="C1153" s="699" t="s">
        <v>337</v>
      </c>
      <c r="D1153" s="699"/>
      <c r="E1153" s="699" t="s">
        <v>545</v>
      </c>
      <c r="F1153" s="699"/>
      <c r="G1153" s="699" t="s">
        <v>47</v>
      </c>
      <c r="H1153" s="699" t="s">
        <v>2910</v>
      </c>
      <c r="I1153" s="712">
        <v>33700</v>
      </c>
      <c r="J1153" s="709" t="s">
        <v>537</v>
      </c>
      <c r="K1153" s="709" t="s">
        <v>537</v>
      </c>
      <c r="L1153" s="712">
        <v>32670</v>
      </c>
      <c r="M1153" s="709" t="s">
        <v>537</v>
      </c>
      <c r="N1153" s="709" t="s">
        <v>537</v>
      </c>
      <c r="O1153" s="701" t="s">
        <v>537</v>
      </c>
      <c r="P1153" s="701" t="s">
        <v>537</v>
      </c>
      <c r="Q1153" s="705">
        <v>1030</v>
      </c>
      <c r="R1153" s="707">
        <v>241397</v>
      </c>
      <c r="S1153" s="701" t="s">
        <v>2911</v>
      </c>
      <c r="T1153" s="701">
        <v>0</v>
      </c>
      <c r="U1153" s="701">
        <v>12</v>
      </c>
      <c r="V1153" s="701">
        <v>115</v>
      </c>
      <c r="W1153" s="701">
        <v>10</v>
      </c>
      <c r="X1153" s="701">
        <v>4</v>
      </c>
      <c r="Y1153" s="701">
        <v>36</v>
      </c>
      <c r="Z1153" s="701">
        <v>89.5</v>
      </c>
      <c r="AA1153" s="697" t="s">
        <v>2286</v>
      </c>
      <c r="AB1153" s="701" t="s">
        <v>539</v>
      </c>
      <c r="AC1153" s="701" t="s">
        <v>539</v>
      </c>
      <c r="AD1153" s="458" t="s">
        <v>2912</v>
      </c>
      <c r="AE1153" s="459" t="s">
        <v>539</v>
      </c>
      <c r="AF1153" s="459" t="s">
        <v>539</v>
      </c>
      <c r="AG1153" s="701" t="s">
        <v>375</v>
      </c>
      <c r="AH1153" s="728"/>
      <c r="AI1153" s="697">
        <v>850726101</v>
      </c>
      <c r="AJ1153" s="699"/>
    </row>
    <row r="1154" spans="2:36" ht="24" hidden="1" customHeight="1">
      <c r="B1154" s="715"/>
      <c r="C1154" s="714"/>
      <c r="D1154" s="714"/>
      <c r="E1154" s="714"/>
      <c r="F1154" s="714"/>
      <c r="G1154" s="714"/>
      <c r="H1154" s="714"/>
      <c r="I1154" s="720"/>
      <c r="J1154" s="717"/>
      <c r="K1154" s="717"/>
      <c r="L1154" s="720"/>
      <c r="M1154" s="717"/>
      <c r="N1154" s="717"/>
      <c r="O1154" s="715"/>
      <c r="P1154" s="715"/>
      <c r="Q1154" s="718"/>
      <c r="R1154" s="719"/>
      <c r="S1154" s="715"/>
      <c r="T1154" s="715"/>
      <c r="U1154" s="715"/>
      <c r="V1154" s="715"/>
      <c r="W1154" s="715"/>
      <c r="X1154" s="715"/>
      <c r="Y1154" s="715"/>
      <c r="Z1154" s="715"/>
      <c r="AA1154" s="711"/>
      <c r="AB1154" s="715"/>
      <c r="AC1154" s="715"/>
      <c r="AD1154" s="460" t="s">
        <v>2913</v>
      </c>
      <c r="AE1154" s="461" t="s">
        <v>539</v>
      </c>
      <c r="AF1154" s="461" t="s">
        <v>539</v>
      </c>
      <c r="AG1154" s="715"/>
      <c r="AH1154" s="730"/>
      <c r="AI1154" s="711"/>
      <c r="AJ1154" s="714"/>
    </row>
    <row r="1155" spans="2:36" ht="24" hidden="1" customHeight="1">
      <c r="B1155" s="715"/>
      <c r="C1155" s="714"/>
      <c r="D1155" s="714"/>
      <c r="E1155" s="714"/>
      <c r="F1155" s="714"/>
      <c r="G1155" s="714"/>
      <c r="H1155" s="714"/>
      <c r="I1155" s="720"/>
      <c r="J1155" s="717"/>
      <c r="K1155" s="717"/>
      <c r="L1155" s="720"/>
      <c r="M1155" s="717"/>
      <c r="N1155" s="717"/>
      <c r="O1155" s="715"/>
      <c r="P1155" s="715"/>
      <c r="Q1155" s="718"/>
      <c r="R1155" s="719"/>
      <c r="S1155" s="715"/>
      <c r="T1155" s="715"/>
      <c r="U1155" s="715"/>
      <c r="V1155" s="715"/>
      <c r="W1155" s="715"/>
      <c r="X1155" s="715"/>
      <c r="Y1155" s="715"/>
      <c r="Z1155" s="715"/>
      <c r="AA1155" s="711"/>
      <c r="AB1155" s="715"/>
      <c r="AC1155" s="715"/>
      <c r="AD1155" s="460" t="s">
        <v>2914</v>
      </c>
      <c r="AE1155" s="461" t="s">
        <v>539</v>
      </c>
      <c r="AF1155" s="461" t="s">
        <v>539</v>
      </c>
      <c r="AG1155" s="715"/>
      <c r="AH1155" s="730"/>
      <c r="AI1155" s="711"/>
      <c r="AJ1155" s="714"/>
    </row>
    <row r="1156" spans="2:36" ht="24" hidden="1" customHeight="1">
      <c r="B1156" s="702"/>
      <c r="C1156" s="700"/>
      <c r="D1156" s="700"/>
      <c r="E1156" s="700"/>
      <c r="F1156" s="700"/>
      <c r="G1156" s="700"/>
      <c r="H1156" s="700"/>
      <c r="I1156" s="713"/>
      <c r="J1156" s="710"/>
      <c r="K1156" s="710"/>
      <c r="L1156" s="713"/>
      <c r="M1156" s="710"/>
      <c r="N1156" s="710"/>
      <c r="O1156" s="702"/>
      <c r="P1156" s="702"/>
      <c r="Q1156" s="706"/>
      <c r="R1156" s="708"/>
      <c r="S1156" s="702"/>
      <c r="T1156" s="702"/>
      <c r="U1156" s="702"/>
      <c r="V1156" s="702"/>
      <c r="W1156" s="702"/>
      <c r="X1156" s="702"/>
      <c r="Y1156" s="702"/>
      <c r="Z1156" s="702"/>
      <c r="AA1156" s="698"/>
      <c r="AB1156" s="702"/>
      <c r="AC1156" s="702"/>
      <c r="AD1156" s="473" t="s">
        <v>2915</v>
      </c>
      <c r="AE1156" s="474" t="s">
        <v>539</v>
      </c>
      <c r="AF1156" s="474" t="s">
        <v>539</v>
      </c>
      <c r="AG1156" s="702"/>
      <c r="AH1156" s="729"/>
      <c r="AI1156" s="698"/>
      <c r="AJ1156" s="700"/>
    </row>
    <row r="1157" spans="2:36" ht="24" hidden="1" customHeight="1">
      <c r="B1157" s="701">
        <v>936</v>
      </c>
      <c r="C1157" s="699" t="s">
        <v>337</v>
      </c>
      <c r="D1157" s="699"/>
      <c r="E1157" s="699" t="s">
        <v>545</v>
      </c>
      <c r="F1157" s="699"/>
      <c r="G1157" s="699" t="s">
        <v>47</v>
      </c>
      <c r="H1157" s="699" t="s">
        <v>2916</v>
      </c>
      <c r="I1157" s="712">
        <v>49700</v>
      </c>
      <c r="J1157" s="709" t="s">
        <v>537</v>
      </c>
      <c r="K1157" s="709" t="s">
        <v>537</v>
      </c>
      <c r="L1157" s="712">
        <v>49700</v>
      </c>
      <c r="M1157" s="709" t="s">
        <v>537</v>
      </c>
      <c r="N1157" s="709" t="s">
        <v>537</v>
      </c>
      <c r="O1157" s="701" t="s">
        <v>537</v>
      </c>
      <c r="P1157" s="701" t="s">
        <v>537</v>
      </c>
      <c r="Q1157" s="709">
        <v>0</v>
      </c>
      <c r="R1157" s="707">
        <v>241428</v>
      </c>
      <c r="S1157" s="701" t="s">
        <v>870</v>
      </c>
      <c r="T1157" s="701">
        <v>0</v>
      </c>
      <c r="U1157" s="701">
        <v>4</v>
      </c>
      <c r="V1157" s="701">
        <v>36</v>
      </c>
      <c r="W1157" s="701">
        <v>21</v>
      </c>
      <c r="X1157" s="701">
        <v>2</v>
      </c>
      <c r="Y1157" s="701">
        <v>36</v>
      </c>
      <c r="Z1157" s="701">
        <v>90.25</v>
      </c>
      <c r="AA1157" s="458" t="s">
        <v>2917</v>
      </c>
      <c r="AB1157" s="459" t="s">
        <v>539</v>
      </c>
      <c r="AC1157" s="459" t="s">
        <v>539</v>
      </c>
      <c r="AD1157" s="458" t="s">
        <v>2918</v>
      </c>
      <c r="AE1157" s="459">
        <v>5</v>
      </c>
      <c r="AF1157" s="459">
        <v>5</v>
      </c>
      <c r="AG1157" s="701" t="s">
        <v>375</v>
      </c>
      <c r="AH1157" s="728"/>
      <c r="AI1157" s="697">
        <v>894634204</v>
      </c>
      <c r="AJ1157" s="699"/>
    </row>
    <row r="1158" spans="2:36" ht="24" hidden="1" customHeight="1">
      <c r="B1158" s="715"/>
      <c r="C1158" s="714"/>
      <c r="D1158" s="714"/>
      <c r="E1158" s="714"/>
      <c r="F1158" s="714"/>
      <c r="G1158" s="714"/>
      <c r="H1158" s="714"/>
      <c r="I1158" s="720"/>
      <c r="J1158" s="717"/>
      <c r="K1158" s="717"/>
      <c r="L1158" s="720"/>
      <c r="M1158" s="717"/>
      <c r="N1158" s="717"/>
      <c r="O1158" s="715"/>
      <c r="P1158" s="715"/>
      <c r="Q1158" s="717"/>
      <c r="R1158" s="719"/>
      <c r="S1158" s="715"/>
      <c r="T1158" s="715"/>
      <c r="U1158" s="715"/>
      <c r="V1158" s="715"/>
      <c r="W1158" s="715"/>
      <c r="X1158" s="715"/>
      <c r="Y1158" s="715"/>
      <c r="Z1158" s="715"/>
      <c r="AA1158" s="460" t="s">
        <v>2919</v>
      </c>
      <c r="AB1158" s="461" t="s">
        <v>539</v>
      </c>
      <c r="AC1158" s="461" t="s">
        <v>539</v>
      </c>
      <c r="AD1158" s="460" t="s">
        <v>2920</v>
      </c>
      <c r="AE1158" s="461">
        <v>10</v>
      </c>
      <c r="AF1158" s="461">
        <v>10</v>
      </c>
      <c r="AG1158" s="715"/>
      <c r="AH1158" s="730"/>
      <c r="AI1158" s="711"/>
      <c r="AJ1158" s="714"/>
    </row>
    <row r="1159" spans="2:36" ht="24" hidden="1" customHeight="1">
      <c r="B1159" s="702"/>
      <c r="C1159" s="700"/>
      <c r="D1159" s="700"/>
      <c r="E1159" s="700"/>
      <c r="F1159" s="700"/>
      <c r="G1159" s="700"/>
      <c r="H1159" s="700"/>
      <c r="I1159" s="713"/>
      <c r="J1159" s="710"/>
      <c r="K1159" s="710"/>
      <c r="L1159" s="713"/>
      <c r="M1159" s="710"/>
      <c r="N1159" s="710"/>
      <c r="O1159" s="702"/>
      <c r="P1159" s="702"/>
      <c r="Q1159" s="710"/>
      <c r="R1159" s="708"/>
      <c r="S1159" s="702"/>
      <c r="T1159" s="702"/>
      <c r="U1159" s="702"/>
      <c r="V1159" s="702"/>
      <c r="W1159" s="702"/>
      <c r="X1159" s="702"/>
      <c r="Y1159" s="702"/>
      <c r="Z1159" s="702"/>
      <c r="AA1159" s="473" t="s">
        <v>2921</v>
      </c>
      <c r="AB1159" s="474" t="s">
        <v>539</v>
      </c>
      <c r="AC1159" s="474" t="s">
        <v>539</v>
      </c>
      <c r="AD1159" s="473" t="s">
        <v>2076</v>
      </c>
      <c r="AE1159" s="474">
        <v>80</v>
      </c>
      <c r="AF1159" s="474">
        <v>91.3</v>
      </c>
      <c r="AG1159" s="702"/>
      <c r="AH1159" s="729"/>
      <c r="AI1159" s="698"/>
      <c r="AJ1159" s="700"/>
    </row>
    <row r="1160" spans="2:36" ht="24" hidden="1" customHeight="1">
      <c r="B1160" s="701">
        <v>937</v>
      </c>
      <c r="C1160" s="699" t="s">
        <v>337</v>
      </c>
      <c r="D1160" s="699"/>
      <c r="E1160" s="699" t="s">
        <v>545</v>
      </c>
      <c r="F1160" s="699"/>
      <c r="G1160" s="699" t="s">
        <v>47</v>
      </c>
      <c r="H1160" s="699" t="s">
        <v>2922</v>
      </c>
      <c r="I1160" s="712">
        <v>36300</v>
      </c>
      <c r="J1160" s="709" t="s">
        <v>537</v>
      </c>
      <c r="K1160" s="709" t="s">
        <v>537</v>
      </c>
      <c r="L1160" s="712">
        <v>35850</v>
      </c>
      <c r="M1160" s="709" t="s">
        <v>537</v>
      </c>
      <c r="N1160" s="709" t="s">
        <v>537</v>
      </c>
      <c r="O1160" s="701" t="s">
        <v>537</v>
      </c>
      <c r="P1160" s="701" t="s">
        <v>537</v>
      </c>
      <c r="Q1160" s="709">
        <v>450</v>
      </c>
      <c r="R1160" s="707">
        <v>241579</v>
      </c>
      <c r="S1160" s="701" t="s">
        <v>2923</v>
      </c>
      <c r="T1160" s="701">
        <v>10</v>
      </c>
      <c r="U1160" s="701">
        <v>5</v>
      </c>
      <c r="V1160" s="701">
        <v>150</v>
      </c>
      <c r="W1160" s="701">
        <v>14</v>
      </c>
      <c r="X1160" s="701">
        <v>5</v>
      </c>
      <c r="Y1160" s="701">
        <v>79</v>
      </c>
      <c r="Z1160" s="701">
        <v>92.5</v>
      </c>
      <c r="AA1160" s="697" t="s">
        <v>2286</v>
      </c>
      <c r="AB1160" s="701" t="s">
        <v>539</v>
      </c>
      <c r="AC1160" s="701" t="s">
        <v>539</v>
      </c>
      <c r="AD1160" s="458" t="s">
        <v>2924</v>
      </c>
      <c r="AE1160" s="459">
        <v>1</v>
      </c>
      <c r="AF1160" s="459">
        <v>2</v>
      </c>
      <c r="AG1160" s="701" t="s">
        <v>375</v>
      </c>
      <c r="AH1160" s="728"/>
      <c r="AI1160" s="697">
        <v>844995187</v>
      </c>
      <c r="AJ1160" s="699"/>
    </row>
    <row r="1161" spans="2:36" ht="24" hidden="1" customHeight="1">
      <c r="B1161" s="702"/>
      <c r="C1161" s="700"/>
      <c r="D1161" s="700"/>
      <c r="E1161" s="700"/>
      <c r="F1161" s="700"/>
      <c r="G1161" s="700"/>
      <c r="H1161" s="700"/>
      <c r="I1161" s="713"/>
      <c r="J1161" s="710"/>
      <c r="K1161" s="710"/>
      <c r="L1161" s="713"/>
      <c r="M1161" s="710"/>
      <c r="N1161" s="710"/>
      <c r="O1161" s="702"/>
      <c r="P1161" s="702"/>
      <c r="Q1161" s="710"/>
      <c r="R1161" s="708"/>
      <c r="S1161" s="702"/>
      <c r="T1161" s="702"/>
      <c r="U1161" s="702"/>
      <c r="V1161" s="702"/>
      <c r="W1161" s="702"/>
      <c r="X1161" s="702"/>
      <c r="Y1161" s="702"/>
      <c r="Z1161" s="702"/>
      <c r="AA1161" s="698"/>
      <c r="AB1161" s="702"/>
      <c r="AC1161" s="702"/>
      <c r="AD1161" s="473" t="s">
        <v>2925</v>
      </c>
      <c r="AE1161" s="474">
        <v>80</v>
      </c>
      <c r="AF1161" s="474">
        <v>89.25</v>
      </c>
      <c r="AG1161" s="702"/>
      <c r="AH1161" s="729"/>
      <c r="AI1161" s="698"/>
      <c r="AJ1161" s="700"/>
    </row>
    <row r="1162" spans="2:36" ht="24" hidden="1" customHeight="1">
      <c r="B1162" s="701">
        <v>938</v>
      </c>
      <c r="C1162" s="699" t="s">
        <v>337</v>
      </c>
      <c r="D1162" s="699"/>
      <c r="E1162" s="699" t="s">
        <v>545</v>
      </c>
      <c r="F1162" s="699"/>
      <c r="G1162" s="699" t="s">
        <v>47</v>
      </c>
      <c r="H1162" s="699" t="s">
        <v>2926</v>
      </c>
      <c r="I1162" s="712">
        <v>25300</v>
      </c>
      <c r="J1162" s="709" t="s">
        <v>537</v>
      </c>
      <c r="K1162" s="709" t="s">
        <v>537</v>
      </c>
      <c r="L1162" s="712">
        <v>25300</v>
      </c>
      <c r="M1162" s="709" t="s">
        <v>537</v>
      </c>
      <c r="N1162" s="709" t="s">
        <v>537</v>
      </c>
      <c r="O1162" s="701" t="s">
        <v>537</v>
      </c>
      <c r="P1162" s="701" t="s">
        <v>537</v>
      </c>
      <c r="Q1162" s="709">
        <v>0</v>
      </c>
      <c r="R1162" s="707">
        <v>241579</v>
      </c>
      <c r="S1162" s="701" t="s">
        <v>2927</v>
      </c>
      <c r="T1162" s="701">
        <v>2</v>
      </c>
      <c r="U1162" s="701">
        <v>3</v>
      </c>
      <c r="V1162" s="701">
        <v>45</v>
      </c>
      <c r="W1162" s="701">
        <v>2</v>
      </c>
      <c r="X1162" s="701">
        <v>2</v>
      </c>
      <c r="Y1162" s="701">
        <v>50</v>
      </c>
      <c r="Z1162" s="701">
        <v>92.3</v>
      </c>
      <c r="AA1162" s="458" t="s">
        <v>2928</v>
      </c>
      <c r="AB1162" s="459" t="s">
        <v>539</v>
      </c>
      <c r="AC1162" s="459" t="s">
        <v>539</v>
      </c>
      <c r="AD1162" s="458" t="s">
        <v>2929</v>
      </c>
      <c r="AE1162" s="459">
        <v>3</v>
      </c>
      <c r="AF1162" s="459">
        <v>3</v>
      </c>
      <c r="AG1162" s="701" t="s">
        <v>375</v>
      </c>
      <c r="AH1162" s="728"/>
      <c r="AI1162" s="697">
        <v>897894611</v>
      </c>
      <c r="AJ1162" s="699"/>
    </row>
    <row r="1163" spans="2:36" ht="24" hidden="1" customHeight="1">
      <c r="B1163" s="715"/>
      <c r="C1163" s="714"/>
      <c r="D1163" s="714"/>
      <c r="E1163" s="714"/>
      <c r="F1163" s="714"/>
      <c r="G1163" s="714"/>
      <c r="H1163" s="714"/>
      <c r="I1163" s="720"/>
      <c r="J1163" s="717"/>
      <c r="K1163" s="717"/>
      <c r="L1163" s="720"/>
      <c r="M1163" s="717"/>
      <c r="N1163" s="717"/>
      <c r="O1163" s="715"/>
      <c r="P1163" s="715"/>
      <c r="Q1163" s="717"/>
      <c r="R1163" s="719"/>
      <c r="S1163" s="715"/>
      <c r="T1163" s="715"/>
      <c r="U1163" s="715"/>
      <c r="V1163" s="715"/>
      <c r="W1163" s="715"/>
      <c r="X1163" s="715"/>
      <c r="Y1163" s="715"/>
      <c r="Z1163" s="715"/>
      <c r="AA1163" s="460" t="s">
        <v>2930</v>
      </c>
      <c r="AB1163" s="461" t="s">
        <v>539</v>
      </c>
      <c r="AC1163" s="461" t="s">
        <v>539</v>
      </c>
      <c r="AD1163" s="460" t="s">
        <v>2925</v>
      </c>
      <c r="AE1163" s="461">
        <v>80</v>
      </c>
      <c r="AF1163" s="461">
        <v>96.2</v>
      </c>
      <c r="AG1163" s="715"/>
      <c r="AH1163" s="730"/>
      <c r="AI1163" s="711"/>
      <c r="AJ1163" s="714"/>
    </row>
    <row r="1164" spans="2:36" ht="24" hidden="1" customHeight="1">
      <c r="B1164" s="702"/>
      <c r="C1164" s="700"/>
      <c r="D1164" s="700"/>
      <c r="E1164" s="700"/>
      <c r="F1164" s="700"/>
      <c r="G1164" s="700"/>
      <c r="H1164" s="700"/>
      <c r="I1164" s="713"/>
      <c r="J1164" s="710"/>
      <c r="K1164" s="710"/>
      <c r="L1164" s="713"/>
      <c r="M1164" s="710"/>
      <c r="N1164" s="710"/>
      <c r="O1164" s="702"/>
      <c r="P1164" s="702"/>
      <c r="Q1164" s="710"/>
      <c r="R1164" s="708"/>
      <c r="S1164" s="702"/>
      <c r="T1164" s="702"/>
      <c r="U1164" s="702"/>
      <c r="V1164" s="702"/>
      <c r="W1164" s="702"/>
      <c r="X1164" s="702"/>
      <c r="Y1164" s="702"/>
      <c r="Z1164" s="702"/>
      <c r="AA1164" s="473" t="s">
        <v>2921</v>
      </c>
      <c r="AB1164" s="474" t="s">
        <v>539</v>
      </c>
      <c r="AC1164" s="474" t="s">
        <v>539</v>
      </c>
      <c r="AD1164" s="462"/>
      <c r="AE1164" s="462"/>
      <c r="AF1164" s="462"/>
      <c r="AG1164" s="702"/>
      <c r="AH1164" s="729"/>
      <c r="AI1164" s="698"/>
      <c r="AJ1164" s="700"/>
    </row>
    <row r="1165" spans="2:36" ht="24" hidden="1" customHeight="1">
      <c r="B1165" s="701">
        <v>939</v>
      </c>
      <c r="C1165" s="699" t="s">
        <v>337</v>
      </c>
      <c r="D1165" s="699"/>
      <c r="E1165" s="699" t="s">
        <v>545</v>
      </c>
      <c r="F1165" s="699"/>
      <c r="G1165" s="699" t="s">
        <v>47</v>
      </c>
      <c r="H1165" s="699" t="s">
        <v>2931</v>
      </c>
      <c r="I1165" s="709">
        <v>0</v>
      </c>
      <c r="J1165" s="709" t="s">
        <v>537</v>
      </c>
      <c r="K1165" s="709" t="s">
        <v>537</v>
      </c>
      <c r="L1165" s="709">
        <v>0</v>
      </c>
      <c r="M1165" s="709" t="s">
        <v>537</v>
      </c>
      <c r="N1165" s="709" t="s">
        <v>537</v>
      </c>
      <c r="O1165" s="701" t="s">
        <v>537</v>
      </c>
      <c r="P1165" s="701" t="s">
        <v>537</v>
      </c>
      <c r="Q1165" s="709">
        <v>0</v>
      </c>
      <c r="R1165" s="707">
        <v>241609</v>
      </c>
      <c r="S1165" s="721">
        <v>22487</v>
      </c>
      <c r="T1165" s="701">
        <v>0</v>
      </c>
      <c r="U1165" s="701">
        <v>10</v>
      </c>
      <c r="V1165" s="701">
        <v>100</v>
      </c>
      <c r="W1165" s="701">
        <v>10</v>
      </c>
      <c r="X1165" s="701">
        <v>10</v>
      </c>
      <c r="Y1165" s="701">
        <v>100</v>
      </c>
      <c r="Z1165" s="701">
        <v>95.06</v>
      </c>
      <c r="AA1165" s="458" t="s">
        <v>2906</v>
      </c>
      <c r="AB1165" s="459" t="s">
        <v>539</v>
      </c>
      <c r="AC1165" s="459" t="s">
        <v>539</v>
      </c>
      <c r="AD1165" s="458" t="s">
        <v>2932</v>
      </c>
      <c r="AE1165" s="459" t="s">
        <v>539</v>
      </c>
      <c r="AF1165" s="459" t="s">
        <v>539</v>
      </c>
      <c r="AG1165" s="701" t="s">
        <v>375</v>
      </c>
      <c r="AH1165" s="728"/>
      <c r="AI1165" s="697">
        <v>894634204</v>
      </c>
      <c r="AJ1165" s="697" t="s">
        <v>537</v>
      </c>
    </row>
    <row r="1166" spans="2:36" ht="24" hidden="1" customHeight="1">
      <c r="B1166" s="715"/>
      <c r="C1166" s="714"/>
      <c r="D1166" s="714"/>
      <c r="E1166" s="714"/>
      <c r="F1166" s="714"/>
      <c r="G1166" s="714"/>
      <c r="H1166" s="714"/>
      <c r="I1166" s="717"/>
      <c r="J1166" s="717"/>
      <c r="K1166" s="717"/>
      <c r="L1166" s="717"/>
      <c r="M1166" s="717"/>
      <c r="N1166" s="717"/>
      <c r="O1166" s="715"/>
      <c r="P1166" s="715"/>
      <c r="Q1166" s="717"/>
      <c r="R1166" s="719"/>
      <c r="S1166" s="731"/>
      <c r="T1166" s="715"/>
      <c r="U1166" s="715"/>
      <c r="V1166" s="715"/>
      <c r="W1166" s="715"/>
      <c r="X1166" s="715"/>
      <c r="Y1166" s="715"/>
      <c r="Z1166" s="715"/>
      <c r="AA1166" s="460" t="s">
        <v>2933</v>
      </c>
      <c r="AB1166" s="461" t="s">
        <v>539</v>
      </c>
      <c r="AC1166" s="461" t="s">
        <v>539</v>
      </c>
      <c r="AD1166" s="460" t="s">
        <v>2925</v>
      </c>
      <c r="AE1166" s="461">
        <v>80</v>
      </c>
      <c r="AF1166" s="461">
        <v>90.5</v>
      </c>
      <c r="AG1166" s="715"/>
      <c r="AH1166" s="730"/>
      <c r="AI1166" s="711"/>
      <c r="AJ1166" s="711"/>
    </row>
    <row r="1167" spans="2:36" ht="24" hidden="1" customHeight="1">
      <c r="B1167" s="715"/>
      <c r="C1167" s="714"/>
      <c r="D1167" s="714"/>
      <c r="E1167" s="714"/>
      <c r="F1167" s="714"/>
      <c r="G1167" s="714"/>
      <c r="H1167" s="714"/>
      <c r="I1167" s="717"/>
      <c r="J1167" s="717"/>
      <c r="K1167" s="717"/>
      <c r="L1167" s="717"/>
      <c r="M1167" s="717"/>
      <c r="N1167" s="717"/>
      <c r="O1167" s="715"/>
      <c r="P1167" s="715"/>
      <c r="Q1167" s="717"/>
      <c r="R1167" s="719"/>
      <c r="S1167" s="731"/>
      <c r="T1167" s="715"/>
      <c r="U1167" s="715"/>
      <c r="V1167" s="715"/>
      <c r="W1167" s="715"/>
      <c r="X1167" s="715"/>
      <c r="Y1167" s="715"/>
      <c r="Z1167" s="715"/>
      <c r="AA1167" s="460" t="s">
        <v>2934</v>
      </c>
      <c r="AB1167" s="461" t="s">
        <v>539</v>
      </c>
      <c r="AC1167" s="461" t="s">
        <v>539</v>
      </c>
      <c r="AD1167" s="477"/>
      <c r="AE1167" s="477"/>
      <c r="AF1167" s="477"/>
      <c r="AG1167" s="715"/>
      <c r="AH1167" s="730"/>
      <c r="AI1167" s="711"/>
      <c r="AJ1167" s="711"/>
    </row>
    <row r="1168" spans="2:36" ht="24" hidden="1" customHeight="1">
      <c r="B1168" s="715"/>
      <c r="C1168" s="714"/>
      <c r="D1168" s="714"/>
      <c r="E1168" s="714"/>
      <c r="F1168" s="714"/>
      <c r="G1168" s="714"/>
      <c r="H1168" s="714"/>
      <c r="I1168" s="717"/>
      <c r="J1168" s="717"/>
      <c r="K1168" s="717"/>
      <c r="L1168" s="717"/>
      <c r="M1168" s="717"/>
      <c r="N1168" s="717"/>
      <c r="O1168" s="715"/>
      <c r="P1168" s="715"/>
      <c r="Q1168" s="717"/>
      <c r="R1168" s="719"/>
      <c r="S1168" s="731"/>
      <c r="T1168" s="715"/>
      <c r="U1168" s="715"/>
      <c r="V1168" s="715"/>
      <c r="W1168" s="715"/>
      <c r="X1168" s="715"/>
      <c r="Y1168" s="715"/>
      <c r="Z1168" s="715"/>
      <c r="AA1168" s="460" t="s">
        <v>2935</v>
      </c>
      <c r="AB1168" s="461" t="s">
        <v>539</v>
      </c>
      <c r="AC1168" s="461" t="s">
        <v>539</v>
      </c>
      <c r="AD1168" s="477"/>
      <c r="AE1168" s="477"/>
      <c r="AF1168" s="477"/>
      <c r="AG1168" s="715"/>
      <c r="AH1168" s="730"/>
      <c r="AI1168" s="711"/>
      <c r="AJ1168" s="711"/>
    </row>
    <row r="1169" spans="1:36" ht="24" hidden="1" customHeight="1">
      <c r="B1169" s="702"/>
      <c r="C1169" s="700"/>
      <c r="D1169" s="700"/>
      <c r="E1169" s="700"/>
      <c r="F1169" s="700"/>
      <c r="G1169" s="700"/>
      <c r="H1169" s="700"/>
      <c r="I1169" s="710"/>
      <c r="J1169" s="710"/>
      <c r="K1169" s="710"/>
      <c r="L1169" s="710"/>
      <c r="M1169" s="710"/>
      <c r="N1169" s="710"/>
      <c r="O1169" s="702"/>
      <c r="P1169" s="702"/>
      <c r="Q1169" s="710"/>
      <c r="R1169" s="708"/>
      <c r="S1169" s="722"/>
      <c r="T1169" s="702"/>
      <c r="U1169" s="702"/>
      <c r="V1169" s="702"/>
      <c r="W1169" s="702"/>
      <c r="X1169" s="702"/>
      <c r="Y1169" s="702"/>
      <c r="Z1169" s="702"/>
      <c r="AA1169" s="473" t="s">
        <v>2936</v>
      </c>
      <c r="AB1169" s="474" t="s">
        <v>539</v>
      </c>
      <c r="AC1169" s="474" t="s">
        <v>539</v>
      </c>
      <c r="AD1169" s="462"/>
      <c r="AE1169" s="462"/>
      <c r="AF1169" s="462"/>
      <c r="AG1169" s="702"/>
      <c r="AH1169" s="729"/>
      <c r="AI1169" s="698"/>
      <c r="AJ1169" s="698"/>
    </row>
    <row r="1170" spans="1:36" ht="24" hidden="1" customHeight="1">
      <c r="B1170" s="463">
        <v>940</v>
      </c>
      <c r="C1170" s="464" t="s">
        <v>337</v>
      </c>
      <c r="D1170" s="464"/>
      <c r="E1170" s="464" t="s">
        <v>545</v>
      </c>
      <c r="F1170" s="464"/>
      <c r="G1170" s="464" t="s">
        <v>47</v>
      </c>
      <c r="H1170" s="464" t="s">
        <v>2937</v>
      </c>
      <c r="I1170" s="465" t="s">
        <v>537</v>
      </c>
      <c r="J1170" s="465" t="s">
        <v>537</v>
      </c>
      <c r="K1170" s="466">
        <v>20000</v>
      </c>
      <c r="L1170" s="465" t="s">
        <v>537</v>
      </c>
      <c r="M1170" s="465" t="s">
        <v>537</v>
      </c>
      <c r="N1170" s="466">
        <v>19983.93</v>
      </c>
      <c r="O1170" s="463" t="s">
        <v>537</v>
      </c>
      <c r="P1170" s="463" t="s">
        <v>537</v>
      </c>
      <c r="Q1170" s="465">
        <v>16</v>
      </c>
      <c r="R1170" s="463" t="s">
        <v>643</v>
      </c>
      <c r="S1170" s="463" t="s">
        <v>2938</v>
      </c>
      <c r="T1170" s="463">
        <v>0</v>
      </c>
      <c r="U1170" s="463">
        <v>1</v>
      </c>
      <c r="V1170" s="463">
        <v>10</v>
      </c>
      <c r="W1170" s="463">
        <v>0</v>
      </c>
      <c r="X1170" s="463">
        <v>4</v>
      </c>
      <c r="Y1170" s="463">
        <v>10</v>
      </c>
      <c r="Z1170" s="463">
        <v>90.5</v>
      </c>
      <c r="AA1170" s="472" t="s">
        <v>2939</v>
      </c>
      <c r="AB1170" s="463" t="s">
        <v>539</v>
      </c>
      <c r="AC1170" s="463" t="s">
        <v>539</v>
      </c>
      <c r="AD1170" s="472" t="s">
        <v>2940</v>
      </c>
      <c r="AE1170" s="463" t="s">
        <v>539</v>
      </c>
      <c r="AF1170" s="463" t="s">
        <v>539</v>
      </c>
      <c r="AG1170" s="463" t="s">
        <v>375</v>
      </c>
      <c r="AH1170" s="476"/>
      <c r="AI1170" s="472">
        <v>894634204</v>
      </c>
      <c r="AJ1170" s="472" t="s">
        <v>543</v>
      </c>
    </row>
    <row r="1171" spans="1:36" ht="24" hidden="1" customHeight="1">
      <c r="B1171" s="463">
        <v>941</v>
      </c>
      <c r="C1171" s="464" t="s">
        <v>10</v>
      </c>
      <c r="D1171" s="464"/>
      <c r="E1171" s="464" t="s">
        <v>558</v>
      </c>
      <c r="F1171" s="464"/>
      <c r="G1171" s="464" t="s">
        <v>47</v>
      </c>
      <c r="H1171" s="464" t="s">
        <v>2941</v>
      </c>
      <c r="I1171" s="465" t="s">
        <v>537</v>
      </c>
      <c r="J1171" s="465" t="s">
        <v>537</v>
      </c>
      <c r="K1171" s="466">
        <v>50000</v>
      </c>
      <c r="L1171" s="465" t="s">
        <v>537</v>
      </c>
      <c r="M1171" s="465" t="s">
        <v>537</v>
      </c>
      <c r="N1171" s="466">
        <v>50000</v>
      </c>
      <c r="O1171" s="463" t="s">
        <v>537</v>
      </c>
      <c r="P1171" s="463" t="s">
        <v>537</v>
      </c>
      <c r="Q1171" s="465">
        <v>0</v>
      </c>
      <c r="R1171" s="470">
        <v>241459</v>
      </c>
      <c r="S1171" s="471">
        <v>22334</v>
      </c>
      <c r="T1171" s="463">
        <v>90</v>
      </c>
      <c r="U1171" s="463">
        <v>5</v>
      </c>
      <c r="V1171" s="463">
        <v>5</v>
      </c>
      <c r="W1171" s="463">
        <v>90</v>
      </c>
      <c r="X1171" s="463">
        <v>5</v>
      </c>
      <c r="Y1171" s="463">
        <v>8</v>
      </c>
      <c r="Z1171" s="463">
        <v>92</v>
      </c>
      <c r="AA1171" s="464"/>
      <c r="AB1171" s="464"/>
      <c r="AC1171" s="464"/>
      <c r="AD1171" s="472" t="s">
        <v>1075</v>
      </c>
      <c r="AE1171" s="463">
        <v>80</v>
      </c>
      <c r="AF1171" s="463">
        <v>90</v>
      </c>
      <c r="AG1171" s="463" t="s">
        <v>375</v>
      </c>
      <c r="AH1171" s="476"/>
      <c r="AI1171" s="472">
        <v>849974176</v>
      </c>
      <c r="AJ1171" s="472" t="s">
        <v>562</v>
      </c>
    </row>
    <row r="1172" spans="1:36" ht="24" hidden="1" customHeight="1">
      <c r="B1172" s="463">
        <v>942</v>
      </c>
      <c r="C1172" s="464" t="s">
        <v>534</v>
      </c>
      <c r="D1172" s="464" t="s">
        <v>544</v>
      </c>
      <c r="E1172" s="464" t="s">
        <v>535</v>
      </c>
      <c r="F1172" s="464"/>
      <c r="G1172" s="464" t="s">
        <v>285</v>
      </c>
      <c r="H1172" s="464" t="s">
        <v>2942</v>
      </c>
      <c r="I1172" s="466">
        <v>500000</v>
      </c>
      <c r="J1172" s="465" t="s">
        <v>537</v>
      </c>
      <c r="K1172" s="465" t="s">
        <v>537</v>
      </c>
      <c r="L1172" s="466">
        <v>361725</v>
      </c>
      <c r="M1172" s="465" t="s">
        <v>537</v>
      </c>
      <c r="N1172" s="465" t="s">
        <v>537</v>
      </c>
      <c r="O1172" s="463" t="s">
        <v>537</v>
      </c>
      <c r="P1172" s="463" t="s">
        <v>537</v>
      </c>
      <c r="Q1172" s="468">
        <v>138275</v>
      </c>
      <c r="R1172" s="470">
        <v>241609</v>
      </c>
      <c r="S1172" s="463" t="s">
        <v>850</v>
      </c>
      <c r="T1172" s="463">
        <v>0</v>
      </c>
      <c r="U1172" s="463">
        <v>114</v>
      </c>
      <c r="V1172" s="463">
        <v>6</v>
      </c>
      <c r="W1172" s="463">
        <v>0</v>
      </c>
      <c r="X1172" s="463">
        <v>114</v>
      </c>
      <c r="Y1172" s="463">
        <v>6</v>
      </c>
      <c r="Z1172" s="463">
        <v>87.2</v>
      </c>
      <c r="AA1172" s="472" t="s">
        <v>547</v>
      </c>
      <c r="AB1172" s="463" t="s">
        <v>539</v>
      </c>
      <c r="AC1172" s="463" t="s">
        <v>539</v>
      </c>
      <c r="AD1172" s="472" t="s">
        <v>548</v>
      </c>
      <c r="AE1172" s="463" t="s">
        <v>620</v>
      </c>
      <c r="AF1172" s="463">
        <v>80</v>
      </c>
      <c r="AG1172" s="463" t="s">
        <v>376</v>
      </c>
      <c r="AH1172" s="476"/>
      <c r="AI1172" s="472" t="s">
        <v>2943</v>
      </c>
      <c r="AJ1172" s="464"/>
    </row>
    <row r="1173" spans="1:36" ht="24" hidden="1" customHeight="1">
      <c r="B1173" s="701">
        <v>943</v>
      </c>
      <c r="C1173" s="699" t="s">
        <v>534</v>
      </c>
      <c r="D1173" s="699" t="s">
        <v>544</v>
      </c>
      <c r="E1173" s="699" t="s">
        <v>535</v>
      </c>
      <c r="F1173" s="699"/>
      <c r="G1173" s="699" t="s">
        <v>285</v>
      </c>
      <c r="H1173" s="699" t="s">
        <v>2944</v>
      </c>
      <c r="I1173" s="712">
        <v>50000</v>
      </c>
      <c r="J1173" s="709" t="s">
        <v>537</v>
      </c>
      <c r="K1173" s="709" t="s">
        <v>537</v>
      </c>
      <c r="L1173" s="712">
        <v>50000</v>
      </c>
      <c r="M1173" s="709" t="s">
        <v>537</v>
      </c>
      <c r="N1173" s="709" t="s">
        <v>537</v>
      </c>
      <c r="O1173" s="701" t="s">
        <v>537</v>
      </c>
      <c r="P1173" s="701" t="s">
        <v>537</v>
      </c>
      <c r="Q1173" s="709">
        <v>0</v>
      </c>
      <c r="R1173" s="701" t="s">
        <v>2945</v>
      </c>
      <c r="S1173" s="701" t="s">
        <v>2946</v>
      </c>
      <c r="T1173" s="701">
        <v>0</v>
      </c>
      <c r="U1173" s="701">
        <v>0</v>
      </c>
      <c r="V1173" s="701">
        <v>0</v>
      </c>
      <c r="W1173" s="701">
        <v>0</v>
      </c>
      <c r="X1173" s="701">
        <v>85</v>
      </c>
      <c r="Y1173" s="701">
        <v>15</v>
      </c>
      <c r="Z1173" s="701">
        <v>90</v>
      </c>
      <c r="AA1173" s="458" t="s">
        <v>547</v>
      </c>
      <c r="AB1173" s="459" t="s">
        <v>539</v>
      </c>
      <c r="AC1173" s="459" t="s">
        <v>539</v>
      </c>
      <c r="AD1173" s="458" t="s">
        <v>548</v>
      </c>
      <c r="AE1173" s="459" t="s">
        <v>620</v>
      </c>
      <c r="AF1173" s="459">
        <v>90</v>
      </c>
      <c r="AG1173" s="701" t="s">
        <v>376</v>
      </c>
      <c r="AH1173" s="728"/>
      <c r="AI1173" s="697" t="s">
        <v>2943</v>
      </c>
      <c r="AJ1173" s="699"/>
    </row>
    <row r="1174" spans="1:36" ht="24" hidden="1" customHeight="1">
      <c r="B1174" s="702"/>
      <c r="C1174" s="700"/>
      <c r="D1174" s="700"/>
      <c r="E1174" s="700"/>
      <c r="F1174" s="700"/>
      <c r="G1174" s="700"/>
      <c r="H1174" s="700"/>
      <c r="I1174" s="713"/>
      <c r="J1174" s="710"/>
      <c r="K1174" s="710"/>
      <c r="L1174" s="713"/>
      <c r="M1174" s="710"/>
      <c r="N1174" s="710"/>
      <c r="O1174" s="702"/>
      <c r="P1174" s="702"/>
      <c r="Q1174" s="710"/>
      <c r="R1174" s="702"/>
      <c r="S1174" s="702"/>
      <c r="T1174" s="702"/>
      <c r="U1174" s="702"/>
      <c r="V1174" s="702"/>
      <c r="W1174" s="702"/>
      <c r="X1174" s="702"/>
      <c r="Y1174" s="702"/>
      <c r="Z1174" s="702"/>
      <c r="AA1174" s="473" t="s">
        <v>2947</v>
      </c>
      <c r="AB1174" s="474" t="s">
        <v>539</v>
      </c>
      <c r="AC1174" s="474" t="s">
        <v>539</v>
      </c>
      <c r="AD1174" s="473" t="s">
        <v>2948</v>
      </c>
      <c r="AE1174" s="474" t="s">
        <v>2949</v>
      </c>
      <c r="AF1174" s="474">
        <v>1</v>
      </c>
      <c r="AG1174" s="702"/>
      <c r="AH1174" s="729"/>
      <c r="AI1174" s="698"/>
      <c r="AJ1174" s="700"/>
    </row>
    <row r="1175" spans="1:36" ht="24" hidden="1" customHeight="1">
      <c r="B1175" s="463">
        <v>944</v>
      </c>
      <c r="C1175" s="464" t="s">
        <v>165</v>
      </c>
      <c r="D1175" s="464"/>
      <c r="E1175" s="464" t="s">
        <v>535</v>
      </c>
      <c r="F1175" s="464"/>
      <c r="G1175" s="464" t="s">
        <v>285</v>
      </c>
      <c r="H1175" s="464" t="s">
        <v>2942</v>
      </c>
      <c r="I1175" s="465" t="s">
        <v>537</v>
      </c>
      <c r="J1175" s="465" t="s">
        <v>537</v>
      </c>
      <c r="K1175" s="466">
        <v>200000</v>
      </c>
      <c r="L1175" s="465" t="s">
        <v>537</v>
      </c>
      <c r="M1175" s="465" t="s">
        <v>537</v>
      </c>
      <c r="N1175" s="466">
        <v>120000</v>
      </c>
      <c r="O1175" s="463" t="s">
        <v>537</v>
      </c>
      <c r="P1175" s="463" t="s">
        <v>537</v>
      </c>
      <c r="Q1175" s="468">
        <v>80000</v>
      </c>
      <c r="R1175" s="470">
        <v>241609</v>
      </c>
      <c r="S1175" s="463" t="s">
        <v>850</v>
      </c>
      <c r="T1175" s="463">
        <v>0</v>
      </c>
      <c r="U1175" s="463">
        <v>114</v>
      </c>
      <c r="V1175" s="463">
        <v>6</v>
      </c>
      <c r="W1175" s="463">
        <v>0</v>
      </c>
      <c r="X1175" s="463">
        <v>114</v>
      </c>
      <c r="Y1175" s="463">
        <v>6</v>
      </c>
      <c r="Z1175" s="463">
        <v>87.2</v>
      </c>
      <c r="AA1175" s="472" t="s">
        <v>630</v>
      </c>
      <c r="AB1175" s="463" t="s">
        <v>539</v>
      </c>
      <c r="AC1175" s="463" t="s">
        <v>539</v>
      </c>
      <c r="AD1175" s="472" t="s">
        <v>548</v>
      </c>
      <c r="AE1175" s="463">
        <v>80</v>
      </c>
      <c r="AF1175" s="463">
        <v>80</v>
      </c>
      <c r="AG1175" s="463" t="s">
        <v>375</v>
      </c>
      <c r="AH1175" s="476"/>
      <c r="AI1175" s="472" t="s">
        <v>2943</v>
      </c>
      <c r="AJ1175" s="472" t="s">
        <v>543</v>
      </c>
    </row>
    <row r="1176" spans="1:36" ht="24" customHeight="1">
      <c r="A1176" s="452">
        <v>108</v>
      </c>
      <c r="B1176" s="463">
        <v>945</v>
      </c>
      <c r="C1176" s="464" t="s">
        <v>377</v>
      </c>
      <c r="D1176" s="464"/>
      <c r="E1176" s="464" t="s">
        <v>602</v>
      </c>
      <c r="F1176" s="464"/>
      <c r="G1176" s="464" t="s">
        <v>275</v>
      </c>
      <c r="H1176" s="464" t="s">
        <v>2950</v>
      </c>
      <c r="I1176" s="466">
        <v>40000</v>
      </c>
      <c r="J1176" s="465" t="s">
        <v>537</v>
      </c>
      <c r="K1176" s="465" t="s">
        <v>537</v>
      </c>
      <c r="L1176" s="466">
        <v>40000</v>
      </c>
      <c r="M1176" s="465" t="s">
        <v>537</v>
      </c>
      <c r="N1176" s="465" t="s">
        <v>537</v>
      </c>
      <c r="O1176" s="463" t="s">
        <v>537</v>
      </c>
      <c r="P1176" s="463" t="s">
        <v>537</v>
      </c>
      <c r="Q1176" s="465">
        <v>0</v>
      </c>
      <c r="R1176" s="470">
        <v>241487</v>
      </c>
      <c r="S1176" s="471">
        <v>22355</v>
      </c>
      <c r="T1176" s="463">
        <v>25</v>
      </c>
      <c r="U1176" s="463">
        <v>5</v>
      </c>
      <c r="V1176" s="463">
        <v>1</v>
      </c>
      <c r="W1176" s="463">
        <v>34</v>
      </c>
      <c r="X1176" s="463">
        <v>16</v>
      </c>
      <c r="Y1176" s="463">
        <v>7</v>
      </c>
      <c r="Z1176" s="463">
        <v>93.45</v>
      </c>
      <c r="AA1176" s="472" t="s">
        <v>612</v>
      </c>
      <c r="AB1176" s="463" t="s">
        <v>539</v>
      </c>
      <c r="AC1176" s="463" t="s">
        <v>539</v>
      </c>
      <c r="AD1176" s="472" t="s">
        <v>565</v>
      </c>
      <c r="AE1176" s="463">
        <v>80</v>
      </c>
      <c r="AF1176" s="463">
        <v>93.45</v>
      </c>
      <c r="AG1176" s="463" t="s">
        <v>375</v>
      </c>
      <c r="AH1176" s="476"/>
      <c r="AI1176" s="472">
        <v>75489614</v>
      </c>
      <c r="AJ1176" s="464"/>
    </row>
    <row r="1177" spans="1:36" ht="24" hidden="1" customHeight="1">
      <c r="B1177" s="463">
        <v>946</v>
      </c>
      <c r="C1177" s="464" t="s">
        <v>534</v>
      </c>
      <c r="D1177" s="464"/>
      <c r="E1177" s="464" t="s">
        <v>535</v>
      </c>
      <c r="F1177" s="464"/>
      <c r="G1177" s="464" t="s">
        <v>275</v>
      </c>
      <c r="H1177" s="464" t="s">
        <v>667</v>
      </c>
      <c r="I1177" s="465" t="s">
        <v>537</v>
      </c>
      <c r="J1177" s="466">
        <v>3200</v>
      </c>
      <c r="K1177" s="465" t="s">
        <v>537</v>
      </c>
      <c r="L1177" s="465" t="s">
        <v>537</v>
      </c>
      <c r="M1177" s="466">
        <v>3200</v>
      </c>
      <c r="N1177" s="465" t="s">
        <v>537</v>
      </c>
      <c r="O1177" s="463" t="s">
        <v>537</v>
      </c>
      <c r="P1177" s="463" t="s">
        <v>537</v>
      </c>
      <c r="Q1177" s="465">
        <v>0</v>
      </c>
      <c r="R1177" s="470">
        <v>241579</v>
      </c>
      <c r="S1177" s="471">
        <v>22451</v>
      </c>
      <c r="T1177" s="463">
        <v>48</v>
      </c>
      <c r="U1177" s="463">
        <v>5</v>
      </c>
      <c r="V1177" s="463">
        <v>0</v>
      </c>
      <c r="W1177" s="463">
        <v>48</v>
      </c>
      <c r="X1177" s="463">
        <v>19</v>
      </c>
      <c r="Y1177" s="463">
        <v>23</v>
      </c>
      <c r="Z1177" s="463">
        <v>96.44</v>
      </c>
      <c r="AA1177" s="472" t="s">
        <v>547</v>
      </c>
      <c r="AB1177" s="463" t="s">
        <v>539</v>
      </c>
      <c r="AC1177" s="463" t="s">
        <v>539</v>
      </c>
      <c r="AD1177" s="472" t="s">
        <v>548</v>
      </c>
      <c r="AE1177" s="463">
        <v>80</v>
      </c>
      <c r="AF1177" s="463">
        <v>94.22</v>
      </c>
      <c r="AG1177" s="463" t="s">
        <v>375</v>
      </c>
      <c r="AH1177" s="476"/>
      <c r="AI1177" s="472" t="s">
        <v>2951</v>
      </c>
      <c r="AJ1177" s="464"/>
    </row>
    <row r="1178" spans="1:36" ht="24" hidden="1" customHeight="1">
      <c r="B1178" s="463">
        <v>947</v>
      </c>
      <c r="C1178" s="464" t="s">
        <v>534</v>
      </c>
      <c r="D1178" s="464"/>
      <c r="E1178" s="464" t="s">
        <v>535</v>
      </c>
      <c r="F1178" s="464"/>
      <c r="G1178" s="464" t="s">
        <v>275</v>
      </c>
      <c r="H1178" s="464" t="s">
        <v>668</v>
      </c>
      <c r="I1178" s="465" t="s">
        <v>537</v>
      </c>
      <c r="J1178" s="466">
        <v>3200</v>
      </c>
      <c r="K1178" s="465" t="s">
        <v>537</v>
      </c>
      <c r="L1178" s="465" t="s">
        <v>537</v>
      </c>
      <c r="M1178" s="466">
        <v>3200</v>
      </c>
      <c r="N1178" s="465" t="s">
        <v>537</v>
      </c>
      <c r="O1178" s="463" t="s">
        <v>537</v>
      </c>
      <c r="P1178" s="463" t="s">
        <v>537</v>
      </c>
      <c r="Q1178" s="465">
        <v>0</v>
      </c>
      <c r="R1178" s="470">
        <v>241487</v>
      </c>
      <c r="S1178" s="471">
        <v>22355</v>
      </c>
      <c r="T1178" s="463">
        <v>25</v>
      </c>
      <c r="U1178" s="463">
        <v>5</v>
      </c>
      <c r="V1178" s="463">
        <v>0</v>
      </c>
      <c r="W1178" s="463">
        <v>34</v>
      </c>
      <c r="X1178" s="463">
        <v>21</v>
      </c>
      <c r="Y1178" s="463">
        <v>0</v>
      </c>
      <c r="Z1178" s="463">
        <v>93</v>
      </c>
      <c r="AA1178" s="472" t="s">
        <v>547</v>
      </c>
      <c r="AB1178" s="463" t="s">
        <v>539</v>
      </c>
      <c r="AC1178" s="463" t="s">
        <v>539</v>
      </c>
      <c r="AD1178" s="472" t="s">
        <v>548</v>
      </c>
      <c r="AE1178" s="463">
        <v>80</v>
      </c>
      <c r="AF1178" s="463">
        <v>95.5</v>
      </c>
      <c r="AG1178" s="463" t="s">
        <v>375</v>
      </c>
      <c r="AH1178" s="476"/>
      <c r="AI1178" s="472" t="s">
        <v>2951</v>
      </c>
      <c r="AJ1178" s="464"/>
    </row>
    <row r="1179" spans="1:36" ht="24" hidden="1" customHeight="1">
      <c r="B1179" s="463">
        <v>948</v>
      </c>
      <c r="C1179" s="464" t="s">
        <v>534</v>
      </c>
      <c r="D1179" s="464"/>
      <c r="E1179" s="464" t="s">
        <v>535</v>
      </c>
      <c r="F1179" s="464"/>
      <c r="G1179" s="464" t="s">
        <v>275</v>
      </c>
      <c r="H1179" s="464" t="s">
        <v>669</v>
      </c>
      <c r="I1179" s="465" t="s">
        <v>537</v>
      </c>
      <c r="J1179" s="466">
        <v>50000</v>
      </c>
      <c r="K1179" s="465" t="s">
        <v>537</v>
      </c>
      <c r="L1179" s="465" t="s">
        <v>537</v>
      </c>
      <c r="M1179" s="466">
        <v>50000</v>
      </c>
      <c r="N1179" s="465" t="s">
        <v>537</v>
      </c>
      <c r="O1179" s="463" t="s">
        <v>537</v>
      </c>
      <c r="P1179" s="463" t="s">
        <v>537</v>
      </c>
      <c r="Q1179" s="465">
        <v>0</v>
      </c>
      <c r="R1179" s="470">
        <v>241640</v>
      </c>
      <c r="S1179" s="463" t="s">
        <v>2952</v>
      </c>
      <c r="T1179" s="463">
        <v>60</v>
      </c>
      <c r="U1179" s="463">
        <v>5</v>
      </c>
      <c r="V1179" s="463">
        <v>0</v>
      </c>
      <c r="W1179" s="463">
        <v>50</v>
      </c>
      <c r="X1179" s="463">
        <v>0</v>
      </c>
      <c r="Y1179" s="463">
        <v>0</v>
      </c>
      <c r="Z1179" s="463">
        <v>97.2</v>
      </c>
      <c r="AA1179" s="472" t="s">
        <v>728</v>
      </c>
      <c r="AB1179" s="463">
        <v>1</v>
      </c>
      <c r="AC1179" s="463">
        <v>1</v>
      </c>
      <c r="AD1179" s="472" t="s">
        <v>651</v>
      </c>
      <c r="AE1179" s="463">
        <v>1</v>
      </c>
      <c r="AF1179" s="463">
        <v>1</v>
      </c>
      <c r="AG1179" s="463" t="s">
        <v>375</v>
      </c>
      <c r="AH1179" s="476"/>
      <c r="AI1179" s="472" t="s">
        <v>2953</v>
      </c>
      <c r="AJ1179" s="464"/>
    </row>
    <row r="1180" spans="1:36" ht="24" hidden="1" customHeight="1">
      <c r="B1180" s="463">
        <v>949</v>
      </c>
      <c r="C1180" s="464" t="s">
        <v>534</v>
      </c>
      <c r="D1180" s="464"/>
      <c r="E1180" s="464" t="s">
        <v>535</v>
      </c>
      <c r="F1180" s="464"/>
      <c r="G1180" s="464" t="s">
        <v>275</v>
      </c>
      <c r="H1180" s="464" t="s">
        <v>2954</v>
      </c>
      <c r="I1180" s="465" t="s">
        <v>537</v>
      </c>
      <c r="J1180" s="465" t="s">
        <v>537</v>
      </c>
      <c r="K1180" s="466">
        <v>200000</v>
      </c>
      <c r="L1180" s="465" t="s">
        <v>537</v>
      </c>
      <c r="M1180" s="465" t="s">
        <v>537</v>
      </c>
      <c r="N1180" s="466">
        <v>199765.99</v>
      </c>
      <c r="O1180" s="463" t="s">
        <v>537</v>
      </c>
      <c r="P1180" s="463" t="s">
        <v>537</v>
      </c>
      <c r="Q1180" s="465">
        <v>234</v>
      </c>
      <c r="R1180" s="470">
        <v>241428</v>
      </c>
      <c r="S1180" s="463" t="s">
        <v>623</v>
      </c>
      <c r="T1180" s="463">
        <v>20</v>
      </c>
      <c r="U1180" s="463">
        <v>130</v>
      </c>
      <c r="V1180" s="463">
        <v>100</v>
      </c>
      <c r="W1180" s="463">
        <v>30</v>
      </c>
      <c r="X1180" s="463">
        <v>130</v>
      </c>
      <c r="Y1180" s="463">
        <v>124</v>
      </c>
      <c r="Z1180" s="463">
        <v>95</v>
      </c>
      <c r="AA1180" s="472" t="s">
        <v>624</v>
      </c>
      <c r="AB1180" s="463" t="s">
        <v>539</v>
      </c>
      <c r="AC1180" s="463" t="s">
        <v>539</v>
      </c>
      <c r="AD1180" s="472" t="s">
        <v>571</v>
      </c>
      <c r="AE1180" s="463">
        <v>80</v>
      </c>
      <c r="AF1180" s="463">
        <v>95</v>
      </c>
      <c r="AG1180" s="463" t="s">
        <v>375</v>
      </c>
      <c r="AH1180" s="476"/>
      <c r="AI1180" s="472" t="s">
        <v>2953</v>
      </c>
      <c r="AJ1180" s="472" t="s">
        <v>543</v>
      </c>
    </row>
    <row r="1181" spans="1:36" ht="24" hidden="1" customHeight="1">
      <c r="B1181" s="463">
        <v>950</v>
      </c>
      <c r="C1181" s="464" t="s">
        <v>534</v>
      </c>
      <c r="D1181" s="464"/>
      <c r="E1181" s="464" t="s">
        <v>535</v>
      </c>
      <c r="F1181" s="464"/>
      <c r="G1181" s="464" t="s">
        <v>275</v>
      </c>
      <c r="H1181" s="464" t="s">
        <v>2955</v>
      </c>
      <c r="I1181" s="465" t="s">
        <v>537</v>
      </c>
      <c r="J1181" s="465" t="s">
        <v>537</v>
      </c>
      <c r="K1181" s="466">
        <v>34000</v>
      </c>
      <c r="L1181" s="465" t="s">
        <v>537</v>
      </c>
      <c r="M1181" s="465" t="s">
        <v>537</v>
      </c>
      <c r="N1181" s="466">
        <v>28840</v>
      </c>
      <c r="O1181" s="463" t="s">
        <v>537</v>
      </c>
      <c r="P1181" s="463" t="s">
        <v>537</v>
      </c>
      <c r="Q1181" s="468">
        <v>5160</v>
      </c>
      <c r="R1181" s="470">
        <v>241428</v>
      </c>
      <c r="S1181" s="463" t="s">
        <v>870</v>
      </c>
      <c r="T1181" s="463">
        <v>0</v>
      </c>
      <c r="U1181" s="463">
        <v>40</v>
      </c>
      <c r="V1181" s="463">
        <v>0</v>
      </c>
      <c r="W1181" s="464"/>
      <c r="X1181" s="464"/>
      <c r="Y1181" s="464"/>
      <c r="Z1181" s="464"/>
      <c r="AA1181" s="472" t="s">
        <v>624</v>
      </c>
      <c r="AB1181" s="463" t="s">
        <v>539</v>
      </c>
      <c r="AC1181" s="463" t="s">
        <v>539</v>
      </c>
      <c r="AD1181" s="472" t="s">
        <v>2956</v>
      </c>
      <c r="AE1181" s="463">
        <v>1</v>
      </c>
      <c r="AF1181" s="463">
        <v>1</v>
      </c>
      <c r="AG1181" s="463" t="s">
        <v>375</v>
      </c>
      <c r="AH1181" s="476"/>
      <c r="AI1181" s="472" t="s">
        <v>2953</v>
      </c>
      <c r="AJ1181" s="472" t="s">
        <v>543</v>
      </c>
    </row>
    <row r="1182" spans="1:36" ht="24" hidden="1" customHeight="1">
      <c r="B1182" s="463">
        <v>951</v>
      </c>
      <c r="C1182" s="464" t="s">
        <v>534</v>
      </c>
      <c r="D1182" s="464"/>
      <c r="E1182" s="464" t="s">
        <v>535</v>
      </c>
      <c r="F1182" s="464"/>
      <c r="G1182" s="464" t="s">
        <v>275</v>
      </c>
      <c r="H1182" s="464" t="s">
        <v>2957</v>
      </c>
      <c r="I1182" s="466">
        <v>50000</v>
      </c>
      <c r="J1182" s="465" t="s">
        <v>537</v>
      </c>
      <c r="K1182" s="465" t="s">
        <v>537</v>
      </c>
      <c r="L1182" s="466">
        <v>49960.92</v>
      </c>
      <c r="M1182" s="465" t="s">
        <v>537</v>
      </c>
      <c r="N1182" s="465" t="s">
        <v>537</v>
      </c>
      <c r="O1182" s="463" t="s">
        <v>537</v>
      </c>
      <c r="P1182" s="463" t="s">
        <v>537</v>
      </c>
      <c r="Q1182" s="465">
        <v>39</v>
      </c>
      <c r="R1182" s="463" t="s">
        <v>646</v>
      </c>
      <c r="S1182" s="471">
        <v>22272</v>
      </c>
      <c r="T1182" s="463">
        <v>0</v>
      </c>
      <c r="U1182" s="463">
        <v>60</v>
      </c>
      <c r="V1182" s="463">
        <v>10</v>
      </c>
      <c r="W1182" s="463">
        <v>0</v>
      </c>
      <c r="X1182" s="463">
        <v>60</v>
      </c>
      <c r="Y1182" s="463">
        <v>10</v>
      </c>
      <c r="Z1182" s="463">
        <v>90</v>
      </c>
      <c r="AA1182" s="472" t="s">
        <v>547</v>
      </c>
      <c r="AB1182" s="463" t="s">
        <v>539</v>
      </c>
      <c r="AC1182" s="463" t="s">
        <v>539</v>
      </c>
      <c r="AD1182" s="472" t="s">
        <v>699</v>
      </c>
      <c r="AE1182" s="463">
        <v>1</v>
      </c>
      <c r="AF1182" s="463">
        <v>1</v>
      </c>
      <c r="AG1182" s="463" t="s">
        <v>375</v>
      </c>
      <c r="AH1182" s="476"/>
      <c r="AI1182" s="472" t="s">
        <v>2958</v>
      </c>
      <c r="AJ1182" s="464"/>
    </row>
    <row r="1183" spans="1:36" ht="24" hidden="1" customHeight="1">
      <c r="B1183" s="463">
        <v>952</v>
      </c>
      <c r="C1183" s="464" t="s">
        <v>534</v>
      </c>
      <c r="D1183" s="464"/>
      <c r="E1183" s="464" t="s">
        <v>535</v>
      </c>
      <c r="F1183" s="464"/>
      <c r="G1183" s="464" t="s">
        <v>275</v>
      </c>
      <c r="H1183" s="464" t="s">
        <v>2959</v>
      </c>
      <c r="I1183" s="466">
        <v>50000</v>
      </c>
      <c r="J1183" s="465" t="s">
        <v>537</v>
      </c>
      <c r="K1183" s="465" t="s">
        <v>537</v>
      </c>
      <c r="L1183" s="466">
        <v>49670</v>
      </c>
      <c r="M1183" s="465" t="s">
        <v>537</v>
      </c>
      <c r="N1183" s="465" t="s">
        <v>537</v>
      </c>
      <c r="O1183" s="463" t="s">
        <v>537</v>
      </c>
      <c r="P1183" s="463" t="s">
        <v>537</v>
      </c>
      <c r="Q1183" s="465">
        <v>330</v>
      </c>
      <c r="R1183" s="470">
        <v>241459</v>
      </c>
      <c r="S1183" s="463" t="s">
        <v>2960</v>
      </c>
      <c r="T1183" s="463">
        <v>0</v>
      </c>
      <c r="U1183" s="463">
        <v>60</v>
      </c>
      <c r="V1183" s="463">
        <v>10</v>
      </c>
      <c r="W1183" s="463">
        <v>14</v>
      </c>
      <c r="X1183" s="463">
        <v>40</v>
      </c>
      <c r="Y1183" s="463">
        <v>10</v>
      </c>
      <c r="Z1183" s="463">
        <v>83.93</v>
      </c>
      <c r="AA1183" s="472" t="s">
        <v>547</v>
      </c>
      <c r="AB1183" s="463" t="s">
        <v>539</v>
      </c>
      <c r="AC1183" s="463" t="s">
        <v>539</v>
      </c>
      <c r="AD1183" s="472" t="s">
        <v>699</v>
      </c>
      <c r="AE1183" s="463">
        <v>1</v>
      </c>
      <c r="AF1183" s="463">
        <v>1</v>
      </c>
      <c r="AG1183" s="463" t="s">
        <v>375</v>
      </c>
      <c r="AH1183" s="476"/>
      <c r="AI1183" s="472">
        <v>75489614</v>
      </c>
      <c r="AJ1183" s="464"/>
    </row>
    <row r="1184" spans="1:36" ht="24" hidden="1" customHeight="1">
      <c r="B1184" s="463">
        <v>953</v>
      </c>
      <c r="C1184" s="464" t="s">
        <v>534</v>
      </c>
      <c r="D1184" s="464"/>
      <c r="E1184" s="464" t="s">
        <v>535</v>
      </c>
      <c r="F1184" s="464"/>
      <c r="G1184" s="464" t="s">
        <v>275</v>
      </c>
      <c r="H1184" s="464" t="s">
        <v>2961</v>
      </c>
      <c r="I1184" s="466">
        <v>50000</v>
      </c>
      <c r="J1184" s="465" t="s">
        <v>537</v>
      </c>
      <c r="K1184" s="465" t="s">
        <v>537</v>
      </c>
      <c r="L1184" s="466">
        <v>50000</v>
      </c>
      <c r="M1184" s="465" t="s">
        <v>537</v>
      </c>
      <c r="N1184" s="465" t="s">
        <v>537</v>
      </c>
      <c r="O1184" s="463" t="s">
        <v>537</v>
      </c>
      <c r="P1184" s="463" t="s">
        <v>537</v>
      </c>
      <c r="Q1184" s="465">
        <v>0</v>
      </c>
      <c r="R1184" s="463" t="s">
        <v>646</v>
      </c>
      <c r="S1184" s="463" t="s">
        <v>2962</v>
      </c>
      <c r="T1184" s="463">
        <v>0</v>
      </c>
      <c r="U1184" s="463">
        <v>40</v>
      </c>
      <c r="V1184" s="463">
        <v>0</v>
      </c>
      <c r="W1184" s="463">
        <v>0</v>
      </c>
      <c r="X1184" s="463">
        <v>40</v>
      </c>
      <c r="Y1184" s="463">
        <v>0</v>
      </c>
      <c r="Z1184" s="463">
        <v>50000</v>
      </c>
      <c r="AA1184" s="472" t="s">
        <v>2963</v>
      </c>
      <c r="AB1184" s="463">
        <v>80</v>
      </c>
      <c r="AC1184" s="463">
        <v>90</v>
      </c>
      <c r="AD1184" s="472" t="s">
        <v>571</v>
      </c>
      <c r="AE1184" s="463">
        <v>80</v>
      </c>
      <c r="AF1184" s="463">
        <v>89.4</v>
      </c>
      <c r="AG1184" s="463" t="s">
        <v>375</v>
      </c>
      <c r="AH1184" s="476"/>
      <c r="AI1184" s="472" t="s">
        <v>2964</v>
      </c>
      <c r="AJ1184" s="464"/>
    </row>
    <row r="1185" spans="2:36" ht="24" hidden="1" customHeight="1">
      <c r="B1185" s="463">
        <v>954</v>
      </c>
      <c r="C1185" s="464" t="s">
        <v>534</v>
      </c>
      <c r="D1185" s="464"/>
      <c r="E1185" s="464" t="s">
        <v>535</v>
      </c>
      <c r="F1185" s="464"/>
      <c r="G1185" s="464" t="s">
        <v>275</v>
      </c>
      <c r="H1185" s="464" t="s">
        <v>636</v>
      </c>
      <c r="I1185" s="466">
        <v>200000</v>
      </c>
      <c r="J1185" s="465" t="s">
        <v>537</v>
      </c>
      <c r="K1185" s="465" t="s">
        <v>537</v>
      </c>
      <c r="L1185" s="466">
        <v>195120</v>
      </c>
      <c r="M1185" s="465" t="s">
        <v>537</v>
      </c>
      <c r="N1185" s="465" t="s">
        <v>537</v>
      </c>
      <c r="O1185" s="463" t="s">
        <v>537</v>
      </c>
      <c r="P1185" s="463" t="s">
        <v>537</v>
      </c>
      <c r="Q1185" s="468">
        <v>4880</v>
      </c>
      <c r="R1185" s="470">
        <v>241640</v>
      </c>
      <c r="S1185" s="463" t="s">
        <v>2965</v>
      </c>
      <c r="T1185" s="463">
        <v>100</v>
      </c>
      <c r="U1185" s="463">
        <v>10</v>
      </c>
      <c r="V1185" s="463">
        <v>0</v>
      </c>
      <c r="W1185" s="463">
        <v>150</v>
      </c>
      <c r="X1185" s="463">
        <v>7</v>
      </c>
      <c r="Y1185" s="463">
        <v>0</v>
      </c>
      <c r="Z1185" s="463">
        <v>91.6</v>
      </c>
      <c r="AA1185" s="472" t="s">
        <v>1369</v>
      </c>
      <c r="AB1185" s="463" t="s">
        <v>539</v>
      </c>
      <c r="AC1185" s="463" t="s">
        <v>539</v>
      </c>
      <c r="AD1185" s="472" t="s">
        <v>728</v>
      </c>
      <c r="AE1185" s="463">
        <v>1</v>
      </c>
      <c r="AF1185" s="463">
        <v>1</v>
      </c>
      <c r="AG1185" s="463" t="s">
        <v>375</v>
      </c>
      <c r="AH1185" s="476"/>
      <c r="AI1185" s="472" t="s">
        <v>2953</v>
      </c>
      <c r="AJ1185" s="464"/>
    </row>
    <row r="1186" spans="2:36" ht="24" hidden="1" customHeight="1">
      <c r="B1186" s="463">
        <v>955</v>
      </c>
      <c r="C1186" s="464" t="s">
        <v>534</v>
      </c>
      <c r="D1186" s="464"/>
      <c r="E1186" s="464" t="s">
        <v>535</v>
      </c>
      <c r="F1186" s="464"/>
      <c r="G1186" s="464" t="s">
        <v>275</v>
      </c>
      <c r="H1186" s="464" t="s">
        <v>2966</v>
      </c>
      <c r="I1186" s="466">
        <v>100000</v>
      </c>
      <c r="J1186" s="465" t="s">
        <v>537</v>
      </c>
      <c r="K1186" s="465" t="s">
        <v>537</v>
      </c>
      <c r="L1186" s="466">
        <v>96840</v>
      </c>
      <c r="M1186" s="465" t="s">
        <v>537</v>
      </c>
      <c r="N1186" s="465" t="s">
        <v>537</v>
      </c>
      <c r="O1186" s="463" t="s">
        <v>537</v>
      </c>
      <c r="P1186" s="463" t="s">
        <v>537</v>
      </c>
      <c r="Q1186" s="468">
        <v>3160</v>
      </c>
      <c r="R1186" s="470">
        <v>241518</v>
      </c>
      <c r="S1186" s="463" t="s">
        <v>2967</v>
      </c>
      <c r="T1186" s="463">
        <v>22</v>
      </c>
      <c r="U1186" s="463">
        <v>2</v>
      </c>
      <c r="V1186" s="463">
        <v>0</v>
      </c>
      <c r="W1186" s="463">
        <v>23</v>
      </c>
      <c r="X1186" s="463">
        <v>3</v>
      </c>
      <c r="Y1186" s="463">
        <v>0</v>
      </c>
      <c r="Z1186" s="463">
        <v>91.4</v>
      </c>
      <c r="AA1186" s="472" t="s">
        <v>737</v>
      </c>
      <c r="AB1186" s="463" t="s">
        <v>539</v>
      </c>
      <c r="AC1186" s="463" t="s">
        <v>539</v>
      </c>
      <c r="AD1186" s="472" t="s">
        <v>635</v>
      </c>
      <c r="AE1186" s="463" t="s">
        <v>539</v>
      </c>
      <c r="AF1186" s="463" t="s">
        <v>539</v>
      </c>
      <c r="AG1186" s="463" t="s">
        <v>375</v>
      </c>
      <c r="AH1186" s="476"/>
      <c r="AI1186" s="472" t="s">
        <v>2951</v>
      </c>
      <c r="AJ1186" s="464"/>
    </row>
    <row r="1187" spans="2:36" ht="24" hidden="1" customHeight="1">
      <c r="B1187" s="463">
        <v>956</v>
      </c>
      <c r="C1187" s="464" t="s">
        <v>534</v>
      </c>
      <c r="D1187" s="464"/>
      <c r="E1187" s="464" t="s">
        <v>535</v>
      </c>
      <c r="F1187" s="464"/>
      <c r="G1187" s="464" t="s">
        <v>275</v>
      </c>
      <c r="H1187" s="464" t="s">
        <v>2968</v>
      </c>
      <c r="I1187" s="466">
        <v>50000</v>
      </c>
      <c r="J1187" s="465" t="s">
        <v>537</v>
      </c>
      <c r="K1187" s="465" t="s">
        <v>537</v>
      </c>
      <c r="L1187" s="466">
        <v>49988.02</v>
      </c>
      <c r="M1187" s="465" t="s">
        <v>537</v>
      </c>
      <c r="N1187" s="465" t="s">
        <v>537</v>
      </c>
      <c r="O1187" s="463" t="s">
        <v>537</v>
      </c>
      <c r="P1187" s="463" t="s">
        <v>537</v>
      </c>
      <c r="Q1187" s="465">
        <v>12</v>
      </c>
      <c r="R1187" s="470">
        <v>241459</v>
      </c>
      <c r="S1187" s="463" t="s">
        <v>2969</v>
      </c>
      <c r="T1187" s="463">
        <v>60</v>
      </c>
      <c r="U1187" s="463">
        <v>10</v>
      </c>
      <c r="V1187" s="463">
        <v>0</v>
      </c>
      <c r="W1187" s="463">
        <v>60</v>
      </c>
      <c r="X1187" s="463">
        <v>13</v>
      </c>
      <c r="Y1187" s="464"/>
      <c r="Z1187" s="463">
        <v>90.16</v>
      </c>
      <c r="AA1187" s="472" t="s">
        <v>2970</v>
      </c>
      <c r="AB1187" s="463" t="s">
        <v>539</v>
      </c>
      <c r="AC1187" s="463" t="s">
        <v>539</v>
      </c>
      <c r="AD1187" s="472" t="s">
        <v>2971</v>
      </c>
      <c r="AE1187" s="463">
        <v>1</v>
      </c>
      <c r="AF1187" s="463">
        <v>20</v>
      </c>
      <c r="AG1187" s="463" t="s">
        <v>375</v>
      </c>
      <c r="AH1187" s="476"/>
      <c r="AI1187" s="472">
        <v>75489614</v>
      </c>
      <c r="AJ1187" s="464"/>
    </row>
    <row r="1188" spans="2:36" ht="24" hidden="1" customHeight="1">
      <c r="B1188" s="463">
        <v>957</v>
      </c>
      <c r="C1188" s="464" t="s">
        <v>534</v>
      </c>
      <c r="D1188" s="464"/>
      <c r="E1188" s="464" t="s">
        <v>535</v>
      </c>
      <c r="F1188" s="464"/>
      <c r="G1188" s="464" t="s">
        <v>275</v>
      </c>
      <c r="H1188" s="464" t="s">
        <v>2972</v>
      </c>
      <c r="I1188" s="466">
        <v>20000</v>
      </c>
      <c r="J1188" s="465" t="s">
        <v>537</v>
      </c>
      <c r="K1188" s="465" t="s">
        <v>537</v>
      </c>
      <c r="L1188" s="466">
        <v>20000</v>
      </c>
      <c r="M1188" s="465" t="s">
        <v>537</v>
      </c>
      <c r="N1188" s="465" t="s">
        <v>537</v>
      </c>
      <c r="O1188" s="463" t="s">
        <v>537</v>
      </c>
      <c r="P1188" s="463" t="s">
        <v>537</v>
      </c>
      <c r="Q1188" s="465">
        <v>0</v>
      </c>
      <c r="R1188" s="463" t="s">
        <v>646</v>
      </c>
      <c r="S1188" s="463" t="s">
        <v>2973</v>
      </c>
      <c r="T1188" s="463">
        <v>0</v>
      </c>
      <c r="U1188" s="463">
        <v>30</v>
      </c>
      <c r="V1188" s="463">
        <v>0</v>
      </c>
      <c r="W1188" s="463">
        <v>0</v>
      </c>
      <c r="X1188" s="463">
        <v>40</v>
      </c>
      <c r="Y1188" s="463">
        <v>0</v>
      </c>
      <c r="Z1188" s="463">
        <v>85.55</v>
      </c>
      <c r="AA1188" s="472" t="s">
        <v>1077</v>
      </c>
      <c r="AB1188" s="463">
        <v>80</v>
      </c>
      <c r="AC1188" s="463">
        <v>90</v>
      </c>
      <c r="AD1188" s="472" t="s">
        <v>571</v>
      </c>
      <c r="AE1188" s="463">
        <v>80</v>
      </c>
      <c r="AF1188" s="463">
        <v>85.55</v>
      </c>
      <c r="AG1188" s="463" t="s">
        <v>375</v>
      </c>
      <c r="AH1188" s="476"/>
      <c r="AI1188" s="472">
        <v>864494015</v>
      </c>
      <c r="AJ1188" s="464"/>
    </row>
    <row r="1189" spans="2:36" ht="24" hidden="1" customHeight="1">
      <c r="B1189" s="463">
        <v>958</v>
      </c>
      <c r="C1189" s="464" t="s">
        <v>534</v>
      </c>
      <c r="D1189" s="464"/>
      <c r="E1189" s="464" t="s">
        <v>535</v>
      </c>
      <c r="F1189" s="464"/>
      <c r="G1189" s="464" t="s">
        <v>275</v>
      </c>
      <c r="H1189" s="464" t="s">
        <v>2974</v>
      </c>
      <c r="I1189" s="466">
        <v>50000</v>
      </c>
      <c r="J1189" s="465" t="s">
        <v>537</v>
      </c>
      <c r="K1189" s="465" t="s">
        <v>537</v>
      </c>
      <c r="L1189" s="466">
        <v>50000</v>
      </c>
      <c r="M1189" s="465" t="s">
        <v>537</v>
      </c>
      <c r="N1189" s="465" t="s">
        <v>537</v>
      </c>
      <c r="O1189" s="463" t="s">
        <v>537</v>
      </c>
      <c r="P1189" s="463" t="s">
        <v>537</v>
      </c>
      <c r="Q1189" s="465">
        <v>0</v>
      </c>
      <c r="R1189" s="463" t="s">
        <v>646</v>
      </c>
      <c r="S1189" s="463" t="s">
        <v>2975</v>
      </c>
      <c r="T1189" s="463">
        <v>31</v>
      </c>
      <c r="U1189" s="463">
        <v>10</v>
      </c>
      <c r="V1189" s="463">
        <v>4</v>
      </c>
      <c r="W1189" s="463">
        <v>73</v>
      </c>
      <c r="X1189" s="463">
        <v>42</v>
      </c>
      <c r="Y1189" s="464"/>
      <c r="Z1189" s="463">
        <v>83.02</v>
      </c>
      <c r="AA1189" s="472" t="s">
        <v>1077</v>
      </c>
      <c r="AB1189" s="463">
        <v>80</v>
      </c>
      <c r="AC1189" s="463">
        <v>83.02</v>
      </c>
      <c r="AD1189" s="472" t="s">
        <v>571</v>
      </c>
      <c r="AE1189" s="463">
        <v>80</v>
      </c>
      <c r="AF1189" s="463">
        <v>83.02</v>
      </c>
      <c r="AG1189" s="463" t="s">
        <v>375</v>
      </c>
      <c r="AH1189" s="476"/>
      <c r="AI1189" s="464"/>
      <c r="AJ1189" s="464"/>
    </row>
    <row r="1190" spans="2:36" ht="24" hidden="1" customHeight="1">
      <c r="B1190" s="463">
        <v>959</v>
      </c>
      <c r="C1190" s="464" t="s">
        <v>534</v>
      </c>
      <c r="D1190" s="464"/>
      <c r="E1190" s="464" t="s">
        <v>535</v>
      </c>
      <c r="F1190" s="464"/>
      <c r="G1190" s="464" t="s">
        <v>275</v>
      </c>
      <c r="H1190" s="464" t="s">
        <v>2976</v>
      </c>
      <c r="I1190" s="466">
        <v>100000</v>
      </c>
      <c r="J1190" s="465" t="s">
        <v>537</v>
      </c>
      <c r="K1190" s="465" t="s">
        <v>537</v>
      </c>
      <c r="L1190" s="466">
        <v>99993</v>
      </c>
      <c r="M1190" s="465" t="s">
        <v>537</v>
      </c>
      <c r="N1190" s="465" t="s">
        <v>537</v>
      </c>
      <c r="O1190" s="463" t="s">
        <v>537</v>
      </c>
      <c r="P1190" s="463" t="s">
        <v>537</v>
      </c>
      <c r="Q1190" s="465">
        <v>7</v>
      </c>
      <c r="R1190" s="470">
        <v>241487</v>
      </c>
      <c r="S1190" s="463" t="s">
        <v>2977</v>
      </c>
      <c r="T1190" s="463">
        <v>40</v>
      </c>
      <c r="U1190" s="463">
        <v>10</v>
      </c>
      <c r="V1190" s="463">
        <v>0</v>
      </c>
      <c r="W1190" s="463">
        <v>40</v>
      </c>
      <c r="X1190" s="463">
        <v>15</v>
      </c>
      <c r="Y1190" s="464"/>
      <c r="Z1190" s="463">
        <v>94.8</v>
      </c>
      <c r="AA1190" s="472" t="s">
        <v>1077</v>
      </c>
      <c r="AB1190" s="463">
        <v>80</v>
      </c>
      <c r="AC1190" s="463">
        <v>94.8</v>
      </c>
      <c r="AD1190" s="472" t="s">
        <v>571</v>
      </c>
      <c r="AE1190" s="463">
        <v>80</v>
      </c>
      <c r="AF1190" s="463">
        <v>94.8</v>
      </c>
      <c r="AG1190" s="463" t="s">
        <v>375</v>
      </c>
      <c r="AH1190" s="476"/>
      <c r="AI1190" s="472">
        <v>75489614</v>
      </c>
      <c r="AJ1190" s="464"/>
    </row>
    <row r="1191" spans="2:36" ht="24" hidden="1" customHeight="1">
      <c r="B1191" s="463">
        <v>960</v>
      </c>
      <c r="C1191" s="464" t="s">
        <v>534</v>
      </c>
      <c r="D1191" s="464"/>
      <c r="E1191" s="464" t="s">
        <v>535</v>
      </c>
      <c r="F1191" s="464"/>
      <c r="G1191" s="464" t="s">
        <v>275</v>
      </c>
      <c r="H1191" s="464" t="s">
        <v>2978</v>
      </c>
      <c r="I1191" s="466">
        <v>40000</v>
      </c>
      <c r="J1191" s="465" t="s">
        <v>537</v>
      </c>
      <c r="K1191" s="465" t="s">
        <v>537</v>
      </c>
      <c r="L1191" s="466">
        <v>39443.5</v>
      </c>
      <c r="M1191" s="465" t="s">
        <v>537</v>
      </c>
      <c r="N1191" s="465" t="s">
        <v>537</v>
      </c>
      <c r="O1191" s="463" t="s">
        <v>537</v>
      </c>
      <c r="P1191" s="463" t="s">
        <v>537</v>
      </c>
      <c r="Q1191" s="465">
        <v>557</v>
      </c>
      <c r="R1191" s="470">
        <v>241428</v>
      </c>
      <c r="S1191" s="463" t="s">
        <v>2979</v>
      </c>
      <c r="T1191" s="463">
        <v>10</v>
      </c>
      <c r="U1191" s="463">
        <v>20</v>
      </c>
      <c r="V1191" s="463">
        <v>0</v>
      </c>
      <c r="W1191" s="463">
        <v>50</v>
      </c>
      <c r="X1191" s="463">
        <v>30</v>
      </c>
      <c r="Y1191" s="463">
        <v>0</v>
      </c>
      <c r="Z1191" s="463">
        <v>85.93</v>
      </c>
      <c r="AA1191" s="472" t="s">
        <v>633</v>
      </c>
      <c r="AB1191" s="463" t="s">
        <v>539</v>
      </c>
      <c r="AC1191" s="463" t="s">
        <v>539</v>
      </c>
      <c r="AD1191" s="472" t="s">
        <v>2980</v>
      </c>
      <c r="AE1191" s="463">
        <v>1</v>
      </c>
      <c r="AF1191" s="463">
        <v>1</v>
      </c>
      <c r="AG1191" s="463" t="s">
        <v>375</v>
      </c>
      <c r="AH1191" s="476"/>
      <c r="AI1191" s="472">
        <v>75489611</v>
      </c>
      <c r="AJ1191" s="464"/>
    </row>
    <row r="1192" spans="2:36" ht="24" hidden="1" customHeight="1">
      <c r="B1192" s="463">
        <v>961</v>
      </c>
      <c r="C1192" s="464" t="s">
        <v>534</v>
      </c>
      <c r="D1192" s="464"/>
      <c r="E1192" s="464" t="s">
        <v>535</v>
      </c>
      <c r="F1192" s="464"/>
      <c r="G1192" s="464" t="s">
        <v>275</v>
      </c>
      <c r="H1192" s="464" t="s">
        <v>2981</v>
      </c>
      <c r="I1192" s="466">
        <v>35000</v>
      </c>
      <c r="J1192" s="465" t="s">
        <v>537</v>
      </c>
      <c r="K1192" s="465" t="s">
        <v>537</v>
      </c>
      <c r="L1192" s="466">
        <v>33183.5</v>
      </c>
      <c r="M1192" s="465" t="s">
        <v>537</v>
      </c>
      <c r="N1192" s="465" t="s">
        <v>537</v>
      </c>
      <c r="O1192" s="463" t="s">
        <v>537</v>
      </c>
      <c r="P1192" s="463" t="s">
        <v>537</v>
      </c>
      <c r="Q1192" s="468">
        <v>1817</v>
      </c>
      <c r="R1192" s="470">
        <v>241459</v>
      </c>
      <c r="S1192" s="463" t="s">
        <v>2982</v>
      </c>
      <c r="T1192" s="463">
        <v>10</v>
      </c>
      <c r="U1192" s="463">
        <v>20</v>
      </c>
      <c r="V1192" s="463">
        <v>0</v>
      </c>
      <c r="W1192" s="463">
        <v>100</v>
      </c>
      <c r="X1192" s="463">
        <v>40</v>
      </c>
      <c r="Y1192" s="463">
        <v>0</v>
      </c>
      <c r="Z1192" s="463">
        <v>80</v>
      </c>
      <c r="AA1192" s="472" t="s">
        <v>633</v>
      </c>
      <c r="AB1192" s="463" t="s">
        <v>539</v>
      </c>
      <c r="AC1192" s="463" t="s">
        <v>539</v>
      </c>
      <c r="AD1192" s="472" t="s">
        <v>2980</v>
      </c>
      <c r="AE1192" s="463">
        <v>1</v>
      </c>
      <c r="AF1192" s="463">
        <v>1</v>
      </c>
      <c r="AG1192" s="463" t="s">
        <v>375</v>
      </c>
      <c r="AH1192" s="476"/>
      <c r="AI1192" s="472">
        <v>75489611</v>
      </c>
      <c r="AJ1192" s="464"/>
    </row>
    <row r="1193" spans="2:36" ht="24" hidden="1" customHeight="1">
      <c r="B1193" s="463">
        <v>962</v>
      </c>
      <c r="C1193" s="464" t="s">
        <v>534</v>
      </c>
      <c r="D1193" s="464"/>
      <c r="E1193" s="464" t="s">
        <v>535</v>
      </c>
      <c r="F1193" s="464"/>
      <c r="G1193" s="464" t="s">
        <v>275</v>
      </c>
      <c r="H1193" s="464" t="s">
        <v>2983</v>
      </c>
      <c r="I1193" s="466">
        <v>5000</v>
      </c>
      <c r="J1193" s="465" t="s">
        <v>537</v>
      </c>
      <c r="K1193" s="465" t="s">
        <v>537</v>
      </c>
      <c r="L1193" s="466">
        <v>5000</v>
      </c>
      <c r="M1193" s="465" t="s">
        <v>537</v>
      </c>
      <c r="N1193" s="465" t="s">
        <v>537</v>
      </c>
      <c r="O1193" s="463" t="s">
        <v>537</v>
      </c>
      <c r="P1193" s="463" t="s">
        <v>537</v>
      </c>
      <c r="Q1193" s="465">
        <v>0</v>
      </c>
      <c r="R1193" s="470">
        <v>241428</v>
      </c>
      <c r="S1193" s="471">
        <v>22273</v>
      </c>
      <c r="T1193" s="463">
        <v>10</v>
      </c>
      <c r="U1193" s="463">
        <v>20</v>
      </c>
      <c r="V1193" s="463">
        <v>0</v>
      </c>
      <c r="W1193" s="463">
        <v>32</v>
      </c>
      <c r="X1193" s="463">
        <v>20</v>
      </c>
      <c r="Y1193" s="464"/>
      <c r="Z1193" s="463">
        <v>86.05</v>
      </c>
      <c r="AA1193" s="472" t="s">
        <v>633</v>
      </c>
      <c r="AB1193" s="463" t="s">
        <v>539</v>
      </c>
      <c r="AC1193" s="463" t="s">
        <v>539</v>
      </c>
      <c r="AD1193" s="472" t="s">
        <v>2980</v>
      </c>
      <c r="AE1193" s="463">
        <v>1</v>
      </c>
      <c r="AF1193" s="463">
        <v>1</v>
      </c>
      <c r="AG1193" s="463" t="s">
        <v>375</v>
      </c>
      <c r="AH1193" s="476"/>
      <c r="AI1193" s="472" t="s">
        <v>2953</v>
      </c>
      <c r="AJ1193" s="464"/>
    </row>
    <row r="1194" spans="2:36" ht="24" hidden="1" customHeight="1">
      <c r="B1194" s="463">
        <v>963</v>
      </c>
      <c r="C1194" s="464" t="s">
        <v>534</v>
      </c>
      <c r="D1194" s="464"/>
      <c r="E1194" s="464" t="s">
        <v>535</v>
      </c>
      <c r="F1194" s="464"/>
      <c r="G1194" s="464" t="s">
        <v>275</v>
      </c>
      <c r="H1194" s="464" t="s">
        <v>2984</v>
      </c>
      <c r="I1194" s="466">
        <v>20000</v>
      </c>
      <c r="J1194" s="465" t="s">
        <v>537</v>
      </c>
      <c r="K1194" s="465" t="s">
        <v>537</v>
      </c>
      <c r="L1194" s="466">
        <v>20000</v>
      </c>
      <c r="M1194" s="465" t="s">
        <v>537</v>
      </c>
      <c r="N1194" s="465" t="s">
        <v>537</v>
      </c>
      <c r="O1194" s="463" t="s">
        <v>537</v>
      </c>
      <c r="P1194" s="463" t="s">
        <v>537</v>
      </c>
      <c r="Q1194" s="465">
        <v>0</v>
      </c>
      <c r="R1194" s="470">
        <v>241428</v>
      </c>
      <c r="S1194" s="463" t="s">
        <v>2985</v>
      </c>
      <c r="T1194" s="463">
        <v>10</v>
      </c>
      <c r="U1194" s="463">
        <v>20</v>
      </c>
      <c r="V1194" s="463">
        <v>0</v>
      </c>
      <c r="W1194" s="463">
        <v>28</v>
      </c>
      <c r="X1194" s="463">
        <v>20</v>
      </c>
      <c r="Y1194" s="463">
        <v>0</v>
      </c>
      <c r="Z1194" s="463">
        <v>88.73</v>
      </c>
      <c r="AA1194" s="472" t="s">
        <v>633</v>
      </c>
      <c r="AB1194" s="463" t="s">
        <v>539</v>
      </c>
      <c r="AC1194" s="463" t="s">
        <v>539</v>
      </c>
      <c r="AD1194" s="472" t="s">
        <v>2980</v>
      </c>
      <c r="AE1194" s="463">
        <v>1</v>
      </c>
      <c r="AF1194" s="463">
        <v>1</v>
      </c>
      <c r="AG1194" s="463" t="s">
        <v>375</v>
      </c>
      <c r="AH1194" s="476"/>
      <c r="AI1194" s="472" t="s">
        <v>2953</v>
      </c>
      <c r="AJ1194" s="464"/>
    </row>
    <row r="1195" spans="2:36" ht="24" hidden="1" customHeight="1">
      <c r="B1195" s="463">
        <v>964</v>
      </c>
      <c r="C1195" s="464" t="s">
        <v>534</v>
      </c>
      <c r="D1195" s="464"/>
      <c r="E1195" s="464" t="s">
        <v>535</v>
      </c>
      <c r="F1195" s="464"/>
      <c r="G1195" s="464" t="s">
        <v>275</v>
      </c>
      <c r="H1195" s="464" t="s">
        <v>2986</v>
      </c>
      <c r="I1195" s="466">
        <v>15000</v>
      </c>
      <c r="J1195" s="465" t="s">
        <v>537</v>
      </c>
      <c r="K1195" s="465" t="s">
        <v>537</v>
      </c>
      <c r="L1195" s="466">
        <v>15000</v>
      </c>
      <c r="M1195" s="465" t="s">
        <v>537</v>
      </c>
      <c r="N1195" s="465" t="s">
        <v>537</v>
      </c>
      <c r="O1195" s="463" t="s">
        <v>537</v>
      </c>
      <c r="P1195" s="463" t="s">
        <v>537</v>
      </c>
      <c r="Q1195" s="465">
        <v>0</v>
      </c>
      <c r="R1195" s="470">
        <v>241487</v>
      </c>
      <c r="S1195" s="463" t="s">
        <v>1915</v>
      </c>
      <c r="T1195" s="463">
        <v>10</v>
      </c>
      <c r="U1195" s="463">
        <v>20</v>
      </c>
      <c r="V1195" s="463">
        <v>0</v>
      </c>
      <c r="W1195" s="463">
        <v>28</v>
      </c>
      <c r="X1195" s="463">
        <v>27</v>
      </c>
      <c r="Y1195" s="464"/>
      <c r="Z1195" s="463">
        <v>85.48</v>
      </c>
      <c r="AA1195" s="472" t="s">
        <v>633</v>
      </c>
      <c r="AB1195" s="463" t="s">
        <v>539</v>
      </c>
      <c r="AC1195" s="463" t="s">
        <v>539</v>
      </c>
      <c r="AD1195" s="472" t="s">
        <v>2980</v>
      </c>
      <c r="AE1195" s="463">
        <v>1</v>
      </c>
      <c r="AF1195" s="463">
        <v>1</v>
      </c>
      <c r="AG1195" s="463" t="s">
        <v>375</v>
      </c>
      <c r="AH1195" s="476"/>
      <c r="AI1195" s="472" t="s">
        <v>2953</v>
      </c>
      <c r="AJ1195" s="464"/>
    </row>
    <row r="1196" spans="2:36" ht="24" hidden="1" customHeight="1">
      <c r="B1196" s="463">
        <v>965</v>
      </c>
      <c r="C1196" s="464" t="s">
        <v>534</v>
      </c>
      <c r="D1196" s="464"/>
      <c r="E1196" s="464" t="s">
        <v>535</v>
      </c>
      <c r="F1196" s="464"/>
      <c r="G1196" s="464" t="s">
        <v>275</v>
      </c>
      <c r="H1196" s="464" t="s">
        <v>2987</v>
      </c>
      <c r="I1196" s="466">
        <v>20000</v>
      </c>
      <c r="J1196" s="465" t="s">
        <v>537</v>
      </c>
      <c r="K1196" s="465" t="s">
        <v>537</v>
      </c>
      <c r="L1196" s="466">
        <v>20000</v>
      </c>
      <c r="M1196" s="465" t="s">
        <v>537</v>
      </c>
      <c r="N1196" s="465" t="s">
        <v>537</v>
      </c>
      <c r="O1196" s="463" t="s">
        <v>537</v>
      </c>
      <c r="P1196" s="463" t="s">
        <v>537</v>
      </c>
      <c r="Q1196" s="465">
        <v>0</v>
      </c>
      <c r="R1196" s="463" t="s">
        <v>646</v>
      </c>
      <c r="S1196" s="463" t="s">
        <v>1193</v>
      </c>
      <c r="T1196" s="463">
        <v>10</v>
      </c>
      <c r="U1196" s="463">
        <v>20</v>
      </c>
      <c r="V1196" s="463">
        <v>0</v>
      </c>
      <c r="W1196" s="463">
        <v>28</v>
      </c>
      <c r="X1196" s="463">
        <v>36</v>
      </c>
      <c r="Y1196" s="464"/>
      <c r="Z1196" s="463">
        <v>92.69</v>
      </c>
      <c r="AA1196" s="472" t="s">
        <v>633</v>
      </c>
      <c r="AB1196" s="463" t="s">
        <v>539</v>
      </c>
      <c r="AC1196" s="463" t="s">
        <v>539</v>
      </c>
      <c r="AD1196" s="472" t="s">
        <v>2980</v>
      </c>
      <c r="AE1196" s="463">
        <v>1</v>
      </c>
      <c r="AF1196" s="463">
        <v>1</v>
      </c>
      <c r="AG1196" s="463" t="s">
        <v>375</v>
      </c>
      <c r="AH1196" s="476"/>
      <c r="AI1196" s="472" t="s">
        <v>2988</v>
      </c>
      <c r="AJ1196" s="464"/>
    </row>
    <row r="1197" spans="2:36" ht="24" hidden="1" customHeight="1">
      <c r="B1197" s="463">
        <v>966</v>
      </c>
      <c r="C1197" s="464" t="s">
        <v>534</v>
      </c>
      <c r="D1197" s="464"/>
      <c r="E1197" s="464" t="s">
        <v>535</v>
      </c>
      <c r="F1197" s="464"/>
      <c r="G1197" s="464" t="s">
        <v>275</v>
      </c>
      <c r="H1197" s="464" t="s">
        <v>2989</v>
      </c>
      <c r="I1197" s="466">
        <v>20000</v>
      </c>
      <c r="J1197" s="465" t="s">
        <v>537</v>
      </c>
      <c r="K1197" s="465" t="s">
        <v>537</v>
      </c>
      <c r="L1197" s="466">
        <v>20000</v>
      </c>
      <c r="M1197" s="465" t="s">
        <v>537</v>
      </c>
      <c r="N1197" s="465" t="s">
        <v>537</v>
      </c>
      <c r="O1197" s="463" t="s">
        <v>537</v>
      </c>
      <c r="P1197" s="463" t="s">
        <v>537</v>
      </c>
      <c r="Q1197" s="465">
        <v>0</v>
      </c>
      <c r="R1197" s="470">
        <v>241459</v>
      </c>
      <c r="S1197" s="463" t="s">
        <v>2636</v>
      </c>
      <c r="T1197" s="463">
        <v>10</v>
      </c>
      <c r="U1197" s="463">
        <v>20</v>
      </c>
      <c r="V1197" s="463">
        <v>0</v>
      </c>
      <c r="W1197" s="463">
        <v>10</v>
      </c>
      <c r="X1197" s="463">
        <v>20</v>
      </c>
      <c r="Y1197" s="463">
        <v>0</v>
      </c>
      <c r="Z1197" s="463">
        <v>81.709999999999994</v>
      </c>
      <c r="AA1197" s="472" t="s">
        <v>633</v>
      </c>
      <c r="AB1197" s="463" t="s">
        <v>539</v>
      </c>
      <c r="AC1197" s="463" t="s">
        <v>539</v>
      </c>
      <c r="AD1197" s="472" t="s">
        <v>2980</v>
      </c>
      <c r="AE1197" s="463">
        <v>1</v>
      </c>
      <c r="AF1197" s="463">
        <v>1</v>
      </c>
      <c r="AG1197" s="463" t="s">
        <v>375</v>
      </c>
      <c r="AH1197" s="476"/>
      <c r="AI1197" s="472" t="s">
        <v>2953</v>
      </c>
      <c r="AJ1197" s="464"/>
    </row>
    <row r="1198" spans="2:36" ht="24" hidden="1" customHeight="1">
      <c r="B1198" s="463">
        <v>967</v>
      </c>
      <c r="C1198" s="464" t="s">
        <v>534</v>
      </c>
      <c r="D1198" s="464"/>
      <c r="E1198" s="464" t="s">
        <v>535</v>
      </c>
      <c r="F1198" s="464"/>
      <c r="G1198" s="464" t="s">
        <v>275</v>
      </c>
      <c r="H1198" s="464" t="s">
        <v>2990</v>
      </c>
      <c r="I1198" s="466">
        <v>20000</v>
      </c>
      <c r="J1198" s="465" t="s">
        <v>537</v>
      </c>
      <c r="K1198" s="465" t="s">
        <v>537</v>
      </c>
      <c r="L1198" s="466">
        <v>20000</v>
      </c>
      <c r="M1198" s="465" t="s">
        <v>537</v>
      </c>
      <c r="N1198" s="465" t="s">
        <v>537</v>
      </c>
      <c r="O1198" s="463" t="s">
        <v>537</v>
      </c>
      <c r="P1198" s="463" t="s">
        <v>537</v>
      </c>
      <c r="Q1198" s="465">
        <v>0</v>
      </c>
      <c r="R1198" s="470">
        <v>241487</v>
      </c>
      <c r="S1198" s="463" t="s">
        <v>2991</v>
      </c>
      <c r="T1198" s="463">
        <v>10</v>
      </c>
      <c r="U1198" s="463">
        <v>20</v>
      </c>
      <c r="V1198" s="463">
        <v>0</v>
      </c>
      <c r="W1198" s="463">
        <v>23</v>
      </c>
      <c r="X1198" s="463">
        <v>19</v>
      </c>
      <c r="Y1198" s="464"/>
      <c r="Z1198" s="463">
        <v>80.290000000000006</v>
      </c>
      <c r="AA1198" s="472" t="s">
        <v>633</v>
      </c>
      <c r="AB1198" s="463" t="s">
        <v>539</v>
      </c>
      <c r="AC1198" s="463" t="s">
        <v>539</v>
      </c>
      <c r="AD1198" s="472" t="s">
        <v>2980</v>
      </c>
      <c r="AE1198" s="463">
        <v>1</v>
      </c>
      <c r="AF1198" s="463">
        <v>1</v>
      </c>
      <c r="AG1198" s="463" t="s">
        <v>375</v>
      </c>
      <c r="AH1198" s="476"/>
      <c r="AI1198" s="472" t="s">
        <v>2992</v>
      </c>
      <c r="AJ1198" s="464"/>
    </row>
    <row r="1199" spans="2:36" ht="24" hidden="1" customHeight="1">
      <c r="B1199" s="463">
        <v>968</v>
      </c>
      <c r="C1199" s="464" t="s">
        <v>534</v>
      </c>
      <c r="D1199" s="464"/>
      <c r="E1199" s="464" t="s">
        <v>535</v>
      </c>
      <c r="F1199" s="464"/>
      <c r="G1199" s="464" t="s">
        <v>275</v>
      </c>
      <c r="H1199" s="464" t="s">
        <v>2993</v>
      </c>
      <c r="I1199" s="466">
        <v>15000</v>
      </c>
      <c r="J1199" s="465" t="s">
        <v>537</v>
      </c>
      <c r="K1199" s="465" t="s">
        <v>537</v>
      </c>
      <c r="L1199" s="466">
        <v>13960</v>
      </c>
      <c r="M1199" s="465" t="s">
        <v>537</v>
      </c>
      <c r="N1199" s="465" t="s">
        <v>537</v>
      </c>
      <c r="O1199" s="463" t="s">
        <v>537</v>
      </c>
      <c r="P1199" s="463" t="s">
        <v>537</v>
      </c>
      <c r="Q1199" s="468">
        <v>1040</v>
      </c>
      <c r="R1199" s="470">
        <v>241428</v>
      </c>
      <c r="S1199" s="471">
        <v>22310</v>
      </c>
      <c r="T1199" s="463">
        <v>10</v>
      </c>
      <c r="U1199" s="463">
        <v>20</v>
      </c>
      <c r="V1199" s="463">
        <v>0</v>
      </c>
      <c r="W1199" s="463">
        <v>30</v>
      </c>
      <c r="X1199" s="463">
        <v>20</v>
      </c>
      <c r="Y1199" s="463">
        <v>0</v>
      </c>
      <c r="Z1199" s="463">
        <v>88.81</v>
      </c>
      <c r="AA1199" s="472" t="s">
        <v>633</v>
      </c>
      <c r="AB1199" s="463" t="s">
        <v>539</v>
      </c>
      <c r="AC1199" s="463" t="s">
        <v>539</v>
      </c>
      <c r="AD1199" s="472" t="s">
        <v>2980</v>
      </c>
      <c r="AE1199" s="463">
        <v>1</v>
      </c>
      <c r="AF1199" s="463">
        <v>1</v>
      </c>
      <c r="AG1199" s="463" t="s">
        <v>375</v>
      </c>
      <c r="AH1199" s="476"/>
      <c r="AI1199" s="472">
        <v>75489614</v>
      </c>
      <c r="AJ1199" s="464"/>
    </row>
    <row r="1200" spans="2:36" ht="24" hidden="1" customHeight="1">
      <c r="B1200" s="463">
        <v>969</v>
      </c>
      <c r="C1200" s="464" t="s">
        <v>534</v>
      </c>
      <c r="D1200" s="464"/>
      <c r="E1200" s="464" t="s">
        <v>535</v>
      </c>
      <c r="F1200" s="464"/>
      <c r="G1200" s="464" t="s">
        <v>275</v>
      </c>
      <c r="H1200" s="464" t="s">
        <v>2994</v>
      </c>
      <c r="I1200" s="466">
        <v>10000</v>
      </c>
      <c r="J1200" s="465" t="s">
        <v>537</v>
      </c>
      <c r="K1200" s="465" t="s">
        <v>537</v>
      </c>
      <c r="L1200" s="466">
        <v>10000</v>
      </c>
      <c r="M1200" s="465" t="s">
        <v>537</v>
      </c>
      <c r="N1200" s="465" t="s">
        <v>537</v>
      </c>
      <c r="O1200" s="463" t="s">
        <v>537</v>
      </c>
      <c r="P1200" s="463" t="s">
        <v>537</v>
      </c>
      <c r="Q1200" s="465">
        <v>0</v>
      </c>
      <c r="R1200" s="470">
        <v>241640</v>
      </c>
      <c r="S1200" s="463" t="s">
        <v>2995</v>
      </c>
      <c r="T1200" s="463">
        <v>10</v>
      </c>
      <c r="U1200" s="463">
        <v>20</v>
      </c>
      <c r="V1200" s="463">
        <v>0</v>
      </c>
      <c r="W1200" s="463">
        <v>25</v>
      </c>
      <c r="X1200" s="463">
        <v>25</v>
      </c>
      <c r="Y1200" s="463">
        <v>0</v>
      </c>
      <c r="Z1200" s="463">
        <v>89.28</v>
      </c>
      <c r="AA1200" s="472" t="s">
        <v>633</v>
      </c>
      <c r="AB1200" s="463" t="s">
        <v>539</v>
      </c>
      <c r="AC1200" s="463" t="s">
        <v>539</v>
      </c>
      <c r="AD1200" s="472" t="s">
        <v>2980</v>
      </c>
      <c r="AE1200" s="463">
        <v>1</v>
      </c>
      <c r="AF1200" s="463">
        <v>1</v>
      </c>
      <c r="AG1200" s="463" t="s">
        <v>375</v>
      </c>
      <c r="AH1200" s="476"/>
      <c r="AI1200" s="472" t="s">
        <v>2953</v>
      </c>
      <c r="AJ1200" s="464"/>
    </row>
    <row r="1201" spans="2:36" ht="24" hidden="1" customHeight="1">
      <c r="B1201" s="463">
        <v>970</v>
      </c>
      <c r="C1201" s="464" t="s">
        <v>534</v>
      </c>
      <c r="D1201" s="464"/>
      <c r="E1201" s="464" t="s">
        <v>535</v>
      </c>
      <c r="F1201" s="464"/>
      <c r="G1201" s="464" t="s">
        <v>275</v>
      </c>
      <c r="H1201" s="464" t="s">
        <v>2996</v>
      </c>
      <c r="I1201" s="466">
        <v>20000</v>
      </c>
      <c r="J1201" s="465" t="s">
        <v>537</v>
      </c>
      <c r="K1201" s="465" t="s">
        <v>537</v>
      </c>
      <c r="L1201" s="466">
        <v>20000</v>
      </c>
      <c r="M1201" s="465" t="s">
        <v>537</v>
      </c>
      <c r="N1201" s="465" t="s">
        <v>537</v>
      </c>
      <c r="O1201" s="463" t="s">
        <v>537</v>
      </c>
      <c r="P1201" s="463" t="s">
        <v>537</v>
      </c>
      <c r="Q1201" s="465">
        <v>0</v>
      </c>
      <c r="R1201" s="470">
        <v>241459</v>
      </c>
      <c r="S1201" s="463" t="s">
        <v>823</v>
      </c>
      <c r="T1201" s="463">
        <v>30</v>
      </c>
      <c r="U1201" s="463">
        <v>10</v>
      </c>
      <c r="V1201" s="463">
        <v>0</v>
      </c>
      <c r="W1201" s="463">
        <v>31</v>
      </c>
      <c r="X1201" s="463">
        <v>20</v>
      </c>
      <c r="Y1201" s="463">
        <v>0</v>
      </c>
      <c r="Z1201" s="463">
        <v>89.59</v>
      </c>
      <c r="AA1201" s="472" t="s">
        <v>2970</v>
      </c>
      <c r="AB1201" s="463" t="s">
        <v>539</v>
      </c>
      <c r="AC1201" s="463" t="s">
        <v>539</v>
      </c>
      <c r="AD1201" s="472" t="s">
        <v>2980</v>
      </c>
      <c r="AE1201" s="463">
        <v>1</v>
      </c>
      <c r="AF1201" s="463">
        <v>1</v>
      </c>
      <c r="AG1201" s="463" t="s">
        <v>375</v>
      </c>
      <c r="AH1201" s="476"/>
      <c r="AI1201" s="472">
        <v>635366236</v>
      </c>
      <c r="AJ1201" s="464"/>
    </row>
    <row r="1202" spans="2:36" ht="24" hidden="1" customHeight="1">
      <c r="B1202" s="463">
        <v>971</v>
      </c>
      <c r="C1202" s="464" t="s">
        <v>534</v>
      </c>
      <c r="D1202" s="464"/>
      <c r="E1202" s="464" t="s">
        <v>535</v>
      </c>
      <c r="F1202" s="464"/>
      <c r="G1202" s="464" t="s">
        <v>275</v>
      </c>
      <c r="H1202" s="464" t="s">
        <v>2997</v>
      </c>
      <c r="I1202" s="466">
        <v>15000</v>
      </c>
      <c r="J1202" s="465" t="s">
        <v>537</v>
      </c>
      <c r="K1202" s="465" t="s">
        <v>537</v>
      </c>
      <c r="L1202" s="466">
        <v>14900</v>
      </c>
      <c r="M1202" s="465" t="s">
        <v>537</v>
      </c>
      <c r="N1202" s="465" t="s">
        <v>537</v>
      </c>
      <c r="O1202" s="463" t="s">
        <v>537</v>
      </c>
      <c r="P1202" s="463" t="s">
        <v>537</v>
      </c>
      <c r="Q1202" s="465">
        <v>100</v>
      </c>
      <c r="R1202" s="470">
        <v>241459</v>
      </c>
      <c r="S1202" s="463" t="s">
        <v>732</v>
      </c>
      <c r="T1202" s="463">
        <v>30</v>
      </c>
      <c r="U1202" s="463">
        <v>10</v>
      </c>
      <c r="V1202" s="463">
        <v>0</v>
      </c>
      <c r="W1202" s="463">
        <v>30</v>
      </c>
      <c r="X1202" s="463">
        <v>10</v>
      </c>
      <c r="Y1202" s="463">
        <v>0</v>
      </c>
      <c r="Z1202" s="463">
        <v>86.85</v>
      </c>
      <c r="AA1202" s="472" t="s">
        <v>2970</v>
      </c>
      <c r="AB1202" s="463" t="s">
        <v>539</v>
      </c>
      <c r="AC1202" s="463" t="s">
        <v>539</v>
      </c>
      <c r="AD1202" s="472" t="s">
        <v>2980</v>
      </c>
      <c r="AE1202" s="463">
        <v>1</v>
      </c>
      <c r="AF1202" s="463">
        <v>1</v>
      </c>
      <c r="AG1202" s="463" t="s">
        <v>375</v>
      </c>
      <c r="AH1202" s="476"/>
      <c r="AI1202" s="472">
        <v>75489614</v>
      </c>
      <c r="AJ1202" s="464"/>
    </row>
    <row r="1203" spans="2:36" ht="24" hidden="1" customHeight="1">
      <c r="B1203" s="463">
        <v>972</v>
      </c>
      <c r="C1203" s="464" t="s">
        <v>534</v>
      </c>
      <c r="D1203" s="464"/>
      <c r="E1203" s="464" t="s">
        <v>535</v>
      </c>
      <c r="F1203" s="464"/>
      <c r="G1203" s="464" t="s">
        <v>275</v>
      </c>
      <c r="H1203" s="464" t="s">
        <v>2998</v>
      </c>
      <c r="I1203" s="466">
        <v>20000</v>
      </c>
      <c r="J1203" s="465" t="s">
        <v>537</v>
      </c>
      <c r="K1203" s="465" t="s">
        <v>537</v>
      </c>
      <c r="L1203" s="466">
        <v>19098</v>
      </c>
      <c r="M1203" s="465" t="s">
        <v>537</v>
      </c>
      <c r="N1203" s="465" t="s">
        <v>537</v>
      </c>
      <c r="O1203" s="463" t="s">
        <v>537</v>
      </c>
      <c r="P1203" s="463" t="s">
        <v>537</v>
      </c>
      <c r="Q1203" s="465">
        <v>902</v>
      </c>
      <c r="R1203" s="463" t="s">
        <v>646</v>
      </c>
      <c r="S1203" s="471">
        <v>22271</v>
      </c>
      <c r="T1203" s="463">
        <v>30</v>
      </c>
      <c r="U1203" s="463">
        <v>10</v>
      </c>
      <c r="V1203" s="463">
        <v>0</v>
      </c>
      <c r="W1203" s="463">
        <v>35</v>
      </c>
      <c r="X1203" s="463">
        <v>18</v>
      </c>
      <c r="Y1203" s="464"/>
      <c r="Z1203" s="463">
        <v>88.88</v>
      </c>
      <c r="AA1203" s="472" t="s">
        <v>2970</v>
      </c>
      <c r="AB1203" s="463" t="s">
        <v>539</v>
      </c>
      <c r="AC1203" s="463" t="s">
        <v>539</v>
      </c>
      <c r="AD1203" s="472" t="s">
        <v>2980</v>
      </c>
      <c r="AE1203" s="463">
        <v>1</v>
      </c>
      <c r="AF1203" s="463">
        <v>1</v>
      </c>
      <c r="AG1203" s="463" t="s">
        <v>375</v>
      </c>
      <c r="AH1203" s="476"/>
      <c r="AI1203" s="472" t="s">
        <v>2999</v>
      </c>
      <c r="AJ1203" s="464"/>
    </row>
    <row r="1204" spans="2:36" ht="24" hidden="1" customHeight="1">
      <c r="B1204" s="463">
        <v>973</v>
      </c>
      <c r="C1204" s="464" t="s">
        <v>534</v>
      </c>
      <c r="D1204" s="464"/>
      <c r="E1204" s="464" t="s">
        <v>535</v>
      </c>
      <c r="F1204" s="464"/>
      <c r="G1204" s="464" t="s">
        <v>275</v>
      </c>
      <c r="H1204" s="464" t="s">
        <v>3000</v>
      </c>
      <c r="I1204" s="466">
        <v>15000</v>
      </c>
      <c r="J1204" s="465" t="s">
        <v>537</v>
      </c>
      <c r="K1204" s="465" t="s">
        <v>537</v>
      </c>
      <c r="L1204" s="466">
        <v>14600</v>
      </c>
      <c r="M1204" s="465" t="s">
        <v>537</v>
      </c>
      <c r="N1204" s="465" t="s">
        <v>537</v>
      </c>
      <c r="O1204" s="463" t="s">
        <v>537</v>
      </c>
      <c r="P1204" s="463" t="s">
        <v>537</v>
      </c>
      <c r="Q1204" s="465">
        <v>400</v>
      </c>
      <c r="R1204" s="470">
        <v>241609</v>
      </c>
      <c r="S1204" s="463" t="s">
        <v>3001</v>
      </c>
      <c r="T1204" s="463">
        <v>30</v>
      </c>
      <c r="U1204" s="463">
        <v>10</v>
      </c>
      <c r="V1204" s="463">
        <v>10</v>
      </c>
      <c r="W1204" s="463">
        <v>40</v>
      </c>
      <c r="X1204" s="463">
        <v>10</v>
      </c>
      <c r="Y1204" s="464"/>
      <c r="Z1204" s="463">
        <v>86.24</v>
      </c>
      <c r="AA1204" s="472" t="s">
        <v>2970</v>
      </c>
      <c r="AB1204" s="463" t="s">
        <v>539</v>
      </c>
      <c r="AC1204" s="463" t="s">
        <v>539</v>
      </c>
      <c r="AD1204" s="472" t="s">
        <v>2980</v>
      </c>
      <c r="AE1204" s="463">
        <v>1</v>
      </c>
      <c r="AF1204" s="463">
        <v>1</v>
      </c>
      <c r="AG1204" s="463" t="s">
        <v>375</v>
      </c>
      <c r="AH1204" s="476"/>
      <c r="AI1204" s="472" t="s">
        <v>2951</v>
      </c>
      <c r="AJ1204" s="464"/>
    </row>
    <row r="1205" spans="2:36" ht="24" hidden="1" customHeight="1">
      <c r="B1205" s="463">
        <v>974</v>
      </c>
      <c r="C1205" s="464" t="s">
        <v>534</v>
      </c>
      <c r="D1205" s="464"/>
      <c r="E1205" s="464" t="s">
        <v>535</v>
      </c>
      <c r="F1205" s="464"/>
      <c r="G1205" s="464" t="s">
        <v>275</v>
      </c>
      <c r="H1205" s="464" t="s">
        <v>3002</v>
      </c>
      <c r="I1205" s="466">
        <v>15000</v>
      </c>
      <c r="J1205" s="465" t="s">
        <v>537</v>
      </c>
      <c r="K1205" s="465" t="s">
        <v>537</v>
      </c>
      <c r="L1205" s="466">
        <v>14700</v>
      </c>
      <c r="M1205" s="465" t="s">
        <v>537</v>
      </c>
      <c r="N1205" s="465" t="s">
        <v>537</v>
      </c>
      <c r="O1205" s="463" t="s">
        <v>537</v>
      </c>
      <c r="P1205" s="463" t="s">
        <v>537</v>
      </c>
      <c r="Q1205" s="465">
        <v>300</v>
      </c>
      <c r="R1205" s="470">
        <v>241579</v>
      </c>
      <c r="S1205" s="463" t="s">
        <v>3003</v>
      </c>
      <c r="T1205" s="463">
        <v>30</v>
      </c>
      <c r="U1205" s="463">
        <v>10</v>
      </c>
      <c r="V1205" s="463">
        <v>0</v>
      </c>
      <c r="W1205" s="463">
        <v>32</v>
      </c>
      <c r="X1205" s="463">
        <v>10</v>
      </c>
      <c r="Y1205" s="463">
        <v>0</v>
      </c>
      <c r="Z1205" s="463">
        <v>92.65</v>
      </c>
      <c r="AA1205" s="472" t="s">
        <v>2970</v>
      </c>
      <c r="AB1205" s="463" t="s">
        <v>539</v>
      </c>
      <c r="AC1205" s="463" t="s">
        <v>539</v>
      </c>
      <c r="AD1205" s="472" t="s">
        <v>2980</v>
      </c>
      <c r="AE1205" s="463">
        <v>1</v>
      </c>
      <c r="AF1205" s="463">
        <v>1</v>
      </c>
      <c r="AG1205" s="463" t="s">
        <v>375</v>
      </c>
      <c r="AH1205" s="476"/>
      <c r="AI1205" s="472">
        <v>75489611</v>
      </c>
      <c r="AJ1205" s="464"/>
    </row>
    <row r="1206" spans="2:36" ht="24" hidden="1" customHeight="1">
      <c r="B1206" s="463">
        <v>975</v>
      </c>
      <c r="C1206" s="464" t="s">
        <v>534</v>
      </c>
      <c r="D1206" s="464"/>
      <c r="E1206" s="464" t="s">
        <v>535</v>
      </c>
      <c r="F1206" s="464"/>
      <c r="G1206" s="464" t="s">
        <v>275</v>
      </c>
      <c r="H1206" s="464" t="s">
        <v>3004</v>
      </c>
      <c r="I1206" s="466">
        <v>15000</v>
      </c>
      <c r="J1206" s="465" t="s">
        <v>537</v>
      </c>
      <c r="K1206" s="465" t="s">
        <v>537</v>
      </c>
      <c r="L1206" s="466">
        <v>15000</v>
      </c>
      <c r="M1206" s="465" t="s">
        <v>537</v>
      </c>
      <c r="N1206" s="465" t="s">
        <v>537</v>
      </c>
      <c r="O1206" s="463" t="s">
        <v>537</v>
      </c>
      <c r="P1206" s="463" t="s">
        <v>537</v>
      </c>
      <c r="Q1206" s="465">
        <v>0</v>
      </c>
      <c r="R1206" s="470">
        <v>241640</v>
      </c>
      <c r="S1206" s="463" t="s">
        <v>3005</v>
      </c>
      <c r="T1206" s="463">
        <v>30</v>
      </c>
      <c r="U1206" s="463">
        <v>10</v>
      </c>
      <c r="V1206" s="463">
        <v>0</v>
      </c>
      <c r="W1206" s="463">
        <v>30</v>
      </c>
      <c r="X1206" s="463">
        <v>11</v>
      </c>
      <c r="Y1206" s="463">
        <v>0</v>
      </c>
      <c r="Z1206" s="463">
        <v>87.85</v>
      </c>
      <c r="AA1206" s="472" t="s">
        <v>2970</v>
      </c>
      <c r="AB1206" s="463" t="s">
        <v>539</v>
      </c>
      <c r="AC1206" s="463" t="s">
        <v>539</v>
      </c>
      <c r="AD1206" s="472" t="s">
        <v>2980</v>
      </c>
      <c r="AE1206" s="463">
        <v>1</v>
      </c>
      <c r="AF1206" s="463">
        <v>1</v>
      </c>
      <c r="AG1206" s="463" t="s">
        <v>375</v>
      </c>
      <c r="AH1206" s="476"/>
      <c r="AI1206" s="472" t="s">
        <v>2951</v>
      </c>
      <c r="AJ1206" s="464"/>
    </row>
    <row r="1207" spans="2:36" ht="24" hidden="1" customHeight="1">
      <c r="B1207" s="463">
        <v>976</v>
      </c>
      <c r="C1207" s="464" t="s">
        <v>534</v>
      </c>
      <c r="D1207" s="464"/>
      <c r="E1207" s="464" t="s">
        <v>577</v>
      </c>
      <c r="F1207" s="464"/>
      <c r="G1207" s="464" t="s">
        <v>275</v>
      </c>
      <c r="H1207" s="464" t="s">
        <v>3006</v>
      </c>
      <c r="I1207" s="465" t="s">
        <v>537</v>
      </c>
      <c r="J1207" s="465" t="s">
        <v>537</v>
      </c>
      <c r="K1207" s="466">
        <v>40000</v>
      </c>
      <c r="L1207" s="465" t="s">
        <v>537</v>
      </c>
      <c r="M1207" s="465" t="s">
        <v>537</v>
      </c>
      <c r="N1207" s="466">
        <v>40000</v>
      </c>
      <c r="O1207" s="463" t="s">
        <v>537</v>
      </c>
      <c r="P1207" s="463" t="s">
        <v>537</v>
      </c>
      <c r="Q1207" s="465">
        <v>0</v>
      </c>
      <c r="R1207" s="463" t="s">
        <v>3007</v>
      </c>
      <c r="S1207" s="463" t="s">
        <v>1064</v>
      </c>
      <c r="T1207" s="463">
        <v>0</v>
      </c>
      <c r="U1207" s="463">
        <v>0</v>
      </c>
      <c r="V1207" s="463">
        <v>0</v>
      </c>
      <c r="W1207" s="464"/>
      <c r="X1207" s="464"/>
      <c r="Y1207" s="464"/>
      <c r="Z1207" s="463">
        <v>92</v>
      </c>
      <c r="AA1207" s="472" t="s">
        <v>3008</v>
      </c>
      <c r="AB1207" s="463" t="s">
        <v>539</v>
      </c>
      <c r="AC1207" s="463" t="s">
        <v>539</v>
      </c>
      <c r="AD1207" s="472" t="s">
        <v>3009</v>
      </c>
      <c r="AE1207" s="463" t="s">
        <v>539</v>
      </c>
      <c r="AF1207" s="463" t="s">
        <v>539</v>
      </c>
      <c r="AG1207" s="463" t="s">
        <v>375</v>
      </c>
      <c r="AH1207" s="476"/>
      <c r="AI1207" s="472" t="s">
        <v>3010</v>
      </c>
      <c r="AJ1207" s="472" t="s">
        <v>543</v>
      </c>
    </row>
    <row r="1208" spans="2:36" ht="24" hidden="1" customHeight="1">
      <c r="B1208" s="463">
        <v>977</v>
      </c>
      <c r="C1208" s="464" t="s">
        <v>337</v>
      </c>
      <c r="D1208" s="464"/>
      <c r="E1208" s="464" t="s">
        <v>545</v>
      </c>
      <c r="F1208" s="464"/>
      <c r="G1208" s="464" t="s">
        <v>275</v>
      </c>
      <c r="H1208" s="464" t="s">
        <v>3011</v>
      </c>
      <c r="I1208" s="466">
        <v>85000</v>
      </c>
      <c r="J1208" s="465" t="s">
        <v>537</v>
      </c>
      <c r="K1208" s="465" t="s">
        <v>537</v>
      </c>
      <c r="L1208" s="466">
        <v>84998</v>
      </c>
      <c r="M1208" s="465" t="s">
        <v>537</v>
      </c>
      <c r="N1208" s="465" t="s">
        <v>537</v>
      </c>
      <c r="O1208" s="463" t="s">
        <v>537</v>
      </c>
      <c r="P1208" s="463" t="s">
        <v>537</v>
      </c>
      <c r="Q1208" s="465">
        <v>2</v>
      </c>
      <c r="R1208" s="463" t="s">
        <v>646</v>
      </c>
      <c r="S1208" s="471">
        <v>22267</v>
      </c>
      <c r="T1208" s="463">
        <v>15</v>
      </c>
      <c r="U1208" s="463">
        <v>5</v>
      </c>
      <c r="V1208" s="463">
        <v>200</v>
      </c>
      <c r="W1208" s="463">
        <v>15</v>
      </c>
      <c r="X1208" s="463">
        <v>5</v>
      </c>
      <c r="Y1208" s="463">
        <v>0</v>
      </c>
      <c r="Z1208" s="463">
        <v>95.75</v>
      </c>
      <c r="AA1208" s="472" t="s">
        <v>3012</v>
      </c>
      <c r="AB1208" s="463" t="s">
        <v>539</v>
      </c>
      <c r="AC1208" s="463" t="s">
        <v>539</v>
      </c>
      <c r="AD1208" s="472" t="s">
        <v>3013</v>
      </c>
      <c r="AE1208" s="463" t="s">
        <v>539</v>
      </c>
      <c r="AF1208" s="463" t="s">
        <v>539</v>
      </c>
      <c r="AG1208" s="463" t="s">
        <v>375</v>
      </c>
      <c r="AH1208" s="476"/>
      <c r="AI1208" s="472" t="s">
        <v>2951</v>
      </c>
      <c r="AJ1208" s="464"/>
    </row>
    <row r="1209" spans="2:36" ht="24" hidden="1" customHeight="1">
      <c r="B1209" s="701">
        <v>978</v>
      </c>
      <c r="C1209" s="699" t="s">
        <v>337</v>
      </c>
      <c r="D1209" s="699"/>
      <c r="E1209" s="699" t="s">
        <v>545</v>
      </c>
      <c r="F1209" s="699"/>
      <c r="G1209" s="699" t="s">
        <v>275</v>
      </c>
      <c r="H1209" s="699" t="s">
        <v>3014</v>
      </c>
      <c r="I1209" s="712">
        <v>20000</v>
      </c>
      <c r="J1209" s="709" t="s">
        <v>537</v>
      </c>
      <c r="K1209" s="709" t="s">
        <v>537</v>
      </c>
      <c r="L1209" s="712">
        <v>20000</v>
      </c>
      <c r="M1209" s="709" t="s">
        <v>537</v>
      </c>
      <c r="N1209" s="709" t="s">
        <v>537</v>
      </c>
      <c r="O1209" s="701" t="s">
        <v>537</v>
      </c>
      <c r="P1209" s="701" t="s">
        <v>537</v>
      </c>
      <c r="Q1209" s="709">
        <v>0</v>
      </c>
      <c r="R1209" s="707">
        <v>241459</v>
      </c>
      <c r="S1209" s="721">
        <v>22340</v>
      </c>
      <c r="T1209" s="701">
        <v>0</v>
      </c>
      <c r="U1209" s="701">
        <v>5</v>
      </c>
      <c r="V1209" s="701">
        <v>25</v>
      </c>
      <c r="W1209" s="699"/>
      <c r="X1209" s="701">
        <v>3</v>
      </c>
      <c r="Y1209" s="701">
        <v>25</v>
      </c>
      <c r="Z1209" s="701">
        <v>93.5</v>
      </c>
      <c r="AA1209" s="458" t="s">
        <v>3015</v>
      </c>
      <c r="AB1209" s="459" t="s">
        <v>539</v>
      </c>
      <c r="AC1209" s="459" t="s">
        <v>539</v>
      </c>
      <c r="AD1209" s="697" t="s">
        <v>3016</v>
      </c>
      <c r="AE1209" s="701">
        <v>20</v>
      </c>
      <c r="AF1209" s="701">
        <v>25</v>
      </c>
      <c r="AG1209" s="701" t="s">
        <v>375</v>
      </c>
      <c r="AH1209" s="728"/>
      <c r="AI1209" s="697">
        <v>75489614</v>
      </c>
      <c r="AJ1209" s="699"/>
    </row>
    <row r="1210" spans="2:36" ht="24" hidden="1" customHeight="1">
      <c r="B1210" s="702"/>
      <c r="C1210" s="700"/>
      <c r="D1210" s="700"/>
      <c r="E1210" s="700"/>
      <c r="F1210" s="700"/>
      <c r="G1210" s="700"/>
      <c r="H1210" s="700"/>
      <c r="I1210" s="713"/>
      <c r="J1210" s="710"/>
      <c r="K1210" s="710"/>
      <c r="L1210" s="713"/>
      <c r="M1210" s="710"/>
      <c r="N1210" s="710"/>
      <c r="O1210" s="702"/>
      <c r="P1210" s="702"/>
      <c r="Q1210" s="710"/>
      <c r="R1210" s="708"/>
      <c r="S1210" s="722"/>
      <c r="T1210" s="702"/>
      <c r="U1210" s="702"/>
      <c r="V1210" s="702"/>
      <c r="W1210" s="700"/>
      <c r="X1210" s="702"/>
      <c r="Y1210" s="702"/>
      <c r="Z1210" s="702"/>
      <c r="AA1210" s="473" t="s">
        <v>3017</v>
      </c>
      <c r="AB1210" s="474" t="s">
        <v>539</v>
      </c>
      <c r="AC1210" s="474" t="s">
        <v>539</v>
      </c>
      <c r="AD1210" s="698"/>
      <c r="AE1210" s="702"/>
      <c r="AF1210" s="702"/>
      <c r="AG1210" s="702"/>
      <c r="AH1210" s="729"/>
      <c r="AI1210" s="698"/>
      <c r="AJ1210" s="700"/>
    </row>
    <row r="1211" spans="2:36" ht="24" hidden="1" customHeight="1">
      <c r="B1211" s="701">
        <v>979</v>
      </c>
      <c r="C1211" s="699" t="s">
        <v>337</v>
      </c>
      <c r="D1211" s="699"/>
      <c r="E1211" s="699" t="s">
        <v>545</v>
      </c>
      <c r="F1211" s="699"/>
      <c r="G1211" s="699" t="s">
        <v>275</v>
      </c>
      <c r="H1211" s="699" t="s">
        <v>3018</v>
      </c>
      <c r="I1211" s="712">
        <v>15000</v>
      </c>
      <c r="J1211" s="709" t="s">
        <v>537</v>
      </c>
      <c r="K1211" s="709" t="s">
        <v>537</v>
      </c>
      <c r="L1211" s="712">
        <v>15000</v>
      </c>
      <c r="M1211" s="709" t="s">
        <v>537</v>
      </c>
      <c r="N1211" s="709" t="s">
        <v>537</v>
      </c>
      <c r="O1211" s="701" t="s">
        <v>537</v>
      </c>
      <c r="P1211" s="701" t="s">
        <v>537</v>
      </c>
      <c r="Q1211" s="709">
        <v>0</v>
      </c>
      <c r="R1211" s="707">
        <v>241518</v>
      </c>
      <c r="S1211" s="721">
        <v>22373</v>
      </c>
      <c r="T1211" s="701">
        <v>0</v>
      </c>
      <c r="U1211" s="701">
        <v>5</v>
      </c>
      <c r="V1211" s="701">
        <v>25</v>
      </c>
      <c r="W1211" s="699"/>
      <c r="X1211" s="701">
        <v>4</v>
      </c>
      <c r="Y1211" s="701">
        <v>25</v>
      </c>
      <c r="Z1211" s="701">
        <v>90</v>
      </c>
      <c r="AA1211" s="458" t="s">
        <v>3019</v>
      </c>
      <c r="AB1211" s="459" t="s">
        <v>539</v>
      </c>
      <c r="AC1211" s="459" t="s">
        <v>539</v>
      </c>
      <c r="AD1211" s="697" t="s">
        <v>3020</v>
      </c>
      <c r="AE1211" s="701">
        <v>25</v>
      </c>
      <c r="AF1211" s="701">
        <v>25</v>
      </c>
      <c r="AG1211" s="701" t="s">
        <v>375</v>
      </c>
      <c r="AH1211" s="728"/>
      <c r="AI1211" s="697" t="s">
        <v>2951</v>
      </c>
      <c r="AJ1211" s="699"/>
    </row>
    <row r="1212" spans="2:36" ht="24" hidden="1" customHeight="1">
      <c r="B1212" s="702"/>
      <c r="C1212" s="700"/>
      <c r="D1212" s="700"/>
      <c r="E1212" s="700"/>
      <c r="F1212" s="700"/>
      <c r="G1212" s="700"/>
      <c r="H1212" s="700"/>
      <c r="I1212" s="713"/>
      <c r="J1212" s="710"/>
      <c r="K1212" s="710"/>
      <c r="L1212" s="713"/>
      <c r="M1212" s="710"/>
      <c r="N1212" s="710"/>
      <c r="O1212" s="702"/>
      <c r="P1212" s="702"/>
      <c r="Q1212" s="710"/>
      <c r="R1212" s="708"/>
      <c r="S1212" s="722"/>
      <c r="T1212" s="702"/>
      <c r="U1212" s="702"/>
      <c r="V1212" s="702"/>
      <c r="W1212" s="700"/>
      <c r="X1212" s="702"/>
      <c r="Y1212" s="702"/>
      <c r="Z1212" s="702"/>
      <c r="AA1212" s="473" t="s">
        <v>3021</v>
      </c>
      <c r="AB1212" s="474" t="s">
        <v>539</v>
      </c>
      <c r="AC1212" s="474" t="s">
        <v>539</v>
      </c>
      <c r="AD1212" s="698"/>
      <c r="AE1212" s="702"/>
      <c r="AF1212" s="702"/>
      <c r="AG1212" s="702"/>
      <c r="AH1212" s="729"/>
      <c r="AI1212" s="698"/>
      <c r="AJ1212" s="700"/>
    </row>
    <row r="1213" spans="2:36" ht="24" hidden="1" customHeight="1">
      <c r="B1213" s="463">
        <v>980</v>
      </c>
      <c r="C1213" s="464" t="s">
        <v>337</v>
      </c>
      <c r="D1213" s="464"/>
      <c r="E1213" s="464" t="s">
        <v>545</v>
      </c>
      <c r="F1213" s="464"/>
      <c r="G1213" s="464" t="s">
        <v>275</v>
      </c>
      <c r="H1213" s="464" t="s">
        <v>3022</v>
      </c>
      <c r="I1213" s="466">
        <v>30000</v>
      </c>
      <c r="J1213" s="465" t="s">
        <v>537</v>
      </c>
      <c r="K1213" s="465" t="s">
        <v>537</v>
      </c>
      <c r="L1213" s="466">
        <v>30000</v>
      </c>
      <c r="M1213" s="465" t="s">
        <v>537</v>
      </c>
      <c r="N1213" s="465" t="s">
        <v>537</v>
      </c>
      <c r="O1213" s="463" t="s">
        <v>537</v>
      </c>
      <c r="P1213" s="463" t="s">
        <v>537</v>
      </c>
      <c r="Q1213" s="465">
        <v>0</v>
      </c>
      <c r="R1213" s="463" t="s">
        <v>643</v>
      </c>
      <c r="S1213" s="471">
        <v>22440</v>
      </c>
      <c r="T1213" s="463">
        <v>0</v>
      </c>
      <c r="U1213" s="463">
        <v>5</v>
      </c>
      <c r="V1213" s="463">
        <v>40</v>
      </c>
      <c r="W1213" s="463">
        <v>0</v>
      </c>
      <c r="X1213" s="463">
        <v>5</v>
      </c>
      <c r="Y1213" s="463">
        <v>40</v>
      </c>
      <c r="Z1213" s="463">
        <v>93</v>
      </c>
      <c r="AA1213" s="472" t="s">
        <v>3023</v>
      </c>
      <c r="AB1213" s="463" t="s">
        <v>539</v>
      </c>
      <c r="AC1213" s="463" t="s">
        <v>539</v>
      </c>
      <c r="AD1213" s="472" t="s">
        <v>3024</v>
      </c>
      <c r="AE1213" s="463">
        <v>40</v>
      </c>
      <c r="AF1213" s="463">
        <v>40</v>
      </c>
      <c r="AG1213" s="463" t="s">
        <v>375</v>
      </c>
      <c r="AH1213" s="476"/>
      <c r="AI1213" s="472" t="s">
        <v>2951</v>
      </c>
      <c r="AJ1213" s="464"/>
    </row>
    <row r="1214" spans="2:36" ht="24" hidden="1" customHeight="1">
      <c r="B1214" s="701">
        <v>981</v>
      </c>
      <c r="C1214" s="699" t="s">
        <v>337</v>
      </c>
      <c r="D1214" s="699"/>
      <c r="E1214" s="699" t="s">
        <v>545</v>
      </c>
      <c r="F1214" s="699"/>
      <c r="G1214" s="699" t="s">
        <v>275</v>
      </c>
      <c r="H1214" s="699" t="s">
        <v>3025</v>
      </c>
      <c r="I1214" s="712">
        <v>35000</v>
      </c>
      <c r="J1214" s="709" t="s">
        <v>537</v>
      </c>
      <c r="K1214" s="709" t="s">
        <v>537</v>
      </c>
      <c r="L1214" s="712">
        <v>35000</v>
      </c>
      <c r="M1214" s="709" t="s">
        <v>537</v>
      </c>
      <c r="N1214" s="709" t="s">
        <v>537</v>
      </c>
      <c r="O1214" s="701" t="s">
        <v>537</v>
      </c>
      <c r="P1214" s="701" t="s">
        <v>537</v>
      </c>
      <c r="Q1214" s="709">
        <v>0</v>
      </c>
      <c r="R1214" s="707">
        <v>241487</v>
      </c>
      <c r="S1214" s="721">
        <v>22364</v>
      </c>
      <c r="T1214" s="701">
        <v>0</v>
      </c>
      <c r="U1214" s="701">
        <v>5</v>
      </c>
      <c r="V1214" s="701">
        <v>25</v>
      </c>
      <c r="W1214" s="699"/>
      <c r="X1214" s="701">
        <v>5</v>
      </c>
      <c r="Y1214" s="701">
        <v>38</v>
      </c>
      <c r="Z1214" s="701">
        <v>95</v>
      </c>
      <c r="AA1214" s="458" t="s">
        <v>3026</v>
      </c>
      <c r="AB1214" s="459" t="s">
        <v>539</v>
      </c>
      <c r="AC1214" s="459" t="s">
        <v>539</v>
      </c>
      <c r="AD1214" s="697" t="s">
        <v>3027</v>
      </c>
      <c r="AE1214" s="701">
        <v>25</v>
      </c>
      <c r="AF1214" s="701">
        <v>35</v>
      </c>
      <c r="AG1214" s="701" t="s">
        <v>375</v>
      </c>
      <c r="AH1214" s="728"/>
      <c r="AI1214" s="697" t="s">
        <v>2951</v>
      </c>
      <c r="AJ1214" s="699"/>
    </row>
    <row r="1215" spans="2:36" ht="24" hidden="1" customHeight="1">
      <c r="B1215" s="702"/>
      <c r="C1215" s="700"/>
      <c r="D1215" s="700"/>
      <c r="E1215" s="700"/>
      <c r="F1215" s="700"/>
      <c r="G1215" s="700"/>
      <c r="H1215" s="700"/>
      <c r="I1215" s="713"/>
      <c r="J1215" s="710"/>
      <c r="K1215" s="710"/>
      <c r="L1215" s="713"/>
      <c r="M1215" s="710"/>
      <c r="N1215" s="710"/>
      <c r="O1215" s="702"/>
      <c r="P1215" s="702"/>
      <c r="Q1215" s="710"/>
      <c r="R1215" s="708"/>
      <c r="S1215" s="722"/>
      <c r="T1215" s="702"/>
      <c r="U1215" s="702"/>
      <c r="V1215" s="702"/>
      <c r="W1215" s="700"/>
      <c r="X1215" s="702"/>
      <c r="Y1215" s="702"/>
      <c r="Z1215" s="702"/>
      <c r="AA1215" s="473" t="s">
        <v>592</v>
      </c>
      <c r="AB1215" s="474" t="s">
        <v>539</v>
      </c>
      <c r="AC1215" s="474" t="s">
        <v>539</v>
      </c>
      <c r="AD1215" s="698"/>
      <c r="AE1215" s="702"/>
      <c r="AF1215" s="702"/>
      <c r="AG1215" s="702"/>
      <c r="AH1215" s="729"/>
      <c r="AI1215" s="698"/>
      <c r="AJ1215" s="700"/>
    </row>
    <row r="1216" spans="2:36" ht="24" hidden="1" customHeight="1">
      <c r="B1216" s="463">
        <v>982</v>
      </c>
      <c r="C1216" s="464" t="s">
        <v>337</v>
      </c>
      <c r="D1216" s="464"/>
      <c r="E1216" s="464" t="s">
        <v>545</v>
      </c>
      <c r="F1216" s="464"/>
      <c r="G1216" s="464" t="s">
        <v>275</v>
      </c>
      <c r="H1216" s="464" t="s">
        <v>3028</v>
      </c>
      <c r="I1216" s="465" t="s">
        <v>537</v>
      </c>
      <c r="J1216" s="465" t="s">
        <v>537</v>
      </c>
      <c r="K1216" s="466">
        <v>18000</v>
      </c>
      <c r="L1216" s="465" t="s">
        <v>537</v>
      </c>
      <c r="M1216" s="465" t="s">
        <v>537</v>
      </c>
      <c r="N1216" s="466">
        <v>17995</v>
      </c>
      <c r="O1216" s="463" t="s">
        <v>537</v>
      </c>
      <c r="P1216" s="463" t="s">
        <v>537</v>
      </c>
      <c r="Q1216" s="465">
        <v>5</v>
      </c>
      <c r="R1216" s="470">
        <v>241487</v>
      </c>
      <c r="S1216" s="471">
        <v>22363</v>
      </c>
      <c r="T1216" s="463">
        <v>0</v>
      </c>
      <c r="U1216" s="463">
        <v>3</v>
      </c>
      <c r="V1216" s="463">
        <v>30</v>
      </c>
      <c r="W1216" s="463">
        <v>7</v>
      </c>
      <c r="X1216" s="463">
        <v>3</v>
      </c>
      <c r="Y1216" s="463">
        <v>30</v>
      </c>
      <c r="Z1216" s="463">
        <v>94</v>
      </c>
      <c r="AA1216" s="472" t="s">
        <v>3029</v>
      </c>
      <c r="AB1216" s="463" t="s">
        <v>539</v>
      </c>
      <c r="AC1216" s="463" t="s">
        <v>539</v>
      </c>
      <c r="AD1216" s="472" t="s">
        <v>3030</v>
      </c>
      <c r="AE1216" s="463" t="s">
        <v>539</v>
      </c>
      <c r="AF1216" s="463" t="s">
        <v>539</v>
      </c>
      <c r="AG1216" s="463" t="s">
        <v>375</v>
      </c>
      <c r="AH1216" s="476"/>
      <c r="AI1216" s="472">
        <v>75489614</v>
      </c>
      <c r="AJ1216" s="472" t="s">
        <v>543</v>
      </c>
    </row>
    <row r="1217" spans="1:36" ht="24" hidden="1" customHeight="1">
      <c r="B1217" s="701">
        <v>983</v>
      </c>
      <c r="C1217" s="699" t="s">
        <v>337</v>
      </c>
      <c r="D1217" s="699"/>
      <c r="E1217" s="699" t="s">
        <v>545</v>
      </c>
      <c r="F1217" s="699"/>
      <c r="G1217" s="699" t="s">
        <v>275</v>
      </c>
      <c r="H1217" s="699" t="s">
        <v>3031</v>
      </c>
      <c r="I1217" s="709" t="s">
        <v>537</v>
      </c>
      <c r="J1217" s="709" t="s">
        <v>537</v>
      </c>
      <c r="K1217" s="712">
        <v>20000</v>
      </c>
      <c r="L1217" s="709" t="s">
        <v>537</v>
      </c>
      <c r="M1217" s="709" t="s">
        <v>537</v>
      </c>
      <c r="N1217" s="712">
        <v>20000</v>
      </c>
      <c r="O1217" s="701" t="s">
        <v>537</v>
      </c>
      <c r="P1217" s="701" t="s">
        <v>537</v>
      </c>
      <c r="Q1217" s="709">
        <v>0</v>
      </c>
      <c r="R1217" s="707">
        <v>241518</v>
      </c>
      <c r="S1217" s="721">
        <v>22392</v>
      </c>
      <c r="T1217" s="701">
        <v>0</v>
      </c>
      <c r="U1217" s="701">
        <v>4</v>
      </c>
      <c r="V1217" s="701">
        <v>40</v>
      </c>
      <c r="W1217" s="701">
        <v>0</v>
      </c>
      <c r="X1217" s="701">
        <v>4</v>
      </c>
      <c r="Y1217" s="701">
        <v>40</v>
      </c>
      <c r="Z1217" s="701">
        <v>90</v>
      </c>
      <c r="AA1217" s="458" t="s">
        <v>3032</v>
      </c>
      <c r="AB1217" s="459" t="s">
        <v>539</v>
      </c>
      <c r="AC1217" s="459" t="s">
        <v>539</v>
      </c>
      <c r="AD1217" s="697" t="s">
        <v>3033</v>
      </c>
      <c r="AE1217" s="701" t="s">
        <v>539</v>
      </c>
      <c r="AF1217" s="701" t="s">
        <v>539</v>
      </c>
      <c r="AG1217" s="701" t="s">
        <v>375</v>
      </c>
      <c r="AH1217" s="728"/>
      <c r="AI1217" s="697" t="s">
        <v>2951</v>
      </c>
      <c r="AJ1217" s="697" t="s">
        <v>543</v>
      </c>
    </row>
    <row r="1218" spans="1:36" ht="24" hidden="1" customHeight="1">
      <c r="B1218" s="702"/>
      <c r="C1218" s="700"/>
      <c r="D1218" s="700"/>
      <c r="E1218" s="700"/>
      <c r="F1218" s="700"/>
      <c r="G1218" s="700"/>
      <c r="H1218" s="700"/>
      <c r="I1218" s="710"/>
      <c r="J1218" s="710"/>
      <c r="K1218" s="713"/>
      <c r="L1218" s="710"/>
      <c r="M1218" s="710"/>
      <c r="N1218" s="713"/>
      <c r="O1218" s="702"/>
      <c r="P1218" s="702"/>
      <c r="Q1218" s="710"/>
      <c r="R1218" s="708"/>
      <c r="S1218" s="722"/>
      <c r="T1218" s="702"/>
      <c r="U1218" s="702"/>
      <c r="V1218" s="702"/>
      <c r="W1218" s="702"/>
      <c r="X1218" s="702"/>
      <c r="Y1218" s="702"/>
      <c r="Z1218" s="702"/>
      <c r="AA1218" s="473" t="s">
        <v>3034</v>
      </c>
      <c r="AB1218" s="474" t="s">
        <v>539</v>
      </c>
      <c r="AC1218" s="474" t="s">
        <v>539</v>
      </c>
      <c r="AD1218" s="698"/>
      <c r="AE1218" s="702"/>
      <c r="AF1218" s="702"/>
      <c r="AG1218" s="702"/>
      <c r="AH1218" s="729"/>
      <c r="AI1218" s="698"/>
      <c r="AJ1218" s="698"/>
    </row>
    <row r="1219" spans="1:36" ht="24" hidden="1" customHeight="1">
      <c r="B1219" s="463">
        <v>984</v>
      </c>
      <c r="C1219" s="464" t="s">
        <v>337</v>
      </c>
      <c r="D1219" s="464"/>
      <c r="E1219" s="464" t="s">
        <v>545</v>
      </c>
      <c r="F1219" s="464"/>
      <c r="G1219" s="464" t="s">
        <v>275</v>
      </c>
      <c r="H1219" s="464" t="s">
        <v>3035</v>
      </c>
      <c r="I1219" s="465" t="s">
        <v>537</v>
      </c>
      <c r="J1219" s="465" t="s">
        <v>537</v>
      </c>
      <c r="K1219" s="466">
        <v>30000</v>
      </c>
      <c r="L1219" s="465" t="s">
        <v>537</v>
      </c>
      <c r="M1219" s="465" t="s">
        <v>537</v>
      </c>
      <c r="N1219" s="466">
        <v>29996</v>
      </c>
      <c r="O1219" s="463" t="s">
        <v>537</v>
      </c>
      <c r="P1219" s="463" t="s">
        <v>537</v>
      </c>
      <c r="Q1219" s="465">
        <v>4</v>
      </c>
      <c r="R1219" s="470">
        <v>241518</v>
      </c>
      <c r="S1219" s="471">
        <v>22401</v>
      </c>
      <c r="T1219" s="463">
        <v>0</v>
      </c>
      <c r="U1219" s="463">
        <v>5</v>
      </c>
      <c r="V1219" s="463">
        <v>35</v>
      </c>
      <c r="W1219" s="464"/>
      <c r="X1219" s="463">
        <v>5</v>
      </c>
      <c r="Y1219" s="463">
        <v>35</v>
      </c>
      <c r="Z1219" s="463">
        <v>92</v>
      </c>
      <c r="AA1219" s="472" t="s">
        <v>3036</v>
      </c>
      <c r="AB1219" s="463" t="s">
        <v>539</v>
      </c>
      <c r="AC1219" s="463" t="s">
        <v>539</v>
      </c>
      <c r="AD1219" s="472" t="s">
        <v>3037</v>
      </c>
      <c r="AE1219" s="463" t="s">
        <v>539</v>
      </c>
      <c r="AF1219" s="463" t="s">
        <v>539</v>
      </c>
      <c r="AG1219" s="463" t="s">
        <v>375</v>
      </c>
      <c r="AH1219" s="476"/>
      <c r="AI1219" s="472" t="s">
        <v>2951</v>
      </c>
      <c r="AJ1219" s="472" t="s">
        <v>543</v>
      </c>
    </row>
    <row r="1220" spans="1:36" ht="24" hidden="1" customHeight="1">
      <c r="B1220" s="701">
        <v>985</v>
      </c>
      <c r="C1220" s="699" t="s">
        <v>337</v>
      </c>
      <c r="D1220" s="699"/>
      <c r="E1220" s="699" t="s">
        <v>545</v>
      </c>
      <c r="F1220" s="699"/>
      <c r="G1220" s="699" t="s">
        <v>275</v>
      </c>
      <c r="H1220" s="699" t="s">
        <v>3038</v>
      </c>
      <c r="I1220" s="709" t="s">
        <v>537</v>
      </c>
      <c r="J1220" s="709" t="s">
        <v>537</v>
      </c>
      <c r="K1220" s="712">
        <v>20000</v>
      </c>
      <c r="L1220" s="709" t="s">
        <v>537</v>
      </c>
      <c r="M1220" s="709" t="s">
        <v>537</v>
      </c>
      <c r="N1220" s="712">
        <v>20000</v>
      </c>
      <c r="O1220" s="701" t="s">
        <v>537</v>
      </c>
      <c r="P1220" s="701" t="s">
        <v>537</v>
      </c>
      <c r="Q1220" s="709">
        <v>0</v>
      </c>
      <c r="R1220" s="707">
        <v>241640</v>
      </c>
      <c r="S1220" s="721">
        <v>22527</v>
      </c>
      <c r="T1220" s="701">
        <v>0</v>
      </c>
      <c r="U1220" s="701">
        <v>2</v>
      </c>
      <c r="V1220" s="701">
        <v>20</v>
      </c>
      <c r="W1220" s="699"/>
      <c r="X1220" s="701">
        <v>2</v>
      </c>
      <c r="Y1220" s="701">
        <v>24</v>
      </c>
      <c r="Z1220" s="701">
        <v>90</v>
      </c>
      <c r="AA1220" s="458" t="s">
        <v>3039</v>
      </c>
      <c r="AB1220" s="459">
        <v>20</v>
      </c>
      <c r="AC1220" s="459">
        <v>24</v>
      </c>
      <c r="AD1220" s="699"/>
      <c r="AE1220" s="699"/>
      <c r="AF1220" s="699"/>
      <c r="AG1220" s="701" t="s">
        <v>376</v>
      </c>
      <c r="AH1220" s="728"/>
      <c r="AI1220" s="697" t="s">
        <v>2951</v>
      </c>
      <c r="AJ1220" s="697" t="s">
        <v>543</v>
      </c>
    </row>
    <row r="1221" spans="1:36" ht="24" hidden="1" customHeight="1">
      <c r="B1221" s="702"/>
      <c r="C1221" s="700"/>
      <c r="D1221" s="700"/>
      <c r="E1221" s="700"/>
      <c r="F1221" s="700"/>
      <c r="G1221" s="700"/>
      <c r="H1221" s="700"/>
      <c r="I1221" s="710"/>
      <c r="J1221" s="710"/>
      <c r="K1221" s="713"/>
      <c r="L1221" s="710"/>
      <c r="M1221" s="710"/>
      <c r="N1221" s="713"/>
      <c r="O1221" s="702"/>
      <c r="P1221" s="702"/>
      <c r="Q1221" s="710"/>
      <c r="R1221" s="708"/>
      <c r="S1221" s="722"/>
      <c r="T1221" s="702"/>
      <c r="U1221" s="702"/>
      <c r="V1221" s="702"/>
      <c r="W1221" s="700"/>
      <c r="X1221" s="702"/>
      <c r="Y1221" s="702"/>
      <c r="Z1221" s="702"/>
      <c r="AA1221" s="473" t="s">
        <v>3040</v>
      </c>
      <c r="AB1221" s="474" t="s">
        <v>539</v>
      </c>
      <c r="AC1221" s="474" t="s">
        <v>539</v>
      </c>
      <c r="AD1221" s="700"/>
      <c r="AE1221" s="700"/>
      <c r="AF1221" s="700"/>
      <c r="AG1221" s="702"/>
      <c r="AH1221" s="729"/>
      <c r="AI1221" s="698"/>
      <c r="AJ1221" s="698"/>
    </row>
    <row r="1222" spans="1:36" ht="24" hidden="1" customHeight="1">
      <c r="B1222" s="701">
        <v>986</v>
      </c>
      <c r="C1222" s="699" t="s">
        <v>337</v>
      </c>
      <c r="D1222" s="699"/>
      <c r="E1222" s="699" t="s">
        <v>545</v>
      </c>
      <c r="F1222" s="699"/>
      <c r="G1222" s="699" t="s">
        <v>275</v>
      </c>
      <c r="H1222" s="699" t="s">
        <v>3041</v>
      </c>
      <c r="I1222" s="709" t="s">
        <v>537</v>
      </c>
      <c r="J1222" s="712">
        <v>50000</v>
      </c>
      <c r="K1222" s="709" t="s">
        <v>537</v>
      </c>
      <c r="L1222" s="709" t="s">
        <v>537</v>
      </c>
      <c r="M1222" s="712">
        <v>50000</v>
      </c>
      <c r="N1222" s="709" t="s">
        <v>537</v>
      </c>
      <c r="O1222" s="701" t="s">
        <v>537</v>
      </c>
      <c r="P1222" s="701" t="s">
        <v>537</v>
      </c>
      <c r="Q1222" s="709">
        <v>0</v>
      </c>
      <c r="R1222" s="707">
        <v>241518</v>
      </c>
      <c r="S1222" s="701" t="s">
        <v>3042</v>
      </c>
      <c r="T1222" s="701">
        <v>2</v>
      </c>
      <c r="U1222" s="701">
        <v>3</v>
      </c>
      <c r="V1222" s="701">
        <v>50</v>
      </c>
      <c r="W1222" s="701">
        <v>2</v>
      </c>
      <c r="X1222" s="701">
        <v>3</v>
      </c>
      <c r="Y1222" s="701">
        <v>50</v>
      </c>
      <c r="Z1222" s="701">
        <v>90</v>
      </c>
      <c r="AA1222" s="697" t="s">
        <v>3043</v>
      </c>
      <c r="AB1222" s="701" t="s">
        <v>539</v>
      </c>
      <c r="AC1222" s="701" t="s">
        <v>539</v>
      </c>
      <c r="AD1222" s="458" t="s">
        <v>3044</v>
      </c>
      <c r="AE1222" s="459">
        <v>200</v>
      </c>
      <c r="AF1222" s="459">
        <v>289</v>
      </c>
      <c r="AG1222" s="701" t="s">
        <v>375</v>
      </c>
      <c r="AH1222" s="728"/>
      <c r="AI1222" s="697">
        <v>75489614</v>
      </c>
      <c r="AJ1222" s="699"/>
    </row>
    <row r="1223" spans="1:36" ht="24" hidden="1" customHeight="1">
      <c r="B1223" s="702"/>
      <c r="C1223" s="700"/>
      <c r="D1223" s="700"/>
      <c r="E1223" s="700"/>
      <c r="F1223" s="700"/>
      <c r="G1223" s="700"/>
      <c r="H1223" s="700"/>
      <c r="I1223" s="710"/>
      <c r="J1223" s="713"/>
      <c r="K1223" s="710"/>
      <c r="L1223" s="710"/>
      <c r="M1223" s="713"/>
      <c r="N1223" s="710"/>
      <c r="O1223" s="702"/>
      <c r="P1223" s="702"/>
      <c r="Q1223" s="710"/>
      <c r="R1223" s="708"/>
      <c r="S1223" s="702"/>
      <c r="T1223" s="702"/>
      <c r="U1223" s="702"/>
      <c r="V1223" s="702"/>
      <c r="W1223" s="702"/>
      <c r="X1223" s="702"/>
      <c r="Y1223" s="702"/>
      <c r="Z1223" s="702"/>
      <c r="AA1223" s="698"/>
      <c r="AB1223" s="702"/>
      <c r="AC1223" s="702"/>
      <c r="AD1223" s="473" t="s">
        <v>3045</v>
      </c>
      <c r="AE1223" s="474">
        <v>20</v>
      </c>
      <c r="AF1223" s="474">
        <v>24</v>
      </c>
      <c r="AG1223" s="702"/>
      <c r="AH1223" s="729"/>
      <c r="AI1223" s="698"/>
      <c r="AJ1223" s="700"/>
    </row>
    <row r="1224" spans="1:36" ht="24" hidden="1" customHeight="1">
      <c r="B1224" s="463">
        <v>987</v>
      </c>
      <c r="C1224" s="464" t="s">
        <v>534</v>
      </c>
      <c r="D1224" s="464"/>
      <c r="E1224" s="464" t="s">
        <v>535</v>
      </c>
      <c r="F1224" s="464"/>
      <c r="G1224" s="464" t="s">
        <v>3046</v>
      </c>
      <c r="H1224" s="464" t="s">
        <v>3047</v>
      </c>
      <c r="I1224" s="465" t="s">
        <v>537</v>
      </c>
      <c r="J1224" s="466">
        <v>10000</v>
      </c>
      <c r="K1224" s="465" t="s">
        <v>537</v>
      </c>
      <c r="L1224" s="465" t="s">
        <v>537</v>
      </c>
      <c r="M1224" s="466">
        <v>7540</v>
      </c>
      <c r="N1224" s="465" t="s">
        <v>537</v>
      </c>
      <c r="O1224" s="463" t="s">
        <v>537</v>
      </c>
      <c r="P1224" s="463" t="s">
        <v>537</v>
      </c>
      <c r="Q1224" s="468">
        <v>2460</v>
      </c>
      <c r="R1224" s="470">
        <v>241609</v>
      </c>
      <c r="S1224" s="463" t="s">
        <v>3048</v>
      </c>
      <c r="T1224" s="463">
        <v>60</v>
      </c>
      <c r="U1224" s="463">
        <v>10</v>
      </c>
      <c r="V1224" s="463">
        <v>10</v>
      </c>
      <c r="W1224" s="463">
        <v>84</v>
      </c>
      <c r="X1224" s="463">
        <v>16</v>
      </c>
      <c r="Y1224" s="463">
        <v>11</v>
      </c>
      <c r="Z1224" s="463">
        <v>96.8</v>
      </c>
      <c r="AA1224" s="472" t="s">
        <v>547</v>
      </c>
      <c r="AB1224" s="463" t="s">
        <v>539</v>
      </c>
      <c r="AC1224" s="463" t="s">
        <v>539</v>
      </c>
      <c r="AD1224" s="472" t="s">
        <v>548</v>
      </c>
      <c r="AE1224" s="463">
        <v>80</v>
      </c>
      <c r="AF1224" s="463">
        <v>96.8</v>
      </c>
      <c r="AG1224" s="463" t="s">
        <v>375</v>
      </c>
      <c r="AH1224" s="476"/>
      <c r="AI1224" s="472" t="s">
        <v>3049</v>
      </c>
      <c r="AJ1224" s="464"/>
    </row>
    <row r="1225" spans="1:36" ht="24" hidden="1" customHeight="1">
      <c r="B1225" s="701">
        <v>988</v>
      </c>
      <c r="C1225" s="699" t="s">
        <v>534</v>
      </c>
      <c r="D1225" s="699"/>
      <c r="E1225" s="699" t="s">
        <v>535</v>
      </c>
      <c r="F1225" s="699"/>
      <c r="G1225" s="699" t="s">
        <v>3050</v>
      </c>
      <c r="H1225" s="699" t="s">
        <v>3051</v>
      </c>
      <c r="I1225" s="709" t="s">
        <v>537</v>
      </c>
      <c r="J1225" s="712">
        <v>25000</v>
      </c>
      <c r="K1225" s="709" t="s">
        <v>537</v>
      </c>
      <c r="L1225" s="709" t="s">
        <v>537</v>
      </c>
      <c r="M1225" s="712">
        <v>24887</v>
      </c>
      <c r="N1225" s="709" t="s">
        <v>537</v>
      </c>
      <c r="O1225" s="701" t="s">
        <v>537</v>
      </c>
      <c r="P1225" s="701" t="s">
        <v>537</v>
      </c>
      <c r="Q1225" s="709">
        <v>113</v>
      </c>
      <c r="R1225" s="707">
        <v>241397</v>
      </c>
      <c r="S1225" s="721">
        <v>22270</v>
      </c>
      <c r="T1225" s="701">
        <v>400</v>
      </c>
      <c r="U1225" s="701">
        <v>20</v>
      </c>
      <c r="V1225" s="701">
        <v>0</v>
      </c>
      <c r="W1225" s="701">
        <v>400</v>
      </c>
      <c r="X1225" s="701">
        <v>20</v>
      </c>
      <c r="Y1225" s="701">
        <v>0</v>
      </c>
      <c r="Z1225" s="701">
        <v>84.26</v>
      </c>
      <c r="AA1225" s="458" t="s">
        <v>612</v>
      </c>
      <c r="AB1225" s="459" t="s">
        <v>539</v>
      </c>
      <c r="AC1225" s="459" t="s">
        <v>539</v>
      </c>
      <c r="AD1225" s="697" t="s">
        <v>606</v>
      </c>
      <c r="AE1225" s="701">
        <v>80</v>
      </c>
      <c r="AF1225" s="701">
        <v>84.26</v>
      </c>
      <c r="AG1225" s="701" t="s">
        <v>375</v>
      </c>
      <c r="AH1225" s="728"/>
      <c r="AI1225" s="697">
        <v>954144755</v>
      </c>
      <c r="AJ1225" s="699"/>
    </row>
    <row r="1226" spans="1:36" ht="24" hidden="1" customHeight="1">
      <c r="B1226" s="702"/>
      <c r="C1226" s="700"/>
      <c r="D1226" s="700"/>
      <c r="E1226" s="700"/>
      <c r="F1226" s="700"/>
      <c r="G1226" s="700"/>
      <c r="H1226" s="700"/>
      <c r="I1226" s="710"/>
      <c r="J1226" s="713"/>
      <c r="K1226" s="710"/>
      <c r="L1226" s="710"/>
      <c r="M1226" s="713"/>
      <c r="N1226" s="710"/>
      <c r="O1226" s="702"/>
      <c r="P1226" s="702"/>
      <c r="Q1226" s="710"/>
      <c r="R1226" s="708"/>
      <c r="S1226" s="722"/>
      <c r="T1226" s="702"/>
      <c r="U1226" s="702"/>
      <c r="V1226" s="702"/>
      <c r="W1226" s="702"/>
      <c r="X1226" s="702"/>
      <c r="Y1226" s="702"/>
      <c r="Z1226" s="702"/>
      <c r="AA1226" s="473" t="s">
        <v>3052</v>
      </c>
      <c r="AB1226" s="474" t="s">
        <v>539</v>
      </c>
      <c r="AC1226" s="474" t="s">
        <v>539</v>
      </c>
      <c r="AD1226" s="698"/>
      <c r="AE1226" s="702"/>
      <c r="AF1226" s="702"/>
      <c r="AG1226" s="702"/>
      <c r="AH1226" s="729"/>
      <c r="AI1226" s="698"/>
      <c r="AJ1226" s="700"/>
    </row>
    <row r="1227" spans="1:36" ht="24" hidden="1" customHeight="1">
      <c r="B1227" s="463">
        <v>989</v>
      </c>
      <c r="C1227" s="464" t="s">
        <v>534</v>
      </c>
      <c r="D1227" s="464"/>
      <c r="E1227" s="464" t="s">
        <v>535</v>
      </c>
      <c r="F1227" s="464"/>
      <c r="G1227" s="464" t="s">
        <v>3050</v>
      </c>
      <c r="H1227" s="464" t="s">
        <v>3053</v>
      </c>
      <c r="I1227" s="465" t="s">
        <v>537</v>
      </c>
      <c r="J1227" s="466">
        <v>17000</v>
      </c>
      <c r="K1227" s="465" t="s">
        <v>537</v>
      </c>
      <c r="L1227" s="465" t="s">
        <v>537</v>
      </c>
      <c r="M1227" s="466">
        <v>16733</v>
      </c>
      <c r="N1227" s="465" t="s">
        <v>537</v>
      </c>
      <c r="O1227" s="463" t="s">
        <v>537</v>
      </c>
      <c r="P1227" s="463" t="s">
        <v>537</v>
      </c>
      <c r="Q1227" s="465">
        <v>267</v>
      </c>
      <c r="R1227" s="470">
        <v>241609</v>
      </c>
      <c r="S1227" s="463" t="s">
        <v>2719</v>
      </c>
      <c r="T1227" s="463">
        <v>240</v>
      </c>
      <c r="U1227" s="463">
        <v>10</v>
      </c>
      <c r="V1227" s="463">
        <v>0</v>
      </c>
      <c r="W1227" s="463">
        <v>216</v>
      </c>
      <c r="X1227" s="463">
        <v>14</v>
      </c>
      <c r="Y1227" s="463">
        <v>0</v>
      </c>
      <c r="Z1227" s="463">
        <v>89.49</v>
      </c>
      <c r="AA1227" s="472" t="s">
        <v>547</v>
      </c>
      <c r="AB1227" s="463" t="s">
        <v>539</v>
      </c>
      <c r="AC1227" s="463" t="s">
        <v>539</v>
      </c>
      <c r="AD1227" s="472" t="s">
        <v>548</v>
      </c>
      <c r="AE1227" s="463">
        <v>80</v>
      </c>
      <c r="AF1227" s="463">
        <v>89.49</v>
      </c>
      <c r="AG1227" s="463" t="s">
        <v>375</v>
      </c>
      <c r="AH1227" s="476"/>
      <c r="AI1227" s="472">
        <v>936834451</v>
      </c>
      <c r="AJ1227" s="464"/>
    </row>
    <row r="1228" spans="1:36" ht="24" hidden="1" customHeight="1">
      <c r="B1228" s="463">
        <v>990</v>
      </c>
      <c r="C1228" s="464" t="s">
        <v>534</v>
      </c>
      <c r="D1228" s="464"/>
      <c r="E1228" s="464" t="s">
        <v>535</v>
      </c>
      <c r="F1228" s="464"/>
      <c r="G1228" s="464" t="s">
        <v>3050</v>
      </c>
      <c r="H1228" s="464" t="s">
        <v>3054</v>
      </c>
      <c r="I1228" s="465" t="s">
        <v>537</v>
      </c>
      <c r="J1228" s="466">
        <v>10000</v>
      </c>
      <c r="K1228" s="465" t="s">
        <v>537</v>
      </c>
      <c r="L1228" s="465" t="s">
        <v>537</v>
      </c>
      <c r="M1228" s="466">
        <v>9947.2000000000007</v>
      </c>
      <c r="N1228" s="465" t="s">
        <v>537</v>
      </c>
      <c r="O1228" s="463" t="s">
        <v>537</v>
      </c>
      <c r="P1228" s="463" t="s">
        <v>537</v>
      </c>
      <c r="Q1228" s="465">
        <v>53</v>
      </c>
      <c r="R1228" s="470">
        <v>241459</v>
      </c>
      <c r="S1228" s="471">
        <v>22333</v>
      </c>
      <c r="T1228" s="463">
        <v>130</v>
      </c>
      <c r="U1228" s="463">
        <v>50</v>
      </c>
      <c r="V1228" s="463">
        <v>0</v>
      </c>
      <c r="W1228" s="463">
        <v>170</v>
      </c>
      <c r="X1228" s="463">
        <v>86</v>
      </c>
      <c r="Y1228" s="463">
        <v>0</v>
      </c>
      <c r="Z1228" s="463">
        <v>93.5</v>
      </c>
      <c r="AA1228" s="472" t="s">
        <v>547</v>
      </c>
      <c r="AB1228" s="463" t="s">
        <v>539</v>
      </c>
      <c r="AC1228" s="463" t="s">
        <v>539</v>
      </c>
      <c r="AD1228" s="472" t="s">
        <v>548</v>
      </c>
      <c r="AE1228" s="463">
        <v>80</v>
      </c>
      <c r="AF1228" s="463">
        <v>93.5</v>
      </c>
      <c r="AG1228" s="463" t="s">
        <v>375</v>
      </c>
      <c r="AH1228" s="476"/>
      <c r="AI1228" s="472">
        <v>658696630</v>
      </c>
      <c r="AJ1228" s="464"/>
    </row>
    <row r="1229" spans="1:36" ht="24" hidden="1" customHeight="1">
      <c r="B1229" s="463">
        <v>991</v>
      </c>
      <c r="C1229" s="464" t="s">
        <v>534</v>
      </c>
      <c r="D1229" s="464" t="s">
        <v>544</v>
      </c>
      <c r="E1229" s="464" t="s">
        <v>535</v>
      </c>
      <c r="F1229" s="464"/>
      <c r="G1229" s="464" t="s">
        <v>279</v>
      </c>
      <c r="H1229" s="464" t="s">
        <v>3055</v>
      </c>
      <c r="I1229" s="465" t="s">
        <v>537</v>
      </c>
      <c r="J1229" s="466">
        <v>50000</v>
      </c>
      <c r="K1229" s="465" t="s">
        <v>537</v>
      </c>
      <c r="L1229" s="465" t="s">
        <v>537</v>
      </c>
      <c r="M1229" s="466">
        <v>50000</v>
      </c>
      <c r="N1229" s="465" t="s">
        <v>537</v>
      </c>
      <c r="O1229" s="463" t="s">
        <v>537</v>
      </c>
      <c r="P1229" s="463" t="s">
        <v>537</v>
      </c>
      <c r="Q1229" s="465">
        <v>0</v>
      </c>
      <c r="R1229" s="470">
        <v>241609</v>
      </c>
      <c r="S1229" s="471">
        <v>22483</v>
      </c>
      <c r="T1229" s="463">
        <v>170</v>
      </c>
      <c r="U1229" s="463">
        <v>10</v>
      </c>
      <c r="V1229" s="463">
        <v>0</v>
      </c>
      <c r="W1229" s="463">
        <v>170</v>
      </c>
      <c r="X1229" s="463">
        <v>10</v>
      </c>
      <c r="Y1229" s="463">
        <v>0</v>
      </c>
      <c r="Z1229" s="463">
        <v>82.45</v>
      </c>
      <c r="AA1229" s="472" t="s">
        <v>547</v>
      </c>
      <c r="AB1229" s="463" t="s">
        <v>539</v>
      </c>
      <c r="AC1229" s="463" t="s">
        <v>539</v>
      </c>
      <c r="AD1229" s="472" t="s">
        <v>548</v>
      </c>
      <c r="AE1229" s="463" t="s">
        <v>620</v>
      </c>
      <c r="AF1229" s="463">
        <v>85.5</v>
      </c>
      <c r="AG1229" s="463" t="s">
        <v>376</v>
      </c>
      <c r="AH1229" s="476"/>
      <c r="AI1229" s="472" t="s">
        <v>1933</v>
      </c>
      <c r="AJ1229" s="464"/>
    </row>
    <row r="1230" spans="1:36" ht="24" hidden="1" customHeight="1">
      <c r="B1230" s="463">
        <v>992</v>
      </c>
      <c r="C1230" s="464" t="s">
        <v>534</v>
      </c>
      <c r="D1230" s="464" t="s">
        <v>544</v>
      </c>
      <c r="E1230" s="464" t="s">
        <v>535</v>
      </c>
      <c r="F1230" s="464"/>
      <c r="G1230" s="464" t="s">
        <v>269</v>
      </c>
      <c r="H1230" s="464" t="s">
        <v>3056</v>
      </c>
      <c r="I1230" s="465" t="s">
        <v>537</v>
      </c>
      <c r="J1230" s="466">
        <v>80000</v>
      </c>
      <c r="K1230" s="465" t="s">
        <v>537</v>
      </c>
      <c r="L1230" s="465" t="s">
        <v>537</v>
      </c>
      <c r="M1230" s="466">
        <v>79680</v>
      </c>
      <c r="N1230" s="465" t="s">
        <v>537</v>
      </c>
      <c r="O1230" s="463" t="s">
        <v>537</v>
      </c>
      <c r="P1230" s="463" t="s">
        <v>537</v>
      </c>
      <c r="Q1230" s="465">
        <v>320</v>
      </c>
      <c r="R1230" s="470">
        <v>241518</v>
      </c>
      <c r="S1230" s="463" t="s">
        <v>981</v>
      </c>
      <c r="T1230" s="463">
        <v>0</v>
      </c>
      <c r="U1230" s="463">
        <v>22</v>
      </c>
      <c r="V1230" s="463">
        <v>0</v>
      </c>
      <c r="W1230" s="463">
        <v>0</v>
      </c>
      <c r="X1230" s="463">
        <v>22</v>
      </c>
      <c r="Y1230" s="463">
        <v>0</v>
      </c>
      <c r="Z1230" s="463">
        <v>90</v>
      </c>
      <c r="AA1230" s="472" t="s">
        <v>547</v>
      </c>
      <c r="AB1230" s="463" t="s">
        <v>539</v>
      </c>
      <c r="AC1230" s="463" t="s">
        <v>539</v>
      </c>
      <c r="AD1230" s="472" t="s">
        <v>548</v>
      </c>
      <c r="AE1230" s="463">
        <v>80</v>
      </c>
      <c r="AF1230" s="463">
        <v>85</v>
      </c>
      <c r="AG1230" s="463" t="s">
        <v>375</v>
      </c>
      <c r="AH1230" s="476"/>
      <c r="AI1230" s="472" t="s">
        <v>3057</v>
      </c>
      <c r="AJ1230" s="464"/>
    </row>
    <row r="1231" spans="1:36" ht="24" customHeight="1">
      <c r="A1231" s="452">
        <v>109</v>
      </c>
      <c r="B1231" s="463">
        <v>993</v>
      </c>
      <c r="C1231" s="464" t="s">
        <v>377</v>
      </c>
      <c r="D1231" s="464"/>
      <c r="E1231" s="464" t="s">
        <v>602</v>
      </c>
      <c r="F1231" s="464"/>
      <c r="G1231" s="464" t="s">
        <v>276</v>
      </c>
      <c r="H1231" s="464" t="s">
        <v>3058</v>
      </c>
      <c r="I1231" s="466">
        <v>50000</v>
      </c>
      <c r="J1231" s="465" t="s">
        <v>537</v>
      </c>
      <c r="K1231" s="465" t="s">
        <v>537</v>
      </c>
      <c r="L1231" s="466">
        <v>49625</v>
      </c>
      <c r="M1231" s="465" t="s">
        <v>537</v>
      </c>
      <c r="N1231" s="465" t="s">
        <v>537</v>
      </c>
      <c r="O1231" s="463" t="s">
        <v>537</v>
      </c>
      <c r="P1231" s="463" t="s">
        <v>537</v>
      </c>
      <c r="Q1231" s="465">
        <v>375</v>
      </c>
      <c r="R1231" s="470">
        <v>241487</v>
      </c>
      <c r="S1231" s="463" t="s">
        <v>3059</v>
      </c>
      <c r="T1231" s="463">
        <v>45</v>
      </c>
      <c r="U1231" s="463">
        <v>5</v>
      </c>
      <c r="V1231" s="463">
        <v>0</v>
      </c>
      <c r="W1231" s="463">
        <v>45</v>
      </c>
      <c r="X1231" s="463">
        <v>8</v>
      </c>
      <c r="Y1231" s="463">
        <v>0</v>
      </c>
      <c r="Z1231" s="463">
        <v>87.07</v>
      </c>
      <c r="AA1231" s="472" t="s">
        <v>612</v>
      </c>
      <c r="AB1231" s="463" t="s">
        <v>539</v>
      </c>
      <c r="AC1231" s="463" t="s">
        <v>539</v>
      </c>
      <c r="AD1231" s="472" t="s">
        <v>606</v>
      </c>
      <c r="AE1231" s="463">
        <v>80</v>
      </c>
      <c r="AF1231" s="463">
        <v>88.03</v>
      </c>
      <c r="AG1231" s="463" t="s">
        <v>375</v>
      </c>
      <c r="AH1231" s="476"/>
      <c r="AI1231" s="472" t="s">
        <v>3060</v>
      </c>
      <c r="AJ1231" s="464"/>
    </row>
    <row r="1232" spans="1:36" ht="24" customHeight="1">
      <c r="A1232" s="452">
        <v>110</v>
      </c>
      <c r="B1232" s="463">
        <v>994</v>
      </c>
      <c r="C1232" s="464" t="s">
        <v>377</v>
      </c>
      <c r="D1232" s="464"/>
      <c r="E1232" s="464" t="s">
        <v>602</v>
      </c>
      <c r="F1232" s="464"/>
      <c r="G1232" s="464" t="s">
        <v>276</v>
      </c>
      <c r="H1232" s="464" t="s">
        <v>3061</v>
      </c>
      <c r="I1232" s="466">
        <v>50000</v>
      </c>
      <c r="J1232" s="465" t="s">
        <v>537</v>
      </c>
      <c r="K1232" s="465" t="s">
        <v>537</v>
      </c>
      <c r="L1232" s="466">
        <v>49760</v>
      </c>
      <c r="M1232" s="465" t="s">
        <v>537</v>
      </c>
      <c r="N1232" s="465" t="s">
        <v>537</v>
      </c>
      <c r="O1232" s="463" t="s">
        <v>537</v>
      </c>
      <c r="P1232" s="463" t="s">
        <v>537</v>
      </c>
      <c r="Q1232" s="465">
        <v>240</v>
      </c>
      <c r="R1232" s="470">
        <v>241428</v>
      </c>
      <c r="S1232" s="463" t="s">
        <v>3062</v>
      </c>
      <c r="T1232" s="463">
        <v>20</v>
      </c>
      <c r="U1232" s="463">
        <v>5</v>
      </c>
      <c r="V1232" s="463">
        <v>0</v>
      </c>
      <c r="W1232" s="463">
        <v>20</v>
      </c>
      <c r="X1232" s="463">
        <v>5</v>
      </c>
      <c r="Y1232" s="463">
        <v>0</v>
      </c>
      <c r="Z1232" s="463">
        <v>82.57</v>
      </c>
      <c r="AA1232" s="472" t="s">
        <v>612</v>
      </c>
      <c r="AB1232" s="463" t="s">
        <v>539</v>
      </c>
      <c r="AC1232" s="463" t="s">
        <v>539</v>
      </c>
      <c r="AD1232" s="472" t="s">
        <v>606</v>
      </c>
      <c r="AE1232" s="463">
        <v>80</v>
      </c>
      <c r="AF1232" s="463">
        <v>82.57</v>
      </c>
      <c r="AG1232" s="463" t="s">
        <v>375</v>
      </c>
      <c r="AH1232" s="476"/>
      <c r="AI1232" s="472" t="s">
        <v>3063</v>
      </c>
      <c r="AJ1232" s="464"/>
    </row>
    <row r="1233" spans="1:36" ht="24" customHeight="1">
      <c r="A1233" s="452">
        <v>111</v>
      </c>
      <c r="B1233" s="463">
        <v>995</v>
      </c>
      <c r="C1233" s="464" t="s">
        <v>377</v>
      </c>
      <c r="D1233" s="464"/>
      <c r="E1233" s="464" t="s">
        <v>602</v>
      </c>
      <c r="F1233" s="464"/>
      <c r="G1233" s="464" t="s">
        <v>276</v>
      </c>
      <c r="H1233" s="464" t="s">
        <v>3064</v>
      </c>
      <c r="I1233" s="466">
        <v>30000</v>
      </c>
      <c r="J1233" s="465" t="s">
        <v>537</v>
      </c>
      <c r="K1233" s="465" t="s">
        <v>537</v>
      </c>
      <c r="L1233" s="466">
        <v>29991</v>
      </c>
      <c r="M1233" s="465" t="s">
        <v>537</v>
      </c>
      <c r="N1233" s="465" t="s">
        <v>537</v>
      </c>
      <c r="O1233" s="463" t="s">
        <v>537</v>
      </c>
      <c r="P1233" s="463" t="s">
        <v>537</v>
      </c>
      <c r="Q1233" s="465">
        <v>9</v>
      </c>
      <c r="R1233" s="470">
        <v>241640</v>
      </c>
      <c r="S1233" s="471">
        <v>22487</v>
      </c>
      <c r="T1233" s="463">
        <v>20</v>
      </c>
      <c r="U1233" s="463">
        <v>5</v>
      </c>
      <c r="V1233" s="463">
        <v>0</v>
      </c>
      <c r="W1233" s="463">
        <v>20</v>
      </c>
      <c r="X1233" s="463">
        <v>5</v>
      </c>
      <c r="Y1233" s="463" t="s">
        <v>537</v>
      </c>
      <c r="Z1233" s="463">
        <v>88.86</v>
      </c>
      <c r="AA1233" s="472" t="s">
        <v>612</v>
      </c>
      <c r="AB1233" s="463" t="s">
        <v>539</v>
      </c>
      <c r="AC1233" s="463" t="s">
        <v>539</v>
      </c>
      <c r="AD1233" s="472" t="s">
        <v>606</v>
      </c>
      <c r="AE1233" s="463">
        <v>80</v>
      </c>
      <c r="AF1233" s="463">
        <v>88.86</v>
      </c>
      <c r="AG1233" s="463" t="s">
        <v>375</v>
      </c>
      <c r="AH1233" s="476"/>
      <c r="AI1233" s="472" t="s">
        <v>3063</v>
      </c>
      <c r="AJ1233" s="464"/>
    </row>
    <row r="1234" spans="1:36" ht="24" customHeight="1">
      <c r="A1234" s="452">
        <v>112</v>
      </c>
      <c r="B1234" s="463">
        <v>996</v>
      </c>
      <c r="C1234" s="464" t="s">
        <v>377</v>
      </c>
      <c r="D1234" s="464"/>
      <c r="E1234" s="464" t="s">
        <v>602</v>
      </c>
      <c r="F1234" s="464"/>
      <c r="G1234" s="464" t="s">
        <v>276</v>
      </c>
      <c r="H1234" s="464" t="s">
        <v>3065</v>
      </c>
      <c r="I1234" s="465" t="s">
        <v>537</v>
      </c>
      <c r="J1234" s="466">
        <v>50000</v>
      </c>
      <c r="K1234" s="465" t="s">
        <v>537</v>
      </c>
      <c r="L1234" s="465" t="s">
        <v>537</v>
      </c>
      <c r="M1234" s="466">
        <v>12040</v>
      </c>
      <c r="N1234" s="465" t="s">
        <v>537</v>
      </c>
      <c r="O1234" s="463" t="s">
        <v>537</v>
      </c>
      <c r="P1234" s="463" t="s">
        <v>537</v>
      </c>
      <c r="Q1234" s="468">
        <v>37960</v>
      </c>
      <c r="R1234" s="470">
        <v>241579</v>
      </c>
      <c r="S1234" s="463" t="s">
        <v>2610</v>
      </c>
      <c r="T1234" s="463">
        <v>45</v>
      </c>
      <c r="U1234" s="463">
        <v>5</v>
      </c>
      <c r="V1234" s="463">
        <v>0</v>
      </c>
      <c r="W1234" s="463">
        <v>44</v>
      </c>
      <c r="X1234" s="463">
        <v>2</v>
      </c>
      <c r="Y1234" s="463" t="s">
        <v>537</v>
      </c>
      <c r="Z1234" s="463">
        <v>90.2</v>
      </c>
      <c r="AA1234" s="472" t="s">
        <v>612</v>
      </c>
      <c r="AB1234" s="463" t="s">
        <v>539</v>
      </c>
      <c r="AC1234" s="463" t="s">
        <v>539</v>
      </c>
      <c r="AD1234" s="472" t="s">
        <v>606</v>
      </c>
      <c r="AE1234" s="463">
        <v>80</v>
      </c>
      <c r="AF1234" s="463">
        <v>90.2</v>
      </c>
      <c r="AG1234" s="463" t="s">
        <v>375</v>
      </c>
      <c r="AH1234" s="476"/>
      <c r="AI1234" s="472" t="s">
        <v>3060</v>
      </c>
      <c r="AJ1234" s="464"/>
    </row>
    <row r="1235" spans="1:36" ht="24" hidden="1" customHeight="1">
      <c r="B1235" s="463">
        <v>997</v>
      </c>
      <c r="C1235" s="464" t="s">
        <v>534</v>
      </c>
      <c r="D1235" s="464"/>
      <c r="E1235" s="464" t="s">
        <v>535</v>
      </c>
      <c r="F1235" s="464"/>
      <c r="G1235" s="464" t="s">
        <v>276</v>
      </c>
      <c r="H1235" s="464" t="s">
        <v>3066</v>
      </c>
      <c r="I1235" s="466">
        <v>25000</v>
      </c>
      <c r="J1235" s="465" t="s">
        <v>537</v>
      </c>
      <c r="K1235" s="465" t="s">
        <v>537</v>
      </c>
      <c r="L1235" s="466">
        <v>24996</v>
      </c>
      <c r="M1235" s="465" t="s">
        <v>537</v>
      </c>
      <c r="N1235" s="465" t="s">
        <v>537</v>
      </c>
      <c r="O1235" s="463">
        <v>4</v>
      </c>
      <c r="P1235" s="463" t="s">
        <v>537</v>
      </c>
      <c r="Q1235" s="465">
        <v>0</v>
      </c>
      <c r="R1235" s="470">
        <v>241397</v>
      </c>
      <c r="S1235" s="471">
        <v>22270</v>
      </c>
      <c r="T1235" s="463">
        <v>10</v>
      </c>
      <c r="U1235" s="463">
        <v>20</v>
      </c>
      <c r="V1235" s="463">
        <v>70</v>
      </c>
      <c r="W1235" s="463">
        <v>27</v>
      </c>
      <c r="X1235" s="463">
        <v>30</v>
      </c>
      <c r="Y1235" s="463">
        <v>155</v>
      </c>
      <c r="Z1235" s="463">
        <v>95</v>
      </c>
      <c r="AA1235" s="472" t="s">
        <v>1181</v>
      </c>
      <c r="AB1235" s="463" t="s">
        <v>539</v>
      </c>
      <c r="AC1235" s="463" t="s">
        <v>539</v>
      </c>
      <c r="AD1235" s="472" t="s">
        <v>1016</v>
      </c>
      <c r="AE1235" s="463">
        <v>80</v>
      </c>
      <c r="AF1235" s="463">
        <v>90</v>
      </c>
      <c r="AG1235" s="463" t="s">
        <v>375</v>
      </c>
      <c r="AH1235" s="476"/>
      <c r="AI1235" s="472" t="s">
        <v>3067</v>
      </c>
      <c r="AJ1235" s="464"/>
    </row>
    <row r="1236" spans="1:36" ht="24" hidden="1" customHeight="1">
      <c r="B1236" s="463">
        <v>998</v>
      </c>
      <c r="C1236" s="464" t="s">
        <v>534</v>
      </c>
      <c r="D1236" s="464"/>
      <c r="E1236" s="464" t="s">
        <v>535</v>
      </c>
      <c r="F1236" s="464"/>
      <c r="G1236" s="464" t="s">
        <v>276</v>
      </c>
      <c r="H1236" s="464" t="s">
        <v>642</v>
      </c>
      <c r="I1236" s="466">
        <v>60000</v>
      </c>
      <c r="J1236" s="465" t="s">
        <v>537</v>
      </c>
      <c r="K1236" s="465" t="s">
        <v>537</v>
      </c>
      <c r="L1236" s="466">
        <v>52645</v>
      </c>
      <c r="M1236" s="465" t="s">
        <v>537</v>
      </c>
      <c r="N1236" s="465" t="s">
        <v>537</v>
      </c>
      <c r="O1236" s="463" t="s">
        <v>537</v>
      </c>
      <c r="P1236" s="463" t="s">
        <v>537</v>
      </c>
      <c r="Q1236" s="468">
        <v>7355</v>
      </c>
      <c r="R1236" s="470">
        <v>241518</v>
      </c>
      <c r="S1236" s="463" t="s">
        <v>3068</v>
      </c>
      <c r="T1236" s="463">
        <v>0</v>
      </c>
      <c r="U1236" s="463">
        <v>2</v>
      </c>
      <c r="V1236" s="463">
        <v>0</v>
      </c>
      <c r="W1236" s="463" t="s">
        <v>537</v>
      </c>
      <c r="X1236" s="463">
        <v>2</v>
      </c>
      <c r="Y1236" s="463" t="s">
        <v>537</v>
      </c>
      <c r="Z1236" s="463">
        <v>98</v>
      </c>
      <c r="AA1236" s="472" t="s">
        <v>633</v>
      </c>
      <c r="AB1236" s="463" t="s">
        <v>539</v>
      </c>
      <c r="AC1236" s="463" t="s">
        <v>539</v>
      </c>
      <c r="AD1236" s="472" t="s">
        <v>635</v>
      </c>
      <c r="AE1236" s="463" t="s">
        <v>539</v>
      </c>
      <c r="AF1236" s="463" t="s">
        <v>539</v>
      </c>
      <c r="AG1236" s="463" t="s">
        <v>375</v>
      </c>
      <c r="AH1236" s="476"/>
      <c r="AI1236" s="472" t="s">
        <v>3067</v>
      </c>
      <c r="AJ1236" s="464"/>
    </row>
    <row r="1237" spans="1:36" ht="24" hidden="1" customHeight="1">
      <c r="B1237" s="463">
        <v>999</v>
      </c>
      <c r="C1237" s="464" t="s">
        <v>534</v>
      </c>
      <c r="D1237" s="464"/>
      <c r="E1237" s="464" t="s">
        <v>535</v>
      </c>
      <c r="F1237" s="464"/>
      <c r="G1237" s="464" t="s">
        <v>276</v>
      </c>
      <c r="H1237" s="464" t="s">
        <v>636</v>
      </c>
      <c r="I1237" s="466">
        <v>200000</v>
      </c>
      <c r="J1237" s="465" t="s">
        <v>537</v>
      </c>
      <c r="K1237" s="465" t="s">
        <v>537</v>
      </c>
      <c r="L1237" s="466">
        <v>199992</v>
      </c>
      <c r="M1237" s="465" t="s">
        <v>537</v>
      </c>
      <c r="N1237" s="465" t="s">
        <v>537</v>
      </c>
      <c r="O1237" s="463" t="s">
        <v>537</v>
      </c>
      <c r="P1237" s="463" t="s">
        <v>537</v>
      </c>
      <c r="Q1237" s="465">
        <v>8</v>
      </c>
      <c r="R1237" s="470">
        <v>241609</v>
      </c>
      <c r="S1237" s="463" t="s">
        <v>637</v>
      </c>
      <c r="T1237" s="463">
        <v>46</v>
      </c>
      <c r="U1237" s="463">
        <v>9</v>
      </c>
      <c r="V1237" s="463">
        <v>0</v>
      </c>
      <c r="W1237" s="463">
        <v>70</v>
      </c>
      <c r="X1237" s="463">
        <v>8</v>
      </c>
      <c r="Y1237" s="463" t="s">
        <v>537</v>
      </c>
      <c r="Z1237" s="463">
        <v>85.54</v>
      </c>
      <c r="AA1237" s="472" t="s">
        <v>728</v>
      </c>
      <c r="AB1237" s="463">
        <v>1</v>
      </c>
      <c r="AC1237" s="463">
        <v>4</v>
      </c>
      <c r="AD1237" s="472" t="s">
        <v>651</v>
      </c>
      <c r="AE1237" s="463">
        <v>1</v>
      </c>
      <c r="AF1237" s="463">
        <v>1</v>
      </c>
      <c r="AG1237" s="463" t="s">
        <v>375</v>
      </c>
      <c r="AH1237" s="476"/>
      <c r="AI1237" s="472" t="s">
        <v>3060</v>
      </c>
      <c r="AJ1237" s="464"/>
    </row>
    <row r="1238" spans="1:36" ht="24" hidden="1" customHeight="1">
      <c r="B1238" s="463">
        <v>1000</v>
      </c>
      <c r="C1238" s="464" t="s">
        <v>534</v>
      </c>
      <c r="D1238" s="464"/>
      <c r="E1238" s="464" t="s">
        <v>535</v>
      </c>
      <c r="F1238" s="464"/>
      <c r="G1238" s="464" t="s">
        <v>276</v>
      </c>
      <c r="H1238" s="464" t="s">
        <v>3069</v>
      </c>
      <c r="I1238" s="466">
        <v>150000</v>
      </c>
      <c r="J1238" s="465" t="s">
        <v>537</v>
      </c>
      <c r="K1238" s="465" t="s">
        <v>537</v>
      </c>
      <c r="L1238" s="466">
        <v>122522</v>
      </c>
      <c r="M1238" s="465" t="s">
        <v>537</v>
      </c>
      <c r="N1238" s="465" t="s">
        <v>537</v>
      </c>
      <c r="O1238" s="467">
        <v>27478</v>
      </c>
      <c r="P1238" s="463" t="s">
        <v>537</v>
      </c>
      <c r="Q1238" s="465">
        <v>0</v>
      </c>
      <c r="R1238" s="463" t="s">
        <v>3070</v>
      </c>
      <c r="S1238" s="463" t="s">
        <v>3071</v>
      </c>
      <c r="T1238" s="463">
        <v>20</v>
      </c>
      <c r="U1238" s="463">
        <v>8</v>
      </c>
      <c r="V1238" s="463">
        <v>0</v>
      </c>
      <c r="W1238" s="463">
        <v>20</v>
      </c>
      <c r="X1238" s="463">
        <v>8</v>
      </c>
      <c r="Y1238" s="463">
        <v>0</v>
      </c>
      <c r="Z1238" s="463">
        <v>94.4</v>
      </c>
      <c r="AA1238" s="472" t="s">
        <v>633</v>
      </c>
      <c r="AB1238" s="463" t="s">
        <v>539</v>
      </c>
      <c r="AC1238" s="463" t="s">
        <v>539</v>
      </c>
      <c r="AD1238" s="472" t="s">
        <v>635</v>
      </c>
      <c r="AE1238" s="463" t="s">
        <v>539</v>
      </c>
      <c r="AF1238" s="463" t="s">
        <v>539</v>
      </c>
      <c r="AG1238" s="463" t="s">
        <v>375</v>
      </c>
      <c r="AH1238" s="476"/>
      <c r="AI1238" s="472" t="s">
        <v>3072</v>
      </c>
      <c r="AJ1238" s="464"/>
    </row>
    <row r="1239" spans="1:36" ht="24" hidden="1" customHeight="1">
      <c r="B1239" s="463">
        <v>1001</v>
      </c>
      <c r="C1239" s="464" t="s">
        <v>534</v>
      </c>
      <c r="D1239" s="464"/>
      <c r="E1239" s="464" t="s">
        <v>535</v>
      </c>
      <c r="F1239" s="464"/>
      <c r="G1239" s="464" t="s">
        <v>276</v>
      </c>
      <c r="H1239" s="464" t="s">
        <v>3073</v>
      </c>
      <c r="I1239" s="465" t="s">
        <v>537</v>
      </c>
      <c r="J1239" s="465" t="s">
        <v>537</v>
      </c>
      <c r="K1239" s="466">
        <v>150000</v>
      </c>
      <c r="L1239" s="465" t="s">
        <v>537</v>
      </c>
      <c r="M1239" s="465" t="s">
        <v>537</v>
      </c>
      <c r="N1239" s="466">
        <v>128380</v>
      </c>
      <c r="O1239" s="467">
        <v>21620</v>
      </c>
      <c r="P1239" s="463" t="s">
        <v>537</v>
      </c>
      <c r="Q1239" s="465">
        <v>0</v>
      </c>
      <c r="R1239" s="470">
        <v>241428</v>
      </c>
      <c r="S1239" s="463" t="s">
        <v>1332</v>
      </c>
      <c r="T1239" s="463">
        <v>60</v>
      </c>
      <c r="U1239" s="463">
        <v>90</v>
      </c>
      <c r="V1239" s="463">
        <v>50</v>
      </c>
      <c r="W1239" s="463">
        <v>0</v>
      </c>
      <c r="X1239" s="463">
        <v>0</v>
      </c>
      <c r="Y1239" s="463">
        <v>316</v>
      </c>
      <c r="Z1239" s="463">
        <v>88.48</v>
      </c>
      <c r="AA1239" s="472" t="s">
        <v>1712</v>
      </c>
      <c r="AB1239" s="463" t="s">
        <v>539</v>
      </c>
      <c r="AC1239" s="463" t="s">
        <v>539</v>
      </c>
      <c r="AD1239" s="472" t="s">
        <v>548</v>
      </c>
      <c r="AE1239" s="463">
        <v>80</v>
      </c>
      <c r="AF1239" s="463">
        <v>89.77</v>
      </c>
      <c r="AG1239" s="463" t="s">
        <v>375</v>
      </c>
      <c r="AH1239" s="476"/>
      <c r="AI1239" s="472" t="s">
        <v>3067</v>
      </c>
      <c r="AJ1239" s="472" t="s">
        <v>543</v>
      </c>
    </row>
    <row r="1240" spans="1:36" ht="24" hidden="1" customHeight="1">
      <c r="B1240" s="463">
        <v>1002</v>
      </c>
      <c r="C1240" s="464" t="s">
        <v>534</v>
      </c>
      <c r="D1240" s="464"/>
      <c r="E1240" s="464" t="s">
        <v>535</v>
      </c>
      <c r="F1240" s="464"/>
      <c r="G1240" s="464" t="s">
        <v>276</v>
      </c>
      <c r="H1240" s="464" t="s">
        <v>3074</v>
      </c>
      <c r="I1240" s="465" t="s">
        <v>537</v>
      </c>
      <c r="J1240" s="465" t="s">
        <v>537</v>
      </c>
      <c r="K1240" s="466">
        <v>15000</v>
      </c>
      <c r="L1240" s="465" t="s">
        <v>537</v>
      </c>
      <c r="M1240" s="465" t="s">
        <v>537</v>
      </c>
      <c r="N1240" s="466">
        <v>15000</v>
      </c>
      <c r="O1240" s="463" t="s">
        <v>537</v>
      </c>
      <c r="P1240" s="463" t="s">
        <v>537</v>
      </c>
      <c r="Q1240" s="465">
        <v>0</v>
      </c>
      <c r="R1240" s="470">
        <v>241459</v>
      </c>
      <c r="S1240" s="471">
        <v>22337</v>
      </c>
      <c r="T1240" s="463">
        <v>55</v>
      </c>
      <c r="U1240" s="463">
        <v>5</v>
      </c>
      <c r="V1240" s="463">
        <v>0</v>
      </c>
      <c r="W1240" s="463">
        <v>50</v>
      </c>
      <c r="X1240" s="463">
        <v>10</v>
      </c>
      <c r="Y1240" s="463">
        <v>0</v>
      </c>
      <c r="Z1240" s="463">
        <v>84</v>
      </c>
      <c r="AA1240" s="472" t="s">
        <v>1077</v>
      </c>
      <c r="AB1240" s="463">
        <v>80</v>
      </c>
      <c r="AC1240" s="463">
        <v>84</v>
      </c>
      <c r="AD1240" s="472" t="s">
        <v>571</v>
      </c>
      <c r="AE1240" s="463">
        <v>80</v>
      </c>
      <c r="AF1240" s="463">
        <v>84</v>
      </c>
      <c r="AG1240" s="463" t="s">
        <v>375</v>
      </c>
      <c r="AH1240" s="476"/>
      <c r="AI1240" s="472">
        <v>833919116</v>
      </c>
      <c r="AJ1240" s="472" t="s">
        <v>543</v>
      </c>
    </row>
    <row r="1241" spans="1:36" ht="24" hidden="1" customHeight="1">
      <c r="B1241" s="463">
        <v>1003</v>
      </c>
      <c r="C1241" s="464" t="s">
        <v>534</v>
      </c>
      <c r="D1241" s="464"/>
      <c r="E1241" s="464" t="s">
        <v>535</v>
      </c>
      <c r="F1241" s="464"/>
      <c r="G1241" s="464" t="s">
        <v>276</v>
      </c>
      <c r="H1241" s="464" t="s">
        <v>3075</v>
      </c>
      <c r="I1241" s="465" t="s">
        <v>537</v>
      </c>
      <c r="J1241" s="465" t="s">
        <v>537</v>
      </c>
      <c r="K1241" s="466">
        <v>10000</v>
      </c>
      <c r="L1241" s="465" t="s">
        <v>537</v>
      </c>
      <c r="M1241" s="465" t="s">
        <v>537</v>
      </c>
      <c r="N1241" s="466">
        <v>10000</v>
      </c>
      <c r="O1241" s="463" t="s">
        <v>537</v>
      </c>
      <c r="P1241" s="463" t="s">
        <v>537</v>
      </c>
      <c r="Q1241" s="465">
        <v>0</v>
      </c>
      <c r="R1241" s="470">
        <v>241579</v>
      </c>
      <c r="S1241" s="471">
        <v>22461</v>
      </c>
      <c r="T1241" s="463">
        <v>0</v>
      </c>
      <c r="U1241" s="463">
        <v>25</v>
      </c>
      <c r="V1241" s="463">
        <v>0</v>
      </c>
      <c r="W1241" s="463" t="s">
        <v>537</v>
      </c>
      <c r="X1241" s="463">
        <v>29</v>
      </c>
      <c r="Y1241" s="463" t="s">
        <v>537</v>
      </c>
      <c r="Z1241" s="463">
        <v>88.35</v>
      </c>
      <c r="AA1241" s="472" t="s">
        <v>3076</v>
      </c>
      <c r="AB1241" s="463" t="s">
        <v>539</v>
      </c>
      <c r="AC1241" s="463" t="s">
        <v>539</v>
      </c>
      <c r="AD1241" s="472" t="s">
        <v>548</v>
      </c>
      <c r="AE1241" s="463" t="s">
        <v>539</v>
      </c>
      <c r="AF1241" s="463" t="s">
        <v>539</v>
      </c>
      <c r="AG1241" s="463" t="s">
        <v>375</v>
      </c>
      <c r="AH1241" s="476"/>
      <c r="AI1241" s="472" t="s">
        <v>3077</v>
      </c>
      <c r="AJ1241" s="472" t="s">
        <v>543</v>
      </c>
    </row>
    <row r="1242" spans="1:36" ht="24" hidden="1" customHeight="1">
      <c r="B1242" s="463">
        <v>1004</v>
      </c>
      <c r="C1242" s="464" t="s">
        <v>534</v>
      </c>
      <c r="D1242" s="464"/>
      <c r="E1242" s="464" t="s">
        <v>535</v>
      </c>
      <c r="F1242" s="464"/>
      <c r="G1242" s="464" t="s">
        <v>276</v>
      </c>
      <c r="H1242" s="464" t="s">
        <v>667</v>
      </c>
      <c r="I1242" s="465" t="s">
        <v>537</v>
      </c>
      <c r="J1242" s="466">
        <v>25000</v>
      </c>
      <c r="K1242" s="465" t="s">
        <v>537</v>
      </c>
      <c r="L1242" s="465" t="s">
        <v>537</v>
      </c>
      <c r="M1242" s="466">
        <v>4100</v>
      </c>
      <c r="N1242" s="465" t="s">
        <v>537</v>
      </c>
      <c r="O1242" s="463" t="s">
        <v>537</v>
      </c>
      <c r="P1242" s="463" t="s">
        <v>537</v>
      </c>
      <c r="Q1242" s="468">
        <v>20900</v>
      </c>
      <c r="R1242" s="463" t="s">
        <v>643</v>
      </c>
      <c r="S1242" s="463" t="s">
        <v>2105</v>
      </c>
      <c r="T1242" s="463">
        <v>40</v>
      </c>
      <c r="U1242" s="463">
        <v>10</v>
      </c>
      <c r="V1242" s="463">
        <v>0</v>
      </c>
      <c r="W1242" s="463">
        <v>39</v>
      </c>
      <c r="X1242" s="463">
        <v>12</v>
      </c>
      <c r="Y1242" s="463" t="s">
        <v>537</v>
      </c>
      <c r="Z1242" s="464"/>
      <c r="AA1242" s="472" t="s">
        <v>573</v>
      </c>
      <c r="AB1242" s="463" t="s">
        <v>539</v>
      </c>
      <c r="AC1242" s="463" t="s">
        <v>539</v>
      </c>
      <c r="AD1242" s="472" t="s">
        <v>3078</v>
      </c>
      <c r="AE1242" s="463">
        <v>80</v>
      </c>
      <c r="AF1242" s="463">
        <v>83</v>
      </c>
      <c r="AG1242" s="463" t="s">
        <v>375</v>
      </c>
      <c r="AH1242" s="476"/>
      <c r="AI1242" s="472" t="s">
        <v>3060</v>
      </c>
      <c r="AJ1242" s="464"/>
    </row>
    <row r="1243" spans="1:36" ht="24" hidden="1" customHeight="1">
      <c r="B1243" s="463">
        <v>1005</v>
      </c>
      <c r="C1243" s="464" t="s">
        <v>534</v>
      </c>
      <c r="D1243" s="464"/>
      <c r="E1243" s="464" t="s">
        <v>535</v>
      </c>
      <c r="F1243" s="464"/>
      <c r="G1243" s="464" t="s">
        <v>276</v>
      </c>
      <c r="H1243" s="464" t="s">
        <v>668</v>
      </c>
      <c r="I1243" s="465" t="s">
        <v>537</v>
      </c>
      <c r="J1243" s="466">
        <v>25000</v>
      </c>
      <c r="K1243" s="465" t="s">
        <v>537</v>
      </c>
      <c r="L1243" s="465" t="s">
        <v>537</v>
      </c>
      <c r="M1243" s="466">
        <v>3400</v>
      </c>
      <c r="N1243" s="465" t="s">
        <v>537</v>
      </c>
      <c r="O1243" s="463" t="s">
        <v>537</v>
      </c>
      <c r="P1243" s="463" t="s">
        <v>537</v>
      </c>
      <c r="Q1243" s="468">
        <v>21600</v>
      </c>
      <c r="R1243" s="470">
        <v>241459</v>
      </c>
      <c r="S1243" s="471">
        <v>22354</v>
      </c>
      <c r="T1243" s="463">
        <v>50</v>
      </c>
      <c r="U1243" s="463">
        <v>10</v>
      </c>
      <c r="V1243" s="463">
        <v>0</v>
      </c>
      <c r="W1243" s="463">
        <v>34</v>
      </c>
      <c r="X1243" s="463">
        <v>10</v>
      </c>
      <c r="Y1243" s="463">
        <v>0</v>
      </c>
      <c r="Z1243" s="463">
        <v>81.150000000000006</v>
      </c>
      <c r="AA1243" s="472" t="s">
        <v>573</v>
      </c>
      <c r="AB1243" s="463" t="s">
        <v>539</v>
      </c>
      <c r="AC1243" s="463" t="s">
        <v>539</v>
      </c>
      <c r="AD1243" s="472" t="s">
        <v>3078</v>
      </c>
      <c r="AE1243" s="463">
        <v>80</v>
      </c>
      <c r="AF1243" s="463">
        <v>83.7</v>
      </c>
      <c r="AG1243" s="463" t="s">
        <v>375</v>
      </c>
      <c r="AH1243" s="476"/>
      <c r="AI1243" s="472" t="s">
        <v>3060</v>
      </c>
      <c r="AJ1243" s="464"/>
    </row>
    <row r="1244" spans="1:36" ht="24" hidden="1" customHeight="1">
      <c r="B1244" s="463">
        <v>1006</v>
      </c>
      <c r="C1244" s="464" t="s">
        <v>534</v>
      </c>
      <c r="D1244" s="464"/>
      <c r="E1244" s="464" t="s">
        <v>535</v>
      </c>
      <c r="F1244" s="464"/>
      <c r="G1244" s="464" t="s">
        <v>276</v>
      </c>
      <c r="H1244" s="464" t="s">
        <v>669</v>
      </c>
      <c r="I1244" s="465" t="s">
        <v>537</v>
      </c>
      <c r="J1244" s="466">
        <v>55000</v>
      </c>
      <c r="K1244" s="465" t="s">
        <v>537</v>
      </c>
      <c r="L1244" s="465" t="s">
        <v>537</v>
      </c>
      <c r="M1244" s="466">
        <v>3300</v>
      </c>
      <c r="N1244" s="465" t="s">
        <v>537</v>
      </c>
      <c r="O1244" s="463" t="s">
        <v>537</v>
      </c>
      <c r="P1244" s="463" t="s">
        <v>537</v>
      </c>
      <c r="Q1244" s="468">
        <v>51700</v>
      </c>
      <c r="R1244" s="470">
        <v>241609</v>
      </c>
      <c r="S1244" s="463" t="s">
        <v>637</v>
      </c>
      <c r="T1244" s="463">
        <v>60</v>
      </c>
      <c r="U1244" s="463">
        <v>10</v>
      </c>
      <c r="V1244" s="463">
        <v>0</v>
      </c>
      <c r="W1244" s="463">
        <v>70</v>
      </c>
      <c r="X1244" s="463">
        <v>7</v>
      </c>
      <c r="Y1244" s="463" t="s">
        <v>537</v>
      </c>
      <c r="Z1244" s="463">
        <v>87.02</v>
      </c>
      <c r="AA1244" s="472" t="s">
        <v>573</v>
      </c>
      <c r="AB1244" s="463" t="s">
        <v>539</v>
      </c>
      <c r="AC1244" s="463" t="s">
        <v>539</v>
      </c>
      <c r="AD1244" s="472" t="s">
        <v>3078</v>
      </c>
      <c r="AE1244" s="463">
        <v>80</v>
      </c>
      <c r="AF1244" s="463">
        <v>84.2</v>
      </c>
      <c r="AG1244" s="463" t="s">
        <v>375</v>
      </c>
      <c r="AH1244" s="476"/>
      <c r="AI1244" s="464"/>
      <c r="AJ1244" s="464"/>
    </row>
    <row r="1245" spans="1:36" ht="24" hidden="1" customHeight="1">
      <c r="B1245" s="701">
        <v>1007</v>
      </c>
      <c r="C1245" s="699" t="s">
        <v>534</v>
      </c>
      <c r="D1245" s="699"/>
      <c r="E1245" s="699" t="s">
        <v>577</v>
      </c>
      <c r="F1245" s="699"/>
      <c r="G1245" s="699" t="s">
        <v>276</v>
      </c>
      <c r="H1245" s="699" t="s">
        <v>3079</v>
      </c>
      <c r="I1245" s="709" t="s">
        <v>537</v>
      </c>
      <c r="J1245" s="709" t="s">
        <v>537</v>
      </c>
      <c r="K1245" s="712">
        <v>40000</v>
      </c>
      <c r="L1245" s="709" t="s">
        <v>537</v>
      </c>
      <c r="M1245" s="709" t="s">
        <v>537</v>
      </c>
      <c r="N1245" s="712">
        <v>40000</v>
      </c>
      <c r="O1245" s="701" t="s">
        <v>537</v>
      </c>
      <c r="P1245" s="701" t="s">
        <v>537</v>
      </c>
      <c r="Q1245" s="709">
        <v>0</v>
      </c>
      <c r="R1245" s="701" t="s">
        <v>3080</v>
      </c>
      <c r="S1245" s="701" t="s">
        <v>3081</v>
      </c>
      <c r="T1245" s="701">
        <v>0</v>
      </c>
      <c r="U1245" s="701">
        <v>0</v>
      </c>
      <c r="V1245" s="701">
        <v>0</v>
      </c>
      <c r="W1245" s="701">
        <v>0</v>
      </c>
      <c r="X1245" s="701">
        <v>0</v>
      </c>
      <c r="Y1245" s="701">
        <v>0</v>
      </c>
      <c r="Z1245" s="701" t="s">
        <v>537</v>
      </c>
      <c r="AA1245" s="697" t="s">
        <v>3082</v>
      </c>
      <c r="AB1245" s="701" t="s">
        <v>539</v>
      </c>
      <c r="AC1245" s="701" t="s">
        <v>539</v>
      </c>
      <c r="AD1245" s="458" t="s">
        <v>3083</v>
      </c>
      <c r="AE1245" s="459">
        <v>1</v>
      </c>
      <c r="AF1245" s="459">
        <v>1</v>
      </c>
      <c r="AG1245" s="701" t="s">
        <v>375</v>
      </c>
      <c r="AH1245" s="728"/>
      <c r="AI1245" s="697" t="s">
        <v>3084</v>
      </c>
      <c r="AJ1245" s="697" t="s">
        <v>543</v>
      </c>
    </row>
    <row r="1246" spans="1:36" ht="24" hidden="1" customHeight="1">
      <c r="B1246" s="702"/>
      <c r="C1246" s="700"/>
      <c r="D1246" s="700"/>
      <c r="E1246" s="700"/>
      <c r="F1246" s="700"/>
      <c r="G1246" s="700"/>
      <c r="H1246" s="700"/>
      <c r="I1246" s="710"/>
      <c r="J1246" s="710"/>
      <c r="K1246" s="713"/>
      <c r="L1246" s="710"/>
      <c r="M1246" s="710"/>
      <c r="N1246" s="713"/>
      <c r="O1246" s="702"/>
      <c r="P1246" s="702"/>
      <c r="Q1246" s="710"/>
      <c r="R1246" s="702"/>
      <c r="S1246" s="702"/>
      <c r="T1246" s="702"/>
      <c r="U1246" s="702"/>
      <c r="V1246" s="702"/>
      <c r="W1246" s="702"/>
      <c r="X1246" s="702"/>
      <c r="Y1246" s="702"/>
      <c r="Z1246" s="702"/>
      <c r="AA1246" s="698"/>
      <c r="AB1246" s="702"/>
      <c r="AC1246" s="702"/>
      <c r="AD1246" s="473" t="s">
        <v>3085</v>
      </c>
      <c r="AE1246" s="474">
        <v>1</v>
      </c>
      <c r="AF1246" s="474">
        <v>1</v>
      </c>
      <c r="AG1246" s="702"/>
      <c r="AH1246" s="729"/>
      <c r="AI1246" s="698"/>
      <c r="AJ1246" s="698"/>
    </row>
    <row r="1247" spans="1:36" ht="24" hidden="1" customHeight="1">
      <c r="B1247" s="463">
        <v>1008</v>
      </c>
      <c r="C1247" s="464" t="s">
        <v>337</v>
      </c>
      <c r="D1247" s="464"/>
      <c r="E1247" s="464" t="s">
        <v>545</v>
      </c>
      <c r="F1247" s="464"/>
      <c r="G1247" s="464" t="s">
        <v>276</v>
      </c>
      <c r="H1247" s="464" t="s">
        <v>3086</v>
      </c>
      <c r="I1247" s="465" t="s">
        <v>537</v>
      </c>
      <c r="J1247" s="465" t="s">
        <v>537</v>
      </c>
      <c r="K1247" s="466">
        <v>10000</v>
      </c>
      <c r="L1247" s="465" t="s">
        <v>537</v>
      </c>
      <c r="M1247" s="465" t="s">
        <v>537</v>
      </c>
      <c r="N1247" s="466">
        <v>10000</v>
      </c>
      <c r="O1247" s="463" t="s">
        <v>537</v>
      </c>
      <c r="P1247" s="463" t="s">
        <v>537</v>
      </c>
      <c r="Q1247" s="465">
        <v>0</v>
      </c>
      <c r="R1247" s="463" t="s">
        <v>643</v>
      </c>
      <c r="S1247" s="463" t="s">
        <v>1152</v>
      </c>
      <c r="T1247" s="463">
        <v>2</v>
      </c>
      <c r="U1247" s="463">
        <v>3</v>
      </c>
      <c r="V1247" s="463">
        <v>20</v>
      </c>
      <c r="W1247" s="463" t="s">
        <v>537</v>
      </c>
      <c r="X1247" s="463">
        <v>3</v>
      </c>
      <c r="Y1247" s="463">
        <v>23</v>
      </c>
      <c r="Z1247" s="463">
        <v>83.4</v>
      </c>
      <c r="AA1247" s="472" t="s">
        <v>3087</v>
      </c>
      <c r="AB1247" s="463" t="s">
        <v>539</v>
      </c>
      <c r="AC1247" s="463" t="s">
        <v>539</v>
      </c>
      <c r="AD1247" s="472" t="s">
        <v>3088</v>
      </c>
      <c r="AE1247" s="463" t="s">
        <v>539</v>
      </c>
      <c r="AF1247" s="463" t="s">
        <v>539</v>
      </c>
      <c r="AG1247" s="463" t="s">
        <v>375</v>
      </c>
      <c r="AH1247" s="476"/>
      <c r="AI1247" s="472" t="s">
        <v>3089</v>
      </c>
      <c r="AJ1247" s="472" t="s">
        <v>543</v>
      </c>
    </row>
    <row r="1248" spans="1:36" ht="24" hidden="1" customHeight="1">
      <c r="B1248" s="701">
        <v>1009</v>
      </c>
      <c r="C1248" s="699" t="s">
        <v>337</v>
      </c>
      <c r="D1248" s="699"/>
      <c r="E1248" s="699" t="s">
        <v>545</v>
      </c>
      <c r="F1248" s="699"/>
      <c r="G1248" s="699" t="s">
        <v>276</v>
      </c>
      <c r="H1248" s="699" t="s">
        <v>3090</v>
      </c>
      <c r="I1248" s="712">
        <v>20000</v>
      </c>
      <c r="J1248" s="709" t="s">
        <v>537</v>
      </c>
      <c r="K1248" s="709" t="s">
        <v>537</v>
      </c>
      <c r="L1248" s="712">
        <v>20000</v>
      </c>
      <c r="M1248" s="709" t="s">
        <v>537</v>
      </c>
      <c r="N1248" s="709" t="s">
        <v>537</v>
      </c>
      <c r="O1248" s="701" t="s">
        <v>537</v>
      </c>
      <c r="P1248" s="701" t="s">
        <v>537</v>
      </c>
      <c r="Q1248" s="709">
        <v>0</v>
      </c>
      <c r="R1248" s="707">
        <v>241579</v>
      </c>
      <c r="S1248" s="721">
        <v>22437</v>
      </c>
      <c r="T1248" s="701">
        <v>2</v>
      </c>
      <c r="U1248" s="701">
        <v>3</v>
      </c>
      <c r="V1248" s="701">
        <v>15</v>
      </c>
      <c r="W1248" s="701" t="s">
        <v>537</v>
      </c>
      <c r="X1248" s="701">
        <v>3</v>
      </c>
      <c r="Y1248" s="701">
        <v>25</v>
      </c>
      <c r="Z1248" s="701">
        <v>86.33</v>
      </c>
      <c r="AA1248" s="458" t="s">
        <v>547</v>
      </c>
      <c r="AB1248" s="459" t="s">
        <v>539</v>
      </c>
      <c r="AC1248" s="459" t="s">
        <v>539</v>
      </c>
      <c r="AD1248" s="697" t="s">
        <v>548</v>
      </c>
      <c r="AE1248" s="701">
        <v>80</v>
      </c>
      <c r="AF1248" s="701">
        <v>86.33</v>
      </c>
      <c r="AG1248" s="701" t="s">
        <v>375</v>
      </c>
      <c r="AH1248" s="728"/>
      <c r="AI1248" s="697" t="s">
        <v>3063</v>
      </c>
      <c r="AJ1248" s="699"/>
    </row>
    <row r="1249" spans="2:36" ht="24" hidden="1" customHeight="1">
      <c r="B1249" s="702"/>
      <c r="C1249" s="700"/>
      <c r="D1249" s="700"/>
      <c r="E1249" s="700"/>
      <c r="F1249" s="700"/>
      <c r="G1249" s="700"/>
      <c r="H1249" s="700"/>
      <c r="I1249" s="713"/>
      <c r="J1249" s="710"/>
      <c r="K1249" s="710"/>
      <c r="L1249" s="713"/>
      <c r="M1249" s="710"/>
      <c r="N1249" s="710"/>
      <c r="O1249" s="702"/>
      <c r="P1249" s="702"/>
      <c r="Q1249" s="710"/>
      <c r="R1249" s="708"/>
      <c r="S1249" s="722"/>
      <c r="T1249" s="702"/>
      <c r="U1249" s="702"/>
      <c r="V1249" s="702"/>
      <c r="W1249" s="702"/>
      <c r="X1249" s="702"/>
      <c r="Y1249" s="702"/>
      <c r="Z1249" s="702"/>
      <c r="AA1249" s="473" t="s">
        <v>3091</v>
      </c>
      <c r="AB1249" s="474">
        <v>1</v>
      </c>
      <c r="AC1249" s="474">
        <v>1</v>
      </c>
      <c r="AD1249" s="698"/>
      <c r="AE1249" s="702"/>
      <c r="AF1249" s="702"/>
      <c r="AG1249" s="702"/>
      <c r="AH1249" s="729"/>
      <c r="AI1249" s="698"/>
      <c r="AJ1249" s="700"/>
    </row>
    <row r="1250" spans="2:36" ht="24" hidden="1" customHeight="1">
      <c r="B1250" s="701">
        <v>1010</v>
      </c>
      <c r="C1250" s="699" t="s">
        <v>337</v>
      </c>
      <c r="D1250" s="699"/>
      <c r="E1250" s="699" t="s">
        <v>545</v>
      </c>
      <c r="F1250" s="699"/>
      <c r="G1250" s="699" t="s">
        <v>276</v>
      </c>
      <c r="H1250" s="699" t="s">
        <v>3092</v>
      </c>
      <c r="I1250" s="712">
        <v>20000</v>
      </c>
      <c r="J1250" s="709" t="s">
        <v>537</v>
      </c>
      <c r="K1250" s="709" t="s">
        <v>537</v>
      </c>
      <c r="L1250" s="712">
        <v>20000</v>
      </c>
      <c r="M1250" s="709" t="s">
        <v>537</v>
      </c>
      <c r="N1250" s="709" t="s">
        <v>537</v>
      </c>
      <c r="O1250" s="701" t="s">
        <v>537</v>
      </c>
      <c r="P1250" s="701" t="s">
        <v>537</v>
      </c>
      <c r="Q1250" s="709">
        <v>0</v>
      </c>
      <c r="R1250" s="707">
        <v>241487</v>
      </c>
      <c r="S1250" s="721">
        <v>22366</v>
      </c>
      <c r="T1250" s="701">
        <v>2</v>
      </c>
      <c r="U1250" s="701">
        <v>3</v>
      </c>
      <c r="V1250" s="701">
        <v>15</v>
      </c>
      <c r="W1250" s="701">
        <v>0</v>
      </c>
      <c r="X1250" s="701">
        <v>5</v>
      </c>
      <c r="Y1250" s="701">
        <v>24</v>
      </c>
      <c r="Z1250" s="701">
        <v>90.33</v>
      </c>
      <c r="AA1250" s="458" t="s">
        <v>547</v>
      </c>
      <c r="AB1250" s="459" t="s">
        <v>539</v>
      </c>
      <c r="AC1250" s="459" t="s">
        <v>539</v>
      </c>
      <c r="AD1250" s="697" t="s">
        <v>548</v>
      </c>
      <c r="AE1250" s="701">
        <v>80</v>
      </c>
      <c r="AF1250" s="701">
        <v>83.54</v>
      </c>
      <c r="AG1250" s="701" t="s">
        <v>375</v>
      </c>
      <c r="AH1250" s="728"/>
      <c r="AI1250" s="697" t="s">
        <v>3093</v>
      </c>
      <c r="AJ1250" s="699"/>
    </row>
    <row r="1251" spans="2:36" ht="24" hidden="1" customHeight="1">
      <c r="B1251" s="702"/>
      <c r="C1251" s="700"/>
      <c r="D1251" s="700"/>
      <c r="E1251" s="700"/>
      <c r="F1251" s="700"/>
      <c r="G1251" s="700"/>
      <c r="H1251" s="700"/>
      <c r="I1251" s="713"/>
      <c r="J1251" s="710"/>
      <c r="K1251" s="710"/>
      <c r="L1251" s="713"/>
      <c r="M1251" s="710"/>
      <c r="N1251" s="710"/>
      <c r="O1251" s="702"/>
      <c r="P1251" s="702"/>
      <c r="Q1251" s="710"/>
      <c r="R1251" s="708"/>
      <c r="S1251" s="722"/>
      <c r="T1251" s="702"/>
      <c r="U1251" s="702"/>
      <c r="V1251" s="702"/>
      <c r="W1251" s="702"/>
      <c r="X1251" s="702"/>
      <c r="Y1251" s="702"/>
      <c r="Z1251" s="702"/>
      <c r="AA1251" s="473" t="s">
        <v>3094</v>
      </c>
      <c r="AB1251" s="474">
        <v>1</v>
      </c>
      <c r="AC1251" s="474">
        <v>1</v>
      </c>
      <c r="AD1251" s="698"/>
      <c r="AE1251" s="702"/>
      <c r="AF1251" s="702"/>
      <c r="AG1251" s="702"/>
      <c r="AH1251" s="729"/>
      <c r="AI1251" s="698"/>
      <c r="AJ1251" s="700"/>
    </row>
    <row r="1252" spans="2:36" ht="24" hidden="1" customHeight="1">
      <c r="B1252" s="701">
        <v>1011</v>
      </c>
      <c r="C1252" s="699" t="s">
        <v>337</v>
      </c>
      <c r="D1252" s="699"/>
      <c r="E1252" s="699" t="s">
        <v>545</v>
      </c>
      <c r="F1252" s="699"/>
      <c r="G1252" s="699" t="s">
        <v>276</v>
      </c>
      <c r="H1252" s="699" t="s">
        <v>3095</v>
      </c>
      <c r="I1252" s="712">
        <v>25000</v>
      </c>
      <c r="J1252" s="709" t="s">
        <v>537</v>
      </c>
      <c r="K1252" s="709" t="s">
        <v>537</v>
      </c>
      <c r="L1252" s="712">
        <v>25000</v>
      </c>
      <c r="M1252" s="709" t="s">
        <v>537</v>
      </c>
      <c r="N1252" s="709" t="s">
        <v>537</v>
      </c>
      <c r="O1252" s="701" t="s">
        <v>537</v>
      </c>
      <c r="P1252" s="701" t="s">
        <v>537</v>
      </c>
      <c r="Q1252" s="709">
        <v>0</v>
      </c>
      <c r="R1252" s="707">
        <v>241579</v>
      </c>
      <c r="S1252" s="721">
        <v>22381</v>
      </c>
      <c r="T1252" s="701">
        <v>0</v>
      </c>
      <c r="U1252" s="701">
        <v>2</v>
      </c>
      <c r="V1252" s="701">
        <v>15</v>
      </c>
      <c r="W1252" s="701" t="s">
        <v>537</v>
      </c>
      <c r="X1252" s="701">
        <v>4</v>
      </c>
      <c r="Y1252" s="701">
        <v>15</v>
      </c>
      <c r="Z1252" s="699"/>
      <c r="AA1252" s="458" t="s">
        <v>547</v>
      </c>
      <c r="AB1252" s="459" t="s">
        <v>539</v>
      </c>
      <c r="AC1252" s="459" t="s">
        <v>539</v>
      </c>
      <c r="AD1252" s="458" t="s">
        <v>548</v>
      </c>
      <c r="AE1252" s="459">
        <v>80</v>
      </c>
      <c r="AF1252" s="459">
        <v>81.2</v>
      </c>
      <c r="AG1252" s="701" t="s">
        <v>375</v>
      </c>
      <c r="AH1252" s="728"/>
      <c r="AI1252" s="697" t="s">
        <v>3077</v>
      </c>
      <c r="AJ1252" s="699"/>
    </row>
    <row r="1253" spans="2:36" ht="24" hidden="1" customHeight="1">
      <c r="B1253" s="715"/>
      <c r="C1253" s="714"/>
      <c r="D1253" s="714"/>
      <c r="E1253" s="714"/>
      <c r="F1253" s="714"/>
      <c r="G1253" s="714"/>
      <c r="H1253" s="714"/>
      <c r="I1253" s="720"/>
      <c r="J1253" s="717"/>
      <c r="K1253" s="717"/>
      <c r="L1253" s="720"/>
      <c r="M1253" s="717"/>
      <c r="N1253" s="717"/>
      <c r="O1253" s="715"/>
      <c r="P1253" s="715"/>
      <c r="Q1253" s="717"/>
      <c r="R1253" s="719"/>
      <c r="S1253" s="731"/>
      <c r="T1253" s="715"/>
      <c r="U1253" s="715"/>
      <c r="V1253" s="715"/>
      <c r="W1253" s="715"/>
      <c r="X1253" s="715"/>
      <c r="Y1253" s="715"/>
      <c r="Z1253" s="714"/>
      <c r="AA1253" s="460" t="s">
        <v>3096</v>
      </c>
      <c r="AB1253" s="461" t="s">
        <v>539</v>
      </c>
      <c r="AC1253" s="461" t="s">
        <v>539</v>
      </c>
      <c r="AD1253" s="460" t="s">
        <v>3097</v>
      </c>
      <c r="AE1253" s="461">
        <v>15</v>
      </c>
      <c r="AF1253" s="461">
        <v>19</v>
      </c>
      <c r="AG1253" s="715"/>
      <c r="AH1253" s="730"/>
      <c r="AI1253" s="711"/>
      <c r="AJ1253" s="714"/>
    </row>
    <row r="1254" spans="2:36" ht="24" hidden="1" customHeight="1">
      <c r="B1254" s="715"/>
      <c r="C1254" s="714"/>
      <c r="D1254" s="714"/>
      <c r="E1254" s="714"/>
      <c r="F1254" s="714"/>
      <c r="G1254" s="714"/>
      <c r="H1254" s="714"/>
      <c r="I1254" s="720"/>
      <c r="J1254" s="717"/>
      <c r="K1254" s="717"/>
      <c r="L1254" s="720"/>
      <c r="M1254" s="717"/>
      <c r="N1254" s="717"/>
      <c r="O1254" s="715"/>
      <c r="P1254" s="715"/>
      <c r="Q1254" s="717"/>
      <c r="R1254" s="719"/>
      <c r="S1254" s="731"/>
      <c r="T1254" s="715"/>
      <c r="U1254" s="715"/>
      <c r="V1254" s="715"/>
      <c r="W1254" s="715"/>
      <c r="X1254" s="715"/>
      <c r="Y1254" s="715"/>
      <c r="Z1254" s="714"/>
      <c r="AA1254" s="477"/>
      <c r="AB1254" s="477"/>
      <c r="AC1254" s="477"/>
      <c r="AD1254" s="460" t="s">
        <v>3098</v>
      </c>
      <c r="AE1254" s="461">
        <v>80</v>
      </c>
      <c r="AF1254" s="461">
        <v>81.2</v>
      </c>
      <c r="AG1254" s="715"/>
      <c r="AH1254" s="730"/>
      <c r="AI1254" s="711"/>
      <c r="AJ1254" s="714"/>
    </row>
    <row r="1255" spans="2:36" ht="24" hidden="1" customHeight="1">
      <c r="B1255" s="702"/>
      <c r="C1255" s="700"/>
      <c r="D1255" s="700"/>
      <c r="E1255" s="700"/>
      <c r="F1255" s="700"/>
      <c r="G1255" s="700"/>
      <c r="H1255" s="700"/>
      <c r="I1255" s="713"/>
      <c r="J1255" s="710"/>
      <c r="K1255" s="710"/>
      <c r="L1255" s="713"/>
      <c r="M1255" s="710"/>
      <c r="N1255" s="710"/>
      <c r="O1255" s="702"/>
      <c r="P1255" s="702"/>
      <c r="Q1255" s="710"/>
      <c r="R1255" s="708"/>
      <c r="S1255" s="722"/>
      <c r="T1255" s="702"/>
      <c r="U1255" s="702"/>
      <c r="V1255" s="702"/>
      <c r="W1255" s="702"/>
      <c r="X1255" s="702"/>
      <c r="Y1255" s="702"/>
      <c r="Z1255" s="700"/>
      <c r="AA1255" s="462"/>
      <c r="AB1255" s="462"/>
      <c r="AC1255" s="462"/>
      <c r="AD1255" s="473" t="s">
        <v>3099</v>
      </c>
      <c r="AE1255" s="474">
        <v>1</v>
      </c>
      <c r="AF1255" s="474">
        <v>1</v>
      </c>
      <c r="AG1255" s="702"/>
      <c r="AH1255" s="729"/>
      <c r="AI1255" s="698"/>
      <c r="AJ1255" s="700"/>
    </row>
    <row r="1256" spans="2:36" ht="24" hidden="1" customHeight="1">
      <c r="B1256" s="701">
        <v>1012</v>
      </c>
      <c r="C1256" s="699" t="s">
        <v>337</v>
      </c>
      <c r="D1256" s="699"/>
      <c r="E1256" s="699" t="s">
        <v>545</v>
      </c>
      <c r="F1256" s="699"/>
      <c r="G1256" s="699" t="s">
        <v>276</v>
      </c>
      <c r="H1256" s="699" t="s">
        <v>3100</v>
      </c>
      <c r="I1256" s="712">
        <v>25000</v>
      </c>
      <c r="J1256" s="709" t="s">
        <v>537</v>
      </c>
      <c r="K1256" s="709" t="s">
        <v>537</v>
      </c>
      <c r="L1256" s="712">
        <v>24000</v>
      </c>
      <c r="M1256" s="709" t="s">
        <v>537</v>
      </c>
      <c r="N1256" s="709" t="s">
        <v>537</v>
      </c>
      <c r="O1256" s="701" t="s">
        <v>537</v>
      </c>
      <c r="P1256" s="701" t="s">
        <v>537</v>
      </c>
      <c r="Q1256" s="705">
        <v>1000</v>
      </c>
      <c r="R1256" s="707">
        <v>241428</v>
      </c>
      <c r="S1256" s="721">
        <v>22304</v>
      </c>
      <c r="T1256" s="701">
        <v>2</v>
      </c>
      <c r="U1256" s="701">
        <v>3</v>
      </c>
      <c r="V1256" s="701">
        <v>15</v>
      </c>
      <c r="W1256" s="701" t="s">
        <v>537</v>
      </c>
      <c r="X1256" s="701">
        <v>6</v>
      </c>
      <c r="Y1256" s="701">
        <v>17</v>
      </c>
      <c r="Z1256" s="701">
        <v>91.73</v>
      </c>
      <c r="AA1256" s="458" t="s">
        <v>547</v>
      </c>
      <c r="AB1256" s="459" t="s">
        <v>539</v>
      </c>
      <c r="AC1256" s="459" t="s">
        <v>539</v>
      </c>
      <c r="AD1256" s="697" t="s">
        <v>548</v>
      </c>
      <c r="AE1256" s="701">
        <v>80</v>
      </c>
      <c r="AF1256" s="701">
        <v>89.33</v>
      </c>
      <c r="AG1256" s="701" t="s">
        <v>375</v>
      </c>
      <c r="AH1256" s="728"/>
      <c r="AI1256" s="697" t="s">
        <v>3101</v>
      </c>
      <c r="AJ1256" s="699"/>
    </row>
    <row r="1257" spans="2:36" ht="24" hidden="1" customHeight="1">
      <c r="B1257" s="702"/>
      <c r="C1257" s="700"/>
      <c r="D1257" s="700"/>
      <c r="E1257" s="700"/>
      <c r="F1257" s="700"/>
      <c r="G1257" s="700"/>
      <c r="H1257" s="700"/>
      <c r="I1257" s="713"/>
      <c r="J1257" s="710"/>
      <c r="K1257" s="710"/>
      <c r="L1257" s="713"/>
      <c r="M1257" s="710"/>
      <c r="N1257" s="710"/>
      <c r="O1257" s="702"/>
      <c r="P1257" s="702"/>
      <c r="Q1257" s="706"/>
      <c r="R1257" s="708"/>
      <c r="S1257" s="722"/>
      <c r="T1257" s="702"/>
      <c r="U1257" s="702"/>
      <c r="V1257" s="702"/>
      <c r="W1257" s="702"/>
      <c r="X1257" s="702"/>
      <c r="Y1257" s="702"/>
      <c r="Z1257" s="702"/>
      <c r="AA1257" s="473" t="s">
        <v>3102</v>
      </c>
      <c r="AB1257" s="474">
        <v>10</v>
      </c>
      <c r="AC1257" s="474">
        <v>10</v>
      </c>
      <c r="AD1257" s="698"/>
      <c r="AE1257" s="702"/>
      <c r="AF1257" s="702"/>
      <c r="AG1257" s="702"/>
      <c r="AH1257" s="729"/>
      <c r="AI1257" s="698"/>
      <c r="AJ1257" s="700"/>
    </row>
    <row r="1258" spans="2:36" ht="24" hidden="1" customHeight="1">
      <c r="B1258" s="701">
        <v>1013</v>
      </c>
      <c r="C1258" s="699" t="s">
        <v>337</v>
      </c>
      <c r="D1258" s="699"/>
      <c r="E1258" s="699" t="s">
        <v>545</v>
      </c>
      <c r="F1258" s="699"/>
      <c r="G1258" s="699" t="s">
        <v>276</v>
      </c>
      <c r="H1258" s="699" t="s">
        <v>3103</v>
      </c>
      <c r="I1258" s="712">
        <v>20000</v>
      </c>
      <c r="J1258" s="709" t="s">
        <v>537</v>
      </c>
      <c r="K1258" s="709" t="s">
        <v>537</v>
      </c>
      <c r="L1258" s="712">
        <v>20000</v>
      </c>
      <c r="M1258" s="709" t="s">
        <v>537</v>
      </c>
      <c r="N1258" s="709" t="s">
        <v>537</v>
      </c>
      <c r="O1258" s="701" t="s">
        <v>537</v>
      </c>
      <c r="P1258" s="701" t="s">
        <v>537</v>
      </c>
      <c r="Q1258" s="709">
        <v>0</v>
      </c>
      <c r="R1258" s="707">
        <v>241487</v>
      </c>
      <c r="S1258" s="721">
        <v>22331</v>
      </c>
      <c r="T1258" s="701">
        <v>2</v>
      </c>
      <c r="U1258" s="701">
        <v>3</v>
      </c>
      <c r="V1258" s="701">
        <v>15</v>
      </c>
      <c r="W1258" s="701">
        <v>9</v>
      </c>
      <c r="X1258" s="701">
        <v>2</v>
      </c>
      <c r="Y1258" s="701">
        <v>23</v>
      </c>
      <c r="Z1258" s="701">
        <v>80.62</v>
      </c>
      <c r="AA1258" s="458" t="s">
        <v>547</v>
      </c>
      <c r="AB1258" s="459" t="s">
        <v>539</v>
      </c>
      <c r="AC1258" s="459" t="s">
        <v>539</v>
      </c>
      <c r="AD1258" s="697" t="s">
        <v>548</v>
      </c>
      <c r="AE1258" s="701">
        <v>80</v>
      </c>
      <c r="AF1258" s="701">
        <v>81.2</v>
      </c>
      <c r="AG1258" s="701" t="s">
        <v>375</v>
      </c>
      <c r="AH1258" s="728"/>
      <c r="AI1258" s="697" t="s">
        <v>3104</v>
      </c>
      <c r="AJ1258" s="699"/>
    </row>
    <row r="1259" spans="2:36" ht="24" hidden="1" customHeight="1">
      <c r="B1259" s="702"/>
      <c r="C1259" s="700"/>
      <c r="D1259" s="700"/>
      <c r="E1259" s="700"/>
      <c r="F1259" s="700"/>
      <c r="G1259" s="700"/>
      <c r="H1259" s="700"/>
      <c r="I1259" s="713"/>
      <c r="J1259" s="710"/>
      <c r="K1259" s="710"/>
      <c r="L1259" s="713"/>
      <c r="M1259" s="710"/>
      <c r="N1259" s="710"/>
      <c r="O1259" s="702"/>
      <c r="P1259" s="702"/>
      <c r="Q1259" s="710"/>
      <c r="R1259" s="708"/>
      <c r="S1259" s="722"/>
      <c r="T1259" s="702"/>
      <c r="U1259" s="702"/>
      <c r="V1259" s="702"/>
      <c r="W1259" s="702"/>
      <c r="X1259" s="702"/>
      <c r="Y1259" s="702"/>
      <c r="Z1259" s="702"/>
      <c r="AA1259" s="473" t="s">
        <v>3105</v>
      </c>
      <c r="AB1259" s="474">
        <v>10</v>
      </c>
      <c r="AC1259" s="474">
        <v>10</v>
      </c>
      <c r="AD1259" s="698"/>
      <c r="AE1259" s="702"/>
      <c r="AF1259" s="702"/>
      <c r="AG1259" s="702"/>
      <c r="AH1259" s="729"/>
      <c r="AI1259" s="698"/>
      <c r="AJ1259" s="700"/>
    </row>
    <row r="1260" spans="2:36" ht="24" hidden="1" customHeight="1">
      <c r="B1260" s="463">
        <v>1014</v>
      </c>
      <c r="C1260" s="464" t="s">
        <v>337</v>
      </c>
      <c r="D1260" s="464"/>
      <c r="E1260" s="464" t="s">
        <v>545</v>
      </c>
      <c r="F1260" s="464"/>
      <c r="G1260" s="464" t="s">
        <v>276</v>
      </c>
      <c r="H1260" s="464" t="s">
        <v>3106</v>
      </c>
      <c r="I1260" s="466">
        <v>30000</v>
      </c>
      <c r="J1260" s="465" t="s">
        <v>537</v>
      </c>
      <c r="K1260" s="465" t="s">
        <v>537</v>
      </c>
      <c r="L1260" s="466">
        <v>30000</v>
      </c>
      <c r="M1260" s="465" t="s">
        <v>537</v>
      </c>
      <c r="N1260" s="465" t="s">
        <v>537</v>
      </c>
      <c r="O1260" s="463" t="s">
        <v>537</v>
      </c>
      <c r="P1260" s="463" t="s">
        <v>537</v>
      </c>
      <c r="Q1260" s="465">
        <v>0</v>
      </c>
      <c r="R1260" s="470">
        <v>241518</v>
      </c>
      <c r="S1260" s="471">
        <v>22339</v>
      </c>
      <c r="T1260" s="463">
        <v>2</v>
      </c>
      <c r="U1260" s="463">
        <v>3</v>
      </c>
      <c r="V1260" s="463">
        <v>15</v>
      </c>
      <c r="W1260" s="463">
        <v>2</v>
      </c>
      <c r="X1260" s="463">
        <v>3</v>
      </c>
      <c r="Y1260" s="463">
        <v>15</v>
      </c>
      <c r="Z1260" s="463">
        <v>89.76</v>
      </c>
      <c r="AA1260" s="472" t="s">
        <v>547</v>
      </c>
      <c r="AB1260" s="463" t="s">
        <v>539</v>
      </c>
      <c r="AC1260" s="463" t="s">
        <v>539</v>
      </c>
      <c r="AD1260" s="472" t="s">
        <v>548</v>
      </c>
      <c r="AE1260" s="463">
        <v>80</v>
      </c>
      <c r="AF1260" s="463">
        <v>83.53</v>
      </c>
      <c r="AG1260" s="463" t="s">
        <v>375</v>
      </c>
      <c r="AH1260" s="476"/>
      <c r="AI1260" s="472" t="s">
        <v>3067</v>
      </c>
      <c r="AJ1260" s="464"/>
    </row>
    <row r="1261" spans="2:36" ht="24" hidden="1" customHeight="1">
      <c r="B1261" s="701">
        <v>1015</v>
      </c>
      <c r="C1261" s="699" t="s">
        <v>337</v>
      </c>
      <c r="D1261" s="699"/>
      <c r="E1261" s="699" t="s">
        <v>545</v>
      </c>
      <c r="F1261" s="699"/>
      <c r="G1261" s="699" t="s">
        <v>276</v>
      </c>
      <c r="H1261" s="699" t="s">
        <v>3107</v>
      </c>
      <c r="I1261" s="712">
        <v>20000</v>
      </c>
      <c r="J1261" s="709" t="s">
        <v>537</v>
      </c>
      <c r="K1261" s="709" t="s">
        <v>537</v>
      </c>
      <c r="L1261" s="712">
        <v>20000</v>
      </c>
      <c r="M1261" s="709" t="s">
        <v>537</v>
      </c>
      <c r="N1261" s="709" t="s">
        <v>537</v>
      </c>
      <c r="O1261" s="701" t="s">
        <v>537</v>
      </c>
      <c r="P1261" s="701" t="s">
        <v>537</v>
      </c>
      <c r="Q1261" s="709">
        <v>0</v>
      </c>
      <c r="R1261" s="701" t="s">
        <v>643</v>
      </c>
      <c r="S1261" s="721">
        <v>22340</v>
      </c>
      <c r="T1261" s="701">
        <v>2</v>
      </c>
      <c r="U1261" s="701">
        <v>3</v>
      </c>
      <c r="V1261" s="701">
        <v>15</v>
      </c>
      <c r="W1261" s="701">
        <v>2</v>
      </c>
      <c r="X1261" s="701">
        <v>3</v>
      </c>
      <c r="Y1261" s="701">
        <v>18</v>
      </c>
      <c r="Z1261" s="701">
        <v>83.71</v>
      </c>
      <c r="AA1261" s="458" t="s">
        <v>547</v>
      </c>
      <c r="AB1261" s="459" t="s">
        <v>539</v>
      </c>
      <c r="AC1261" s="459" t="s">
        <v>539</v>
      </c>
      <c r="AD1261" s="697" t="s">
        <v>548</v>
      </c>
      <c r="AE1261" s="701">
        <v>80</v>
      </c>
      <c r="AF1261" s="701">
        <v>86.86</v>
      </c>
      <c r="AG1261" s="701" t="s">
        <v>375</v>
      </c>
      <c r="AH1261" s="728"/>
      <c r="AI1261" s="697" t="s">
        <v>3108</v>
      </c>
      <c r="AJ1261" s="699"/>
    </row>
    <row r="1262" spans="2:36" ht="24" hidden="1" customHeight="1">
      <c r="B1262" s="702"/>
      <c r="C1262" s="700"/>
      <c r="D1262" s="700"/>
      <c r="E1262" s="700"/>
      <c r="F1262" s="700"/>
      <c r="G1262" s="700"/>
      <c r="H1262" s="700"/>
      <c r="I1262" s="713"/>
      <c r="J1262" s="710"/>
      <c r="K1262" s="710"/>
      <c r="L1262" s="713"/>
      <c r="M1262" s="710"/>
      <c r="N1262" s="710"/>
      <c r="O1262" s="702"/>
      <c r="P1262" s="702"/>
      <c r="Q1262" s="710"/>
      <c r="R1262" s="702"/>
      <c r="S1262" s="722"/>
      <c r="T1262" s="702"/>
      <c r="U1262" s="702"/>
      <c r="V1262" s="702"/>
      <c r="W1262" s="702"/>
      <c r="X1262" s="702"/>
      <c r="Y1262" s="702"/>
      <c r="Z1262" s="702"/>
      <c r="AA1262" s="473" t="s">
        <v>3109</v>
      </c>
      <c r="AB1262" s="474" t="s">
        <v>539</v>
      </c>
      <c r="AC1262" s="474" t="s">
        <v>539</v>
      </c>
      <c r="AD1262" s="698"/>
      <c r="AE1262" s="702"/>
      <c r="AF1262" s="702"/>
      <c r="AG1262" s="702"/>
      <c r="AH1262" s="729"/>
      <c r="AI1262" s="698"/>
      <c r="AJ1262" s="700"/>
    </row>
    <row r="1263" spans="2:36" ht="24" hidden="1" customHeight="1">
      <c r="B1263" s="701">
        <v>1016</v>
      </c>
      <c r="C1263" s="699" t="s">
        <v>337</v>
      </c>
      <c r="D1263" s="699"/>
      <c r="E1263" s="699" t="s">
        <v>545</v>
      </c>
      <c r="F1263" s="699"/>
      <c r="G1263" s="699" t="s">
        <v>276</v>
      </c>
      <c r="H1263" s="699" t="s">
        <v>3110</v>
      </c>
      <c r="I1263" s="712">
        <v>30000</v>
      </c>
      <c r="J1263" s="709" t="s">
        <v>537</v>
      </c>
      <c r="K1263" s="709" t="s">
        <v>537</v>
      </c>
      <c r="L1263" s="712">
        <v>30000</v>
      </c>
      <c r="M1263" s="709" t="s">
        <v>537</v>
      </c>
      <c r="N1263" s="709" t="s">
        <v>537</v>
      </c>
      <c r="O1263" s="701" t="s">
        <v>537</v>
      </c>
      <c r="P1263" s="701" t="s">
        <v>537</v>
      </c>
      <c r="Q1263" s="709">
        <v>0</v>
      </c>
      <c r="R1263" s="707">
        <v>241579</v>
      </c>
      <c r="S1263" s="721">
        <v>22458</v>
      </c>
      <c r="T1263" s="701">
        <v>2</v>
      </c>
      <c r="U1263" s="701">
        <v>3</v>
      </c>
      <c r="V1263" s="701">
        <v>15</v>
      </c>
      <c r="W1263" s="701" t="s">
        <v>537</v>
      </c>
      <c r="X1263" s="701">
        <v>5</v>
      </c>
      <c r="Y1263" s="701">
        <v>20</v>
      </c>
      <c r="Z1263" s="701">
        <v>92.1</v>
      </c>
      <c r="AA1263" s="697" t="s">
        <v>547</v>
      </c>
      <c r="AB1263" s="701" t="s">
        <v>539</v>
      </c>
      <c r="AC1263" s="701" t="s">
        <v>539</v>
      </c>
      <c r="AD1263" s="458" t="s">
        <v>548</v>
      </c>
      <c r="AE1263" s="459">
        <v>80</v>
      </c>
      <c r="AF1263" s="459">
        <v>82.6</v>
      </c>
      <c r="AG1263" s="701" t="s">
        <v>375</v>
      </c>
      <c r="AH1263" s="728"/>
      <c r="AI1263" s="697" t="s">
        <v>3111</v>
      </c>
      <c r="AJ1263" s="699"/>
    </row>
    <row r="1264" spans="2:36" ht="24" hidden="1" customHeight="1">
      <c r="B1264" s="702"/>
      <c r="C1264" s="700"/>
      <c r="D1264" s="700"/>
      <c r="E1264" s="700"/>
      <c r="F1264" s="700"/>
      <c r="G1264" s="700"/>
      <c r="H1264" s="700"/>
      <c r="I1264" s="713"/>
      <c r="J1264" s="710"/>
      <c r="K1264" s="710"/>
      <c r="L1264" s="713"/>
      <c r="M1264" s="710"/>
      <c r="N1264" s="710"/>
      <c r="O1264" s="702"/>
      <c r="P1264" s="702"/>
      <c r="Q1264" s="710"/>
      <c r="R1264" s="708"/>
      <c r="S1264" s="722"/>
      <c r="T1264" s="702"/>
      <c r="U1264" s="702"/>
      <c r="V1264" s="702"/>
      <c r="W1264" s="702"/>
      <c r="X1264" s="702"/>
      <c r="Y1264" s="702"/>
      <c r="Z1264" s="702"/>
      <c r="AA1264" s="698"/>
      <c r="AB1264" s="702"/>
      <c r="AC1264" s="702"/>
      <c r="AD1264" s="473" t="s">
        <v>3112</v>
      </c>
      <c r="AE1264" s="474" t="s">
        <v>539</v>
      </c>
      <c r="AF1264" s="474" t="s">
        <v>539</v>
      </c>
      <c r="AG1264" s="702"/>
      <c r="AH1264" s="729"/>
      <c r="AI1264" s="698"/>
      <c r="AJ1264" s="700"/>
    </row>
    <row r="1265" spans="1:36" ht="24" hidden="1" customHeight="1">
      <c r="B1265" s="701">
        <v>1017</v>
      </c>
      <c r="C1265" s="699" t="s">
        <v>337</v>
      </c>
      <c r="D1265" s="699"/>
      <c r="E1265" s="699" t="s">
        <v>545</v>
      </c>
      <c r="F1265" s="699"/>
      <c r="G1265" s="699" t="s">
        <v>276</v>
      </c>
      <c r="H1265" s="699" t="s">
        <v>3113</v>
      </c>
      <c r="I1265" s="712">
        <v>25000</v>
      </c>
      <c r="J1265" s="709" t="s">
        <v>537</v>
      </c>
      <c r="K1265" s="709" t="s">
        <v>537</v>
      </c>
      <c r="L1265" s="712">
        <v>24963.74</v>
      </c>
      <c r="M1265" s="709" t="s">
        <v>537</v>
      </c>
      <c r="N1265" s="709" t="s">
        <v>537</v>
      </c>
      <c r="O1265" s="701" t="s">
        <v>537</v>
      </c>
      <c r="P1265" s="701" t="s">
        <v>537</v>
      </c>
      <c r="Q1265" s="709">
        <v>36</v>
      </c>
      <c r="R1265" s="707">
        <v>241579</v>
      </c>
      <c r="S1265" s="721">
        <v>22459</v>
      </c>
      <c r="T1265" s="701">
        <v>2</v>
      </c>
      <c r="U1265" s="701">
        <v>3</v>
      </c>
      <c r="V1265" s="701">
        <v>15</v>
      </c>
      <c r="W1265" s="699"/>
      <c r="X1265" s="701">
        <v>3</v>
      </c>
      <c r="Y1265" s="701">
        <v>20</v>
      </c>
      <c r="Z1265" s="701">
        <v>77.2</v>
      </c>
      <c r="AA1265" s="458" t="s">
        <v>547</v>
      </c>
      <c r="AB1265" s="459" t="s">
        <v>539</v>
      </c>
      <c r="AC1265" s="459" t="s">
        <v>539</v>
      </c>
      <c r="AD1265" s="697" t="s">
        <v>548</v>
      </c>
      <c r="AE1265" s="701">
        <v>80</v>
      </c>
      <c r="AF1265" s="701">
        <v>77.2</v>
      </c>
      <c r="AG1265" s="701" t="s">
        <v>376</v>
      </c>
      <c r="AH1265" s="728"/>
      <c r="AI1265" s="697" t="s">
        <v>3077</v>
      </c>
      <c r="AJ1265" s="699"/>
    </row>
    <row r="1266" spans="1:36" ht="24" hidden="1" customHeight="1">
      <c r="B1266" s="702"/>
      <c r="C1266" s="700"/>
      <c r="D1266" s="700"/>
      <c r="E1266" s="700"/>
      <c r="F1266" s="700"/>
      <c r="G1266" s="700"/>
      <c r="H1266" s="700"/>
      <c r="I1266" s="713"/>
      <c r="J1266" s="710"/>
      <c r="K1266" s="710"/>
      <c r="L1266" s="713"/>
      <c r="M1266" s="710"/>
      <c r="N1266" s="710"/>
      <c r="O1266" s="702"/>
      <c r="P1266" s="702"/>
      <c r="Q1266" s="710"/>
      <c r="R1266" s="708"/>
      <c r="S1266" s="722"/>
      <c r="T1266" s="702"/>
      <c r="U1266" s="702"/>
      <c r="V1266" s="702"/>
      <c r="W1266" s="700"/>
      <c r="X1266" s="702"/>
      <c r="Y1266" s="702"/>
      <c r="Z1266" s="702"/>
      <c r="AA1266" s="473" t="s">
        <v>3114</v>
      </c>
      <c r="AB1266" s="474" t="s">
        <v>539</v>
      </c>
      <c r="AC1266" s="474" t="s">
        <v>539</v>
      </c>
      <c r="AD1266" s="698"/>
      <c r="AE1266" s="702"/>
      <c r="AF1266" s="702"/>
      <c r="AG1266" s="702"/>
      <c r="AH1266" s="729"/>
      <c r="AI1266" s="698"/>
      <c r="AJ1266" s="700"/>
    </row>
    <row r="1267" spans="1:36" ht="24" hidden="1" customHeight="1">
      <c r="B1267" s="701">
        <v>1018</v>
      </c>
      <c r="C1267" s="699" t="s">
        <v>534</v>
      </c>
      <c r="D1267" s="699" t="s">
        <v>544</v>
      </c>
      <c r="E1267" s="699" t="s">
        <v>535</v>
      </c>
      <c r="F1267" s="699"/>
      <c r="G1267" s="699" t="s">
        <v>270</v>
      </c>
      <c r="H1267" s="699" t="s">
        <v>3115</v>
      </c>
      <c r="I1267" s="712">
        <v>50000</v>
      </c>
      <c r="J1267" s="709" t="s">
        <v>537</v>
      </c>
      <c r="K1267" s="709" t="s">
        <v>537</v>
      </c>
      <c r="L1267" s="709">
        <v>0</v>
      </c>
      <c r="M1267" s="709" t="s">
        <v>537</v>
      </c>
      <c r="N1267" s="709" t="s">
        <v>537</v>
      </c>
      <c r="O1267" s="701" t="s">
        <v>537</v>
      </c>
      <c r="P1267" s="701" t="s">
        <v>537</v>
      </c>
      <c r="Q1267" s="705">
        <v>50000</v>
      </c>
      <c r="R1267" s="701" t="s">
        <v>3116</v>
      </c>
      <c r="S1267" s="699"/>
      <c r="T1267" s="701">
        <v>20</v>
      </c>
      <c r="U1267" s="701">
        <v>35</v>
      </c>
      <c r="V1267" s="701">
        <v>95</v>
      </c>
      <c r="W1267" s="699"/>
      <c r="X1267" s="699"/>
      <c r="Y1267" s="699"/>
      <c r="Z1267" s="699"/>
      <c r="AA1267" s="697" t="s">
        <v>547</v>
      </c>
      <c r="AB1267" s="701" t="s">
        <v>539</v>
      </c>
      <c r="AC1267" s="699"/>
      <c r="AD1267" s="697" t="s">
        <v>548</v>
      </c>
      <c r="AE1267" s="701">
        <v>80</v>
      </c>
      <c r="AF1267" s="699"/>
      <c r="AG1267" s="701" t="s">
        <v>376</v>
      </c>
      <c r="AH1267" s="725" t="s">
        <v>3117</v>
      </c>
      <c r="AI1267" s="697" t="s">
        <v>773</v>
      </c>
      <c r="AJ1267" s="699"/>
    </row>
    <row r="1268" spans="1:36" ht="24" hidden="1" customHeight="1">
      <c r="B1268" s="702"/>
      <c r="C1268" s="700"/>
      <c r="D1268" s="700"/>
      <c r="E1268" s="700"/>
      <c r="F1268" s="700"/>
      <c r="G1268" s="700"/>
      <c r="H1268" s="700"/>
      <c r="I1268" s="713"/>
      <c r="J1268" s="710"/>
      <c r="K1268" s="710"/>
      <c r="L1268" s="710"/>
      <c r="M1268" s="710"/>
      <c r="N1268" s="710"/>
      <c r="O1268" s="702"/>
      <c r="P1268" s="702"/>
      <c r="Q1268" s="706"/>
      <c r="R1268" s="702"/>
      <c r="S1268" s="700"/>
      <c r="T1268" s="702"/>
      <c r="U1268" s="702"/>
      <c r="V1268" s="702"/>
      <c r="W1268" s="700"/>
      <c r="X1268" s="700"/>
      <c r="Y1268" s="700"/>
      <c r="Z1268" s="700"/>
      <c r="AA1268" s="698"/>
      <c r="AB1268" s="702"/>
      <c r="AC1268" s="700"/>
      <c r="AD1268" s="698"/>
      <c r="AE1268" s="702"/>
      <c r="AF1268" s="700"/>
      <c r="AG1268" s="702"/>
      <c r="AH1268" s="727"/>
      <c r="AI1268" s="698"/>
      <c r="AJ1268" s="700"/>
    </row>
    <row r="1269" spans="1:36" ht="24" customHeight="1" thickBot="1">
      <c r="A1269" s="489">
        <v>113</v>
      </c>
      <c r="B1269" s="701">
        <v>1019</v>
      </c>
      <c r="C1269" s="699" t="s">
        <v>377</v>
      </c>
      <c r="D1269" s="699" t="s">
        <v>544</v>
      </c>
      <c r="E1269" s="757" t="s">
        <v>602</v>
      </c>
      <c r="F1269" s="699"/>
      <c r="G1269" s="699" t="s">
        <v>270</v>
      </c>
      <c r="H1269" s="699" t="s">
        <v>3118</v>
      </c>
      <c r="I1269" s="712">
        <v>50000</v>
      </c>
      <c r="J1269" s="709" t="s">
        <v>537</v>
      </c>
      <c r="K1269" s="709" t="s">
        <v>537</v>
      </c>
      <c r="L1269" s="709">
        <v>0</v>
      </c>
      <c r="M1269" s="709" t="s">
        <v>537</v>
      </c>
      <c r="N1269" s="709" t="s">
        <v>537</v>
      </c>
      <c r="O1269" s="701" t="s">
        <v>537</v>
      </c>
      <c r="P1269" s="701" t="s">
        <v>537</v>
      </c>
      <c r="Q1269" s="705">
        <v>50000</v>
      </c>
      <c r="R1269" s="707">
        <v>241579</v>
      </c>
      <c r="S1269" s="699"/>
      <c r="T1269" s="701">
        <v>60</v>
      </c>
      <c r="U1269" s="701">
        <v>10</v>
      </c>
      <c r="V1269" s="701">
        <v>0</v>
      </c>
      <c r="W1269" s="699"/>
      <c r="X1269" s="699"/>
      <c r="Y1269" s="756"/>
      <c r="Z1269" s="699"/>
      <c r="AA1269" s="697" t="s">
        <v>612</v>
      </c>
      <c r="AB1269" s="701" t="s">
        <v>539</v>
      </c>
      <c r="AC1269" s="699"/>
      <c r="AD1269" s="697" t="s">
        <v>565</v>
      </c>
      <c r="AE1269" s="701">
        <v>80</v>
      </c>
      <c r="AF1269" s="699"/>
      <c r="AG1269" s="701" t="s">
        <v>376</v>
      </c>
      <c r="AH1269" s="725"/>
      <c r="AI1269" s="697" t="s">
        <v>881</v>
      </c>
      <c r="AJ1269" s="699"/>
    </row>
    <row r="1270" spans="1:36" ht="24" hidden="1" customHeight="1">
      <c r="B1270" s="702"/>
      <c r="C1270" s="700"/>
      <c r="D1270" s="700"/>
      <c r="E1270" s="700"/>
      <c r="F1270" s="700"/>
      <c r="G1270" s="700"/>
      <c r="H1270" s="700"/>
      <c r="I1270" s="713"/>
      <c r="J1270" s="710"/>
      <c r="K1270" s="710"/>
      <c r="L1270" s="710"/>
      <c r="M1270" s="710"/>
      <c r="N1270" s="710"/>
      <c r="O1270" s="702"/>
      <c r="P1270" s="702"/>
      <c r="Q1270" s="706"/>
      <c r="R1270" s="708"/>
      <c r="S1270" s="700"/>
      <c r="T1270" s="702"/>
      <c r="U1270" s="702"/>
      <c r="V1270" s="702"/>
      <c r="W1270" s="700"/>
      <c r="X1270" s="700"/>
      <c r="Y1270" s="700"/>
      <c r="Z1270" s="700"/>
      <c r="AA1270" s="698"/>
      <c r="AB1270" s="702"/>
      <c r="AC1270" s="700"/>
      <c r="AD1270" s="698"/>
      <c r="AE1270" s="702"/>
      <c r="AF1270" s="700"/>
      <c r="AG1270" s="702"/>
      <c r="AH1270" s="727"/>
      <c r="AI1270" s="698"/>
      <c r="AJ1270" s="700"/>
    </row>
    <row r="1271" spans="1:36" ht="24" hidden="1" customHeight="1">
      <c r="B1271" s="701">
        <v>1020</v>
      </c>
      <c r="C1271" s="699" t="s">
        <v>337</v>
      </c>
      <c r="D1271" s="699"/>
      <c r="E1271" s="699" t="s">
        <v>545</v>
      </c>
      <c r="F1271" s="699"/>
      <c r="G1271" s="699" t="s">
        <v>186</v>
      </c>
      <c r="H1271" s="699" t="s">
        <v>3119</v>
      </c>
      <c r="I1271" s="712">
        <v>300000</v>
      </c>
      <c r="J1271" s="709" t="s">
        <v>537</v>
      </c>
      <c r="K1271" s="709" t="s">
        <v>537</v>
      </c>
      <c r="L1271" s="709">
        <v>0</v>
      </c>
      <c r="M1271" s="709" t="s">
        <v>537</v>
      </c>
      <c r="N1271" s="709" t="s">
        <v>537</v>
      </c>
      <c r="O1271" s="701" t="s">
        <v>537</v>
      </c>
      <c r="P1271" s="701" t="s">
        <v>537</v>
      </c>
      <c r="Q1271" s="705">
        <v>300000</v>
      </c>
      <c r="R1271" s="701" t="s">
        <v>552</v>
      </c>
      <c r="S1271" s="699"/>
      <c r="T1271" s="701">
        <v>0</v>
      </c>
      <c r="U1271" s="701">
        <v>10</v>
      </c>
      <c r="V1271" s="701">
        <v>100</v>
      </c>
      <c r="W1271" s="699"/>
      <c r="X1271" s="699"/>
      <c r="Y1271" s="699"/>
      <c r="Z1271" s="699"/>
      <c r="AA1271" s="458" t="s">
        <v>554</v>
      </c>
      <c r="AB1271" s="459" t="s">
        <v>539</v>
      </c>
      <c r="AC1271" s="699"/>
      <c r="AD1271" s="458" t="s">
        <v>986</v>
      </c>
      <c r="AE1271" s="459">
        <v>80</v>
      </c>
      <c r="AF1271" s="699"/>
      <c r="AG1271" s="701" t="s">
        <v>376</v>
      </c>
      <c r="AH1271" s="725"/>
      <c r="AI1271" s="697">
        <v>869949008</v>
      </c>
      <c r="AJ1271" s="699"/>
    </row>
    <row r="1272" spans="1:36" ht="24" hidden="1" customHeight="1">
      <c r="B1272" s="715"/>
      <c r="C1272" s="714"/>
      <c r="D1272" s="714"/>
      <c r="E1272" s="714"/>
      <c r="F1272" s="714"/>
      <c r="G1272" s="714"/>
      <c r="H1272" s="714"/>
      <c r="I1272" s="720"/>
      <c r="J1272" s="717"/>
      <c r="K1272" s="717"/>
      <c r="L1272" s="717"/>
      <c r="M1272" s="717"/>
      <c r="N1272" s="717"/>
      <c r="O1272" s="715"/>
      <c r="P1272" s="715"/>
      <c r="Q1272" s="718"/>
      <c r="R1272" s="715"/>
      <c r="S1272" s="714"/>
      <c r="T1272" s="715"/>
      <c r="U1272" s="715"/>
      <c r="V1272" s="715"/>
      <c r="W1272" s="714"/>
      <c r="X1272" s="714"/>
      <c r="Y1272" s="714"/>
      <c r="Z1272" s="714"/>
      <c r="AA1272" s="460" t="s">
        <v>3120</v>
      </c>
      <c r="AB1272" s="461" t="s">
        <v>539</v>
      </c>
      <c r="AC1272" s="714"/>
      <c r="AD1272" s="460" t="s">
        <v>1044</v>
      </c>
      <c r="AE1272" s="461">
        <v>10</v>
      </c>
      <c r="AF1272" s="714"/>
      <c r="AG1272" s="715"/>
      <c r="AH1272" s="726"/>
      <c r="AI1272" s="711"/>
      <c r="AJ1272" s="714"/>
    </row>
    <row r="1273" spans="1:36" ht="24" hidden="1" customHeight="1">
      <c r="B1273" s="702"/>
      <c r="C1273" s="700"/>
      <c r="D1273" s="700"/>
      <c r="E1273" s="700"/>
      <c r="F1273" s="700"/>
      <c r="G1273" s="700"/>
      <c r="H1273" s="700"/>
      <c r="I1273" s="713"/>
      <c r="J1273" s="710"/>
      <c r="K1273" s="710"/>
      <c r="L1273" s="710"/>
      <c r="M1273" s="710"/>
      <c r="N1273" s="710"/>
      <c r="O1273" s="702"/>
      <c r="P1273" s="702"/>
      <c r="Q1273" s="706"/>
      <c r="R1273" s="702"/>
      <c r="S1273" s="700"/>
      <c r="T1273" s="702"/>
      <c r="U1273" s="702"/>
      <c r="V1273" s="702"/>
      <c r="W1273" s="700"/>
      <c r="X1273" s="700"/>
      <c r="Y1273" s="700"/>
      <c r="Z1273" s="700"/>
      <c r="AA1273" s="462"/>
      <c r="AB1273" s="462"/>
      <c r="AC1273" s="700"/>
      <c r="AD1273" s="462"/>
      <c r="AE1273" s="462"/>
      <c r="AF1273" s="700"/>
      <c r="AG1273" s="702"/>
      <c r="AH1273" s="727"/>
      <c r="AI1273" s="698"/>
      <c r="AJ1273" s="700"/>
    </row>
    <row r="1274" spans="1:36" ht="24" hidden="1" customHeight="1">
      <c r="B1274" s="701">
        <v>1021</v>
      </c>
      <c r="C1274" s="699" t="s">
        <v>165</v>
      </c>
      <c r="D1274" s="699"/>
      <c r="E1274" s="699" t="s">
        <v>535</v>
      </c>
      <c r="F1274" s="699"/>
      <c r="G1274" s="699" t="s">
        <v>44</v>
      </c>
      <c r="H1274" s="699" t="s">
        <v>3121</v>
      </c>
      <c r="I1274" s="709" t="s">
        <v>537</v>
      </c>
      <c r="J1274" s="712">
        <v>21000</v>
      </c>
      <c r="K1274" s="709" t="s">
        <v>537</v>
      </c>
      <c r="L1274" s="709" t="s">
        <v>537</v>
      </c>
      <c r="M1274" s="709">
        <v>0</v>
      </c>
      <c r="N1274" s="709" t="s">
        <v>537</v>
      </c>
      <c r="O1274" s="701" t="s">
        <v>537</v>
      </c>
      <c r="P1274" s="701" t="s">
        <v>537</v>
      </c>
      <c r="Q1274" s="705">
        <v>21000</v>
      </c>
      <c r="R1274" s="701" t="s">
        <v>725</v>
      </c>
      <c r="S1274" s="699"/>
      <c r="T1274" s="701">
        <v>7</v>
      </c>
      <c r="U1274" s="701">
        <v>0</v>
      </c>
      <c r="V1274" s="701">
        <v>0</v>
      </c>
      <c r="W1274" s="699"/>
      <c r="X1274" s="699"/>
      <c r="Y1274" s="699"/>
      <c r="Z1274" s="699"/>
      <c r="AA1274" s="697" t="s">
        <v>547</v>
      </c>
      <c r="AB1274" s="701" t="s">
        <v>539</v>
      </c>
      <c r="AC1274" s="699"/>
      <c r="AD1274" s="697" t="s">
        <v>733</v>
      </c>
      <c r="AE1274" s="701">
        <v>1</v>
      </c>
      <c r="AF1274" s="699"/>
      <c r="AG1274" s="701" t="s">
        <v>376</v>
      </c>
      <c r="AH1274" s="725"/>
      <c r="AI1274" s="697" t="s">
        <v>1441</v>
      </c>
      <c r="AJ1274" s="699"/>
    </row>
    <row r="1275" spans="1:36" ht="24" hidden="1" customHeight="1">
      <c r="B1275" s="702"/>
      <c r="C1275" s="700"/>
      <c r="D1275" s="700"/>
      <c r="E1275" s="700"/>
      <c r="F1275" s="700"/>
      <c r="G1275" s="700"/>
      <c r="H1275" s="700"/>
      <c r="I1275" s="710"/>
      <c r="J1275" s="713"/>
      <c r="K1275" s="710"/>
      <c r="L1275" s="710"/>
      <c r="M1275" s="710"/>
      <c r="N1275" s="710"/>
      <c r="O1275" s="702"/>
      <c r="P1275" s="702"/>
      <c r="Q1275" s="706"/>
      <c r="R1275" s="702"/>
      <c r="S1275" s="700"/>
      <c r="T1275" s="702"/>
      <c r="U1275" s="702"/>
      <c r="V1275" s="702"/>
      <c r="W1275" s="700"/>
      <c r="X1275" s="700"/>
      <c r="Y1275" s="700"/>
      <c r="Z1275" s="700"/>
      <c r="AA1275" s="698"/>
      <c r="AB1275" s="702"/>
      <c r="AC1275" s="700"/>
      <c r="AD1275" s="698"/>
      <c r="AE1275" s="702"/>
      <c r="AF1275" s="700"/>
      <c r="AG1275" s="702"/>
      <c r="AH1275" s="727"/>
      <c r="AI1275" s="698"/>
      <c r="AJ1275" s="700"/>
    </row>
    <row r="1276" spans="1:36" ht="24" hidden="1" customHeight="1">
      <c r="B1276" s="701">
        <v>1022</v>
      </c>
      <c r="C1276" s="699" t="s">
        <v>534</v>
      </c>
      <c r="D1276" s="699"/>
      <c r="E1276" s="699" t="s">
        <v>535</v>
      </c>
      <c r="F1276" s="699"/>
      <c r="G1276" s="699" t="s">
        <v>60</v>
      </c>
      <c r="H1276" s="699" t="s">
        <v>3122</v>
      </c>
      <c r="I1276" s="709" t="s">
        <v>537</v>
      </c>
      <c r="J1276" s="712">
        <v>70000</v>
      </c>
      <c r="K1276" s="709" t="s">
        <v>537</v>
      </c>
      <c r="L1276" s="709" t="s">
        <v>537</v>
      </c>
      <c r="M1276" s="709">
        <v>0</v>
      </c>
      <c r="N1276" s="709" t="s">
        <v>537</v>
      </c>
      <c r="O1276" s="701" t="s">
        <v>537</v>
      </c>
      <c r="P1276" s="701" t="s">
        <v>537</v>
      </c>
      <c r="Q1276" s="705">
        <v>70000</v>
      </c>
      <c r="R1276" s="701" t="s">
        <v>552</v>
      </c>
      <c r="S1276" s="699"/>
      <c r="T1276" s="701">
        <v>60</v>
      </c>
      <c r="U1276" s="701">
        <v>10</v>
      </c>
      <c r="V1276" s="701">
        <v>0</v>
      </c>
      <c r="W1276" s="699"/>
      <c r="X1276" s="699"/>
      <c r="Y1276" s="699"/>
      <c r="Z1276" s="699"/>
      <c r="AA1276" s="697" t="s">
        <v>633</v>
      </c>
      <c r="AB1276" s="701" t="s">
        <v>539</v>
      </c>
      <c r="AC1276" s="699"/>
      <c r="AD1276" s="697" t="s">
        <v>1690</v>
      </c>
      <c r="AE1276" s="701" t="s">
        <v>539</v>
      </c>
      <c r="AF1276" s="699"/>
      <c r="AG1276" s="701" t="s">
        <v>376</v>
      </c>
      <c r="AH1276" s="725"/>
      <c r="AI1276" s="697" t="s">
        <v>566</v>
      </c>
      <c r="AJ1276" s="699"/>
    </row>
    <row r="1277" spans="1:36" ht="24" hidden="1" customHeight="1">
      <c r="B1277" s="702"/>
      <c r="C1277" s="700"/>
      <c r="D1277" s="700"/>
      <c r="E1277" s="700"/>
      <c r="F1277" s="700"/>
      <c r="G1277" s="700"/>
      <c r="H1277" s="700"/>
      <c r="I1277" s="710"/>
      <c r="J1277" s="713"/>
      <c r="K1277" s="710"/>
      <c r="L1277" s="710"/>
      <c r="M1277" s="710"/>
      <c r="N1277" s="710"/>
      <c r="O1277" s="702"/>
      <c r="P1277" s="702"/>
      <c r="Q1277" s="706"/>
      <c r="R1277" s="702"/>
      <c r="S1277" s="700"/>
      <c r="T1277" s="702"/>
      <c r="U1277" s="702"/>
      <c r="V1277" s="702"/>
      <c r="W1277" s="700"/>
      <c r="X1277" s="700"/>
      <c r="Y1277" s="700"/>
      <c r="Z1277" s="700"/>
      <c r="AA1277" s="698"/>
      <c r="AB1277" s="702"/>
      <c r="AC1277" s="700"/>
      <c r="AD1277" s="698"/>
      <c r="AE1277" s="702"/>
      <c r="AF1277" s="700"/>
      <c r="AG1277" s="702"/>
      <c r="AH1277" s="727"/>
      <c r="AI1277" s="698"/>
      <c r="AJ1277" s="700"/>
    </row>
    <row r="1278" spans="1:36" ht="24" hidden="1" customHeight="1">
      <c r="B1278" s="701">
        <v>1023</v>
      </c>
      <c r="C1278" s="699" t="s">
        <v>534</v>
      </c>
      <c r="D1278" s="699"/>
      <c r="E1278" s="699" t="s">
        <v>535</v>
      </c>
      <c r="F1278" s="699"/>
      <c r="G1278" s="699" t="s">
        <v>60</v>
      </c>
      <c r="H1278" s="699" t="s">
        <v>3123</v>
      </c>
      <c r="I1278" s="709" t="s">
        <v>537</v>
      </c>
      <c r="J1278" s="712">
        <v>50000</v>
      </c>
      <c r="K1278" s="709" t="s">
        <v>537</v>
      </c>
      <c r="L1278" s="709" t="s">
        <v>537</v>
      </c>
      <c r="M1278" s="709">
        <v>0</v>
      </c>
      <c r="N1278" s="709" t="s">
        <v>537</v>
      </c>
      <c r="O1278" s="701" t="s">
        <v>537</v>
      </c>
      <c r="P1278" s="701" t="s">
        <v>537</v>
      </c>
      <c r="Q1278" s="705">
        <v>50000</v>
      </c>
      <c r="R1278" s="701" t="s">
        <v>552</v>
      </c>
      <c r="S1278" s="699"/>
      <c r="T1278" s="701">
        <v>10</v>
      </c>
      <c r="U1278" s="701">
        <v>5</v>
      </c>
      <c r="V1278" s="701">
        <v>300</v>
      </c>
      <c r="W1278" s="699"/>
      <c r="X1278" s="699"/>
      <c r="Y1278" s="699"/>
      <c r="Z1278" s="699"/>
      <c r="AA1278" s="697" t="s">
        <v>1181</v>
      </c>
      <c r="AB1278" s="701" t="s">
        <v>539</v>
      </c>
      <c r="AC1278" s="699"/>
      <c r="AD1278" s="697" t="s">
        <v>1016</v>
      </c>
      <c r="AE1278" s="701">
        <v>80</v>
      </c>
      <c r="AF1278" s="699"/>
      <c r="AG1278" s="701" t="s">
        <v>376</v>
      </c>
      <c r="AH1278" s="725"/>
      <c r="AI1278" s="697" t="s">
        <v>566</v>
      </c>
      <c r="AJ1278" s="699"/>
    </row>
    <row r="1279" spans="1:36" ht="24" hidden="1" customHeight="1">
      <c r="B1279" s="702"/>
      <c r="C1279" s="700"/>
      <c r="D1279" s="700"/>
      <c r="E1279" s="700"/>
      <c r="F1279" s="700"/>
      <c r="G1279" s="700"/>
      <c r="H1279" s="700"/>
      <c r="I1279" s="710"/>
      <c r="J1279" s="713"/>
      <c r="K1279" s="710"/>
      <c r="L1279" s="710"/>
      <c r="M1279" s="710"/>
      <c r="N1279" s="710"/>
      <c r="O1279" s="702"/>
      <c r="P1279" s="702"/>
      <c r="Q1279" s="706"/>
      <c r="R1279" s="702"/>
      <c r="S1279" s="700"/>
      <c r="T1279" s="702"/>
      <c r="U1279" s="702"/>
      <c r="V1279" s="702"/>
      <c r="W1279" s="700"/>
      <c r="X1279" s="700"/>
      <c r="Y1279" s="700"/>
      <c r="Z1279" s="700"/>
      <c r="AA1279" s="698"/>
      <c r="AB1279" s="702"/>
      <c r="AC1279" s="700"/>
      <c r="AD1279" s="698"/>
      <c r="AE1279" s="702"/>
      <c r="AF1279" s="700"/>
      <c r="AG1279" s="702"/>
      <c r="AH1279" s="727"/>
      <c r="AI1279" s="698"/>
      <c r="AJ1279" s="700"/>
    </row>
    <row r="1280" spans="1:36" ht="24" hidden="1" customHeight="1">
      <c r="B1280" s="701">
        <v>1024</v>
      </c>
      <c r="C1280" s="699" t="s">
        <v>337</v>
      </c>
      <c r="D1280" s="699"/>
      <c r="E1280" s="699" t="s">
        <v>545</v>
      </c>
      <c r="F1280" s="699"/>
      <c r="G1280" s="699" t="s">
        <v>60</v>
      </c>
      <c r="H1280" s="699" t="s">
        <v>3124</v>
      </c>
      <c r="I1280" s="712">
        <v>15000</v>
      </c>
      <c r="J1280" s="709" t="s">
        <v>537</v>
      </c>
      <c r="K1280" s="709" t="s">
        <v>537</v>
      </c>
      <c r="L1280" s="709">
        <v>0</v>
      </c>
      <c r="M1280" s="709" t="s">
        <v>537</v>
      </c>
      <c r="N1280" s="709" t="s">
        <v>537</v>
      </c>
      <c r="O1280" s="701" t="s">
        <v>537</v>
      </c>
      <c r="P1280" s="701" t="s">
        <v>537</v>
      </c>
      <c r="Q1280" s="705">
        <v>15000</v>
      </c>
      <c r="R1280" s="701" t="s">
        <v>1984</v>
      </c>
      <c r="S1280" s="699"/>
      <c r="T1280" s="701">
        <v>4</v>
      </c>
      <c r="U1280" s="701">
        <v>1</v>
      </c>
      <c r="V1280" s="701">
        <v>5</v>
      </c>
      <c r="W1280" s="699"/>
      <c r="X1280" s="699"/>
      <c r="Y1280" s="699"/>
      <c r="Z1280" s="699"/>
      <c r="AA1280" s="458" t="s">
        <v>547</v>
      </c>
      <c r="AB1280" s="459" t="s">
        <v>539</v>
      </c>
      <c r="AC1280" s="699"/>
      <c r="AD1280" s="458" t="s">
        <v>548</v>
      </c>
      <c r="AE1280" s="459">
        <v>80</v>
      </c>
      <c r="AF1280" s="699"/>
      <c r="AG1280" s="701" t="s">
        <v>376</v>
      </c>
      <c r="AH1280" s="725" t="s">
        <v>3125</v>
      </c>
      <c r="AI1280" s="699"/>
      <c r="AJ1280" s="699"/>
    </row>
    <row r="1281" spans="2:36" ht="24" hidden="1" customHeight="1">
      <c r="B1281" s="715"/>
      <c r="C1281" s="714"/>
      <c r="D1281" s="714"/>
      <c r="E1281" s="714"/>
      <c r="F1281" s="714"/>
      <c r="G1281" s="714"/>
      <c r="H1281" s="714"/>
      <c r="I1281" s="720"/>
      <c r="J1281" s="717"/>
      <c r="K1281" s="717"/>
      <c r="L1281" s="717"/>
      <c r="M1281" s="717"/>
      <c r="N1281" s="717"/>
      <c r="O1281" s="715"/>
      <c r="P1281" s="715"/>
      <c r="Q1281" s="718"/>
      <c r="R1281" s="715"/>
      <c r="S1281" s="714"/>
      <c r="T1281" s="715"/>
      <c r="U1281" s="715"/>
      <c r="V1281" s="715"/>
      <c r="W1281" s="714"/>
      <c r="X1281" s="714"/>
      <c r="Y1281" s="714"/>
      <c r="Z1281" s="714"/>
      <c r="AA1281" s="460" t="s">
        <v>3126</v>
      </c>
      <c r="AB1281" s="461" t="s">
        <v>539</v>
      </c>
      <c r="AC1281" s="714"/>
      <c r="AD1281" s="460" t="s">
        <v>3127</v>
      </c>
      <c r="AE1281" s="461" t="s">
        <v>539</v>
      </c>
      <c r="AF1281" s="714"/>
      <c r="AG1281" s="715"/>
      <c r="AH1281" s="726"/>
      <c r="AI1281" s="714"/>
      <c r="AJ1281" s="714"/>
    </row>
    <row r="1282" spans="2:36" ht="24" hidden="1" customHeight="1">
      <c r="B1282" s="702"/>
      <c r="C1282" s="700"/>
      <c r="D1282" s="700"/>
      <c r="E1282" s="700"/>
      <c r="F1282" s="700"/>
      <c r="G1282" s="700"/>
      <c r="H1282" s="700"/>
      <c r="I1282" s="713"/>
      <c r="J1282" s="710"/>
      <c r="K1282" s="710"/>
      <c r="L1282" s="710"/>
      <c r="M1282" s="710"/>
      <c r="N1282" s="710"/>
      <c r="O1282" s="702"/>
      <c r="P1282" s="702"/>
      <c r="Q1282" s="706"/>
      <c r="R1282" s="702"/>
      <c r="S1282" s="700"/>
      <c r="T1282" s="702"/>
      <c r="U1282" s="702"/>
      <c r="V1282" s="702"/>
      <c r="W1282" s="700"/>
      <c r="X1282" s="700"/>
      <c r="Y1282" s="700"/>
      <c r="Z1282" s="700"/>
      <c r="AA1282" s="462"/>
      <c r="AB1282" s="462"/>
      <c r="AC1282" s="700"/>
      <c r="AD1282" s="462"/>
      <c r="AE1282" s="462"/>
      <c r="AF1282" s="700"/>
      <c r="AG1282" s="702"/>
      <c r="AH1282" s="727"/>
      <c r="AI1282" s="700"/>
      <c r="AJ1282" s="700"/>
    </row>
    <row r="1283" spans="2:36" ht="24" hidden="1" customHeight="1">
      <c r="B1283" s="701">
        <v>1025</v>
      </c>
      <c r="C1283" s="699" t="s">
        <v>337</v>
      </c>
      <c r="D1283" s="699"/>
      <c r="E1283" s="699" t="s">
        <v>545</v>
      </c>
      <c r="F1283" s="699"/>
      <c r="G1283" s="699" t="s">
        <v>60</v>
      </c>
      <c r="H1283" s="699" t="s">
        <v>3128</v>
      </c>
      <c r="I1283" s="712">
        <v>40000</v>
      </c>
      <c r="J1283" s="709" t="s">
        <v>537</v>
      </c>
      <c r="K1283" s="709" t="s">
        <v>537</v>
      </c>
      <c r="L1283" s="709">
        <v>0</v>
      </c>
      <c r="M1283" s="709" t="s">
        <v>537</v>
      </c>
      <c r="N1283" s="709" t="s">
        <v>537</v>
      </c>
      <c r="O1283" s="701" t="s">
        <v>537</v>
      </c>
      <c r="P1283" s="701" t="s">
        <v>537</v>
      </c>
      <c r="Q1283" s="705">
        <v>40000</v>
      </c>
      <c r="R1283" s="701" t="s">
        <v>1984</v>
      </c>
      <c r="S1283" s="699"/>
      <c r="T1283" s="701">
        <v>3</v>
      </c>
      <c r="U1283" s="701">
        <v>2</v>
      </c>
      <c r="V1283" s="701">
        <v>25</v>
      </c>
      <c r="W1283" s="699"/>
      <c r="X1283" s="699"/>
      <c r="Y1283" s="699"/>
      <c r="Z1283" s="699"/>
      <c r="AA1283" s="458" t="s">
        <v>3129</v>
      </c>
      <c r="AB1283" s="459" t="s">
        <v>539</v>
      </c>
      <c r="AC1283" s="699"/>
      <c r="AD1283" s="697" t="s">
        <v>548</v>
      </c>
      <c r="AE1283" s="701" t="s">
        <v>539</v>
      </c>
      <c r="AF1283" s="699"/>
      <c r="AG1283" s="701" t="s">
        <v>376</v>
      </c>
      <c r="AH1283" s="725" t="s">
        <v>3130</v>
      </c>
      <c r="AI1283" s="699"/>
      <c r="AJ1283" s="699"/>
    </row>
    <row r="1284" spans="2:36" ht="24" hidden="1" customHeight="1">
      <c r="B1284" s="715"/>
      <c r="C1284" s="714"/>
      <c r="D1284" s="714"/>
      <c r="E1284" s="714"/>
      <c r="F1284" s="714"/>
      <c r="G1284" s="714"/>
      <c r="H1284" s="714"/>
      <c r="I1284" s="720"/>
      <c r="J1284" s="717"/>
      <c r="K1284" s="717"/>
      <c r="L1284" s="717"/>
      <c r="M1284" s="717"/>
      <c r="N1284" s="717"/>
      <c r="O1284" s="715"/>
      <c r="P1284" s="715"/>
      <c r="Q1284" s="718"/>
      <c r="R1284" s="715"/>
      <c r="S1284" s="714"/>
      <c r="T1284" s="715"/>
      <c r="U1284" s="715"/>
      <c r="V1284" s="715"/>
      <c r="W1284" s="714"/>
      <c r="X1284" s="714"/>
      <c r="Y1284" s="714"/>
      <c r="Z1284" s="714"/>
      <c r="AA1284" s="460" t="s">
        <v>3131</v>
      </c>
      <c r="AB1284" s="461" t="s">
        <v>539</v>
      </c>
      <c r="AC1284" s="714"/>
      <c r="AD1284" s="711"/>
      <c r="AE1284" s="715"/>
      <c r="AF1284" s="714"/>
      <c r="AG1284" s="715"/>
      <c r="AH1284" s="726"/>
      <c r="AI1284" s="714"/>
      <c r="AJ1284" s="714"/>
    </row>
    <row r="1285" spans="2:36" ht="24" hidden="1" customHeight="1">
      <c r="B1285" s="702"/>
      <c r="C1285" s="700"/>
      <c r="D1285" s="700"/>
      <c r="E1285" s="700"/>
      <c r="F1285" s="700"/>
      <c r="G1285" s="700"/>
      <c r="H1285" s="700"/>
      <c r="I1285" s="713"/>
      <c r="J1285" s="710"/>
      <c r="K1285" s="710"/>
      <c r="L1285" s="710"/>
      <c r="M1285" s="710"/>
      <c r="N1285" s="710"/>
      <c r="O1285" s="702"/>
      <c r="P1285" s="702"/>
      <c r="Q1285" s="706"/>
      <c r="R1285" s="702"/>
      <c r="S1285" s="700"/>
      <c r="T1285" s="702"/>
      <c r="U1285" s="702"/>
      <c r="V1285" s="702"/>
      <c r="W1285" s="700"/>
      <c r="X1285" s="700"/>
      <c r="Y1285" s="700"/>
      <c r="Z1285" s="700"/>
      <c r="AA1285" s="462"/>
      <c r="AB1285" s="462"/>
      <c r="AC1285" s="700"/>
      <c r="AD1285" s="698"/>
      <c r="AE1285" s="702"/>
      <c r="AF1285" s="700"/>
      <c r="AG1285" s="702"/>
      <c r="AH1285" s="727"/>
      <c r="AI1285" s="700"/>
      <c r="AJ1285" s="700"/>
    </row>
    <row r="1286" spans="2:36" ht="24" hidden="1" customHeight="1">
      <c r="B1286" s="701">
        <v>1026</v>
      </c>
      <c r="C1286" s="699" t="s">
        <v>337</v>
      </c>
      <c r="D1286" s="699"/>
      <c r="E1286" s="699" t="s">
        <v>545</v>
      </c>
      <c r="F1286" s="699"/>
      <c r="G1286" s="699" t="s">
        <v>60</v>
      </c>
      <c r="H1286" s="699" t="s">
        <v>3132</v>
      </c>
      <c r="I1286" s="712">
        <v>30000</v>
      </c>
      <c r="J1286" s="709" t="s">
        <v>537</v>
      </c>
      <c r="K1286" s="709" t="s">
        <v>537</v>
      </c>
      <c r="L1286" s="709">
        <v>0</v>
      </c>
      <c r="M1286" s="709" t="s">
        <v>537</v>
      </c>
      <c r="N1286" s="709" t="s">
        <v>537</v>
      </c>
      <c r="O1286" s="701" t="s">
        <v>537</v>
      </c>
      <c r="P1286" s="701" t="s">
        <v>537</v>
      </c>
      <c r="Q1286" s="705">
        <v>30000</v>
      </c>
      <c r="R1286" s="701" t="s">
        <v>3133</v>
      </c>
      <c r="S1286" s="699"/>
      <c r="T1286" s="701">
        <v>3</v>
      </c>
      <c r="U1286" s="701">
        <v>2</v>
      </c>
      <c r="V1286" s="701">
        <v>25</v>
      </c>
      <c r="W1286" s="699"/>
      <c r="X1286" s="699"/>
      <c r="Y1286" s="699"/>
      <c r="Z1286" s="699"/>
      <c r="AA1286" s="458" t="s">
        <v>547</v>
      </c>
      <c r="AB1286" s="459" t="s">
        <v>539</v>
      </c>
      <c r="AC1286" s="699"/>
      <c r="AD1286" s="458" t="s">
        <v>3134</v>
      </c>
      <c r="AE1286" s="459">
        <v>80</v>
      </c>
      <c r="AF1286" s="699"/>
      <c r="AG1286" s="701" t="s">
        <v>376</v>
      </c>
      <c r="AH1286" s="725" t="s">
        <v>3135</v>
      </c>
      <c r="AI1286" s="699"/>
      <c r="AJ1286" s="699"/>
    </row>
    <row r="1287" spans="2:36" ht="24" hidden="1" customHeight="1">
      <c r="B1287" s="715"/>
      <c r="C1287" s="714"/>
      <c r="D1287" s="714"/>
      <c r="E1287" s="714"/>
      <c r="F1287" s="714"/>
      <c r="G1287" s="714"/>
      <c r="H1287" s="714"/>
      <c r="I1287" s="720"/>
      <c r="J1287" s="717"/>
      <c r="K1287" s="717"/>
      <c r="L1287" s="717"/>
      <c r="M1287" s="717"/>
      <c r="N1287" s="717"/>
      <c r="O1287" s="715"/>
      <c r="P1287" s="715"/>
      <c r="Q1287" s="718"/>
      <c r="R1287" s="715"/>
      <c r="S1287" s="714"/>
      <c r="T1287" s="715"/>
      <c r="U1287" s="715"/>
      <c r="V1287" s="715"/>
      <c r="W1287" s="714"/>
      <c r="X1287" s="714"/>
      <c r="Y1287" s="714"/>
      <c r="Z1287" s="714"/>
      <c r="AA1287" s="460" t="s">
        <v>3136</v>
      </c>
      <c r="AB1287" s="461" t="s">
        <v>539</v>
      </c>
      <c r="AC1287" s="714"/>
      <c r="AD1287" s="460" t="s">
        <v>3137</v>
      </c>
      <c r="AE1287" s="461" t="s">
        <v>539</v>
      </c>
      <c r="AF1287" s="714"/>
      <c r="AG1287" s="715"/>
      <c r="AH1287" s="726"/>
      <c r="AI1287" s="714"/>
      <c r="AJ1287" s="714"/>
    </row>
    <row r="1288" spans="2:36" ht="24" hidden="1" customHeight="1">
      <c r="B1288" s="702"/>
      <c r="C1288" s="700"/>
      <c r="D1288" s="700"/>
      <c r="E1288" s="700"/>
      <c r="F1288" s="700"/>
      <c r="G1288" s="700"/>
      <c r="H1288" s="700"/>
      <c r="I1288" s="713"/>
      <c r="J1288" s="710"/>
      <c r="K1288" s="710"/>
      <c r="L1288" s="710"/>
      <c r="M1288" s="710"/>
      <c r="N1288" s="710"/>
      <c r="O1288" s="702"/>
      <c r="P1288" s="702"/>
      <c r="Q1288" s="706"/>
      <c r="R1288" s="702"/>
      <c r="S1288" s="700"/>
      <c r="T1288" s="702"/>
      <c r="U1288" s="702"/>
      <c r="V1288" s="702"/>
      <c r="W1288" s="700"/>
      <c r="X1288" s="700"/>
      <c r="Y1288" s="700"/>
      <c r="Z1288" s="700"/>
      <c r="AA1288" s="462"/>
      <c r="AB1288" s="462"/>
      <c r="AC1288" s="700"/>
      <c r="AD1288" s="462"/>
      <c r="AE1288" s="462"/>
      <c r="AF1288" s="700"/>
      <c r="AG1288" s="702"/>
      <c r="AH1288" s="727"/>
      <c r="AI1288" s="700"/>
      <c r="AJ1288" s="700"/>
    </row>
    <row r="1289" spans="2:36" ht="24" hidden="1" customHeight="1">
      <c r="B1289" s="701">
        <v>1027</v>
      </c>
      <c r="C1289" s="699" t="s">
        <v>165</v>
      </c>
      <c r="D1289" s="699"/>
      <c r="E1289" s="699" t="s">
        <v>535</v>
      </c>
      <c r="F1289" s="699"/>
      <c r="G1289" s="699" t="s">
        <v>274</v>
      </c>
      <c r="H1289" s="699" t="s">
        <v>3138</v>
      </c>
      <c r="I1289" s="712">
        <v>44000</v>
      </c>
      <c r="J1289" s="709" t="s">
        <v>537</v>
      </c>
      <c r="K1289" s="709" t="s">
        <v>537</v>
      </c>
      <c r="L1289" s="709">
        <v>0</v>
      </c>
      <c r="M1289" s="709" t="s">
        <v>537</v>
      </c>
      <c r="N1289" s="709" t="s">
        <v>537</v>
      </c>
      <c r="O1289" s="701" t="s">
        <v>537</v>
      </c>
      <c r="P1289" s="701" t="s">
        <v>537</v>
      </c>
      <c r="Q1289" s="705">
        <v>44000</v>
      </c>
      <c r="R1289" s="707">
        <v>241397</v>
      </c>
      <c r="S1289" s="699"/>
      <c r="T1289" s="701">
        <v>400</v>
      </c>
      <c r="U1289" s="701">
        <v>0</v>
      </c>
      <c r="V1289" s="701">
        <v>0</v>
      </c>
      <c r="W1289" s="699"/>
      <c r="X1289" s="699"/>
      <c r="Y1289" s="699"/>
      <c r="Z1289" s="699"/>
      <c r="AA1289" s="697" t="s">
        <v>728</v>
      </c>
      <c r="AB1289" s="701">
        <v>1</v>
      </c>
      <c r="AC1289" s="699"/>
      <c r="AD1289" s="697" t="s">
        <v>651</v>
      </c>
      <c r="AE1289" s="701">
        <v>1</v>
      </c>
      <c r="AF1289" s="699"/>
      <c r="AG1289" s="701" t="s">
        <v>376</v>
      </c>
      <c r="AH1289" s="725"/>
      <c r="AI1289" s="697" t="s">
        <v>566</v>
      </c>
      <c r="AJ1289" s="699"/>
    </row>
    <row r="1290" spans="2:36" ht="24" hidden="1" customHeight="1">
      <c r="B1290" s="702"/>
      <c r="C1290" s="700"/>
      <c r="D1290" s="700"/>
      <c r="E1290" s="700"/>
      <c r="F1290" s="700"/>
      <c r="G1290" s="700"/>
      <c r="H1290" s="700"/>
      <c r="I1290" s="713"/>
      <c r="J1290" s="710"/>
      <c r="K1290" s="710"/>
      <c r="L1290" s="710"/>
      <c r="M1290" s="710"/>
      <c r="N1290" s="710"/>
      <c r="O1290" s="702"/>
      <c r="P1290" s="702"/>
      <c r="Q1290" s="706"/>
      <c r="R1290" s="708"/>
      <c r="S1290" s="700"/>
      <c r="T1290" s="702"/>
      <c r="U1290" s="702"/>
      <c r="V1290" s="702"/>
      <c r="W1290" s="700"/>
      <c r="X1290" s="700"/>
      <c r="Y1290" s="700"/>
      <c r="Z1290" s="700"/>
      <c r="AA1290" s="698"/>
      <c r="AB1290" s="702"/>
      <c r="AC1290" s="700"/>
      <c r="AD1290" s="698"/>
      <c r="AE1290" s="702"/>
      <c r="AF1290" s="700"/>
      <c r="AG1290" s="702"/>
      <c r="AH1290" s="727"/>
      <c r="AI1290" s="698"/>
      <c r="AJ1290" s="700"/>
    </row>
    <row r="1291" spans="2:36" ht="24" hidden="1" customHeight="1">
      <c r="B1291" s="701">
        <v>1028</v>
      </c>
      <c r="C1291" s="699" t="s">
        <v>534</v>
      </c>
      <c r="D1291" s="699"/>
      <c r="E1291" s="699" t="s">
        <v>535</v>
      </c>
      <c r="F1291" s="699"/>
      <c r="G1291" s="699" t="s">
        <v>57</v>
      </c>
      <c r="H1291" s="699" t="s">
        <v>3139</v>
      </c>
      <c r="I1291" s="712">
        <v>150000</v>
      </c>
      <c r="J1291" s="709" t="s">
        <v>537</v>
      </c>
      <c r="K1291" s="709" t="s">
        <v>537</v>
      </c>
      <c r="L1291" s="709">
        <v>0</v>
      </c>
      <c r="M1291" s="709" t="s">
        <v>537</v>
      </c>
      <c r="N1291" s="709" t="s">
        <v>537</v>
      </c>
      <c r="O1291" s="701" t="s">
        <v>537</v>
      </c>
      <c r="P1291" s="701" t="s">
        <v>537</v>
      </c>
      <c r="Q1291" s="705">
        <v>150000</v>
      </c>
      <c r="R1291" s="707">
        <v>241518</v>
      </c>
      <c r="S1291" s="699"/>
      <c r="T1291" s="701">
        <v>8</v>
      </c>
      <c r="U1291" s="701">
        <v>4</v>
      </c>
      <c r="V1291" s="701">
        <v>0</v>
      </c>
      <c r="W1291" s="699"/>
      <c r="X1291" s="699"/>
      <c r="Y1291" s="699"/>
      <c r="Z1291" s="699"/>
      <c r="AA1291" s="697" t="s">
        <v>728</v>
      </c>
      <c r="AB1291" s="701">
        <v>1</v>
      </c>
      <c r="AC1291" s="699"/>
      <c r="AD1291" s="697" t="s">
        <v>729</v>
      </c>
      <c r="AE1291" s="701">
        <v>1</v>
      </c>
      <c r="AF1291" s="699"/>
      <c r="AG1291" s="701" t="s">
        <v>376</v>
      </c>
      <c r="AH1291" s="725"/>
      <c r="AI1291" s="697" t="s">
        <v>2343</v>
      </c>
      <c r="AJ1291" s="699"/>
    </row>
    <row r="1292" spans="2:36" ht="24" hidden="1" customHeight="1">
      <c r="B1292" s="702"/>
      <c r="C1292" s="700"/>
      <c r="D1292" s="700"/>
      <c r="E1292" s="700"/>
      <c r="F1292" s="700"/>
      <c r="G1292" s="700"/>
      <c r="H1292" s="700"/>
      <c r="I1292" s="713"/>
      <c r="J1292" s="710"/>
      <c r="K1292" s="710"/>
      <c r="L1292" s="710"/>
      <c r="M1292" s="710"/>
      <c r="N1292" s="710"/>
      <c r="O1292" s="702"/>
      <c r="P1292" s="702"/>
      <c r="Q1292" s="706"/>
      <c r="R1292" s="708"/>
      <c r="S1292" s="700"/>
      <c r="T1292" s="702"/>
      <c r="U1292" s="702"/>
      <c r="V1292" s="702"/>
      <c r="W1292" s="700"/>
      <c r="X1292" s="700"/>
      <c r="Y1292" s="700"/>
      <c r="Z1292" s="700"/>
      <c r="AA1292" s="698"/>
      <c r="AB1292" s="702"/>
      <c r="AC1292" s="700"/>
      <c r="AD1292" s="698"/>
      <c r="AE1292" s="702"/>
      <c r="AF1292" s="700"/>
      <c r="AG1292" s="702"/>
      <c r="AH1292" s="727"/>
      <c r="AI1292" s="698"/>
      <c r="AJ1292" s="700"/>
    </row>
    <row r="1293" spans="2:36" ht="24" hidden="1" customHeight="1">
      <c r="B1293" s="701">
        <v>1029</v>
      </c>
      <c r="C1293" s="699" t="s">
        <v>534</v>
      </c>
      <c r="D1293" s="699"/>
      <c r="E1293" s="699" t="s">
        <v>535</v>
      </c>
      <c r="F1293" s="699"/>
      <c r="G1293" s="699" t="s">
        <v>57</v>
      </c>
      <c r="H1293" s="699" t="s">
        <v>3140</v>
      </c>
      <c r="I1293" s="709" t="s">
        <v>537</v>
      </c>
      <c r="J1293" s="709" t="s">
        <v>537</v>
      </c>
      <c r="K1293" s="712">
        <v>54000</v>
      </c>
      <c r="L1293" s="709" t="s">
        <v>537</v>
      </c>
      <c r="M1293" s="709" t="s">
        <v>537</v>
      </c>
      <c r="N1293" s="709">
        <v>0</v>
      </c>
      <c r="O1293" s="701" t="s">
        <v>537</v>
      </c>
      <c r="P1293" s="701" t="s">
        <v>537</v>
      </c>
      <c r="Q1293" s="705">
        <v>54000</v>
      </c>
      <c r="R1293" s="701" t="s">
        <v>877</v>
      </c>
      <c r="S1293" s="699"/>
      <c r="T1293" s="701">
        <v>5</v>
      </c>
      <c r="U1293" s="701">
        <v>0</v>
      </c>
      <c r="V1293" s="701">
        <v>10</v>
      </c>
      <c r="W1293" s="699"/>
      <c r="X1293" s="699"/>
      <c r="Y1293" s="699"/>
      <c r="Z1293" s="699"/>
      <c r="AA1293" s="697" t="s">
        <v>547</v>
      </c>
      <c r="AB1293" s="701" t="s">
        <v>539</v>
      </c>
      <c r="AC1293" s="699"/>
      <c r="AD1293" s="458" t="s">
        <v>3141</v>
      </c>
      <c r="AE1293" s="459">
        <v>1</v>
      </c>
      <c r="AF1293" s="699"/>
      <c r="AG1293" s="701" t="s">
        <v>376</v>
      </c>
      <c r="AH1293" s="725"/>
      <c r="AI1293" s="699"/>
      <c r="AJ1293" s="697" t="s">
        <v>792</v>
      </c>
    </row>
    <row r="1294" spans="2:36" ht="24" hidden="1" customHeight="1">
      <c r="B1294" s="715"/>
      <c r="C1294" s="714"/>
      <c r="D1294" s="714"/>
      <c r="E1294" s="714"/>
      <c r="F1294" s="714"/>
      <c r="G1294" s="714"/>
      <c r="H1294" s="714"/>
      <c r="I1294" s="717"/>
      <c r="J1294" s="717"/>
      <c r="K1294" s="720"/>
      <c r="L1294" s="717"/>
      <c r="M1294" s="717"/>
      <c r="N1294" s="717"/>
      <c r="O1294" s="715"/>
      <c r="P1294" s="715"/>
      <c r="Q1294" s="718"/>
      <c r="R1294" s="715"/>
      <c r="S1294" s="714"/>
      <c r="T1294" s="715"/>
      <c r="U1294" s="715"/>
      <c r="V1294" s="715"/>
      <c r="W1294" s="714"/>
      <c r="X1294" s="714"/>
      <c r="Y1294" s="714"/>
      <c r="Z1294" s="714"/>
      <c r="AA1294" s="711"/>
      <c r="AB1294" s="715"/>
      <c r="AC1294" s="714"/>
      <c r="AD1294" s="460" t="s">
        <v>3142</v>
      </c>
      <c r="AE1294" s="461">
        <v>6</v>
      </c>
      <c r="AF1294" s="714"/>
      <c r="AG1294" s="715"/>
      <c r="AH1294" s="726"/>
      <c r="AI1294" s="714"/>
      <c r="AJ1294" s="711"/>
    </row>
    <row r="1295" spans="2:36" ht="24" hidden="1" customHeight="1">
      <c r="B1295" s="702"/>
      <c r="C1295" s="700"/>
      <c r="D1295" s="700"/>
      <c r="E1295" s="700"/>
      <c r="F1295" s="700"/>
      <c r="G1295" s="700"/>
      <c r="H1295" s="700"/>
      <c r="I1295" s="710"/>
      <c r="J1295" s="710"/>
      <c r="K1295" s="713"/>
      <c r="L1295" s="710"/>
      <c r="M1295" s="710"/>
      <c r="N1295" s="710"/>
      <c r="O1295" s="702"/>
      <c r="P1295" s="702"/>
      <c r="Q1295" s="706"/>
      <c r="R1295" s="702"/>
      <c r="S1295" s="700"/>
      <c r="T1295" s="702"/>
      <c r="U1295" s="702"/>
      <c r="V1295" s="702"/>
      <c r="W1295" s="700"/>
      <c r="X1295" s="700"/>
      <c r="Y1295" s="700"/>
      <c r="Z1295" s="700"/>
      <c r="AA1295" s="698"/>
      <c r="AB1295" s="702"/>
      <c r="AC1295" s="700"/>
      <c r="AD1295" s="462"/>
      <c r="AE1295" s="462"/>
      <c r="AF1295" s="700"/>
      <c r="AG1295" s="702"/>
      <c r="AH1295" s="727"/>
      <c r="AI1295" s="700"/>
      <c r="AJ1295" s="698"/>
    </row>
    <row r="1296" spans="2:36" ht="24" hidden="1" customHeight="1">
      <c r="B1296" s="701">
        <v>1030</v>
      </c>
      <c r="C1296" s="699" t="s">
        <v>534</v>
      </c>
      <c r="D1296" s="699"/>
      <c r="E1296" s="699" t="s">
        <v>577</v>
      </c>
      <c r="F1296" s="699"/>
      <c r="G1296" s="699" t="s">
        <v>57</v>
      </c>
      <c r="H1296" s="699" t="s">
        <v>3143</v>
      </c>
      <c r="I1296" s="709" t="s">
        <v>537</v>
      </c>
      <c r="J1296" s="709" t="s">
        <v>537</v>
      </c>
      <c r="K1296" s="712">
        <v>40000</v>
      </c>
      <c r="L1296" s="709" t="s">
        <v>537</v>
      </c>
      <c r="M1296" s="709" t="s">
        <v>537</v>
      </c>
      <c r="N1296" s="709">
        <v>0</v>
      </c>
      <c r="O1296" s="701" t="s">
        <v>537</v>
      </c>
      <c r="P1296" s="701" t="s">
        <v>537</v>
      </c>
      <c r="Q1296" s="705">
        <v>40000</v>
      </c>
      <c r="R1296" s="707">
        <v>241518</v>
      </c>
      <c r="S1296" s="699"/>
      <c r="T1296" s="701">
        <v>0</v>
      </c>
      <c r="U1296" s="701">
        <v>0</v>
      </c>
      <c r="V1296" s="701">
        <v>0</v>
      </c>
      <c r="W1296" s="699"/>
      <c r="X1296" s="699"/>
      <c r="Y1296" s="699"/>
      <c r="Z1296" s="699"/>
      <c r="AA1296" s="458" t="s">
        <v>3144</v>
      </c>
      <c r="AB1296" s="459" t="s">
        <v>539</v>
      </c>
      <c r="AC1296" s="699"/>
      <c r="AD1296" s="458" t="s">
        <v>3145</v>
      </c>
      <c r="AE1296" s="459">
        <v>1</v>
      </c>
      <c r="AF1296" s="699"/>
      <c r="AG1296" s="701" t="s">
        <v>376</v>
      </c>
      <c r="AH1296" s="725" t="s">
        <v>3146</v>
      </c>
      <c r="AI1296" s="697" t="s">
        <v>2363</v>
      </c>
      <c r="AJ1296" s="697" t="s">
        <v>543</v>
      </c>
    </row>
    <row r="1297" spans="1:36" ht="24" hidden="1" customHeight="1">
      <c r="B1297" s="715"/>
      <c r="C1297" s="714"/>
      <c r="D1297" s="714"/>
      <c r="E1297" s="714"/>
      <c r="F1297" s="714"/>
      <c r="G1297" s="714"/>
      <c r="H1297" s="714"/>
      <c r="I1297" s="717"/>
      <c r="J1297" s="717"/>
      <c r="K1297" s="720"/>
      <c r="L1297" s="717"/>
      <c r="M1297" s="717"/>
      <c r="N1297" s="717"/>
      <c r="O1297" s="715"/>
      <c r="P1297" s="715"/>
      <c r="Q1297" s="718"/>
      <c r="R1297" s="719"/>
      <c r="S1297" s="714"/>
      <c r="T1297" s="715"/>
      <c r="U1297" s="715"/>
      <c r="V1297" s="715"/>
      <c r="W1297" s="714"/>
      <c r="X1297" s="714"/>
      <c r="Y1297" s="714"/>
      <c r="Z1297" s="714"/>
      <c r="AA1297" s="460" t="s">
        <v>3147</v>
      </c>
      <c r="AB1297" s="461" t="s">
        <v>539</v>
      </c>
      <c r="AC1297" s="714"/>
      <c r="AD1297" s="460" t="s">
        <v>3148</v>
      </c>
      <c r="AE1297" s="461">
        <v>1</v>
      </c>
      <c r="AF1297" s="714"/>
      <c r="AG1297" s="715"/>
      <c r="AH1297" s="726"/>
      <c r="AI1297" s="711"/>
      <c r="AJ1297" s="711"/>
    </row>
    <row r="1298" spans="1:36" ht="24" hidden="1" customHeight="1">
      <c r="B1298" s="702"/>
      <c r="C1298" s="700"/>
      <c r="D1298" s="700"/>
      <c r="E1298" s="700"/>
      <c r="F1298" s="700"/>
      <c r="G1298" s="700"/>
      <c r="H1298" s="700"/>
      <c r="I1298" s="710"/>
      <c r="J1298" s="710"/>
      <c r="K1298" s="713"/>
      <c r="L1298" s="710"/>
      <c r="M1298" s="710"/>
      <c r="N1298" s="710"/>
      <c r="O1298" s="702"/>
      <c r="P1298" s="702"/>
      <c r="Q1298" s="706"/>
      <c r="R1298" s="708"/>
      <c r="S1298" s="700"/>
      <c r="T1298" s="702"/>
      <c r="U1298" s="702"/>
      <c r="V1298" s="702"/>
      <c r="W1298" s="700"/>
      <c r="X1298" s="700"/>
      <c r="Y1298" s="700"/>
      <c r="Z1298" s="700"/>
      <c r="AA1298" s="462"/>
      <c r="AB1298" s="462"/>
      <c r="AC1298" s="700"/>
      <c r="AD1298" s="462"/>
      <c r="AE1298" s="462"/>
      <c r="AF1298" s="700"/>
      <c r="AG1298" s="702"/>
      <c r="AH1298" s="727"/>
      <c r="AI1298" s="698"/>
      <c r="AJ1298" s="698"/>
    </row>
    <row r="1299" spans="1:36" ht="24" hidden="1" customHeight="1">
      <c r="B1299" s="701">
        <v>1031</v>
      </c>
      <c r="C1299" s="699" t="s">
        <v>534</v>
      </c>
      <c r="D1299" s="699"/>
      <c r="E1299" s="699" t="s">
        <v>535</v>
      </c>
      <c r="F1299" s="699"/>
      <c r="G1299" s="699" t="s">
        <v>47</v>
      </c>
      <c r="H1299" s="699" t="s">
        <v>3149</v>
      </c>
      <c r="I1299" s="712">
        <v>50000</v>
      </c>
      <c r="J1299" s="709" t="s">
        <v>537</v>
      </c>
      <c r="K1299" s="709" t="s">
        <v>537</v>
      </c>
      <c r="L1299" s="709">
        <v>0</v>
      </c>
      <c r="M1299" s="709" t="s">
        <v>537</v>
      </c>
      <c r="N1299" s="709" t="s">
        <v>537</v>
      </c>
      <c r="O1299" s="701" t="s">
        <v>537</v>
      </c>
      <c r="P1299" s="701" t="s">
        <v>537</v>
      </c>
      <c r="Q1299" s="705">
        <v>50000</v>
      </c>
      <c r="R1299" s="707">
        <v>241428</v>
      </c>
      <c r="S1299" s="699"/>
      <c r="T1299" s="701">
        <v>40</v>
      </c>
      <c r="U1299" s="701">
        <v>7</v>
      </c>
      <c r="V1299" s="701">
        <v>0</v>
      </c>
      <c r="W1299" s="699"/>
      <c r="X1299" s="699"/>
      <c r="Y1299" s="699"/>
      <c r="Z1299" s="699"/>
      <c r="AA1299" s="697" t="s">
        <v>2071</v>
      </c>
      <c r="AB1299" s="701" t="s">
        <v>539</v>
      </c>
      <c r="AC1299" s="699"/>
      <c r="AD1299" s="697" t="s">
        <v>2833</v>
      </c>
      <c r="AE1299" s="701">
        <v>80</v>
      </c>
      <c r="AF1299" s="699"/>
      <c r="AG1299" s="701" t="s">
        <v>376</v>
      </c>
      <c r="AH1299" s="725"/>
      <c r="AI1299" s="697">
        <v>841609127</v>
      </c>
      <c r="AJ1299" s="699"/>
    </row>
    <row r="1300" spans="1:36" ht="24" hidden="1" customHeight="1">
      <c r="B1300" s="702"/>
      <c r="C1300" s="700"/>
      <c r="D1300" s="700"/>
      <c r="E1300" s="700"/>
      <c r="F1300" s="700"/>
      <c r="G1300" s="700"/>
      <c r="H1300" s="700"/>
      <c r="I1300" s="713"/>
      <c r="J1300" s="710"/>
      <c r="K1300" s="710"/>
      <c r="L1300" s="710"/>
      <c r="M1300" s="710"/>
      <c r="N1300" s="710"/>
      <c r="O1300" s="702"/>
      <c r="P1300" s="702"/>
      <c r="Q1300" s="706"/>
      <c r="R1300" s="708"/>
      <c r="S1300" s="700"/>
      <c r="T1300" s="702"/>
      <c r="U1300" s="702"/>
      <c r="V1300" s="702"/>
      <c r="W1300" s="700"/>
      <c r="X1300" s="700"/>
      <c r="Y1300" s="700"/>
      <c r="Z1300" s="700"/>
      <c r="AA1300" s="698"/>
      <c r="AB1300" s="702"/>
      <c r="AC1300" s="700"/>
      <c r="AD1300" s="698"/>
      <c r="AE1300" s="702"/>
      <c r="AF1300" s="700"/>
      <c r="AG1300" s="702"/>
      <c r="AH1300" s="727"/>
      <c r="AI1300" s="698"/>
      <c r="AJ1300" s="700"/>
    </row>
    <row r="1301" spans="1:36" ht="24" hidden="1" customHeight="1">
      <c r="B1301" s="701">
        <v>1032</v>
      </c>
      <c r="C1301" s="699" t="s">
        <v>10</v>
      </c>
      <c r="D1301" s="699"/>
      <c r="E1301" s="699" t="s">
        <v>558</v>
      </c>
      <c r="F1301" s="699"/>
      <c r="G1301" s="699" t="s">
        <v>47</v>
      </c>
      <c r="H1301" s="699" t="s">
        <v>3150</v>
      </c>
      <c r="I1301" s="709" t="s">
        <v>537</v>
      </c>
      <c r="J1301" s="709" t="s">
        <v>537</v>
      </c>
      <c r="K1301" s="712">
        <v>166560</v>
      </c>
      <c r="L1301" s="709" t="s">
        <v>537</v>
      </c>
      <c r="M1301" s="709" t="s">
        <v>537</v>
      </c>
      <c r="N1301" s="709">
        <v>0</v>
      </c>
      <c r="O1301" s="701" t="s">
        <v>537</v>
      </c>
      <c r="P1301" s="701" t="s">
        <v>537</v>
      </c>
      <c r="Q1301" s="705">
        <v>166560</v>
      </c>
      <c r="R1301" s="707">
        <v>241397</v>
      </c>
      <c r="S1301" s="699"/>
      <c r="T1301" s="701">
        <v>27</v>
      </c>
      <c r="U1301" s="701">
        <v>14</v>
      </c>
      <c r="V1301" s="701">
        <v>0</v>
      </c>
      <c r="W1301" s="699"/>
      <c r="X1301" s="699"/>
      <c r="Y1301" s="699"/>
      <c r="Z1301" s="699"/>
      <c r="AA1301" s="458" t="s">
        <v>3151</v>
      </c>
      <c r="AB1301" s="459">
        <v>80</v>
      </c>
      <c r="AC1301" s="699"/>
      <c r="AD1301" s="697" t="s">
        <v>3152</v>
      </c>
      <c r="AE1301" s="701" t="s">
        <v>539</v>
      </c>
      <c r="AF1301" s="699"/>
      <c r="AG1301" s="701" t="s">
        <v>376</v>
      </c>
      <c r="AH1301" s="725"/>
      <c r="AI1301" s="697">
        <v>819691032</v>
      </c>
      <c r="AJ1301" s="697" t="s">
        <v>562</v>
      </c>
    </row>
    <row r="1302" spans="1:36" ht="24" hidden="1" customHeight="1">
      <c r="B1302" s="715"/>
      <c r="C1302" s="714"/>
      <c r="D1302" s="714"/>
      <c r="E1302" s="714"/>
      <c r="F1302" s="714"/>
      <c r="G1302" s="714"/>
      <c r="H1302" s="714"/>
      <c r="I1302" s="717"/>
      <c r="J1302" s="717"/>
      <c r="K1302" s="720"/>
      <c r="L1302" s="717"/>
      <c r="M1302" s="717"/>
      <c r="N1302" s="717"/>
      <c r="O1302" s="715"/>
      <c r="P1302" s="715"/>
      <c r="Q1302" s="718"/>
      <c r="R1302" s="719"/>
      <c r="S1302" s="714"/>
      <c r="T1302" s="715"/>
      <c r="U1302" s="715"/>
      <c r="V1302" s="715"/>
      <c r="W1302" s="714"/>
      <c r="X1302" s="714"/>
      <c r="Y1302" s="714"/>
      <c r="Z1302" s="714"/>
      <c r="AA1302" s="460" t="s">
        <v>3153</v>
      </c>
      <c r="AB1302" s="461" t="s">
        <v>539</v>
      </c>
      <c r="AC1302" s="714"/>
      <c r="AD1302" s="711"/>
      <c r="AE1302" s="715"/>
      <c r="AF1302" s="714"/>
      <c r="AG1302" s="715"/>
      <c r="AH1302" s="726"/>
      <c r="AI1302" s="711"/>
      <c r="AJ1302" s="711"/>
    </row>
    <row r="1303" spans="1:36" ht="24" hidden="1" customHeight="1">
      <c r="B1303" s="702"/>
      <c r="C1303" s="700"/>
      <c r="D1303" s="700"/>
      <c r="E1303" s="700"/>
      <c r="F1303" s="700"/>
      <c r="G1303" s="700"/>
      <c r="H1303" s="700"/>
      <c r="I1303" s="710"/>
      <c r="J1303" s="710"/>
      <c r="K1303" s="713"/>
      <c r="L1303" s="710"/>
      <c r="M1303" s="710"/>
      <c r="N1303" s="710"/>
      <c r="O1303" s="702"/>
      <c r="P1303" s="702"/>
      <c r="Q1303" s="706"/>
      <c r="R1303" s="708"/>
      <c r="S1303" s="700"/>
      <c r="T1303" s="702"/>
      <c r="U1303" s="702"/>
      <c r="V1303" s="702"/>
      <c r="W1303" s="700"/>
      <c r="X1303" s="700"/>
      <c r="Y1303" s="700"/>
      <c r="Z1303" s="700"/>
      <c r="AA1303" s="462"/>
      <c r="AB1303" s="462"/>
      <c r="AC1303" s="700"/>
      <c r="AD1303" s="698"/>
      <c r="AE1303" s="702"/>
      <c r="AF1303" s="700"/>
      <c r="AG1303" s="702"/>
      <c r="AH1303" s="727"/>
      <c r="AI1303" s="698"/>
      <c r="AJ1303" s="698"/>
    </row>
    <row r="1304" spans="1:36" ht="24" hidden="1" customHeight="1">
      <c r="B1304" s="701">
        <v>1033</v>
      </c>
      <c r="C1304" s="699" t="s">
        <v>534</v>
      </c>
      <c r="D1304" s="699" t="s">
        <v>544</v>
      </c>
      <c r="E1304" s="699" t="s">
        <v>535</v>
      </c>
      <c r="F1304" s="699"/>
      <c r="G1304" s="699" t="s">
        <v>270</v>
      </c>
      <c r="H1304" s="699" t="s">
        <v>3154</v>
      </c>
      <c r="I1304" s="709" t="s">
        <v>537</v>
      </c>
      <c r="J1304" s="712">
        <v>40000</v>
      </c>
      <c r="K1304" s="709" t="s">
        <v>537</v>
      </c>
      <c r="L1304" s="709" t="s">
        <v>537</v>
      </c>
      <c r="M1304" s="709">
        <v>0</v>
      </c>
      <c r="N1304" s="709" t="s">
        <v>537</v>
      </c>
      <c r="O1304" s="701" t="s">
        <v>537</v>
      </c>
      <c r="P1304" s="701" t="s">
        <v>537</v>
      </c>
      <c r="Q1304" s="705">
        <v>40000</v>
      </c>
      <c r="R1304" s="701" t="s">
        <v>643</v>
      </c>
      <c r="S1304" s="699"/>
      <c r="T1304" s="701">
        <v>0</v>
      </c>
      <c r="U1304" s="701">
        <v>35</v>
      </c>
      <c r="V1304" s="701">
        <v>0</v>
      </c>
      <c r="W1304" s="699"/>
      <c r="X1304" s="699"/>
      <c r="Y1304" s="699"/>
      <c r="Z1304" s="699"/>
      <c r="AA1304" s="697" t="s">
        <v>547</v>
      </c>
      <c r="AB1304" s="701" t="s">
        <v>539</v>
      </c>
      <c r="AC1304" s="699"/>
      <c r="AD1304" s="697" t="s">
        <v>548</v>
      </c>
      <c r="AE1304" s="701">
        <v>80</v>
      </c>
      <c r="AF1304" s="699"/>
      <c r="AG1304" s="701" t="s">
        <v>376</v>
      </c>
      <c r="AH1304" s="703" t="s">
        <v>3155</v>
      </c>
      <c r="AI1304" s="697" t="s">
        <v>3156</v>
      </c>
      <c r="AJ1304" s="699"/>
    </row>
    <row r="1305" spans="1:36" ht="24" hidden="1" customHeight="1">
      <c r="B1305" s="702"/>
      <c r="C1305" s="700"/>
      <c r="D1305" s="700"/>
      <c r="E1305" s="700"/>
      <c r="F1305" s="700"/>
      <c r="G1305" s="700"/>
      <c r="H1305" s="700"/>
      <c r="I1305" s="710"/>
      <c r="J1305" s="713"/>
      <c r="K1305" s="710"/>
      <c r="L1305" s="710"/>
      <c r="M1305" s="710"/>
      <c r="N1305" s="710"/>
      <c r="O1305" s="702"/>
      <c r="P1305" s="702"/>
      <c r="Q1305" s="706"/>
      <c r="R1305" s="702"/>
      <c r="S1305" s="700"/>
      <c r="T1305" s="702"/>
      <c r="U1305" s="702"/>
      <c r="V1305" s="702"/>
      <c r="W1305" s="700"/>
      <c r="X1305" s="700"/>
      <c r="Y1305" s="700"/>
      <c r="Z1305" s="700"/>
      <c r="AA1305" s="698"/>
      <c r="AB1305" s="702"/>
      <c r="AC1305" s="700"/>
      <c r="AD1305" s="698"/>
      <c r="AE1305" s="702"/>
      <c r="AF1305" s="700"/>
      <c r="AG1305" s="702"/>
      <c r="AH1305" s="704"/>
      <c r="AI1305" s="698"/>
      <c r="AJ1305" s="700"/>
    </row>
    <row r="1306" spans="1:36" ht="24" hidden="1" customHeight="1">
      <c r="B1306" s="701">
        <v>1034</v>
      </c>
      <c r="C1306" s="699" t="s">
        <v>534</v>
      </c>
      <c r="D1306" s="699"/>
      <c r="E1306" s="699" t="s">
        <v>535</v>
      </c>
      <c r="F1306" s="699"/>
      <c r="G1306" s="699" t="s">
        <v>58</v>
      </c>
      <c r="H1306" s="699" t="s">
        <v>3157</v>
      </c>
      <c r="I1306" s="709" t="s">
        <v>537</v>
      </c>
      <c r="J1306" s="709" t="s">
        <v>537</v>
      </c>
      <c r="K1306" s="712">
        <v>30000</v>
      </c>
      <c r="L1306" s="709" t="s">
        <v>537</v>
      </c>
      <c r="M1306" s="709" t="s">
        <v>537</v>
      </c>
      <c r="N1306" s="709">
        <v>0</v>
      </c>
      <c r="O1306" s="701" t="s">
        <v>537</v>
      </c>
      <c r="P1306" s="701" t="s">
        <v>537</v>
      </c>
      <c r="Q1306" s="705">
        <v>30000</v>
      </c>
      <c r="R1306" s="707">
        <v>241459</v>
      </c>
      <c r="S1306" s="699"/>
      <c r="T1306" s="701">
        <v>0</v>
      </c>
      <c r="U1306" s="701">
        <v>33</v>
      </c>
      <c r="V1306" s="701">
        <v>0</v>
      </c>
      <c r="W1306" s="699"/>
      <c r="X1306" s="699"/>
      <c r="Y1306" s="699"/>
      <c r="Z1306" s="699"/>
      <c r="AA1306" s="697" t="s">
        <v>547</v>
      </c>
      <c r="AB1306" s="701" t="s">
        <v>539</v>
      </c>
      <c r="AC1306" s="699"/>
      <c r="AD1306" s="697" t="s">
        <v>548</v>
      </c>
      <c r="AE1306" s="701">
        <v>80</v>
      </c>
      <c r="AF1306" s="699"/>
      <c r="AG1306" s="701" t="s">
        <v>376</v>
      </c>
      <c r="AH1306" s="703"/>
      <c r="AI1306" s="699"/>
      <c r="AJ1306" s="697" t="s">
        <v>543</v>
      </c>
    </row>
    <row r="1307" spans="1:36" ht="24" hidden="1" customHeight="1">
      <c r="B1307" s="702"/>
      <c r="C1307" s="700"/>
      <c r="D1307" s="700"/>
      <c r="E1307" s="700"/>
      <c r="F1307" s="700"/>
      <c r="G1307" s="700"/>
      <c r="H1307" s="700"/>
      <c r="I1307" s="710"/>
      <c r="J1307" s="710"/>
      <c r="K1307" s="713"/>
      <c r="L1307" s="710"/>
      <c r="M1307" s="710"/>
      <c r="N1307" s="710"/>
      <c r="O1307" s="702"/>
      <c r="P1307" s="702"/>
      <c r="Q1307" s="706"/>
      <c r="R1307" s="708"/>
      <c r="S1307" s="700"/>
      <c r="T1307" s="702"/>
      <c r="U1307" s="702"/>
      <c r="V1307" s="702"/>
      <c r="W1307" s="700"/>
      <c r="X1307" s="700"/>
      <c r="Y1307" s="700"/>
      <c r="Z1307" s="700"/>
      <c r="AA1307" s="698"/>
      <c r="AB1307" s="702"/>
      <c r="AC1307" s="700"/>
      <c r="AD1307" s="698"/>
      <c r="AE1307" s="702"/>
      <c r="AF1307" s="700"/>
      <c r="AG1307" s="702"/>
      <c r="AH1307" s="704"/>
      <c r="AI1307" s="700"/>
      <c r="AJ1307" s="698"/>
    </row>
    <row r="1308" spans="1:36" ht="24" hidden="1" customHeight="1">
      <c r="B1308" s="701">
        <v>1035</v>
      </c>
      <c r="C1308" s="699" t="s">
        <v>534</v>
      </c>
      <c r="D1308" s="699"/>
      <c r="E1308" s="699" t="s">
        <v>535</v>
      </c>
      <c r="F1308" s="699"/>
      <c r="G1308" s="699" t="s">
        <v>58</v>
      </c>
      <c r="H1308" s="699" t="s">
        <v>3158</v>
      </c>
      <c r="I1308" s="709" t="s">
        <v>537</v>
      </c>
      <c r="J1308" s="709" t="s">
        <v>537</v>
      </c>
      <c r="K1308" s="712">
        <v>30000</v>
      </c>
      <c r="L1308" s="709" t="s">
        <v>537</v>
      </c>
      <c r="M1308" s="709" t="s">
        <v>537</v>
      </c>
      <c r="N1308" s="709">
        <v>0</v>
      </c>
      <c r="O1308" s="701" t="s">
        <v>537</v>
      </c>
      <c r="P1308" s="701" t="s">
        <v>537</v>
      </c>
      <c r="Q1308" s="705">
        <v>30000</v>
      </c>
      <c r="R1308" s="707">
        <v>241459</v>
      </c>
      <c r="S1308" s="699"/>
      <c r="T1308" s="701">
        <v>75</v>
      </c>
      <c r="U1308" s="701">
        <v>15</v>
      </c>
      <c r="V1308" s="701">
        <v>20</v>
      </c>
      <c r="W1308" s="699"/>
      <c r="X1308" s="699"/>
      <c r="Y1308" s="699"/>
      <c r="Z1308" s="699"/>
      <c r="AA1308" s="697" t="s">
        <v>3159</v>
      </c>
      <c r="AB1308" s="701">
        <v>5</v>
      </c>
      <c r="AC1308" s="699"/>
      <c r="AD1308" s="697" t="s">
        <v>729</v>
      </c>
      <c r="AE1308" s="701">
        <v>1</v>
      </c>
      <c r="AF1308" s="699"/>
      <c r="AG1308" s="701" t="s">
        <v>376</v>
      </c>
      <c r="AH1308" s="703"/>
      <c r="AI1308" s="699"/>
      <c r="AJ1308" s="697" t="s">
        <v>543</v>
      </c>
    </row>
    <row r="1309" spans="1:36" ht="24" hidden="1" customHeight="1">
      <c r="B1309" s="702"/>
      <c r="C1309" s="700"/>
      <c r="D1309" s="700"/>
      <c r="E1309" s="700"/>
      <c r="F1309" s="700"/>
      <c r="G1309" s="700"/>
      <c r="H1309" s="700"/>
      <c r="I1309" s="710"/>
      <c r="J1309" s="710"/>
      <c r="K1309" s="713"/>
      <c r="L1309" s="710"/>
      <c r="M1309" s="710"/>
      <c r="N1309" s="710"/>
      <c r="O1309" s="702"/>
      <c r="P1309" s="702"/>
      <c r="Q1309" s="706"/>
      <c r="R1309" s="708"/>
      <c r="S1309" s="700"/>
      <c r="T1309" s="702"/>
      <c r="U1309" s="702"/>
      <c r="V1309" s="702"/>
      <c r="W1309" s="700"/>
      <c r="X1309" s="700"/>
      <c r="Y1309" s="700"/>
      <c r="Z1309" s="700"/>
      <c r="AA1309" s="698"/>
      <c r="AB1309" s="702"/>
      <c r="AC1309" s="700"/>
      <c r="AD1309" s="698"/>
      <c r="AE1309" s="702"/>
      <c r="AF1309" s="700"/>
      <c r="AG1309" s="702"/>
      <c r="AH1309" s="704"/>
      <c r="AI1309" s="700"/>
      <c r="AJ1309" s="698"/>
    </row>
    <row r="1310" spans="1:36" ht="24" hidden="1" customHeight="1">
      <c r="B1310" s="701">
        <v>1036</v>
      </c>
      <c r="C1310" s="699" t="s">
        <v>534</v>
      </c>
      <c r="D1310" s="699"/>
      <c r="E1310" s="699" t="s">
        <v>535</v>
      </c>
      <c r="F1310" s="699"/>
      <c r="G1310" s="699" t="s">
        <v>186</v>
      </c>
      <c r="H1310" s="699" t="s">
        <v>3160</v>
      </c>
      <c r="I1310" s="709" t="s">
        <v>537</v>
      </c>
      <c r="J1310" s="709" t="s">
        <v>537</v>
      </c>
      <c r="K1310" s="712">
        <v>144000</v>
      </c>
      <c r="L1310" s="709" t="s">
        <v>537</v>
      </c>
      <c r="M1310" s="709" t="s">
        <v>537</v>
      </c>
      <c r="N1310" s="709">
        <v>0</v>
      </c>
      <c r="O1310" s="701" t="s">
        <v>537</v>
      </c>
      <c r="P1310" s="701" t="s">
        <v>537</v>
      </c>
      <c r="Q1310" s="705">
        <v>144000</v>
      </c>
      <c r="R1310" s="707">
        <v>241609</v>
      </c>
      <c r="S1310" s="699"/>
      <c r="T1310" s="701">
        <v>0</v>
      </c>
      <c r="U1310" s="701">
        <v>130</v>
      </c>
      <c r="V1310" s="701">
        <v>0</v>
      </c>
      <c r="W1310" s="699"/>
      <c r="X1310" s="699"/>
      <c r="Y1310" s="699"/>
      <c r="Z1310" s="699"/>
      <c r="AA1310" s="697" t="s">
        <v>3161</v>
      </c>
      <c r="AB1310" s="701">
        <v>80</v>
      </c>
      <c r="AC1310" s="699"/>
      <c r="AD1310" s="697" t="s">
        <v>3162</v>
      </c>
      <c r="AE1310" s="701">
        <v>80</v>
      </c>
      <c r="AF1310" s="699"/>
      <c r="AG1310" s="701" t="s">
        <v>376</v>
      </c>
      <c r="AH1310" s="703"/>
      <c r="AI1310" s="699"/>
      <c r="AJ1310" s="697" t="s">
        <v>543</v>
      </c>
    </row>
    <row r="1311" spans="1:36" ht="24" hidden="1" customHeight="1">
      <c r="B1311" s="702"/>
      <c r="C1311" s="700"/>
      <c r="D1311" s="700"/>
      <c r="E1311" s="700"/>
      <c r="F1311" s="700"/>
      <c r="G1311" s="700"/>
      <c r="H1311" s="700"/>
      <c r="I1311" s="710"/>
      <c r="J1311" s="710"/>
      <c r="K1311" s="713"/>
      <c r="L1311" s="710"/>
      <c r="M1311" s="710"/>
      <c r="N1311" s="710"/>
      <c r="O1311" s="702"/>
      <c r="P1311" s="702"/>
      <c r="Q1311" s="706"/>
      <c r="R1311" s="708"/>
      <c r="S1311" s="700"/>
      <c r="T1311" s="702"/>
      <c r="U1311" s="702"/>
      <c r="V1311" s="702"/>
      <c r="W1311" s="700"/>
      <c r="X1311" s="700"/>
      <c r="Y1311" s="700"/>
      <c r="Z1311" s="700"/>
      <c r="AA1311" s="698"/>
      <c r="AB1311" s="702"/>
      <c r="AC1311" s="700"/>
      <c r="AD1311" s="698"/>
      <c r="AE1311" s="702"/>
      <c r="AF1311" s="700"/>
      <c r="AG1311" s="702"/>
      <c r="AH1311" s="704"/>
      <c r="AI1311" s="700"/>
      <c r="AJ1311" s="698"/>
    </row>
    <row r="1312" spans="1:36" ht="24" customHeight="1" thickTop="1">
      <c r="A1312" s="452">
        <v>114</v>
      </c>
      <c r="B1312" s="701">
        <v>1037</v>
      </c>
      <c r="C1312" s="699" t="s">
        <v>377</v>
      </c>
      <c r="D1312" s="699"/>
      <c r="E1312" s="699" t="s">
        <v>602</v>
      </c>
      <c r="F1312" s="699"/>
      <c r="G1312" s="699" t="s">
        <v>186</v>
      </c>
      <c r="H1312" s="699" t="s">
        <v>3163</v>
      </c>
      <c r="I1312" s="712">
        <v>11000</v>
      </c>
      <c r="J1312" s="709" t="s">
        <v>537</v>
      </c>
      <c r="K1312" s="709" t="s">
        <v>537</v>
      </c>
      <c r="L1312" s="709">
        <v>0</v>
      </c>
      <c r="M1312" s="709" t="s">
        <v>537</v>
      </c>
      <c r="N1312" s="709" t="s">
        <v>537</v>
      </c>
      <c r="O1312" s="701" t="s">
        <v>537</v>
      </c>
      <c r="P1312" s="701" t="s">
        <v>537</v>
      </c>
      <c r="Q1312" s="705">
        <v>11000</v>
      </c>
      <c r="R1312" s="707">
        <v>241518</v>
      </c>
      <c r="S1312" s="699"/>
      <c r="T1312" s="701">
        <v>0</v>
      </c>
      <c r="U1312" s="701">
        <v>254</v>
      </c>
      <c r="V1312" s="701">
        <v>0</v>
      </c>
      <c r="W1312" s="699"/>
      <c r="X1312" s="699"/>
      <c r="Y1312" s="699"/>
      <c r="Z1312" s="699"/>
      <c r="AA1312" s="697" t="s">
        <v>612</v>
      </c>
      <c r="AB1312" s="701" t="s">
        <v>539</v>
      </c>
      <c r="AC1312" s="699"/>
      <c r="AD1312" s="697" t="s">
        <v>993</v>
      </c>
      <c r="AE1312" s="701">
        <v>80</v>
      </c>
      <c r="AF1312" s="699"/>
      <c r="AG1312" s="701" t="s">
        <v>376</v>
      </c>
      <c r="AH1312" s="703"/>
      <c r="AI1312" s="699"/>
      <c r="AJ1312" s="699"/>
    </row>
    <row r="1313" spans="1:36" ht="24" hidden="1" customHeight="1">
      <c r="B1313" s="702"/>
      <c r="C1313" s="700"/>
      <c r="D1313" s="700"/>
      <c r="E1313" s="700"/>
      <c r="F1313" s="700"/>
      <c r="G1313" s="700"/>
      <c r="H1313" s="700"/>
      <c r="I1313" s="713"/>
      <c r="J1313" s="710"/>
      <c r="K1313" s="710"/>
      <c r="L1313" s="710"/>
      <c r="M1313" s="710"/>
      <c r="N1313" s="710"/>
      <c r="O1313" s="702"/>
      <c r="P1313" s="702"/>
      <c r="Q1313" s="706"/>
      <c r="R1313" s="708"/>
      <c r="S1313" s="700"/>
      <c r="T1313" s="702"/>
      <c r="U1313" s="702"/>
      <c r="V1313" s="702"/>
      <c r="W1313" s="700"/>
      <c r="X1313" s="700"/>
      <c r="Y1313" s="700"/>
      <c r="Z1313" s="700"/>
      <c r="AA1313" s="698"/>
      <c r="AB1313" s="702"/>
      <c r="AC1313" s="700"/>
      <c r="AD1313" s="698"/>
      <c r="AE1313" s="702"/>
      <c r="AF1313" s="700"/>
      <c r="AG1313" s="702"/>
      <c r="AH1313" s="704"/>
      <c r="AI1313" s="700"/>
      <c r="AJ1313" s="700"/>
    </row>
    <row r="1314" spans="1:36" ht="24" customHeight="1">
      <c r="A1314" s="452">
        <v>115</v>
      </c>
      <c r="B1314" s="701">
        <v>1038</v>
      </c>
      <c r="C1314" s="699" t="s">
        <v>377</v>
      </c>
      <c r="D1314" s="699"/>
      <c r="E1314" s="699" t="s">
        <v>602</v>
      </c>
      <c r="F1314" s="699"/>
      <c r="G1314" s="699" t="s">
        <v>59</v>
      </c>
      <c r="H1314" s="699" t="s">
        <v>3164</v>
      </c>
      <c r="I1314" s="712">
        <v>50000</v>
      </c>
      <c r="J1314" s="709" t="s">
        <v>537</v>
      </c>
      <c r="K1314" s="709" t="s">
        <v>537</v>
      </c>
      <c r="L1314" s="709">
        <v>0</v>
      </c>
      <c r="M1314" s="709" t="s">
        <v>537</v>
      </c>
      <c r="N1314" s="709" t="s">
        <v>537</v>
      </c>
      <c r="O1314" s="701" t="s">
        <v>537</v>
      </c>
      <c r="P1314" s="701" t="s">
        <v>537</v>
      </c>
      <c r="Q1314" s="705">
        <v>50000</v>
      </c>
      <c r="R1314" s="707">
        <v>241671</v>
      </c>
      <c r="S1314" s="699"/>
      <c r="T1314" s="701">
        <v>28</v>
      </c>
      <c r="U1314" s="701">
        <v>22</v>
      </c>
      <c r="V1314" s="701">
        <v>0</v>
      </c>
      <c r="W1314" s="699"/>
      <c r="X1314" s="699"/>
      <c r="Y1314" s="699"/>
      <c r="Z1314" s="699"/>
      <c r="AA1314" s="697" t="s">
        <v>619</v>
      </c>
      <c r="AB1314" s="701" t="s">
        <v>539</v>
      </c>
      <c r="AC1314" s="699"/>
      <c r="AD1314" s="697" t="s">
        <v>565</v>
      </c>
      <c r="AE1314" s="701">
        <v>80</v>
      </c>
      <c r="AF1314" s="699"/>
      <c r="AG1314" s="701" t="s">
        <v>376</v>
      </c>
      <c r="AH1314" s="703"/>
      <c r="AI1314" s="697" t="s">
        <v>1239</v>
      </c>
      <c r="AJ1314" s="699"/>
    </row>
    <row r="1315" spans="1:36" ht="24" hidden="1" customHeight="1">
      <c r="B1315" s="702"/>
      <c r="C1315" s="700"/>
      <c r="D1315" s="700"/>
      <c r="E1315" s="700"/>
      <c r="F1315" s="700"/>
      <c r="G1315" s="700"/>
      <c r="H1315" s="700"/>
      <c r="I1315" s="713"/>
      <c r="J1315" s="710"/>
      <c r="K1315" s="710"/>
      <c r="L1315" s="710"/>
      <c r="M1315" s="710"/>
      <c r="N1315" s="710"/>
      <c r="O1315" s="702"/>
      <c r="P1315" s="702"/>
      <c r="Q1315" s="706"/>
      <c r="R1315" s="708"/>
      <c r="S1315" s="700"/>
      <c r="T1315" s="702"/>
      <c r="U1315" s="702"/>
      <c r="V1315" s="702"/>
      <c r="W1315" s="700"/>
      <c r="X1315" s="700"/>
      <c r="Y1315" s="700"/>
      <c r="Z1315" s="700"/>
      <c r="AA1315" s="698"/>
      <c r="AB1315" s="702"/>
      <c r="AC1315" s="700"/>
      <c r="AD1315" s="698"/>
      <c r="AE1315" s="702"/>
      <c r="AF1315" s="700"/>
      <c r="AG1315" s="702"/>
      <c r="AH1315" s="704"/>
      <c r="AI1315" s="698"/>
      <c r="AJ1315" s="700"/>
    </row>
    <row r="1316" spans="1:36" ht="24" customHeight="1">
      <c r="A1316" s="452">
        <v>116</v>
      </c>
      <c r="B1316" s="701">
        <v>1039</v>
      </c>
      <c r="C1316" s="699" t="s">
        <v>377</v>
      </c>
      <c r="D1316" s="699"/>
      <c r="E1316" s="699" t="s">
        <v>602</v>
      </c>
      <c r="F1316" s="699"/>
      <c r="G1316" s="699" t="s">
        <v>59</v>
      </c>
      <c r="H1316" s="699" t="s">
        <v>3165</v>
      </c>
      <c r="I1316" s="712">
        <v>50000</v>
      </c>
      <c r="J1316" s="709" t="s">
        <v>537</v>
      </c>
      <c r="K1316" s="709" t="s">
        <v>537</v>
      </c>
      <c r="L1316" s="709">
        <v>0</v>
      </c>
      <c r="M1316" s="709" t="s">
        <v>537</v>
      </c>
      <c r="N1316" s="709" t="s">
        <v>537</v>
      </c>
      <c r="O1316" s="701" t="s">
        <v>537</v>
      </c>
      <c r="P1316" s="701" t="s">
        <v>537</v>
      </c>
      <c r="Q1316" s="705">
        <v>50000</v>
      </c>
      <c r="R1316" s="701" t="s">
        <v>1342</v>
      </c>
      <c r="S1316" s="699"/>
      <c r="T1316" s="701">
        <v>0</v>
      </c>
      <c r="U1316" s="701">
        <v>80</v>
      </c>
      <c r="V1316" s="701">
        <v>0</v>
      </c>
      <c r="W1316" s="699"/>
      <c r="X1316" s="699"/>
      <c r="Y1316" s="699"/>
      <c r="Z1316" s="699"/>
      <c r="AA1316" s="697" t="s">
        <v>3166</v>
      </c>
      <c r="AB1316" s="701" t="s">
        <v>539</v>
      </c>
      <c r="AC1316" s="699"/>
      <c r="AD1316" s="697" t="s">
        <v>565</v>
      </c>
      <c r="AE1316" s="701">
        <v>80</v>
      </c>
      <c r="AF1316" s="699"/>
      <c r="AG1316" s="701" t="s">
        <v>376</v>
      </c>
      <c r="AH1316" s="703"/>
      <c r="AI1316" s="697" t="s">
        <v>1374</v>
      </c>
      <c r="AJ1316" s="699"/>
    </row>
    <row r="1317" spans="1:36" ht="24" hidden="1" customHeight="1">
      <c r="B1317" s="702"/>
      <c r="C1317" s="700"/>
      <c r="D1317" s="700"/>
      <c r="E1317" s="700"/>
      <c r="F1317" s="700"/>
      <c r="G1317" s="700"/>
      <c r="H1317" s="700"/>
      <c r="I1317" s="713"/>
      <c r="J1317" s="710"/>
      <c r="K1317" s="710"/>
      <c r="L1317" s="710"/>
      <c r="M1317" s="710"/>
      <c r="N1317" s="710"/>
      <c r="O1317" s="702"/>
      <c r="P1317" s="702"/>
      <c r="Q1317" s="706"/>
      <c r="R1317" s="702"/>
      <c r="S1317" s="700"/>
      <c r="T1317" s="702"/>
      <c r="U1317" s="702"/>
      <c r="V1317" s="702"/>
      <c r="W1317" s="700"/>
      <c r="X1317" s="700"/>
      <c r="Y1317" s="700"/>
      <c r="Z1317" s="700"/>
      <c r="AA1317" s="698"/>
      <c r="AB1317" s="702"/>
      <c r="AC1317" s="700"/>
      <c r="AD1317" s="698"/>
      <c r="AE1317" s="702"/>
      <c r="AF1317" s="700"/>
      <c r="AG1317" s="702"/>
      <c r="AH1317" s="704"/>
      <c r="AI1317" s="698"/>
      <c r="AJ1317" s="700"/>
    </row>
    <row r="1318" spans="1:36" ht="24" hidden="1" customHeight="1">
      <c r="B1318" s="701">
        <v>1040</v>
      </c>
      <c r="C1318" s="699" t="s">
        <v>534</v>
      </c>
      <c r="D1318" s="699"/>
      <c r="E1318" s="699" t="s">
        <v>535</v>
      </c>
      <c r="F1318" s="699"/>
      <c r="G1318" s="699" t="s">
        <v>59</v>
      </c>
      <c r="H1318" s="699" t="s">
        <v>3167</v>
      </c>
      <c r="I1318" s="709" t="s">
        <v>537</v>
      </c>
      <c r="J1318" s="712">
        <v>3500</v>
      </c>
      <c r="K1318" s="709" t="s">
        <v>537</v>
      </c>
      <c r="L1318" s="709" t="s">
        <v>537</v>
      </c>
      <c r="M1318" s="709">
        <v>0</v>
      </c>
      <c r="N1318" s="709" t="s">
        <v>537</v>
      </c>
      <c r="O1318" s="701" t="s">
        <v>537</v>
      </c>
      <c r="P1318" s="701" t="s">
        <v>537</v>
      </c>
      <c r="Q1318" s="705">
        <v>3500</v>
      </c>
      <c r="R1318" s="707">
        <v>241579</v>
      </c>
      <c r="S1318" s="699"/>
      <c r="T1318" s="701">
        <v>4</v>
      </c>
      <c r="U1318" s="701">
        <v>36</v>
      </c>
      <c r="V1318" s="701">
        <v>0</v>
      </c>
      <c r="W1318" s="699"/>
      <c r="X1318" s="699"/>
      <c r="Y1318" s="699"/>
      <c r="Z1318" s="699"/>
      <c r="AA1318" s="697" t="s">
        <v>1296</v>
      </c>
      <c r="AB1318" s="701">
        <v>1</v>
      </c>
      <c r="AC1318" s="699"/>
      <c r="AD1318" s="697" t="s">
        <v>651</v>
      </c>
      <c r="AE1318" s="701">
        <v>1</v>
      </c>
      <c r="AF1318" s="699"/>
      <c r="AG1318" s="701" t="s">
        <v>376</v>
      </c>
      <c r="AH1318" s="703"/>
      <c r="AI1318" s="697" t="s">
        <v>1260</v>
      </c>
      <c r="AJ1318" s="699"/>
    </row>
    <row r="1319" spans="1:36" ht="24" hidden="1" customHeight="1">
      <c r="B1319" s="702"/>
      <c r="C1319" s="700"/>
      <c r="D1319" s="700"/>
      <c r="E1319" s="700"/>
      <c r="F1319" s="700"/>
      <c r="G1319" s="700"/>
      <c r="H1319" s="700"/>
      <c r="I1319" s="710"/>
      <c r="J1319" s="713"/>
      <c r="K1319" s="710"/>
      <c r="L1319" s="710"/>
      <c r="M1319" s="710"/>
      <c r="N1319" s="710"/>
      <c r="O1319" s="702"/>
      <c r="P1319" s="702"/>
      <c r="Q1319" s="706"/>
      <c r="R1319" s="708"/>
      <c r="S1319" s="700"/>
      <c r="T1319" s="702"/>
      <c r="U1319" s="702"/>
      <c r="V1319" s="702"/>
      <c r="W1319" s="700"/>
      <c r="X1319" s="700"/>
      <c r="Y1319" s="700"/>
      <c r="Z1319" s="700"/>
      <c r="AA1319" s="698"/>
      <c r="AB1319" s="702"/>
      <c r="AC1319" s="700"/>
      <c r="AD1319" s="698"/>
      <c r="AE1319" s="702"/>
      <c r="AF1319" s="700"/>
      <c r="AG1319" s="702"/>
      <c r="AH1319" s="704"/>
      <c r="AI1319" s="698"/>
      <c r="AJ1319" s="700"/>
    </row>
    <row r="1320" spans="1:36" ht="24" hidden="1" customHeight="1">
      <c r="B1320" s="701">
        <v>1041</v>
      </c>
      <c r="C1320" s="699" t="s">
        <v>534</v>
      </c>
      <c r="D1320" s="699"/>
      <c r="E1320" s="699" t="s">
        <v>535</v>
      </c>
      <c r="F1320" s="699"/>
      <c r="G1320" s="699" t="s">
        <v>59</v>
      </c>
      <c r="H1320" s="699" t="s">
        <v>3168</v>
      </c>
      <c r="I1320" s="709" t="s">
        <v>537</v>
      </c>
      <c r="J1320" s="712">
        <v>3500</v>
      </c>
      <c r="K1320" s="709" t="s">
        <v>537</v>
      </c>
      <c r="L1320" s="709" t="s">
        <v>537</v>
      </c>
      <c r="M1320" s="709">
        <v>0</v>
      </c>
      <c r="N1320" s="709" t="s">
        <v>537</v>
      </c>
      <c r="O1320" s="701" t="s">
        <v>537</v>
      </c>
      <c r="P1320" s="701" t="s">
        <v>537</v>
      </c>
      <c r="Q1320" s="705">
        <v>3500</v>
      </c>
      <c r="R1320" s="707">
        <v>241640</v>
      </c>
      <c r="S1320" s="699"/>
      <c r="T1320" s="701">
        <v>4</v>
      </c>
      <c r="U1320" s="701">
        <v>36</v>
      </c>
      <c r="V1320" s="701">
        <v>0</v>
      </c>
      <c r="W1320" s="699"/>
      <c r="X1320" s="699"/>
      <c r="Y1320" s="699"/>
      <c r="Z1320" s="699"/>
      <c r="AA1320" s="697" t="s">
        <v>1296</v>
      </c>
      <c r="AB1320" s="701">
        <v>1</v>
      </c>
      <c r="AC1320" s="699"/>
      <c r="AD1320" s="697" t="s">
        <v>651</v>
      </c>
      <c r="AE1320" s="701">
        <v>1</v>
      </c>
      <c r="AF1320" s="699"/>
      <c r="AG1320" s="701" t="s">
        <v>376</v>
      </c>
      <c r="AH1320" s="703"/>
      <c r="AI1320" s="697" t="s">
        <v>1260</v>
      </c>
      <c r="AJ1320" s="699"/>
    </row>
    <row r="1321" spans="1:36" ht="24" hidden="1" customHeight="1">
      <c r="B1321" s="702"/>
      <c r="C1321" s="700"/>
      <c r="D1321" s="700"/>
      <c r="E1321" s="700"/>
      <c r="F1321" s="700"/>
      <c r="G1321" s="700"/>
      <c r="H1321" s="700"/>
      <c r="I1321" s="710"/>
      <c r="J1321" s="713"/>
      <c r="K1321" s="710"/>
      <c r="L1321" s="710"/>
      <c r="M1321" s="710"/>
      <c r="N1321" s="710"/>
      <c r="O1321" s="702"/>
      <c r="P1321" s="702"/>
      <c r="Q1321" s="706"/>
      <c r="R1321" s="708"/>
      <c r="S1321" s="700"/>
      <c r="T1321" s="702"/>
      <c r="U1321" s="702"/>
      <c r="V1321" s="702"/>
      <c r="W1321" s="700"/>
      <c r="X1321" s="700"/>
      <c r="Y1321" s="700"/>
      <c r="Z1321" s="700"/>
      <c r="AA1321" s="698"/>
      <c r="AB1321" s="702"/>
      <c r="AC1321" s="700"/>
      <c r="AD1321" s="698"/>
      <c r="AE1321" s="702"/>
      <c r="AF1321" s="700"/>
      <c r="AG1321" s="702"/>
      <c r="AH1321" s="704"/>
      <c r="AI1321" s="698"/>
      <c r="AJ1321" s="700"/>
    </row>
    <row r="1322" spans="1:36" ht="24" hidden="1" customHeight="1">
      <c r="B1322" s="463">
        <v>1042</v>
      </c>
      <c r="C1322" s="464" t="s">
        <v>10</v>
      </c>
      <c r="D1322" s="464"/>
      <c r="E1322" s="464" t="s">
        <v>558</v>
      </c>
      <c r="F1322" s="464"/>
      <c r="G1322" s="464" t="s">
        <v>44</v>
      </c>
      <c r="H1322" s="464" t="s">
        <v>3169</v>
      </c>
      <c r="I1322" s="465" t="s">
        <v>537</v>
      </c>
      <c r="J1322" s="465" t="s">
        <v>537</v>
      </c>
      <c r="K1322" s="466">
        <v>51080</v>
      </c>
      <c r="L1322" s="465" t="s">
        <v>537</v>
      </c>
      <c r="M1322" s="465" t="s">
        <v>537</v>
      </c>
      <c r="N1322" s="465">
        <v>0</v>
      </c>
      <c r="O1322" s="463" t="s">
        <v>537</v>
      </c>
      <c r="P1322" s="463" t="s">
        <v>537</v>
      </c>
      <c r="Q1322" s="468">
        <v>51080</v>
      </c>
      <c r="R1322" s="470">
        <v>241609</v>
      </c>
      <c r="S1322" s="463" t="s">
        <v>1477</v>
      </c>
      <c r="T1322" s="463">
        <v>5</v>
      </c>
      <c r="U1322" s="463">
        <v>91</v>
      </c>
      <c r="V1322" s="463">
        <v>8</v>
      </c>
      <c r="W1322" s="464"/>
      <c r="X1322" s="464"/>
      <c r="Y1322" s="464"/>
      <c r="Z1322" s="464"/>
      <c r="AA1322" s="472" t="s">
        <v>3170</v>
      </c>
      <c r="AB1322" s="463">
        <v>50</v>
      </c>
      <c r="AC1322" s="463">
        <v>3.36</v>
      </c>
      <c r="AD1322" s="472" t="s">
        <v>3171</v>
      </c>
      <c r="AE1322" s="463">
        <v>80</v>
      </c>
      <c r="AF1322" s="463">
        <v>92.2</v>
      </c>
      <c r="AG1322" s="463" t="s">
        <v>375</v>
      </c>
      <c r="AH1322" s="480"/>
      <c r="AI1322" s="464"/>
      <c r="AJ1322" s="472" t="s">
        <v>562</v>
      </c>
    </row>
    <row r="1323" spans="1:36" ht="24" hidden="1" customHeight="1">
      <c r="B1323" s="701">
        <v>1043</v>
      </c>
      <c r="C1323" s="699" t="s">
        <v>10</v>
      </c>
      <c r="D1323" s="699"/>
      <c r="E1323" s="699" t="s">
        <v>558</v>
      </c>
      <c r="F1323" s="699"/>
      <c r="G1323" s="699" t="s">
        <v>44</v>
      </c>
      <c r="H1323" s="699" t="s">
        <v>3172</v>
      </c>
      <c r="I1323" s="709" t="s">
        <v>537</v>
      </c>
      <c r="J1323" s="709" t="s">
        <v>537</v>
      </c>
      <c r="K1323" s="712">
        <v>94448</v>
      </c>
      <c r="L1323" s="709" t="s">
        <v>537</v>
      </c>
      <c r="M1323" s="709" t="s">
        <v>537</v>
      </c>
      <c r="N1323" s="709">
        <v>0</v>
      </c>
      <c r="O1323" s="701" t="s">
        <v>537</v>
      </c>
      <c r="P1323" s="701" t="s">
        <v>537</v>
      </c>
      <c r="Q1323" s="705">
        <v>94448</v>
      </c>
      <c r="R1323" s="707">
        <v>241609</v>
      </c>
      <c r="S1323" s="699"/>
      <c r="T1323" s="701">
        <v>18</v>
      </c>
      <c r="U1323" s="701">
        <v>130</v>
      </c>
      <c r="V1323" s="701">
        <v>30</v>
      </c>
      <c r="W1323" s="699"/>
      <c r="X1323" s="699"/>
      <c r="Y1323" s="699"/>
      <c r="Z1323" s="699"/>
      <c r="AA1323" s="697" t="s">
        <v>3173</v>
      </c>
      <c r="AB1323" s="701">
        <v>5</v>
      </c>
      <c r="AC1323" s="699"/>
      <c r="AD1323" s="697" t="s">
        <v>3171</v>
      </c>
      <c r="AE1323" s="701">
        <v>80</v>
      </c>
      <c r="AF1323" s="699"/>
      <c r="AG1323" s="701" t="s">
        <v>376</v>
      </c>
      <c r="AH1323" s="703"/>
      <c r="AI1323" s="699"/>
      <c r="AJ1323" s="697" t="s">
        <v>562</v>
      </c>
    </row>
    <row r="1324" spans="1:36" ht="24" hidden="1" customHeight="1">
      <c r="B1324" s="702"/>
      <c r="C1324" s="700"/>
      <c r="D1324" s="700"/>
      <c r="E1324" s="700"/>
      <c r="F1324" s="700"/>
      <c r="G1324" s="700"/>
      <c r="H1324" s="700"/>
      <c r="I1324" s="710"/>
      <c r="J1324" s="710"/>
      <c r="K1324" s="713"/>
      <c r="L1324" s="710"/>
      <c r="M1324" s="710"/>
      <c r="N1324" s="710"/>
      <c r="O1324" s="702"/>
      <c r="P1324" s="702"/>
      <c r="Q1324" s="706"/>
      <c r="R1324" s="708"/>
      <c r="S1324" s="700"/>
      <c r="T1324" s="702"/>
      <c r="U1324" s="702"/>
      <c r="V1324" s="702"/>
      <c r="W1324" s="700"/>
      <c r="X1324" s="700"/>
      <c r="Y1324" s="700"/>
      <c r="Z1324" s="700"/>
      <c r="AA1324" s="698"/>
      <c r="AB1324" s="702"/>
      <c r="AC1324" s="700"/>
      <c r="AD1324" s="698"/>
      <c r="AE1324" s="702"/>
      <c r="AF1324" s="700"/>
      <c r="AG1324" s="702"/>
      <c r="AH1324" s="704"/>
      <c r="AI1324" s="700"/>
      <c r="AJ1324" s="698"/>
    </row>
    <row r="1325" spans="1:36" ht="24" hidden="1" customHeight="1">
      <c r="B1325" s="701">
        <v>1044</v>
      </c>
      <c r="C1325" s="699" t="s">
        <v>534</v>
      </c>
      <c r="D1325" s="699" t="s">
        <v>544</v>
      </c>
      <c r="E1325" s="699" t="s">
        <v>535</v>
      </c>
      <c r="F1325" s="699"/>
      <c r="G1325" s="699" t="s">
        <v>193</v>
      </c>
      <c r="H1325" s="699" t="s">
        <v>3174</v>
      </c>
      <c r="I1325" s="712">
        <v>150000</v>
      </c>
      <c r="J1325" s="709" t="s">
        <v>537</v>
      </c>
      <c r="K1325" s="709" t="s">
        <v>537</v>
      </c>
      <c r="L1325" s="709">
        <v>0</v>
      </c>
      <c r="M1325" s="709" t="s">
        <v>537</v>
      </c>
      <c r="N1325" s="709" t="s">
        <v>537</v>
      </c>
      <c r="O1325" s="701" t="s">
        <v>537</v>
      </c>
      <c r="P1325" s="701" t="s">
        <v>537</v>
      </c>
      <c r="Q1325" s="705">
        <v>150000</v>
      </c>
      <c r="R1325" s="701" t="s">
        <v>984</v>
      </c>
      <c r="S1325" s="699"/>
      <c r="T1325" s="701">
        <v>0</v>
      </c>
      <c r="U1325" s="701">
        <v>40</v>
      </c>
      <c r="V1325" s="701">
        <v>50</v>
      </c>
      <c r="W1325" s="699"/>
      <c r="X1325" s="699"/>
      <c r="Y1325" s="699"/>
      <c r="Z1325" s="699"/>
      <c r="AA1325" s="697" t="s">
        <v>3175</v>
      </c>
      <c r="AB1325" s="701" t="s">
        <v>539</v>
      </c>
      <c r="AC1325" s="699"/>
      <c r="AD1325" s="697" t="s">
        <v>1016</v>
      </c>
      <c r="AE1325" s="701">
        <v>80</v>
      </c>
      <c r="AF1325" s="699"/>
      <c r="AG1325" s="701" t="s">
        <v>376</v>
      </c>
      <c r="AH1325" s="703"/>
      <c r="AI1325" s="699"/>
      <c r="AJ1325" s="699"/>
    </row>
    <row r="1326" spans="1:36" ht="24" hidden="1" customHeight="1">
      <c r="B1326" s="702"/>
      <c r="C1326" s="700"/>
      <c r="D1326" s="700"/>
      <c r="E1326" s="700"/>
      <c r="F1326" s="700"/>
      <c r="G1326" s="700"/>
      <c r="H1326" s="700"/>
      <c r="I1326" s="713"/>
      <c r="J1326" s="710"/>
      <c r="K1326" s="710"/>
      <c r="L1326" s="710"/>
      <c r="M1326" s="710"/>
      <c r="N1326" s="710"/>
      <c r="O1326" s="702"/>
      <c r="P1326" s="702"/>
      <c r="Q1326" s="706"/>
      <c r="R1326" s="702"/>
      <c r="S1326" s="700"/>
      <c r="T1326" s="702"/>
      <c r="U1326" s="702"/>
      <c r="V1326" s="702"/>
      <c r="W1326" s="700"/>
      <c r="X1326" s="700"/>
      <c r="Y1326" s="700"/>
      <c r="Z1326" s="700"/>
      <c r="AA1326" s="698"/>
      <c r="AB1326" s="702"/>
      <c r="AC1326" s="700"/>
      <c r="AD1326" s="698"/>
      <c r="AE1326" s="702"/>
      <c r="AF1326" s="700"/>
      <c r="AG1326" s="702"/>
      <c r="AH1326" s="704"/>
      <c r="AI1326" s="700"/>
      <c r="AJ1326" s="700"/>
    </row>
    <row r="1327" spans="1:36" ht="24" hidden="1" customHeight="1">
      <c r="B1327" s="701">
        <v>1045</v>
      </c>
      <c r="C1327" s="699" t="s">
        <v>534</v>
      </c>
      <c r="D1327" s="699"/>
      <c r="E1327" s="699" t="s">
        <v>535</v>
      </c>
      <c r="F1327" s="699"/>
      <c r="G1327" s="699" t="s">
        <v>60</v>
      </c>
      <c r="H1327" s="699" t="s">
        <v>3176</v>
      </c>
      <c r="I1327" s="709" t="s">
        <v>537</v>
      </c>
      <c r="J1327" s="709" t="s">
        <v>537</v>
      </c>
      <c r="K1327" s="712">
        <v>53120</v>
      </c>
      <c r="L1327" s="709" t="s">
        <v>537</v>
      </c>
      <c r="M1327" s="709" t="s">
        <v>537</v>
      </c>
      <c r="N1327" s="709">
        <v>0</v>
      </c>
      <c r="O1327" s="701" t="s">
        <v>537</v>
      </c>
      <c r="P1327" s="701" t="s">
        <v>537</v>
      </c>
      <c r="Q1327" s="705">
        <v>53120</v>
      </c>
      <c r="R1327" s="707">
        <v>241459</v>
      </c>
      <c r="S1327" s="699"/>
      <c r="T1327" s="701">
        <v>2</v>
      </c>
      <c r="U1327" s="701">
        <v>2</v>
      </c>
      <c r="V1327" s="701">
        <v>0</v>
      </c>
      <c r="W1327" s="699"/>
      <c r="X1327" s="699"/>
      <c r="Y1327" s="699"/>
      <c r="Z1327" s="699"/>
      <c r="AA1327" s="697" t="s">
        <v>651</v>
      </c>
      <c r="AB1327" s="701">
        <v>1</v>
      </c>
      <c r="AC1327" s="699"/>
      <c r="AD1327" s="697" t="s">
        <v>3177</v>
      </c>
      <c r="AE1327" s="701">
        <v>2</v>
      </c>
      <c r="AF1327" s="699"/>
      <c r="AG1327" s="701" t="s">
        <v>376</v>
      </c>
      <c r="AH1327" s="703"/>
      <c r="AI1327" s="699"/>
      <c r="AJ1327" s="697" t="s">
        <v>543</v>
      </c>
    </row>
    <row r="1328" spans="1:36" ht="24" hidden="1" customHeight="1">
      <c r="B1328" s="702"/>
      <c r="C1328" s="700"/>
      <c r="D1328" s="700"/>
      <c r="E1328" s="700"/>
      <c r="F1328" s="700"/>
      <c r="G1328" s="700"/>
      <c r="H1328" s="700"/>
      <c r="I1328" s="710"/>
      <c r="J1328" s="710"/>
      <c r="K1328" s="713"/>
      <c r="L1328" s="710"/>
      <c r="M1328" s="710"/>
      <c r="N1328" s="710"/>
      <c r="O1328" s="702"/>
      <c r="P1328" s="702"/>
      <c r="Q1328" s="706"/>
      <c r="R1328" s="708"/>
      <c r="S1328" s="700"/>
      <c r="T1328" s="702"/>
      <c r="U1328" s="702"/>
      <c r="V1328" s="702"/>
      <c r="W1328" s="700"/>
      <c r="X1328" s="700"/>
      <c r="Y1328" s="700"/>
      <c r="Z1328" s="700"/>
      <c r="AA1328" s="698"/>
      <c r="AB1328" s="702"/>
      <c r="AC1328" s="700"/>
      <c r="AD1328" s="698"/>
      <c r="AE1328" s="702"/>
      <c r="AF1328" s="700"/>
      <c r="AG1328" s="702"/>
      <c r="AH1328" s="704"/>
      <c r="AI1328" s="700"/>
      <c r="AJ1328" s="698"/>
    </row>
    <row r="1329" spans="1:36" ht="24" hidden="1" customHeight="1">
      <c r="B1329" s="701">
        <v>1046</v>
      </c>
      <c r="C1329" s="699" t="s">
        <v>534</v>
      </c>
      <c r="D1329" s="699"/>
      <c r="E1329" s="699" t="s">
        <v>535</v>
      </c>
      <c r="F1329" s="699"/>
      <c r="G1329" s="699" t="s">
        <v>60</v>
      </c>
      <c r="H1329" s="699" t="s">
        <v>3178</v>
      </c>
      <c r="I1329" s="709" t="s">
        <v>537</v>
      </c>
      <c r="J1329" s="709">
        <v>0</v>
      </c>
      <c r="K1329" s="709" t="s">
        <v>537</v>
      </c>
      <c r="L1329" s="709" t="s">
        <v>537</v>
      </c>
      <c r="M1329" s="709">
        <v>0</v>
      </c>
      <c r="N1329" s="709" t="s">
        <v>537</v>
      </c>
      <c r="O1329" s="701" t="s">
        <v>537</v>
      </c>
      <c r="P1329" s="723">
        <v>3000</v>
      </c>
      <c r="Q1329" s="705">
        <v>3000</v>
      </c>
      <c r="R1329" s="707">
        <v>241579</v>
      </c>
      <c r="S1329" s="721">
        <v>22455</v>
      </c>
      <c r="T1329" s="701">
        <v>50</v>
      </c>
      <c r="U1329" s="701">
        <v>20</v>
      </c>
      <c r="V1329" s="701">
        <v>50</v>
      </c>
      <c r="W1329" s="701">
        <v>50</v>
      </c>
      <c r="X1329" s="701">
        <v>20</v>
      </c>
      <c r="Y1329" s="701">
        <v>50</v>
      </c>
      <c r="Z1329" s="699"/>
      <c r="AA1329" s="697" t="s">
        <v>677</v>
      </c>
      <c r="AB1329" s="701" t="s">
        <v>539</v>
      </c>
      <c r="AC1329" s="699"/>
      <c r="AD1329" s="697" t="s">
        <v>571</v>
      </c>
      <c r="AE1329" s="701">
        <v>80</v>
      </c>
      <c r="AF1329" s="699"/>
      <c r="AG1329" s="701" t="s">
        <v>376</v>
      </c>
      <c r="AH1329" s="703" t="s">
        <v>3179</v>
      </c>
      <c r="AI1329" s="697" t="s">
        <v>1716</v>
      </c>
      <c r="AJ1329" s="699"/>
    </row>
    <row r="1330" spans="1:36" ht="24" hidden="1" customHeight="1">
      <c r="B1330" s="702"/>
      <c r="C1330" s="700"/>
      <c r="D1330" s="700"/>
      <c r="E1330" s="700"/>
      <c r="F1330" s="700"/>
      <c r="G1330" s="700"/>
      <c r="H1330" s="700"/>
      <c r="I1330" s="710"/>
      <c r="J1330" s="710"/>
      <c r="K1330" s="710"/>
      <c r="L1330" s="710"/>
      <c r="M1330" s="710"/>
      <c r="N1330" s="710"/>
      <c r="O1330" s="702"/>
      <c r="P1330" s="724"/>
      <c r="Q1330" s="706"/>
      <c r="R1330" s="708"/>
      <c r="S1330" s="722"/>
      <c r="T1330" s="702"/>
      <c r="U1330" s="702"/>
      <c r="V1330" s="702"/>
      <c r="W1330" s="702"/>
      <c r="X1330" s="702"/>
      <c r="Y1330" s="702"/>
      <c r="Z1330" s="700"/>
      <c r="AA1330" s="698"/>
      <c r="AB1330" s="702"/>
      <c r="AC1330" s="700"/>
      <c r="AD1330" s="698"/>
      <c r="AE1330" s="702"/>
      <c r="AF1330" s="700"/>
      <c r="AG1330" s="702"/>
      <c r="AH1330" s="704"/>
      <c r="AI1330" s="698"/>
      <c r="AJ1330" s="700"/>
    </row>
    <row r="1331" spans="1:36" ht="24" customHeight="1">
      <c r="A1331" s="452">
        <v>117</v>
      </c>
      <c r="B1331" s="701">
        <v>1047</v>
      </c>
      <c r="C1331" s="699" t="s">
        <v>377</v>
      </c>
      <c r="D1331" s="699"/>
      <c r="E1331" s="699" t="s">
        <v>602</v>
      </c>
      <c r="F1331" s="699"/>
      <c r="G1331" s="699" t="s">
        <v>198</v>
      </c>
      <c r="H1331" s="699" t="s">
        <v>3180</v>
      </c>
      <c r="I1331" s="712">
        <v>50000</v>
      </c>
      <c r="J1331" s="709" t="s">
        <v>537</v>
      </c>
      <c r="K1331" s="709" t="s">
        <v>537</v>
      </c>
      <c r="L1331" s="709">
        <v>0</v>
      </c>
      <c r="M1331" s="709" t="s">
        <v>537</v>
      </c>
      <c r="N1331" s="709" t="s">
        <v>537</v>
      </c>
      <c r="O1331" s="701" t="s">
        <v>537</v>
      </c>
      <c r="P1331" s="701" t="s">
        <v>537</v>
      </c>
      <c r="Q1331" s="705">
        <v>50000</v>
      </c>
      <c r="R1331" s="707">
        <v>241397</v>
      </c>
      <c r="S1331" s="699"/>
      <c r="T1331" s="701">
        <v>0</v>
      </c>
      <c r="U1331" s="701">
        <v>30</v>
      </c>
      <c r="V1331" s="701">
        <v>0</v>
      </c>
      <c r="W1331" s="699"/>
      <c r="X1331" s="699"/>
      <c r="Y1331" s="699"/>
      <c r="Z1331" s="699"/>
      <c r="AA1331" s="697" t="s">
        <v>612</v>
      </c>
      <c r="AB1331" s="701" t="s">
        <v>539</v>
      </c>
      <c r="AC1331" s="699"/>
      <c r="AD1331" s="697" t="s">
        <v>565</v>
      </c>
      <c r="AE1331" s="701">
        <v>80</v>
      </c>
      <c r="AF1331" s="699"/>
      <c r="AG1331" s="701" t="s">
        <v>376</v>
      </c>
      <c r="AH1331" s="703" t="s">
        <v>3181</v>
      </c>
      <c r="AI1331" s="699"/>
      <c r="AJ1331" s="699"/>
    </row>
    <row r="1332" spans="1:36" ht="24" hidden="1" customHeight="1">
      <c r="B1332" s="702"/>
      <c r="C1332" s="700"/>
      <c r="D1332" s="700"/>
      <c r="E1332" s="700"/>
      <c r="F1332" s="700"/>
      <c r="G1332" s="700"/>
      <c r="H1332" s="700"/>
      <c r="I1332" s="713"/>
      <c r="J1332" s="710"/>
      <c r="K1332" s="710"/>
      <c r="L1332" s="710"/>
      <c r="M1332" s="710"/>
      <c r="N1332" s="710"/>
      <c r="O1332" s="702"/>
      <c r="P1332" s="702"/>
      <c r="Q1332" s="706"/>
      <c r="R1332" s="708"/>
      <c r="S1332" s="700"/>
      <c r="T1332" s="702"/>
      <c r="U1332" s="702"/>
      <c r="V1332" s="702"/>
      <c r="W1332" s="700"/>
      <c r="X1332" s="700"/>
      <c r="Y1332" s="700"/>
      <c r="Z1332" s="700"/>
      <c r="AA1332" s="698"/>
      <c r="AB1332" s="702"/>
      <c r="AC1332" s="700"/>
      <c r="AD1332" s="698"/>
      <c r="AE1332" s="702"/>
      <c r="AF1332" s="700"/>
      <c r="AG1332" s="702"/>
      <c r="AH1332" s="704"/>
      <c r="AI1332" s="700"/>
      <c r="AJ1332" s="700"/>
    </row>
    <row r="1333" spans="1:36" ht="24" hidden="1" customHeight="1">
      <c r="B1333" s="701">
        <v>1048</v>
      </c>
      <c r="C1333" s="699" t="s">
        <v>534</v>
      </c>
      <c r="D1333" s="699" t="s">
        <v>544</v>
      </c>
      <c r="E1333" s="699" t="s">
        <v>535</v>
      </c>
      <c r="F1333" s="699"/>
      <c r="G1333" s="699" t="s">
        <v>283</v>
      </c>
      <c r="H1333" s="699" t="s">
        <v>3182</v>
      </c>
      <c r="I1333" s="709" t="s">
        <v>537</v>
      </c>
      <c r="J1333" s="712">
        <v>50000</v>
      </c>
      <c r="K1333" s="709" t="s">
        <v>537</v>
      </c>
      <c r="L1333" s="709" t="s">
        <v>537</v>
      </c>
      <c r="M1333" s="709">
        <v>0</v>
      </c>
      <c r="N1333" s="709" t="s">
        <v>537</v>
      </c>
      <c r="O1333" s="701" t="s">
        <v>537</v>
      </c>
      <c r="P1333" s="701" t="s">
        <v>537</v>
      </c>
      <c r="Q1333" s="705">
        <v>50000</v>
      </c>
      <c r="R1333" s="707">
        <v>241487</v>
      </c>
      <c r="S1333" s="699"/>
      <c r="T1333" s="701">
        <v>100</v>
      </c>
      <c r="U1333" s="701">
        <v>10</v>
      </c>
      <c r="V1333" s="701">
        <v>10</v>
      </c>
      <c r="W1333" s="699"/>
      <c r="X1333" s="699"/>
      <c r="Y1333" s="699"/>
      <c r="Z1333" s="699"/>
      <c r="AA1333" s="697" t="s">
        <v>547</v>
      </c>
      <c r="AB1333" s="701" t="s">
        <v>539</v>
      </c>
      <c r="AC1333" s="699"/>
      <c r="AD1333" s="697" t="s">
        <v>548</v>
      </c>
      <c r="AE1333" s="701" t="s">
        <v>620</v>
      </c>
      <c r="AF1333" s="699"/>
      <c r="AG1333" s="701" t="s">
        <v>376</v>
      </c>
      <c r="AH1333" s="703"/>
      <c r="AI1333" s="699"/>
      <c r="AJ1333" s="699"/>
    </row>
    <row r="1334" spans="1:36" ht="24" hidden="1" customHeight="1">
      <c r="B1334" s="702"/>
      <c r="C1334" s="700"/>
      <c r="D1334" s="700"/>
      <c r="E1334" s="700"/>
      <c r="F1334" s="700"/>
      <c r="G1334" s="700"/>
      <c r="H1334" s="700"/>
      <c r="I1334" s="710"/>
      <c r="J1334" s="713"/>
      <c r="K1334" s="710"/>
      <c r="L1334" s="710"/>
      <c r="M1334" s="710"/>
      <c r="N1334" s="710"/>
      <c r="O1334" s="702"/>
      <c r="P1334" s="702"/>
      <c r="Q1334" s="706"/>
      <c r="R1334" s="708"/>
      <c r="S1334" s="700"/>
      <c r="T1334" s="702"/>
      <c r="U1334" s="702"/>
      <c r="V1334" s="702"/>
      <c r="W1334" s="700"/>
      <c r="X1334" s="700"/>
      <c r="Y1334" s="700"/>
      <c r="Z1334" s="700"/>
      <c r="AA1334" s="698"/>
      <c r="AB1334" s="702"/>
      <c r="AC1334" s="700"/>
      <c r="AD1334" s="698"/>
      <c r="AE1334" s="702"/>
      <c r="AF1334" s="700"/>
      <c r="AG1334" s="702"/>
      <c r="AH1334" s="704"/>
      <c r="AI1334" s="700"/>
      <c r="AJ1334" s="700"/>
    </row>
    <row r="1335" spans="1:36" ht="24" hidden="1" customHeight="1">
      <c r="B1335" s="701">
        <v>1049</v>
      </c>
      <c r="C1335" s="699" t="s">
        <v>534</v>
      </c>
      <c r="D1335" s="699"/>
      <c r="E1335" s="699" t="s">
        <v>535</v>
      </c>
      <c r="F1335" s="699"/>
      <c r="G1335" s="699" t="s">
        <v>55</v>
      </c>
      <c r="H1335" s="699" t="s">
        <v>3183</v>
      </c>
      <c r="I1335" s="712">
        <v>25000</v>
      </c>
      <c r="J1335" s="709" t="s">
        <v>537</v>
      </c>
      <c r="K1335" s="709" t="s">
        <v>537</v>
      </c>
      <c r="L1335" s="709">
        <v>0</v>
      </c>
      <c r="M1335" s="709" t="s">
        <v>537</v>
      </c>
      <c r="N1335" s="709" t="s">
        <v>537</v>
      </c>
      <c r="O1335" s="701" t="s">
        <v>537</v>
      </c>
      <c r="P1335" s="701" t="s">
        <v>537</v>
      </c>
      <c r="Q1335" s="705">
        <v>25000</v>
      </c>
      <c r="R1335" s="707">
        <v>241671</v>
      </c>
      <c r="S1335" s="699"/>
      <c r="T1335" s="701">
        <v>8</v>
      </c>
      <c r="U1335" s="701">
        <v>1</v>
      </c>
      <c r="V1335" s="701">
        <v>0</v>
      </c>
      <c r="W1335" s="699"/>
      <c r="X1335" s="699"/>
      <c r="Y1335" s="699"/>
      <c r="Z1335" s="699"/>
      <c r="AA1335" s="458" t="s">
        <v>547</v>
      </c>
      <c r="AB1335" s="459" t="s">
        <v>539</v>
      </c>
      <c r="AC1335" s="699"/>
      <c r="AD1335" s="458" t="s">
        <v>548</v>
      </c>
      <c r="AE1335" s="459">
        <v>80</v>
      </c>
      <c r="AF1335" s="699"/>
      <c r="AG1335" s="701" t="s">
        <v>376</v>
      </c>
      <c r="AH1335" s="703"/>
      <c r="AI1335" s="697">
        <v>896510266</v>
      </c>
      <c r="AJ1335" s="699"/>
    </row>
    <row r="1336" spans="1:36" ht="24" hidden="1" customHeight="1">
      <c r="B1336" s="715"/>
      <c r="C1336" s="714"/>
      <c r="D1336" s="714"/>
      <c r="E1336" s="714"/>
      <c r="F1336" s="714"/>
      <c r="G1336" s="714"/>
      <c r="H1336" s="714"/>
      <c r="I1336" s="720"/>
      <c r="J1336" s="717"/>
      <c r="K1336" s="717"/>
      <c r="L1336" s="717"/>
      <c r="M1336" s="717"/>
      <c r="N1336" s="717"/>
      <c r="O1336" s="715"/>
      <c r="P1336" s="715"/>
      <c r="Q1336" s="718"/>
      <c r="R1336" s="719"/>
      <c r="S1336" s="714"/>
      <c r="T1336" s="715"/>
      <c r="U1336" s="715"/>
      <c r="V1336" s="715"/>
      <c r="W1336" s="714"/>
      <c r="X1336" s="714"/>
      <c r="Y1336" s="714"/>
      <c r="Z1336" s="714"/>
      <c r="AA1336" s="460" t="s">
        <v>3184</v>
      </c>
      <c r="AB1336" s="461" t="s">
        <v>539</v>
      </c>
      <c r="AC1336" s="714"/>
      <c r="AD1336" s="460" t="s">
        <v>3185</v>
      </c>
      <c r="AE1336" s="461">
        <v>8</v>
      </c>
      <c r="AF1336" s="714"/>
      <c r="AG1336" s="715"/>
      <c r="AH1336" s="716"/>
      <c r="AI1336" s="711"/>
      <c r="AJ1336" s="714"/>
    </row>
    <row r="1337" spans="1:36" ht="24" hidden="1" customHeight="1">
      <c r="B1337" s="702"/>
      <c r="C1337" s="700"/>
      <c r="D1337" s="700"/>
      <c r="E1337" s="700"/>
      <c r="F1337" s="700"/>
      <c r="G1337" s="700"/>
      <c r="H1337" s="700"/>
      <c r="I1337" s="713"/>
      <c r="J1337" s="710"/>
      <c r="K1337" s="710"/>
      <c r="L1337" s="710"/>
      <c r="M1337" s="710"/>
      <c r="N1337" s="710"/>
      <c r="O1337" s="702"/>
      <c r="P1337" s="702"/>
      <c r="Q1337" s="706"/>
      <c r="R1337" s="708"/>
      <c r="S1337" s="700"/>
      <c r="T1337" s="702"/>
      <c r="U1337" s="702"/>
      <c r="V1337" s="702"/>
      <c r="W1337" s="700"/>
      <c r="X1337" s="700"/>
      <c r="Y1337" s="700"/>
      <c r="Z1337" s="700"/>
      <c r="AA1337" s="462"/>
      <c r="AB1337" s="462"/>
      <c r="AC1337" s="700"/>
      <c r="AD1337" s="462"/>
      <c r="AE1337" s="462"/>
      <c r="AF1337" s="700"/>
      <c r="AG1337" s="702"/>
      <c r="AH1337" s="704"/>
      <c r="AI1337" s="698"/>
      <c r="AJ1337" s="700"/>
    </row>
    <row r="1338" spans="1:36" ht="24" hidden="1" customHeight="1">
      <c r="B1338" s="701">
        <v>1050</v>
      </c>
      <c r="C1338" s="699" t="s">
        <v>534</v>
      </c>
      <c r="D1338" s="699"/>
      <c r="E1338" s="699" t="s">
        <v>535</v>
      </c>
      <c r="F1338" s="699"/>
      <c r="G1338" s="699" t="s">
        <v>57</v>
      </c>
      <c r="H1338" s="699" t="s">
        <v>3186</v>
      </c>
      <c r="I1338" s="709" t="s">
        <v>537</v>
      </c>
      <c r="J1338" s="712">
        <v>10000</v>
      </c>
      <c r="K1338" s="709" t="s">
        <v>537</v>
      </c>
      <c r="L1338" s="709" t="s">
        <v>537</v>
      </c>
      <c r="M1338" s="709">
        <v>0</v>
      </c>
      <c r="N1338" s="709" t="s">
        <v>537</v>
      </c>
      <c r="O1338" s="701" t="s">
        <v>537</v>
      </c>
      <c r="P1338" s="701" t="s">
        <v>537</v>
      </c>
      <c r="Q1338" s="705">
        <v>10000</v>
      </c>
      <c r="R1338" s="707">
        <v>241428</v>
      </c>
      <c r="S1338" s="699"/>
      <c r="T1338" s="701">
        <v>0</v>
      </c>
      <c r="U1338" s="701">
        <v>35</v>
      </c>
      <c r="V1338" s="701">
        <v>0</v>
      </c>
      <c r="W1338" s="699"/>
      <c r="X1338" s="699"/>
      <c r="Y1338" s="699"/>
      <c r="Z1338" s="699"/>
      <c r="AA1338" s="697" t="s">
        <v>547</v>
      </c>
      <c r="AB1338" s="701" t="s">
        <v>539</v>
      </c>
      <c r="AC1338" s="699"/>
      <c r="AD1338" s="697" t="s">
        <v>548</v>
      </c>
      <c r="AE1338" s="701">
        <v>80</v>
      </c>
      <c r="AF1338" s="699"/>
      <c r="AG1338" s="701" t="s">
        <v>376</v>
      </c>
      <c r="AH1338" s="703"/>
      <c r="AI1338" s="699"/>
      <c r="AJ1338" s="699"/>
    </row>
    <row r="1339" spans="1:36" ht="24" hidden="1" customHeight="1">
      <c r="B1339" s="702"/>
      <c r="C1339" s="700"/>
      <c r="D1339" s="700"/>
      <c r="E1339" s="700"/>
      <c r="F1339" s="700"/>
      <c r="G1339" s="700"/>
      <c r="H1339" s="700"/>
      <c r="I1339" s="710"/>
      <c r="J1339" s="713"/>
      <c r="K1339" s="710"/>
      <c r="L1339" s="710"/>
      <c r="M1339" s="710"/>
      <c r="N1339" s="710"/>
      <c r="O1339" s="702"/>
      <c r="P1339" s="702"/>
      <c r="Q1339" s="706"/>
      <c r="R1339" s="708"/>
      <c r="S1339" s="700"/>
      <c r="T1339" s="702"/>
      <c r="U1339" s="702"/>
      <c r="V1339" s="702"/>
      <c r="W1339" s="700"/>
      <c r="X1339" s="700"/>
      <c r="Y1339" s="700"/>
      <c r="Z1339" s="700"/>
      <c r="AA1339" s="698"/>
      <c r="AB1339" s="702"/>
      <c r="AC1339" s="700"/>
      <c r="AD1339" s="698"/>
      <c r="AE1339" s="702"/>
      <c r="AF1339" s="700"/>
      <c r="AG1339" s="702"/>
      <c r="AH1339" s="704"/>
      <c r="AI1339" s="700"/>
      <c r="AJ1339" s="700"/>
    </row>
    <row r="1340" spans="1:36" ht="24" customHeight="1">
      <c r="A1340" s="452">
        <v>118</v>
      </c>
      <c r="B1340" s="463">
        <v>1051</v>
      </c>
      <c r="C1340" s="464" t="s">
        <v>377</v>
      </c>
      <c r="D1340" s="464"/>
      <c r="E1340" s="464" t="s">
        <v>602</v>
      </c>
      <c r="F1340" s="464"/>
      <c r="G1340" s="464" t="s">
        <v>419</v>
      </c>
      <c r="H1340" s="464" t="s">
        <v>3187</v>
      </c>
      <c r="I1340" s="465" t="s">
        <v>537</v>
      </c>
      <c r="J1340" s="465" t="s">
        <v>537</v>
      </c>
      <c r="K1340" s="466">
        <v>77000</v>
      </c>
      <c r="L1340" s="465" t="s">
        <v>537</v>
      </c>
      <c r="M1340" s="465" t="s">
        <v>537</v>
      </c>
      <c r="N1340" s="465">
        <v>0</v>
      </c>
      <c r="O1340" s="463" t="s">
        <v>537</v>
      </c>
      <c r="P1340" s="463" t="s">
        <v>537</v>
      </c>
      <c r="Q1340" s="468">
        <v>77000</v>
      </c>
      <c r="R1340" s="470">
        <v>241640</v>
      </c>
      <c r="S1340" s="463" t="s">
        <v>3188</v>
      </c>
      <c r="T1340" s="463">
        <v>48</v>
      </c>
      <c r="U1340" s="463">
        <v>12</v>
      </c>
      <c r="V1340" s="463">
        <v>0</v>
      </c>
      <c r="W1340" s="463">
        <v>0</v>
      </c>
      <c r="X1340" s="463">
        <v>0</v>
      </c>
      <c r="Y1340" s="463">
        <v>0</v>
      </c>
      <c r="Z1340" s="463">
        <v>0</v>
      </c>
      <c r="AA1340" s="472" t="s">
        <v>2600</v>
      </c>
      <c r="AB1340" s="463" t="s">
        <v>539</v>
      </c>
      <c r="AC1340" s="463" t="s">
        <v>537</v>
      </c>
      <c r="AD1340" s="472" t="s">
        <v>2601</v>
      </c>
      <c r="AE1340" s="463" t="s">
        <v>539</v>
      </c>
      <c r="AF1340" s="463" t="s">
        <v>537</v>
      </c>
      <c r="AG1340" s="463" t="s">
        <v>376</v>
      </c>
      <c r="AH1340" s="480" t="s">
        <v>3189</v>
      </c>
      <c r="AI1340" s="472" t="s">
        <v>2607</v>
      </c>
      <c r="AJ1340" s="472" t="s">
        <v>543</v>
      </c>
    </row>
    <row r="1341" spans="1:36" ht="24" customHeight="1">
      <c r="A1341" s="452">
        <v>119</v>
      </c>
      <c r="B1341" s="463">
        <v>1052</v>
      </c>
      <c r="C1341" s="464" t="s">
        <v>377</v>
      </c>
      <c r="D1341" s="464"/>
      <c r="E1341" s="464" t="s">
        <v>602</v>
      </c>
      <c r="F1341" s="464"/>
      <c r="G1341" s="464" t="s">
        <v>419</v>
      </c>
      <c r="H1341" s="464" t="s">
        <v>3190</v>
      </c>
      <c r="I1341" s="465" t="s">
        <v>537</v>
      </c>
      <c r="J1341" s="465" t="s">
        <v>537</v>
      </c>
      <c r="K1341" s="466">
        <v>16000</v>
      </c>
      <c r="L1341" s="465" t="s">
        <v>537</v>
      </c>
      <c r="M1341" s="465" t="s">
        <v>537</v>
      </c>
      <c r="N1341" s="465">
        <v>0</v>
      </c>
      <c r="O1341" s="463" t="s">
        <v>537</v>
      </c>
      <c r="P1341" s="463" t="s">
        <v>537</v>
      </c>
      <c r="Q1341" s="468">
        <v>16000</v>
      </c>
      <c r="R1341" s="470">
        <v>241640</v>
      </c>
      <c r="S1341" s="464"/>
      <c r="T1341" s="463">
        <v>0</v>
      </c>
      <c r="U1341" s="463">
        <v>30</v>
      </c>
      <c r="V1341" s="463">
        <v>0</v>
      </c>
      <c r="W1341" s="463">
        <v>0</v>
      </c>
      <c r="X1341" s="463">
        <v>0</v>
      </c>
      <c r="Y1341" s="463">
        <v>0</v>
      </c>
      <c r="Z1341" s="463">
        <v>0</v>
      </c>
      <c r="AA1341" s="472" t="s">
        <v>2600</v>
      </c>
      <c r="AB1341" s="463" t="s">
        <v>539</v>
      </c>
      <c r="AC1341" s="463" t="s">
        <v>537</v>
      </c>
      <c r="AD1341" s="472" t="s">
        <v>2601</v>
      </c>
      <c r="AE1341" s="463" t="s">
        <v>539</v>
      </c>
      <c r="AF1341" s="463" t="s">
        <v>537</v>
      </c>
      <c r="AG1341" s="463" t="s">
        <v>376</v>
      </c>
      <c r="AH1341" s="480" t="s">
        <v>3191</v>
      </c>
      <c r="AI1341" s="472" t="s">
        <v>2607</v>
      </c>
      <c r="AJ1341" s="472" t="s">
        <v>543</v>
      </c>
    </row>
    <row r="1342" spans="1:36" ht="24" hidden="1" customHeight="1">
      <c r="B1342" s="701">
        <v>1053</v>
      </c>
      <c r="C1342" s="699" t="s">
        <v>534</v>
      </c>
      <c r="D1342" s="699"/>
      <c r="E1342" s="699" t="s">
        <v>535</v>
      </c>
      <c r="F1342" s="699"/>
      <c r="G1342" s="699" t="s">
        <v>49</v>
      </c>
      <c r="H1342" s="699" t="s">
        <v>3192</v>
      </c>
      <c r="I1342" s="712">
        <v>50000</v>
      </c>
      <c r="J1342" s="709" t="s">
        <v>537</v>
      </c>
      <c r="K1342" s="709" t="s">
        <v>537</v>
      </c>
      <c r="L1342" s="709">
        <v>0</v>
      </c>
      <c r="M1342" s="709" t="s">
        <v>537</v>
      </c>
      <c r="N1342" s="709" t="s">
        <v>537</v>
      </c>
      <c r="O1342" s="701" t="s">
        <v>537</v>
      </c>
      <c r="P1342" s="701" t="s">
        <v>537</v>
      </c>
      <c r="Q1342" s="705">
        <v>50000</v>
      </c>
      <c r="R1342" s="707">
        <v>241671</v>
      </c>
      <c r="S1342" s="699"/>
      <c r="T1342" s="701">
        <v>8</v>
      </c>
      <c r="U1342" s="701">
        <v>2</v>
      </c>
      <c r="V1342" s="701">
        <v>0</v>
      </c>
      <c r="W1342" s="699"/>
      <c r="X1342" s="699"/>
      <c r="Y1342" s="699"/>
      <c r="Z1342" s="699"/>
      <c r="AA1342" s="697" t="s">
        <v>2624</v>
      </c>
      <c r="AB1342" s="701">
        <v>1</v>
      </c>
      <c r="AC1342" s="699"/>
      <c r="AD1342" s="697" t="s">
        <v>651</v>
      </c>
      <c r="AE1342" s="701">
        <v>1</v>
      </c>
      <c r="AF1342" s="699"/>
      <c r="AG1342" s="701" t="s">
        <v>376</v>
      </c>
      <c r="AH1342" s="703" t="s">
        <v>3193</v>
      </c>
      <c r="AI1342" s="697" t="s">
        <v>2631</v>
      </c>
      <c r="AJ1342" s="699"/>
    </row>
    <row r="1343" spans="1:36" ht="24" hidden="1" customHeight="1">
      <c r="B1343" s="702"/>
      <c r="C1343" s="700"/>
      <c r="D1343" s="700"/>
      <c r="E1343" s="700"/>
      <c r="F1343" s="700"/>
      <c r="G1343" s="700"/>
      <c r="H1343" s="700"/>
      <c r="I1343" s="713"/>
      <c r="J1343" s="710"/>
      <c r="K1343" s="710"/>
      <c r="L1343" s="710"/>
      <c r="M1343" s="710"/>
      <c r="N1343" s="710"/>
      <c r="O1343" s="702"/>
      <c r="P1343" s="702"/>
      <c r="Q1343" s="706"/>
      <c r="R1343" s="708"/>
      <c r="S1343" s="700"/>
      <c r="T1343" s="702"/>
      <c r="U1343" s="702"/>
      <c r="V1343" s="702"/>
      <c r="W1343" s="700"/>
      <c r="X1343" s="700"/>
      <c r="Y1343" s="700"/>
      <c r="Z1343" s="700"/>
      <c r="AA1343" s="698"/>
      <c r="AB1343" s="702"/>
      <c r="AC1343" s="700"/>
      <c r="AD1343" s="698"/>
      <c r="AE1343" s="702"/>
      <c r="AF1343" s="700"/>
      <c r="AG1343" s="702"/>
      <c r="AH1343" s="704"/>
      <c r="AI1343" s="698"/>
      <c r="AJ1343" s="700"/>
    </row>
    <row r="1344" spans="1:36" ht="24" hidden="1" customHeight="1">
      <c r="B1344" s="701">
        <v>1054</v>
      </c>
      <c r="C1344" s="699" t="s">
        <v>534</v>
      </c>
      <c r="D1344" s="699"/>
      <c r="E1344" s="699" t="s">
        <v>535</v>
      </c>
      <c r="F1344" s="699"/>
      <c r="G1344" s="699" t="s">
        <v>49</v>
      </c>
      <c r="H1344" s="699" t="s">
        <v>3194</v>
      </c>
      <c r="I1344" s="712">
        <v>50000</v>
      </c>
      <c r="J1344" s="709" t="s">
        <v>537</v>
      </c>
      <c r="K1344" s="709" t="s">
        <v>537</v>
      </c>
      <c r="L1344" s="709">
        <v>0</v>
      </c>
      <c r="M1344" s="709" t="s">
        <v>537</v>
      </c>
      <c r="N1344" s="709" t="s">
        <v>537</v>
      </c>
      <c r="O1344" s="701" t="s">
        <v>537</v>
      </c>
      <c r="P1344" s="701" t="s">
        <v>537</v>
      </c>
      <c r="Q1344" s="705">
        <v>50000</v>
      </c>
      <c r="R1344" s="707">
        <v>241671</v>
      </c>
      <c r="S1344" s="699"/>
      <c r="T1344" s="701">
        <v>9</v>
      </c>
      <c r="U1344" s="701">
        <v>3</v>
      </c>
      <c r="V1344" s="701">
        <v>0</v>
      </c>
      <c r="W1344" s="699"/>
      <c r="X1344" s="699"/>
      <c r="Y1344" s="699"/>
      <c r="Z1344" s="699"/>
      <c r="AA1344" s="697" t="s">
        <v>2624</v>
      </c>
      <c r="AB1344" s="701">
        <v>1</v>
      </c>
      <c r="AC1344" s="699"/>
      <c r="AD1344" s="697" t="s">
        <v>651</v>
      </c>
      <c r="AE1344" s="701">
        <v>1</v>
      </c>
      <c r="AF1344" s="699"/>
      <c r="AG1344" s="701" t="s">
        <v>376</v>
      </c>
      <c r="AH1344" s="703" t="s">
        <v>3195</v>
      </c>
      <c r="AI1344" s="697" t="s">
        <v>3196</v>
      </c>
      <c r="AJ1344" s="699"/>
    </row>
    <row r="1345" spans="2:36" ht="24" hidden="1" customHeight="1">
      <c r="B1345" s="702"/>
      <c r="C1345" s="700"/>
      <c r="D1345" s="700"/>
      <c r="E1345" s="700"/>
      <c r="F1345" s="700"/>
      <c r="G1345" s="700"/>
      <c r="H1345" s="700"/>
      <c r="I1345" s="713"/>
      <c r="J1345" s="710"/>
      <c r="K1345" s="710"/>
      <c r="L1345" s="710"/>
      <c r="M1345" s="710"/>
      <c r="N1345" s="710"/>
      <c r="O1345" s="702"/>
      <c r="P1345" s="702"/>
      <c r="Q1345" s="706"/>
      <c r="R1345" s="708"/>
      <c r="S1345" s="700"/>
      <c r="T1345" s="702"/>
      <c r="U1345" s="702"/>
      <c r="V1345" s="702"/>
      <c r="W1345" s="700"/>
      <c r="X1345" s="700"/>
      <c r="Y1345" s="700"/>
      <c r="Z1345" s="700"/>
      <c r="AA1345" s="698"/>
      <c r="AB1345" s="702"/>
      <c r="AC1345" s="700"/>
      <c r="AD1345" s="698"/>
      <c r="AE1345" s="702"/>
      <c r="AF1345" s="700"/>
      <c r="AG1345" s="702"/>
      <c r="AH1345" s="704"/>
      <c r="AI1345" s="698"/>
      <c r="AJ1345" s="700"/>
    </row>
    <row r="1346" spans="2:36" ht="24" hidden="1" customHeight="1">
      <c r="B1346" s="701">
        <v>1055</v>
      </c>
      <c r="C1346" s="699" t="s">
        <v>165</v>
      </c>
      <c r="D1346" s="699"/>
      <c r="E1346" s="699" t="s">
        <v>535</v>
      </c>
      <c r="F1346" s="699"/>
      <c r="G1346" s="699" t="s">
        <v>49</v>
      </c>
      <c r="H1346" s="699" t="s">
        <v>3197</v>
      </c>
      <c r="I1346" s="712">
        <v>6070</v>
      </c>
      <c r="J1346" s="709" t="s">
        <v>537</v>
      </c>
      <c r="K1346" s="709" t="s">
        <v>537</v>
      </c>
      <c r="L1346" s="709">
        <v>0</v>
      </c>
      <c r="M1346" s="709" t="s">
        <v>537</v>
      </c>
      <c r="N1346" s="709" t="s">
        <v>537</v>
      </c>
      <c r="O1346" s="701" t="s">
        <v>537</v>
      </c>
      <c r="P1346" s="701" t="s">
        <v>537</v>
      </c>
      <c r="Q1346" s="705">
        <v>6070</v>
      </c>
      <c r="R1346" s="707">
        <v>241609</v>
      </c>
      <c r="S1346" s="699"/>
      <c r="T1346" s="701">
        <v>10</v>
      </c>
      <c r="U1346" s="701">
        <v>17</v>
      </c>
      <c r="V1346" s="701">
        <v>2</v>
      </c>
      <c r="W1346" s="699"/>
      <c r="X1346" s="699"/>
      <c r="Y1346" s="699"/>
      <c r="Z1346" s="699"/>
      <c r="AA1346" s="697" t="s">
        <v>2672</v>
      </c>
      <c r="AB1346" s="701" t="s">
        <v>539</v>
      </c>
      <c r="AC1346" s="699"/>
      <c r="AD1346" s="697" t="s">
        <v>925</v>
      </c>
      <c r="AE1346" s="701">
        <v>80</v>
      </c>
      <c r="AF1346" s="699"/>
      <c r="AG1346" s="701" t="s">
        <v>376</v>
      </c>
      <c r="AH1346" s="703"/>
      <c r="AI1346" s="697" t="s">
        <v>2675</v>
      </c>
      <c r="AJ1346" s="699"/>
    </row>
    <row r="1347" spans="2:36" ht="24" hidden="1" customHeight="1">
      <c r="B1347" s="702"/>
      <c r="C1347" s="700"/>
      <c r="D1347" s="700"/>
      <c r="E1347" s="700"/>
      <c r="F1347" s="700"/>
      <c r="G1347" s="700"/>
      <c r="H1347" s="700"/>
      <c r="I1347" s="713"/>
      <c r="J1347" s="710"/>
      <c r="K1347" s="710"/>
      <c r="L1347" s="710"/>
      <c r="M1347" s="710"/>
      <c r="N1347" s="710"/>
      <c r="O1347" s="702"/>
      <c r="P1347" s="702"/>
      <c r="Q1347" s="706"/>
      <c r="R1347" s="708"/>
      <c r="S1347" s="700"/>
      <c r="T1347" s="702"/>
      <c r="U1347" s="702"/>
      <c r="V1347" s="702"/>
      <c r="W1347" s="700"/>
      <c r="X1347" s="700"/>
      <c r="Y1347" s="700"/>
      <c r="Z1347" s="700"/>
      <c r="AA1347" s="698"/>
      <c r="AB1347" s="702"/>
      <c r="AC1347" s="700"/>
      <c r="AD1347" s="698"/>
      <c r="AE1347" s="702"/>
      <c r="AF1347" s="700"/>
      <c r="AG1347" s="702"/>
      <c r="AH1347" s="704"/>
      <c r="AI1347" s="698"/>
      <c r="AJ1347" s="700"/>
    </row>
    <row r="1348" spans="2:36" ht="24" hidden="1" customHeight="1">
      <c r="B1348" s="701">
        <v>1056</v>
      </c>
      <c r="C1348" s="699" t="s">
        <v>165</v>
      </c>
      <c r="D1348" s="699"/>
      <c r="E1348" s="699" t="s">
        <v>535</v>
      </c>
      <c r="F1348" s="699"/>
      <c r="G1348" s="699" t="s">
        <v>49</v>
      </c>
      <c r="H1348" s="699" t="s">
        <v>3198</v>
      </c>
      <c r="I1348" s="712">
        <v>10860</v>
      </c>
      <c r="J1348" s="709" t="s">
        <v>537</v>
      </c>
      <c r="K1348" s="709" t="s">
        <v>537</v>
      </c>
      <c r="L1348" s="709">
        <v>0</v>
      </c>
      <c r="M1348" s="709" t="s">
        <v>537</v>
      </c>
      <c r="N1348" s="709" t="s">
        <v>537</v>
      </c>
      <c r="O1348" s="701" t="s">
        <v>537</v>
      </c>
      <c r="P1348" s="701" t="s">
        <v>537</v>
      </c>
      <c r="Q1348" s="705">
        <v>10860</v>
      </c>
      <c r="R1348" s="707">
        <v>241609</v>
      </c>
      <c r="S1348" s="699"/>
      <c r="T1348" s="701">
        <v>10</v>
      </c>
      <c r="U1348" s="701">
        <v>17</v>
      </c>
      <c r="V1348" s="701">
        <v>2</v>
      </c>
      <c r="W1348" s="699"/>
      <c r="X1348" s="699"/>
      <c r="Y1348" s="699"/>
      <c r="Z1348" s="699"/>
      <c r="AA1348" s="697" t="s">
        <v>2672</v>
      </c>
      <c r="AB1348" s="701" t="s">
        <v>539</v>
      </c>
      <c r="AC1348" s="699"/>
      <c r="AD1348" s="697" t="s">
        <v>925</v>
      </c>
      <c r="AE1348" s="701">
        <v>80</v>
      </c>
      <c r="AF1348" s="699"/>
      <c r="AG1348" s="701" t="s">
        <v>376</v>
      </c>
      <c r="AH1348" s="703"/>
      <c r="AI1348" s="697" t="s">
        <v>2675</v>
      </c>
      <c r="AJ1348" s="699"/>
    </row>
    <row r="1349" spans="2:36" ht="24" hidden="1" customHeight="1">
      <c r="B1349" s="702"/>
      <c r="C1349" s="700"/>
      <c r="D1349" s="700"/>
      <c r="E1349" s="700"/>
      <c r="F1349" s="700"/>
      <c r="G1349" s="700"/>
      <c r="H1349" s="700"/>
      <c r="I1349" s="713"/>
      <c r="J1349" s="710"/>
      <c r="K1349" s="710"/>
      <c r="L1349" s="710"/>
      <c r="M1349" s="710"/>
      <c r="N1349" s="710"/>
      <c r="O1349" s="702"/>
      <c r="P1349" s="702"/>
      <c r="Q1349" s="706"/>
      <c r="R1349" s="708"/>
      <c r="S1349" s="700"/>
      <c r="T1349" s="702"/>
      <c r="U1349" s="702"/>
      <c r="V1349" s="702"/>
      <c r="W1349" s="700"/>
      <c r="X1349" s="700"/>
      <c r="Y1349" s="700"/>
      <c r="Z1349" s="700"/>
      <c r="AA1349" s="698"/>
      <c r="AB1349" s="702"/>
      <c r="AC1349" s="700"/>
      <c r="AD1349" s="698"/>
      <c r="AE1349" s="702"/>
      <c r="AF1349" s="700"/>
      <c r="AG1349" s="702"/>
      <c r="AH1349" s="704"/>
      <c r="AI1349" s="698"/>
      <c r="AJ1349" s="700"/>
    </row>
    <row r="1350" spans="2:36" ht="24" hidden="1" customHeight="1">
      <c r="B1350" s="701">
        <v>1057</v>
      </c>
      <c r="C1350" s="699" t="s">
        <v>165</v>
      </c>
      <c r="D1350" s="699"/>
      <c r="E1350" s="699" t="s">
        <v>535</v>
      </c>
      <c r="F1350" s="699"/>
      <c r="G1350" s="699" t="s">
        <v>49</v>
      </c>
      <c r="H1350" s="699" t="s">
        <v>3199</v>
      </c>
      <c r="I1350" s="712">
        <v>6070</v>
      </c>
      <c r="J1350" s="709" t="s">
        <v>537</v>
      </c>
      <c r="K1350" s="709" t="s">
        <v>537</v>
      </c>
      <c r="L1350" s="709">
        <v>0</v>
      </c>
      <c r="M1350" s="709" t="s">
        <v>537</v>
      </c>
      <c r="N1350" s="709" t="s">
        <v>537</v>
      </c>
      <c r="O1350" s="701" t="s">
        <v>537</v>
      </c>
      <c r="P1350" s="701" t="s">
        <v>537</v>
      </c>
      <c r="Q1350" s="705">
        <v>6070</v>
      </c>
      <c r="R1350" s="707">
        <v>241609</v>
      </c>
      <c r="S1350" s="699"/>
      <c r="T1350" s="701">
        <v>10</v>
      </c>
      <c r="U1350" s="701">
        <v>17</v>
      </c>
      <c r="V1350" s="701">
        <v>2</v>
      </c>
      <c r="W1350" s="699"/>
      <c r="X1350" s="699"/>
      <c r="Y1350" s="699"/>
      <c r="Z1350" s="699"/>
      <c r="AA1350" s="697" t="s">
        <v>2672</v>
      </c>
      <c r="AB1350" s="701" t="s">
        <v>539</v>
      </c>
      <c r="AC1350" s="699"/>
      <c r="AD1350" s="697" t="s">
        <v>925</v>
      </c>
      <c r="AE1350" s="701">
        <v>80</v>
      </c>
      <c r="AF1350" s="699"/>
      <c r="AG1350" s="701" t="s">
        <v>376</v>
      </c>
      <c r="AH1350" s="703"/>
      <c r="AI1350" s="697" t="s">
        <v>2675</v>
      </c>
      <c r="AJ1350" s="699"/>
    </row>
    <row r="1351" spans="2:36" ht="24" hidden="1" customHeight="1">
      <c r="B1351" s="702"/>
      <c r="C1351" s="700"/>
      <c r="D1351" s="700"/>
      <c r="E1351" s="700"/>
      <c r="F1351" s="700"/>
      <c r="G1351" s="700"/>
      <c r="H1351" s="700"/>
      <c r="I1351" s="713"/>
      <c r="J1351" s="710"/>
      <c r="K1351" s="710"/>
      <c r="L1351" s="710"/>
      <c r="M1351" s="710"/>
      <c r="N1351" s="710"/>
      <c r="O1351" s="702"/>
      <c r="P1351" s="702"/>
      <c r="Q1351" s="706"/>
      <c r="R1351" s="708"/>
      <c r="S1351" s="700"/>
      <c r="T1351" s="702"/>
      <c r="U1351" s="702"/>
      <c r="V1351" s="702"/>
      <c r="W1351" s="700"/>
      <c r="X1351" s="700"/>
      <c r="Y1351" s="700"/>
      <c r="Z1351" s="700"/>
      <c r="AA1351" s="698"/>
      <c r="AB1351" s="702"/>
      <c r="AC1351" s="700"/>
      <c r="AD1351" s="698"/>
      <c r="AE1351" s="702"/>
      <c r="AF1351" s="700"/>
      <c r="AG1351" s="702"/>
      <c r="AH1351" s="704"/>
      <c r="AI1351" s="698"/>
      <c r="AJ1351" s="700"/>
    </row>
    <row r="1352" spans="2:36" ht="24" hidden="1" customHeight="1">
      <c r="B1352" s="701">
        <v>1058</v>
      </c>
      <c r="C1352" s="699" t="s">
        <v>165</v>
      </c>
      <c r="D1352" s="699"/>
      <c r="E1352" s="699" t="s">
        <v>535</v>
      </c>
      <c r="F1352" s="699"/>
      <c r="G1352" s="699" t="s">
        <v>49</v>
      </c>
      <c r="H1352" s="699" t="s">
        <v>3200</v>
      </c>
      <c r="I1352" s="712">
        <v>6070</v>
      </c>
      <c r="J1352" s="709" t="s">
        <v>537</v>
      </c>
      <c r="K1352" s="709" t="s">
        <v>537</v>
      </c>
      <c r="L1352" s="709">
        <v>0</v>
      </c>
      <c r="M1352" s="709" t="s">
        <v>537</v>
      </c>
      <c r="N1352" s="709" t="s">
        <v>537</v>
      </c>
      <c r="O1352" s="701" t="s">
        <v>537</v>
      </c>
      <c r="P1352" s="701" t="s">
        <v>537</v>
      </c>
      <c r="Q1352" s="705">
        <v>6070</v>
      </c>
      <c r="R1352" s="707">
        <v>241640</v>
      </c>
      <c r="S1352" s="699"/>
      <c r="T1352" s="701">
        <v>10</v>
      </c>
      <c r="U1352" s="701">
        <v>17</v>
      </c>
      <c r="V1352" s="701">
        <v>2</v>
      </c>
      <c r="W1352" s="699"/>
      <c r="X1352" s="699"/>
      <c r="Y1352" s="699"/>
      <c r="Z1352" s="699"/>
      <c r="AA1352" s="697" t="s">
        <v>2672</v>
      </c>
      <c r="AB1352" s="701" t="s">
        <v>539</v>
      </c>
      <c r="AC1352" s="699"/>
      <c r="AD1352" s="697" t="s">
        <v>925</v>
      </c>
      <c r="AE1352" s="701">
        <v>80</v>
      </c>
      <c r="AF1352" s="699"/>
      <c r="AG1352" s="701" t="s">
        <v>376</v>
      </c>
      <c r="AH1352" s="703"/>
      <c r="AI1352" s="697" t="s">
        <v>2675</v>
      </c>
      <c r="AJ1352" s="699"/>
    </row>
    <row r="1353" spans="2:36" ht="24" hidden="1" customHeight="1">
      <c r="B1353" s="702"/>
      <c r="C1353" s="700"/>
      <c r="D1353" s="700"/>
      <c r="E1353" s="700"/>
      <c r="F1353" s="700"/>
      <c r="G1353" s="700"/>
      <c r="H1353" s="700"/>
      <c r="I1353" s="713"/>
      <c r="J1353" s="710"/>
      <c r="K1353" s="710"/>
      <c r="L1353" s="710"/>
      <c r="M1353" s="710"/>
      <c r="N1353" s="710"/>
      <c r="O1353" s="702"/>
      <c r="P1353" s="702"/>
      <c r="Q1353" s="706"/>
      <c r="R1353" s="708"/>
      <c r="S1353" s="700"/>
      <c r="T1353" s="702"/>
      <c r="U1353" s="702"/>
      <c r="V1353" s="702"/>
      <c r="W1353" s="700"/>
      <c r="X1353" s="700"/>
      <c r="Y1353" s="700"/>
      <c r="Z1353" s="700"/>
      <c r="AA1353" s="698"/>
      <c r="AB1353" s="702"/>
      <c r="AC1353" s="700"/>
      <c r="AD1353" s="698"/>
      <c r="AE1353" s="702"/>
      <c r="AF1353" s="700"/>
      <c r="AG1353" s="702"/>
      <c r="AH1353" s="704"/>
      <c r="AI1353" s="698"/>
      <c r="AJ1353" s="700"/>
    </row>
    <row r="1354" spans="2:36" ht="24" hidden="1" customHeight="1">
      <c r="B1354" s="701">
        <v>1059</v>
      </c>
      <c r="C1354" s="699" t="s">
        <v>165</v>
      </c>
      <c r="D1354" s="699"/>
      <c r="E1354" s="699" t="s">
        <v>535</v>
      </c>
      <c r="F1354" s="699"/>
      <c r="G1354" s="699" t="s">
        <v>49</v>
      </c>
      <c r="H1354" s="699" t="s">
        <v>3201</v>
      </c>
      <c r="I1354" s="712">
        <v>10860</v>
      </c>
      <c r="J1354" s="709" t="s">
        <v>537</v>
      </c>
      <c r="K1354" s="709" t="s">
        <v>537</v>
      </c>
      <c r="L1354" s="709">
        <v>0</v>
      </c>
      <c r="M1354" s="709" t="s">
        <v>537</v>
      </c>
      <c r="N1354" s="709" t="s">
        <v>537</v>
      </c>
      <c r="O1354" s="701" t="s">
        <v>537</v>
      </c>
      <c r="P1354" s="701" t="s">
        <v>537</v>
      </c>
      <c r="Q1354" s="705">
        <v>10860</v>
      </c>
      <c r="R1354" s="707">
        <v>241640</v>
      </c>
      <c r="S1354" s="699"/>
      <c r="T1354" s="701">
        <v>10</v>
      </c>
      <c r="U1354" s="701">
        <v>17</v>
      </c>
      <c r="V1354" s="701">
        <v>2</v>
      </c>
      <c r="W1354" s="699"/>
      <c r="X1354" s="699"/>
      <c r="Y1354" s="699"/>
      <c r="Z1354" s="699"/>
      <c r="AA1354" s="697" t="s">
        <v>2672</v>
      </c>
      <c r="AB1354" s="701" t="s">
        <v>539</v>
      </c>
      <c r="AC1354" s="699"/>
      <c r="AD1354" s="697" t="s">
        <v>925</v>
      </c>
      <c r="AE1354" s="701">
        <v>80</v>
      </c>
      <c r="AF1354" s="699"/>
      <c r="AG1354" s="701" t="s">
        <v>376</v>
      </c>
      <c r="AH1354" s="703"/>
      <c r="AI1354" s="697" t="s">
        <v>2675</v>
      </c>
      <c r="AJ1354" s="699"/>
    </row>
    <row r="1355" spans="2:36" ht="24" hidden="1" customHeight="1">
      <c r="B1355" s="702"/>
      <c r="C1355" s="700"/>
      <c r="D1355" s="700"/>
      <c r="E1355" s="700"/>
      <c r="F1355" s="700"/>
      <c r="G1355" s="700"/>
      <c r="H1355" s="700"/>
      <c r="I1355" s="713"/>
      <c r="J1355" s="710"/>
      <c r="K1355" s="710"/>
      <c r="L1355" s="710"/>
      <c r="M1355" s="710"/>
      <c r="N1355" s="710"/>
      <c r="O1355" s="702"/>
      <c r="P1355" s="702"/>
      <c r="Q1355" s="706"/>
      <c r="R1355" s="708"/>
      <c r="S1355" s="700"/>
      <c r="T1355" s="702"/>
      <c r="U1355" s="702"/>
      <c r="V1355" s="702"/>
      <c r="W1355" s="700"/>
      <c r="X1355" s="700"/>
      <c r="Y1355" s="700"/>
      <c r="Z1355" s="700"/>
      <c r="AA1355" s="698"/>
      <c r="AB1355" s="702"/>
      <c r="AC1355" s="700"/>
      <c r="AD1355" s="698"/>
      <c r="AE1355" s="702"/>
      <c r="AF1355" s="700"/>
      <c r="AG1355" s="702"/>
      <c r="AH1355" s="704"/>
      <c r="AI1355" s="698"/>
      <c r="AJ1355" s="700"/>
    </row>
    <row r="1356" spans="2:36" ht="24" hidden="1" customHeight="1">
      <c r="B1356" s="701">
        <v>1060</v>
      </c>
      <c r="C1356" s="699" t="s">
        <v>165</v>
      </c>
      <c r="D1356" s="699"/>
      <c r="E1356" s="699" t="s">
        <v>535</v>
      </c>
      <c r="F1356" s="699"/>
      <c r="G1356" s="699" t="s">
        <v>49</v>
      </c>
      <c r="H1356" s="699" t="s">
        <v>3202</v>
      </c>
      <c r="I1356" s="709" t="s">
        <v>537</v>
      </c>
      <c r="J1356" s="712">
        <v>64800</v>
      </c>
      <c r="K1356" s="709" t="s">
        <v>537</v>
      </c>
      <c r="L1356" s="709" t="s">
        <v>537</v>
      </c>
      <c r="M1356" s="709">
        <v>0</v>
      </c>
      <c r="N1356" s="709" t="s">
        <v>537</v>
      </c>
      <c r="O1356" s="701" t="s">
        <v>537</v>
      </c>
      <c r="P1356" s="701" t="s">
        <v>537</v>
      </c>
      <c r="Q1356" s="705">
        <v>64800</v>
      </c>
      <c r="R1356" s="707">
        <v>241487</v>
      </c>
      <c r="S1356" s="699"/>
      <c r="T1356" s="701">
        <v>30</v>
      </c>
      <c r="U1356" s="701">
        <v>2</v>
      </c>
      <c r="V1356" s="701">
        <v>0</v>
      </c>
      <c r="W1356" s="699"/>
      <c r="X1356" s="699"/>
      <c r="Y1356" s="699"/>
      <c r="Z1356" s="699"/>
      <c r="AA1356" s="697" t="s">
        <v>633</v>
      </c>
      <c r="AB1356" s="701" t="s">
        <v>539</v>
      </c>
      <c r="AC1356" s="699"/>
      <c r="AD1356" s="697" t="s">
        <v>635</v>
      </c>
      <c r="AE1356" s="701" t="s">
        <v>539</v>
      </c>
      <c r="AF1356" s="699"/>
      <c r="AG1356" s="701" t="s">
        <v>376</v>
      </c>
      <c r="AH1356" s="703"/>
      <c r="AI1356" s="697" t="s">
        <v>3196</v>
      </c>
      <c r="AJ1356" s="699"/>
    </row>
    <row r="1357" spans="2:36" ht="24" hidden="1" customHeight="1">
      <c r="B1357" s="702"/>
      <c r="C1357" s="700"/>
      <c r="D1357" s="700"/>
      <c r="E1357" s="700"/>
      <c r="F1357" s="700"/>
      <c r="G1357" s="700"/>
      <c r="H1357" s="700"/>
      <c r="I1357" s="710"/>
      <c r="J1357" s="713"/>
      <c r="K1357" s="710"/>
      <c r="L1357" s="710"/>
      <c r="M1357" s="710"/>
      <c r="N1357" s="710"/>
      <c r="O1357" s="702"/>
      <c r="P1357" s="702"/>
      <c r="Q1357" s="706"/>
      <c r="R1357" s="708"/>
      <c r="S1357" s="700"/>
      <c r="T1357" s="702"/>
      <c r="U1357" s="702"/>
      <c r="V1357" s="702"/>
      <c r="W1357" s="700"/>
      <c r="X1357" s="700"/>
      <c r="Y1357" s="700"/>
      <c r="Z1357" s="700"/>
      <c r="AA1357" s="698"/>
      <c r="AB1357" s="702"/>
      <c r="AC1357" s="700"/>
      <c r="AD1357" s="698"/>
      <c r="AE1357" s="702"/>
      <c r="AF1357" s="700"/>
      <c r="AG1357" s="702"/>
      <c r="AH1357" s="704"/>
      <c r="AI1357" s="698"/>
      <c r="AJ1357" s="700"/>
    </row>
    <row r="1358" spans="2:36" ht="24" hidden="1" customHeight="1">
      <c r="B1358" s="701">
        <v>1061</v>
      </c>
      <c r="C1358" s="699" t="s">
        <v>10</v>
      </c>
      <c r="D1358" s="699"/>
      <c r="E1358" s="699" t="s">
        <v>558</v>
      </c>
      <c r="F1358" s="699"/>
      <c r="G1358" s="699" t="s">
        <v>49</v>
      </c>
      <c r="H1358" s="699" t="s">
        <v>3203</v>
      </c>
      <c r="I1358" s="709" t="s">
        <v>537</v>
      </c>
      <c r="J1358" s="709" t="s">
        <v>537</v>
      </c>
      <c r="K1358" s="712">
        <v>30000</v>
      </c>
      <c r="L1358" s="709" t="s">
        <v>537</v>
      </c>
      <c r="M1358" s="709" t="s">
        <v>537</v>
      </c>
      <c r="N1358" s="709">
        <v>0</v>
      </c>
      <c r="O1358" s="701" t="s">
        <v>537</v>
      </c>
      <c r="P1358" s="701" t="s">
        <v>537</v>
      </c>
      <c r="Q1358" s="705">
        <v>30000</v>
      </c>
      <c r="R1358" s="707">
        <v>241640</v>
      </c>
      <c r="S1358" s="699"/>
      <c r="T1358" s="701">
        <v>25</v>
      </c>
      <c r="U1358" s="701">
        <v>10</v>
      </c>
      <c r="V1358" s="701">
        <v>5</v>
      </c>
      <c r="W1358" s="699"/>
      <c r="X1358" s="699"/>
      <c r="Y1358" s="699"/>
      <c r="Z1358" s="699"/>
      <c r="AA1358" s="458" t="s">
        <v>548</v>
      </c>
      <c r="AB1358" s="459" t="s">
        <v>539</v>
      </c>
      <c r="AC1358" s="699"/>
      <c r="AD1358" s="458" t="s">
        <v>547</v>
      </c>
      <c r="AE1358" s="459" t="s">
        <v>539</v>
      </c>
      <c r="AF1358" s="699"/>
      <c r="AG1358" s="701" t="s">
        <v>376</v>
      </c>
      <c r="AH1358" s="703"/>
      <c r="AI1358" s="699"/>
      <c r="AJ1358" s="697" t="s">
        <v>562</v>
      </c>
    </row>
    <row r="1359" spans="2:36" ht="24" hidden="1" customHeight="1">
      <c r="B1359" s="715"/>
      <c r="C1359" s="714"/>
      <c r="D1359" s="714"/>
      <c r="E1359" s="714"/>
      <c r="F1359" s="714"/>
      <c r="G1359" s="714"/>
      <c r="H1359" s="714"/>
      <c r="I1359" s="717"/>
      <c r="J1359" s="717"/>
      <c r="K1359" s="720"/>
      <c r="L1359" s="717"/>
      <c r="M1359" s="717"/>
      <c r="N1359" s="717"/>
      <c r="O1359" s="715"/>
      <c r="P1359" s="715"/>
      <c r="Q1359" s="718"/>
      <c r="R1359" s="719"/>
      <c r="S1359" s="714"/>
      <c r="T1359" s="715"/>
      <c r="U1359" s="715"/>
      <c r="V1359" s="715"/>
      <c r="W1359" s="714"/>
      <c r="X1359" s="714"/>
      <c r="Y1359" s="714"/>
      <c r="Z1359" s="714"/>
      <c r="AA1359" s="460" t="s">
        <v>3204</v>
      </c>
      <c r="AB1359" s="461" t="s">
        <v>539</v>
      </c>
      <c r="AC1359" s="714"/>
      <c r="AD1359" s="460" t="s">
        <v>3205</v>
      </c>
      <c r="AE1359" s="461" t="s">
        <v>539</v>
      </c>
      <c r="AF1359" s="714"/>
      <c r="AG1359" s="715"/>
      <c r="AH1359" s="716"/>
      <c r="AI1359" s="714"/>
      <c r="AJ1359" s="711"/>
    </row>
    <row r="1360" spans="2:36" ht="24" hidden="1" customHeight="1">
      <c r="B1360" s="702"/>
      <c r="C1360" s="700"/>
      <c r="D1360" s="700"/>
      <c r="E1360" s="700"/>
      <c r="F1360" s="700"/>
      <c r="G1360" s="700"/>
      <c r="H1360" s="700"/>
      <c r="I1360" s="710"/>
      <c r="J1360" s="710"/>
      <c r="K1360" s="713"/>
      <c r="L1360" s="710"/>
      <c r="M1360" s="710"/>
      <c r="N1360" s="710"/>
      <c r="O1360" s="702"/>
      <c r="P1360" s="702"/>
      <c r="Q1360" s="706"/>
      <c r="R1360" s="708"/>
      <c r="S1360" s="700"/>
      <c r="T1360" s="702"/>
      <c r="U1360" s="702"/>
      <c r="V1360" s="702"/>
      <c r="W1360" s="700"/>
      <c r="X1360" s="700"/>
      <c r="Y1360" s="700"/>
      <c r="Z1360" s="700"/>
      <c r="AA1360" s="462"/>
      <c r="AB1360" s="462"/>
      <c r="AC1360" s="700"/>
      <c r="AD1360" s="462"/>
      <c r="AE1360" s="462"/>
      <c r="AF1360" s="700"/>
      <c r="AG1360" s="702"/>
      <c r="AH1360" s="704"/>
      <c r="AI1360" s="700"/>
      <c r="AJ1360" s="698"/>
    </row>
    <row r="1361" spans="2:36" ht="24" hidden="1" customHeight="1">
      <c r="B1361" s="701">
        <v>1062</v>
      </c>
      <c r="C1361" s="699" t="s">
        <v>534</v>
      </c>
      <c r="D1361" s="699"/>
      <c r="E1361" s="699" t="s">
        <v>535</v>
      </c>
      <c r="F1361" s="699"/>
      <c r="G1361" s="699" t="s">
        <v>47</v>
      </c>
      <c r="H1361" s="699" t="s">
        <v>642</v>
      </c>
      <c r="I1361" s="712">
        <v>60000</v>
      </c>
      <c r="J1361" s="709" t="s">
        <v>537</v>
      </c>
      <c r="K1361" s="709" t="s">
        <v>537</v>
      </c>
      <c r="L1361" s="709">
        <v>0</v>
      </c>
      <c r="M1361" s="709" t="s">
        <v>537</v>
      </c>
      <c r="N1361" s="709" t="s">
        <v>537</v>
      </c>
      <c r="O1361" s="701" t="s">
        <v>537</v>
      </c>
      <c r="P1361" s="701" t="s">
        <v>537</v>
      </c>
      <c r="Q1361" s="705">
        <v>60000</v>
      </c>
      <c r="R1361" s="707">
        <v>241609</v>
      </c>
      <c r="S1361" s="699"/>
      <c r="T1361" s="701">
        <v>0</v>
      </c>
      <c r="U1361" s="701">
        <v>2</v>
      </c>
      <c r="V1361" s="701">
        <v>0</v>
      </c>
      <c r="W1361" s="699"/>
      <c r="X1361" s="699"/>
      <c r="Y1361" s="699"/>
      <c r="Z1361" s="699"/>
      <c r="AA1361" s="697" t="s">
        <v>3206</v>
      </c>
      <c r="AB1361" s="701" t="s">
        <v>539</v>
      </c>
      <c r="AC1361" s="699"/>
      <c r="AD1361" s="697" t="s">
        <v>635</v>
      </c>
      <c r="AE1361" s="701" t="s">
        <v>539</v>
      </c>
      <c r="AF1361" s="699"/>
      <c r="AG1361" s="701" t="s">
        <v>376</v>
      </c>
      <c r="AH1361" s="703"/>
      <c r="AI1361" s="697">
        <v>818972480</v>
      </c>
      <c r="AJ1361" s="699"/>
    </row>
    <row r="1362" spans="2:36" ht="24" hidden="1" customHeight="1">
      <c r="B1362" s="702"/>
      <c r="C1362" s="700"/>
      <c r="D1362" s="700"/>
      <c r="E1362" s="700"/>
      <c r="F1362" s="700"/>
      <c r="G1362" s="700"/>
      <c r="H1362" s="700"/>
      <c r="I1362" s="713"/>
      <c r="J1362" s="710"/>
      <c r="K1362" s="710"/>
      <c r="L1362" s="710"/>
      <c r="M1362" s="710"/>
      <c r="N1362" s="710"/>
      <c r="O1362" s="702"/>
      <c r="P1362" s="702"/>
      <c r="Q1362" s="706"/>
      <c r="R1362" s="708"/>
      <c r="S1362" s="700"/>
      <c r="T1362" s="702"/>
      <c r="U1362" s="702"/>
      <c r="V1362" s="702"/>
      <c r="W1362" s="700"/>
      <c r="X1362" s="700"/>
      <c r="Y1362" s="700"/>
      <c r="Z1362" s="700"/>
      <c r="AA1362" s="698"/>
      <c r="AB1362" s="702"/>
      <c r="AC1362" s="700"/>
      <c r="AD1362" s="698"/>
      <c r="AE1362" s="702"/>
      <c r="AF1362" s="700"/>
      <c r="AG1362" s="702"/>
      <c r="AH1362" s="704"/>
      <c r="AI1362" s="698"/>
      <c r="AJ1362" s="700"/>
    </row>
    <row r="1363" spans="2:36" ht="24" hidden="1" customHeight="1">
      <c r="B1363" s="481" t="s">
        <v>67</v>
      </c>
      <c r="C1363" s="482"/>
      <c r="D1363" s="482"/>
    </row>
    <row r="1364" spans="2:36" ht="24" hidden="1" customHeight="1">
      <c r="B1364" s="482"/>
      <c r="C1364" s="483"/>
      <c r="D1364" s="482" t="s">
        <v>3207</v>
      </c>
    </row>
    <row r="1365" spans="2:36" ht="24" customHeight="1">
      <c r="B1365" s="482"/>
      <c r="C1365" s="482"/>
      <c r="D1365" s="482"/>
    </row>
    <row r="1366" spans="2:36" ht="24" customHeight="1">
      <c r="B1366" s="482"/>
      <c r="C1366" s="484"/>
      <c r="D1366" s="482" t="s">
        <v>3208</v>
      </c>
    </row>
    <row r="1367" spans="2:36" ht="24" customHeight="1">
      <c r="B1367" s="482"/>
      <c r="C1367" s="482"/>
      <c r="D1367" s="482"/>
    </row>
    <row r="1368" spans="2:36" ht="24" customHeight="1">
      <c r="B1368" s="482"/>
      <c r="C1368" s="485"/>
      <c r="D1368" s="482" t="s">
        <v>3209</v>
      </c>
    </row>
    <row r="1369" spans="2:36" ht="24" customHeight="1">
      <c r="B1369" s="482"/>
      <c r="C1369" s="482"/>
      <c r="D1369" s="482"/>
    </row>
    <row r="1370" spans="2:36" ht="24" customHeight="1">
      <c r="B1370" s="482"/>
      <c r="C1370" s="486"/>
      <c r="D1370" s="482" t="s">
        <v>3210</v>
      </c>
    </row>
    <row r="1371" spans="2:36" ht="24" customHeight="1">
      <c r="B1371" s="482"/>
      <c r="C1371" s="482"/>
      <c r="D1371" s="482"/>
    </row>
    <row r="1372" spans="2:36" ht="24" customHeight="1">
      <c r="B1372" s="482"/>
      <c r="C1372" s="487"/>
      <c r="D1372" s="482" t="s">
        <v>3211</v>
      </c>
    </row>
    <row r="1373" spans="2:36" ht="24" customHeight="1">
      <c r="B1373" s="482"/>
      <c r="C1373" s="482"/>
      <c r="D1373" s="482"/>
    </row>
    <row r="1374" spans="2:36" ht="24" customHeight="1">
      <c r="B1374" s="482"/>
      <c r="C1374" s="488"/>
      <c r="D1374" s="482" t="s">
        <v>3212</v>
      </c>
    </row>
  </sheetData>
  <autoFilter ref="B8:AJ1364">
    <filterColumn colId="1">
      <filters>
        <filter val="ทำนุฯ"/>
      </filters>
    </filterColumn>
  </autoFilter>
  <mergeCells count="7428">
    <mergeCell ref="B2:AJ2"/>
    <mergeCell ref="B3:AJ3"/>
    <mergeCell ref="B4:AJ4"/>
    <mergeCell ref="B5:B8"/>
    <mergeCell ref="C5:C8"/>
    <mergeCell ref="D5:D8"/>
    <mergeCell ref="E5:E8"/>
    <mergeCell ref="F5:F8"/>
    <mergeCell ref="G5:G8"/>
    <mergeCell ref="H5:H8"/>
    <mergeCell ref="W5:Y6"/>
    <mergeCell ref="Z5:Z8"/>
    <mergeCell ref="AA5:AF6"/>
    <mergeCell ref="AJ5:AJ8"/>
    <mergeCell ref="R6:S6"/>
    <mergeCell ref="I7:I8"/>
    <mergeCell ref="J7:J8"/>
    <mergeCell ref="K7:K8"/>
    <mergeCell ref="L7:L8"/>
    <mergeCell ref="M7:M8"/>
    <mergeCell ref="I5:K6"/>
    <mergeCell ref="L5:N6"/>
    <mergeCell ref="O5:P6"/>
    <mergeCell ref="Q5:Q8"/>
    <mergeCell ref="R5:S5"/>
    <mergeCell ref="T5:V6"/>
    <mergeCell ref="N7:N8"/>
    <mergeCell ref="O7:O8"/>
    <mergeCell ref="P7:P8"/>
    <mergeCell ref="R7:R8"/>
    <mergeCell ref="P9:P10"/>
    <mergeCell ref="Q9:Q10"/>
    <mergeCell ref="R9:R10"/>
    <mergeCell ref="S9:S10"/>
    <mergeCell ref="T9:T10"/>
    <mergeCell ref="I9:I10"/>
    <mergeCell ref="J9:J10"/>
    <mergeCell ref="K9:K10"/>
    <mergeCell ref="L9:L10"/>
    <mergeCell ref="M9:M10"/>
    <mergeCell ref="N9:N10"/>
    <mergeCell ref="Y7:Y8"/>
    <mergeCell ref="AA7:AC7"/>
    <mergeCell ref="AD7:AF7"/>
    <mergeCell ref="B9:B10"/>
    <mergeCell ref="C9:C10"/>
    <mergeCell ref="D9:D10"/>
    <mergeCell ref="E9:E10"/>
    <mergeCell ref="F9:F10"/>
    <mergeCell ref="G9:G10"/>
    <mergeCell ref="H9:H10"/>
    <mergeCell ref="S7:S8"/>
    <mergeCell ref="T7:T8"/>
    <mergeCell ref="U7:U8"/>
    <mergeCell ref="V7:V8"/>
    <mergeCell ref="W7:W8"/>
    <mergeCell ref="X7:X8"/>
    <mergeCell ref="Q11:Q13"/>
    <mergeCell ref="R11:R13"/>
    <mergeCell ref="S11:S13"/>
    <mergeCell ref="H11:H13"/>
    <mergeCell ref="I11:I13"/>
    <mergeCell ref="J11:J13"/>
    <mergeCell ref="K11:K13"/>
    <mergeCell ref="L11:L13"/>
    <mergeCell ref="M11:M13"/>
    <mergeCell ref="AG9:AG10"/>
    <mergeCell ref="AH9:AH10"/>
    <mergeCell ref="AI9:AI10"/>
    <mergeCell ref="AJ9:AJ10"/>
    <mergeCell ref="B11:B13"/>
    <mergeCell ref="C11:C13"/>
    <mergeCell ref="D11:D13"/>
    <mergeCell ref="E11:E13"/>
    <mergeCell ref="F11:F13"/>
    <mergeCell ref="G11:G13"/>
    <mergeCell ref="AA9:AA10"/>
    <mergeCell ref="AB9:AB10"/>
    <mergeCell ref="AC9:AC10"/>
    <mergeCell ref="AD9:AD10"/>
    <mergeCell ref="AE9:AE10"/>
    <mergeCell ref="AF9:AF10"/>
    <mergeCell ref="U9:U10"/>
    <mergeCell ref="V9:V10"/>
    <mergeCell ref="W9:W10"/>
    <mergeCell ref="X9:X10"/>
    <mergeCell ref="Y9:Y10"/>
    <mergeCell ref="Z9:Z10"/>
    <mergeCell ref="O9:O10"/>
    <mergeCell ref="T16:T18"/>
    <mergeCell ref="I16:I18"/>
    <mergeCell ref="J16:J18"/>
    <mergeCell ref="K16:K18"/>
    <mergeCell ref="L16:L18"/>
    <mergeCell ref="M16:M18"/>
    <mergeCell ref="N16:N18"/>
    <mergeCell ref="AH11:AH13"/>
    <mergeCell ref="AI11:AI13"/>
    <mergeCell ref="AJ11:AJ13"/>
    <mergeCell ref="B16:B18"/>
    <mergeCell ref="C16:C18"/>
    <mergeCell ref="D16:D18"/>
    <mergeCell ref="E16:E18"/>
    <mergeCell ref="F16:F18"/>
    <mergeCell ref="G16:G18"/>
    <mergeCell ref="H16:H18"/>
    <mergeCell ref="Z11:Z13"/>
    <mergeCell ref="AA11:AA13"/>
    <mergeCell ref="AB11:AB13"/>
    <mergeCell ref="AC11:AC13"/>
    <mergeCell ref="AF11:AF13"/>
    <mergeCell ref="AG11:AG13"/>
    <mergeCell ref="T11:T13"/>
    <mergeCell ref="U11:U13"/>
    <mergeCell ref="V11:V13"/>
    <mergeCell ref="W11:W13"/>
    <mergeCell ref="X11:X13"/>
    <mergeCell ref="Y11:Y13"/>
    <mergeCell ref="N11:N13"/>
    <mergeCell ref="O11:O13"/>
    <mergeCell ref="P11:P13"/>
    <mergeCell ref="K21:K23"/>
    <mergeCell ref="L21:L23"/>
    <mergeCell ref="M21:M23"/>
    <mergeCell ref="N21:N23"/>
    <mergeCell ref="O21:O23"/>
    <mergeCell ref="AI16:AI18"/>
    <mergeCell ref="AJ16:AJ18"/>
    <mergeCell ref="B21:B23"/>
    <mergeCell ref="C21:C23"/>
    <mergeCell ref="D21:D23"/>
    <mergeCell ref="E21:E23"/>
    <mergeCell ref="F21:F23"/>
    <mergeCell ref="G21:G23"/>
    <mergeCell ref="H21:H23"/>
    <mergeCell ref="I21:I23"/>
    <mergeCell ref="AC16:AC18"/>
    <mergeCell ref="AD16:AD18"/>
    <mergeCell ref="AE16:AE18"/>
    <mergeCell ref="AF16:AF18"/>
    <mergeCell ref="AG16:AG18"/>
    <mergeCell ref="AH16:AH18"/>
    <mergeCell ref="U16:U18"/>
    <mergeCell ref="V16:V18"/>
    <mergeCell ref="W16:W18"/>
    <mergeCell ref="X16:X18"/>
    <mergeCell ref="Y16:Y18"/>
    <mergeCell ref="Z16:Z18"/>
    <mergeCell ref="O16:O18"/>
    <mergeCell ref="P16:P18"/>
    <mergeCell ref="Q16:Q18"/>
    <mergeCell ref="R16:R18"/>
    <mergeCell ref="S16:S18"/>
    <mergeCell ref="N24:N25"/>
    <mergeCell ref="O24:O25"/>
    <mergeCell ref="P24:P25"/>
    <mergeCell ref="AJ21:AJ23"/>
    <mergeCell ref="B24:B25"/>
    <mergeCell ref="C24:C25"/>
    <mergeCell ref="D24:D25"/>
    <mergeCell ref="E24:E25"/>
    <mergeCell ref="F24:F25"/>
    <mergeCell ref="G24:G25"/>
    <mergeCell ref="H24:H25"/>
    <mergeCell ref="I24:I25"/>
    <mergeCell ref="J24:J25"/>
    <mergeCell ref="AB21:AB23"/>
    <mergeCell ref="AC21:AC23"/>
    <mergeCell ref="AF21:AF23"/>
    <mergeCell ref="AG21:AG23"/>
    <mergeCell ref="AH21:AH23"/>
    <mergeCell ref="AI21:AI23"/>
    <mergeCell ref="V21:V23"/>
    <mergeCell ref="W21:W23"/>
    <mergeCell ref="X21:X23"/>
    <mergeCell ref="Y21:Y23"/>
    <mergeCell ref="Z21:Z23"/>
    <mergeCell ref="AA21:AA23"/>
    <mergeCell ref="P21:P23"/>
    <mergeCell ref="Q21:Q23"/>
    <mergeCell ref="R21:R23"/>
    <mergeCell ref="S21:S23"/>
    <mergeCell ref="T21:T23"/>
    <mergeCell ref="U21:U23"/>
    <mergeCell ref="J21:J23"/>
    <mergeCell ref="AJ29:AJ31"/>
    <mergeCell ref="AI24:AI25"/>
    <mergeCell ref="AJ24:AJ25"/>
    <mergeCell ref="B27:B28"/>
    <mergeCell ref="C27:C28"/>
    <mergeCell ref="D27:D28"/>
    <mergeCell ref="E27:E28"/>
    <mergeCell ref="F27:F28"/>
    <mergeCell ref="G27:G28"/>
    <mergeCell ref="H27:H28"/>
    <mergeCell ref="I27:I28"/>
    <mergeCell ref="AC24:AC25"/>
    <mergeCell ref="AD24:AD25"/>
    <mergeCell ref="AE24:AE25"/>
    <mergeCell ref="AF24:AF25"/>
    <mergeCell ref="AG24:AG25"/>
    <mergeCell ref="AH24:AH25"/>
    <mergeCell ref="W24:W25"/>
    <mergeCell ref="X24:X25"/>
    <mergeCell ref="Y24:Y25"/>
    <mergeCell ref="Z24:Z25"/>
    <mergeCell ref="AA24:AA25"/>
    <mergeCell ref="AB24:AB25"/>
    <mergeCell ref="Q24:Q25"/>
    <mergeCell ref="R24:R25"/>
    <mergeCell ref="S24:S25"/>
    <mergeCell ref="T24:T25"/>
    <mergeCell ref="U24:U25"/>
    <mergeCell ref="V24:V25"/>
    <mergeCell ref="K24:K25"/>
    <mergeCell ref="L24:L25"/>
    <mergeCell ref="M24:M25"/>
    <mergeCell ref="L29:L31"/>
    <mergeCell ref="M29:M31"/>
    <mergeCell ref="N29:N31"/>
    <mergeCell ref="AH27:AH28"/>
    <mergeCell ref="AI27:AI28"/>
    <mergeCell ref="AJ27:AJ28"/>
    <mergeCell ref="B29:B31"/>
    <mergeCell ref="C29:C31"/>
    <mergeCell ref="D29:D31"/>
    <mergeCell ref="E29:E31"/>
    <mergeCell ref="F29:F31"/>
    <mergeCell ref="G29:G31"/>
    <mergeCell ref="H29:H31"/>
    <mergeCell ref="V27:V28"/>
    <mergeCell ref="W27:W28"/>
    <mergeCell ref="X27:X28"/>
    <mergeCell ref="Y27:Y28"/>
    <mergeCell ref="Z27:Z28"/>
    <mergeCell ref="AG27:AG28"/>
    <mergeCell ref="P27:P28"/>
    <mergeCell ref="Q27:Q28"/>
    <mergeCell ref="R27:R28"/>
    <mergeCell ref="S27:S28"/>
    <mergeCell ref="T27:T28"/>
    <mergeCell ref="U27:U28"/>
    <mergeCell ref="J27:J28"/>
    <mergeCell ref="K27:K28"/>
    <mergeCell ref="L27:L28"/>
    <mergeCell ref="M27:M28"/>
    <mergeCell ref="N27:N28"/>
    <mergeCell ref="O27:O28"/>
    <mergeCell ref="AI29:AI31"/>
    <mergeCell ref="AH35:AH36"/>
    <mergeCell ref="AI35:AI36"/>
    <mergeCell ref="AJ35:AJ36"/>
    <mergeCell ref="B33:B34"/>
    <mergeCell ref="C33:C34"/>
    <mergeCell ref="D33:D34"/>
    <mergeCell ref="E33:E34"/>
    <mergeCell ref="F33:F34"/>
    <mergeCell ref="G33:G34"/>
    <mergeCell ref="H33:H34"/>
    <mergeCell ref="I33:I34"/>
    <mergeCell ref="AA29:AA31"/>
    <mergeCell ref="AB29:AB31"/>
    <mergeCell ref="AC29:AC31"/>
    <mergeCell ref="AF29:AF31"/>
    <mergeCell ref="AG29:AG31"/>
    <mergeCell ref="AH29:AH31"/>
    <mergeCell ref="U29:U31"/>
    <mergeCell ref="V29:V31"/>
    <mergeCell ref="W29:W31"/>
    <mergeCell ref="X29:X31"/>
    <mergeCell ref="Y29:Y31"/>
    <mergeCell ref="Z29:Z31"/>
    <mergeCell ref="O29:O31"/>
    <mergeCell ref="P29:P31"/>
    <mergeCell ref="Q29:Q31"/>
    <mergeCell ref="R29:R31"/>
    <mergeCell ref="S29:S31"/>
    <mergeCell ref="T29:T31"/>
    <mergeCell ref="I29:I31"/>
    <mergeCell ref="J29:J31"/>
    <mergeCell ref="K29:K31"/>
    <mergeCell ref="B35:B36"/>
    <mergeCell ref="C35:C36"/>
    <mergeCell ref="D35:D36"/>
    <mergeCell ref="E35:E36"/>
    <mergeCell ref="F35:F36"/>
    <mergeCell ref="G35:G36"/>
    <mergeCell ref="AE33:AE34"/>
    <mergeCell ref="AF33:AF34"/>
    <mergeCell ref="AG33:AG34"/>
    <mergeCell ref="AH33:AH34"/>
    <mergeCell ref="AI33:AI34"/>
    <mergeCell ref="AJ33:AJ34"/>
    <mergeCell ref="V33:V34"/>
    <mergeCell ref="W33:W34"/>
    <mergeCell ref="X33:X34"/>
    <mergeCell ref="Y33:Y34"/>
    <mergeCell ref="Z33:Z34"/>
    <mergeCell ref="AD33:AD34"/>
    <mergeCell ref="P33:P34"/>
    <mergeCell ref="Q33:Q34"/>
    <mergeCell ref="R33:R34"/>
    <mergeCell ref="S33:S34"/>
    <mergeCell ref="T33:T34"/>
    <mergeCell ref="U33:U34"/>
    <mergeCell ref="J33:J34"/>
    <mergeCell ref="K33:K34"/>
    <mergeCell ref="L33:L34"/>
    <mergeCell ref="M33:M34"/>
    <mergeCell ref="N33:N34"/>
    <mergeCell ref="O33:O34"/>
    <mergeCell ref="Z35:Z36"/>
    <mergeCell ref="AG35:AG36"/>
    <mergeCell ref="T35:T36"/>
    <mergeCell ref="U35:U36"/>
    <mergeCell ref="V35:V36"/>
    <mergeCell ref="W35:W36"/>
    <mergeCell ref="X35:X36"/>
    <mergeCell ref="Y35:Y36"/>
    <mergeCell ref="N35:N36"/>
    <mergeCell ref="O35:O36"/>
    <mergeCell ref="P35:P36"/>
    <mergeCell ref="Q35:Q36"/>
    <mergeCell ref="R35:R36"/>
    <mergeCell ref="S35:S36"/>
    <mergeCell ref="H35:H36"/>
    <mergeCell ref="I35:I36"/>
    <mergeCell ref="J35:J36"/>
    <mergeCell ref="K35:K36"/>
    <mergeCell ref="L35:L36"/>
    <mergeCell ref="M35:M36"/>
    <mergeCell ref="AJ39:AJ40"/>
    <mergeCell ref="Y39:Y40"/>
    <mergeCell ref="Z39:Z40"/>
    <mergeCell ref="AA39:AA40"/>
    <mergeCell ref="AB39:AB40"/>
    <mergeCell ref="AC39:AC40"/>
    <mergeCell ref="AD39:AD40"/>
    <mergeCell ref="S39:S40"/>
    <mergeCell ref="T39:T40"/>
    <mergeCell ref="U39:U40"/>
    <mergeCell ref="V39:V40"/>
    <mergeCell ref="W39:W40"/>
    <mergeCell ref="X39:X40"/>
    <mergeCell ref="M39:M40"/>
    <mergeCell ref="N39:N40"/>
    <mergeCell ref="O39:O40"/>
    <mergeCell ref="P39:P40"/>
    <mergeCell ref="Q39:Q40"/>
    <mergeCell ref="R39:R40"/>
    <mergeCell ref="H41:H42"/>
    <mergeCell ref="I41:I42"/>
    <mergeCell ref="J41:J42"/>
    <mergeCell ref="K41:K42"/>
    <mergeCell ref="L41:L42"/>
    <mergeCell ref="M41:M42"/>
    <mergeCell ref="B41:B42"/>
    <mergeCell ref="C41:C42"/>
    <mergeCell ref="D41:D42"/>
    <mergeCell ref="E41:E42"/>
    <mergeCell ref="F41:F42"/>
    <mergeCell ref="G41:G42"/>
    <mergeCell ref="AE39:AE40"/>
    <mergeCell ref="AF39:AF40"/>
    <mergeCell ref="AG39:AG40"/>
    <mergeCell ref="AH39:AH40"/>
    <mergeCell ref="AI39:AI40"/>
    <mergeCell ref="G39:G40"/>
    <mergeCell ref="H39:H40"/>
    <mergeCell ref="I39:I40"/>
    <mergeCell ref="J39:J40"/>
    <mergeCell ref="K39:K40"/>
    <mergeCell ref="L39:L40"/>
    <mergeCell ref="B39:B40"/>
    <mergeCell ref="C39:C40"/>
    <mergeCell ref="D39:D40"/>
    <mergeCell ref="E39:E40"/>
    <mergeCell ref="F39:F40"/>
    <mergeCell ref="I91:I92"/>
    <mergeCell ref="J91:J92"/>
    <mergeCell ref="K91:K92"/>
    <mergeCell ref="L91:L92"/>
    <mergeCell ref="AF41:AF42"/>
    <mergeCell ref="AG41:AG42"/>
    <mergeCell ref="AH41:AH42"/>
    <mergeCell ref="AI41:AI42"/>
    <mergeCell ref="AJ41:AJ42"/>
    <mergeCell ref="B91:B92"/>
    <mergeCell ref="C91:C92"/>
    <mergeCell ref="D91:D92"/>
    <mergeCell ref="E91:E92"/>
    <mergeCell ref="F91:F92"/>
    <mergeCell ref="Z41:Z42"/>
    <mergeCell ref="AA41:AA42"/>
    <mergeCell ref="AB41:AB42"/>
    <mergeCell ref="AC41:AC42"/>
    <mergeCell ref="AD41:AD42"/>
    <mergeCell ref="AE41:AE42"/>
    <mergeCell ref="T41:T42"/>
    <mergeCell ref="U41:U42"/>
    <mergeCell ref="V41:V42"/>
    <mergeCell ref="W41:W42"/>
    <mergeCell ref="X41:X42"/>
    <mergeCell ref="Y41:Y42"/>
    <mergeCell ref="N41:N42"/>
    <mergeCell ref="O41:O42"/>
    <mergeCell ref="P41:P42"/>
    <mergeCell ref="Q41:Q42"/>
    <mergeCell ref="R41:R42"/>
    <mergeCell ref="S41:S42"/>
    <mergeCell ref="M94:M95"/>
    <mergeCell ref="N94:N95"/>
    <mergeCell ref="AH91:AH92"/>
    <mergeCell ref="AI91:AI92"/>
    <mergeCell ref="AJ91:AJ92"/>
    <mergeCell ref="B94:B95"/>
    <mergeCell ref="C94:C95"/>
    <mergeCell ref="D94:D95"/>
    <mergeCell ref="E94:E95"/>
    <mergeCell ref="F94:F95"/>
    <mergeCell ref="G94:G95"/>
    <mergeCell ref="H94:H95"/>
    <mergeCell ref="Y91:Y92"/>
    <mergeCell ref="Z91:Z92"/>
    <mergeCell ref="AA91:AA92"/>
    <mergeCell ref="AB91:AB92"/>
    <mergeCell ref="AC91:AC92"/>
    <mergeCell ref="AG91:AG92"/>
    <mergeCell ref="S91:S92"/>
    <mergeCell ref="T91:T92"/>
    <mergeCell ref="U91:U92"/>
    <mergeCell ref="V91:V92"/>
    <mergeCell ref="W91:W92"/>
    <mergeCell ref="X91:X92"/>
    <mergeCell ref="M91:M92"/>
    <mergeCell ref="N91:N92"/>
    <mergeCell ref="O91:O92"/>
    <mergeCell ref="P91:P92"/>
    <mergeCell ref="Q91:Q92"/>
    <mergeCell ref="R91:R92"/>
    <mergeCell ref="G91:G92"/>
    <mergeCell ref="H91:H92"/>
    <mergeCell ref="AJ94:AJ95"/>
    <mergeCell ref="B102:B103"/>
    <mergeCell ref="C102:C103"/>
    <mergeCell ref="D102:D103"/>
    <mergeCell ref="E102:E103"/>
    <mergeCell ref="F102:F103"/>
    <mergeCell ref="G102:G103"/>
    <mergeCell ref="H102:H103"/>
    <mergeCell ref="I102:I103"/>
    <mergeCell ref="J102:J103"/>
    <mergeCell ref="AA94:AA95"/>
    <mergeCell ref="AB94:AB95"/>
    <mergeCell ref="AC94:AC95"/>
    <mergeCell ref="AG94:AG95"/>
    <mergeCell ref="AH94:AH95"/>
    <mergeCell ref="AI94:AI95"/>
    <mergeCell ref="U94:U95"/>
    <mergeCell ref="V94:V95"/>
    <mergeCell ref="W94:W95"/>
    <mergeCell ref="X94:X95"/>
    <mergeCell ref="Y94:Y95"/>
    <mergeCell ref="Z94:Z95"/>
    <mergeCell ref="O94:O95"/>
    <mergeCell ref="P94:P95"/>
    <mergeCell ref="Q94:Q95"/>
    <mergeCell ref="R94:R95"/>
    <mergeCell ref="S94:S95"/>
    <mergeCell ref="T94:T95"/>
    <mergeCell ref="I94:I95"/>
    <mergeCell ref="J94:J95"/>
    <mergeCell ref="K94:K95"/>
    <mergeCell ref="L94:L95"/>
    <mergeCell ref="AI102:AI103"/>
    <mergeCell ref="AJ102:AJ103"/>
    <mergeCell ref="B104:B105"/>
    <mergeCell ref="C104:C105"/>
    <mergeCell ref="D104:D105"/>
    <mergeCell ref="E104:E105"/>
    <mergeCell ref="F104:F105"/>
    <mergeCell ref="G104:G105"/>
    <mergeCell ref="H104:H105"/>
    <mergeCell ref="I104:I105"/>
    <mergeCell ref="W102:W103"/>
    <mergeCell ref="X102:X103"/>
    <mergeCell ref="Y102:Y103"/>
    <mergeCell ref="Z102:Z103"/>
    <mergeCell ref="AG102:AG103"/>
    <mergeCell ref="AH102:AH103"/>
    <mergeCell ref="Q102:Q103"/>
    <mergeCell ref="R102:R103"/>
    <mergeCell ref="S102:S103"/>
    <mergeCell ref="T102:T103"/>
    <mergeCell ref="U102:U103"/>
    <mergeCell ref="V102:V103"/>
    <mergeCell ref="K102:K103"/>
    <mergeCell ref="L102:L103"/>
    <mergeCell ref="M102:M103"/>
    <mergeCell ref="N102:N103"/>
    <mergeCell ref="O102:O103"/>
    <mergeCell ref="P102:P103"/>
    <mergeCell ref="AH104:AH105"/>
    <mergeCell ref="AI104:AI105"/>
    <mergeCell ref="AJ104:AJ105"/>
    <mergeCell ref="B107:B108"/>
    <mergeCell ref="C107:C108"/>
    <mergeCell ref="D107:D108"/>
    <mergeCell ref="E107:E108"/>
    <mergeCell ref="F107:F108"/>
    <mergeCell ref="G107:G108"/>
    <mergeCell ref="H107:H108"/>
    <mergeCell ref="V104:V105"/>
    <mergeCell ref="W104:W105"/>
    <mergeCell ref="X104:X105"/>
    <mergeCell ref="Y104:Y105"/>
    <mergeCell ref="Z104:Z105"/>
    <mergeCell ref="AG104:AG105"/>
    <mergeCell ref="P104:P105"/>
    <mergeCell ref="Q104:Q105"/>
    <mergeCell ref="R104:R105"/>
    <mergeCell ref="S104:S105"/>
    <mergeCell ref="T104:T105"/>
    <mergeCell ref="U104:U105"/>
    <mergeCell ref="J104:J105"/>
    <mergeCell ref="K104:K105"/>
    <mergeCell ref="L104:L105"/>
    <mergeCell ref="M104:M105"/>
    <mergeCell ref="N104:N105"/>
    <mergeCell ref="O104:O105"/>
    <mergeCell ref="AJ107:AJ108"/>
    <mergeCell ref="G132:G133"/>
    <mergeCell ref="H132:H133"/>
    <mergeCell ref="I132:I133"/>
    <mergeCell ref="J132:J133"/>
    <mergeCell ref="AA107:AA108"/>
    <mergeCell ref="AB107:AB108"/>
    <mergeCell ref="AC107:AC108"/>
    <mergeCell ref="AG107:AG108"/>
    <mergeCell ref="AH107:AH108"/>
    <mergeCell ref="AI107:AI108"/>
    <mergeCell ref="U107:U108"/>
    <mergeCell ref="V107:V108"/>
    <mergeCell ref="W107:W108"/>
    <mergeCell ref="X107:X108"/>
    <mergeCell ref="Y107:Y108"/>
    <mergeCell ref="Z107:Z108"/>
    <mergeCell ref="O107:O108"/>
    <mergeCell ref="P107:P108"/>
    <mergeCell ref="Q107:Q108"/>
    <mergeCell ref="R107:R108"/>
    <mergeCell ref="S107:S108"/>
    <mergeCell ref="T107:T108"/>
    <mergeCell ref="I107:I108"/>
    <mergeCell ref="J107:J108"/>
    <mergeCell ref="K107:K108"/>
    <mergeCell ref="L107:L108"/>
    <mergeCell ref="AI132:AI133"/>
    <mergeCell ref="M107:M108"/>
    <mergeCell ref="N107:N108"/>
    <mergeCell ref="AJ132:AJ133"/>
    <mergeCell ref="B134:B135"/>
    <mergeCell ref="C134:C135"/>
    <mergeCell ref="D134:D135"/>
    <mergeCell ref="E134:E135"/>
    <mergeCell ref="F134:F135"/>
    <mergeCell ref="G134:G135"/>
    <mergeCell ref="H134:H135"/>
    <mergeCell ref="I134:I135"/>
    <mergeCell ref="W132:W133"/>
    <mergeCell ref="X132:X133"/>
    <mergeCell ref="Y132:Y133"/>
    <mergeCell ref="Z132:Z133"/>
    <mergeCell ref="AG132:AG133"/>
    <mergeCell ref="AH132:AH133"/>
    <mergeCell ref="Q132:Q133"/>
    <mergeCell ref="R132:R133"/>
    <mergeCell ref="S132:S133"/>
    <mergeCell ref="T132:T133"/>
    <mergeCell ref="U132:U133"/>
    <mergeCell ref="V132:V133"/>
    <mergeCell ref="K132:K133"/>
    <mergeCell ref="L132:L133"/>
    <mergeCell ref="M132:M133"/>
    <mergeCell ref="N132:N133"/>
    <mergeCell ref="O132:O133"/>
    <mergeCell ref="P132:P133"/>
    <mergeCell ref="B132:B133"/>
    <mergeCell ref="C132:C133"/>
    <mergeCell ref="D132:D133"/>
    <mergeCell ref="E132:E133"/>
    <mergeCell ref="F132:F133"/>
    <mergeCell ref="L136:L137"/>
    <mergeCell ref="M136:M137"/>
    <mergeCell ref="B136:B137"/>
    <mergeCell ref="C136:C137"/>
    <mergeCell ref="D136:D137"/>
    <mergeCell ref="E136:E137"/>
    <mergeCell ref="F136:F137"/>
    <mergeCell ref="G136:G137"/>
    <mergeCell ref="AE134:AE135"/>
    <mergeCell ref="AF134:AF135"/>
    <mergeCell ref="AG134:AG135"/>
    <mergeCell ref="AH134:AH135"/>
    <mergeCell ref="AI134:AI135"/>
    <mergeCell ref="AJ134:AJ135"/>
    <mergeCell ref="V134:V135"/>
    <mergeCell ref="W134:W135"/>
    <mergeCell ref="X134:X135"/>
    <mergeCell ref="Y134:Y135"/>
    <mergeCell ref="Z134:Z135"/>
    <mergeCell ref="AD134:AD135"/>
    <mergeCell ref="P134:P135"/>
    <mergeCell ref="Q134:Q135"/>
    <mergeCell ref="R134:R135"/>
    <mergeCell ref="S134:S135"/>
    <mergeCell ref="T134:T135"/>
    <mergeCell ref="U134:U135"/>
    <mergeCell ref="J134:J135"/>
    <mergeCell ref="K134:K135"/>
    <mergeCell ref="L134:L135"/>
    <mergeCell ref="M134:M135"/>
    <mergeCell ref="N134:N135"/>
    <mergeCell ref="O134:O135"/>
    <mergeCell ref="AI136:AI137"/>
    <mergeCell ref="AJ136:AJ137"/>
    <mergeCell ref="B138:B139"/>
    <mergeCell ref="C138:C139"/>
    <mergeCell ref="D138:D139"/>
    <mergeCell ref="E138:E139"/>
    <mergeCell ref="F138:F139"/>
    <mergeCell ref="G138:G139"/>
    <mergeCell ref="H138:H139"/>
    <mergeCell ref="I138:I139"/>
    <mergeCell ref="Z136:Z137"/>
    <mergeCell ref="AA136:AA137"/>
    <mergeCell ref="AB136:AB137"/>
    <mergeCell ref="AC136:AC137"/>
    <mergeCell ref="AG136:AG137"/>
    <mergeCell ref="AH136:AH137"/>
    <mergeCell ref="T136:T137"/>
    <mergeCell ref="U136:U137"/>
    <mergeCell ref="V136:V137"/>
    <mergeCell ref="W136:W137"/>
    <mergeCell ref="X136:X137"/>
    <mergeCell ref="Y136:Y137"/>
    <mergeCell ref="N136:N137"/>
    <mergeCell ref="O136:O137"/>
    <mergeCell ref="P136:P137"/>
    <mergeCell ref="Q136:Q137"/>
    <mergeCell ref="R136:R137"/>
    <mergeCell ref="S136:S137"/>
    <mergeCell ref="H136:H137"/>
    <mergeCell ref="I136:I137"/>
    <mergeCell ref="J136:J137"/>
    <mergeCell ref="K136:K137"/>
    <mergeCell ref="AI144:AI145"/>
    <mergeCell ref="M140:M141"/>
    <mergeCell ref="N140:N141"/>
    <mergeCell ref="AH138:AH139"/>
    <mergeCell ref="AI138:AI139"/>
    <mergeCell ref="AJ138:AJ139"/>
    <mergeCell ref="B140:B141"/>
    <mergeCell ref="C140:C141"/>
    <mergeCell ref="D140:D141"/>
    <mergeCell ref="E140:E141"/>
    <mergeCell ref="F140:F141"/>
    <mergeCell ref="G140:G141"/>
    <mergeCell ref="H140:H141"/>
    <mergeCell ref="V138:V139"/>
    <mergeCell ref="W138:W139"/>
    <mergeCell ref="X138:X139"/>
    <mergeCell ref="Y138:Y139"/>
    <mergeCell ref="Z138:Z139"/>
    <mergeCell ref="AG138:AG139"/>
    <mergeCell ref="P138:P139"/>
    <mergeCell ref="Q138:Q139"/>
    <mergeCell ref="R138:R139"/>
    <mergeCell ref="S138:S139"/>
    <mergeCell ref="T138:T139"/>
    <mergeCell ref="U138:U139"/>
    <mergeCell ref="J138:J139"/>
    <mergeCell ref="K138:K139"/>
    <mergeCell ref="L138:L139"/>
    <mergeCell ref="M138:M139"/>
    <mergeCell ref="N138:N139"/>
    <mergeCell ref="O138:O139"/>
    <mergeCell ref="AJ140:AJ141"/>
    <mergeCell ref="AF140:AF141"/>
    <mergeCell ref="AG140:AG141"/>
    <mergeCell ref="AH140:AH141"/>
    <mergeCell ref="AI140:AI141"/>
    <mergeCell ref="U140:U141"/>
    <mergeCell ref="V140:V141"/>
    <mergeCell ref="W140:W141"/>
    <mergeCell ref="X140:X141"/>
    <mergeCell ref="Y140:Y141"/>
    <mergeCell ref="Z140:Z141"/>
    <mergeCell ref="O140:O141"/>
    <mergeCell ref="P140:P141"/>
    <mergeCell ref="Q140:Q141"/>
    <mergeCell ref="R140:R141"/>
    <mergeCell ref="S140:S141"/>
    <mergeCell ref="T140:T141"/>
    <mergeCell ref="I140:I141"/>
    <mergeCell ref="J140:J141"/>
    <mergeCell ref="K140:K141"/>
    <mergeCell ref="L140:L141"/>
    <mergeCell ref="K144:K145"/>
    <mergeCell ref="L144:L145"/>
    <mergeCell ref="M144:M145"/>
    <mergeCell ref="N144:N145"/>
    <mergeCell ref="O144:O145"/>
    <mergeCell ref="P144:P145"/>
    <mergeCell ref="B144:B145"/>
    <mergeCell ref="C144:C145"/>
    <mergeCell ref="D144:D145"/>
    <mergeCell ref="E144:E145"/>
    <mergeCell ref="F144:F145"/>
    <mergeCell ref="G144:G145"/>
    <mergeCell ref="H144:H145"/>
    <mergeCell ref="I144:I145"/>
    <mergeCell ref="J144:J145"/>
    <mergeCell ref="AD140:AD141"/>
    <mergeCell ref="AE140:AE141"/>
    <mergeCell ref="J147:J148"/>
    <mergeCell ref="K147:K148"/>
    <mergeCell ref="L147:L148"/>
    <mergeCell ref="M147:M148"/>
    <mergeCell ref="N147:N148"/>
    <mergeCell ref="O147:O148"/>
    <mergeCell ref="Z149:Z150"/>
    <mergeCell ref="AG149:AG150"/>
    <mergeCell ref="AH149:AH150"/>
    <mergeCell ref="AI149:AI150"/>
    <mergeCell ref="AJ149:AJ150"/>
    <mergeCell ref="AJ144:AJ145"/>
    <mergeCell ref="B147:B148"/>
    <mergeCell ref="C147:C148"/>
    <mergeCell ref="D147:D148"/>
    <mergeCell ref="E147:E148"/>
    <mergeCell ref="F147:F148"/>
    <mergeCell ref="G147:G148"/>
    <mergeCell ref="H147:H148"/>
    <mergeCell ref="I147:I148"/>
    <mergeCell ref="W144:W145"/>
    <mergeCell ref="X144:X145"/>
    <mergeCell ref="Y144:Y145"/>
    <mergeCell ref="Z144:Z145"/>
    <mergeCell ref="AG144:AG145"/>
    <mergeCell ref="AH144:AH145"/>
    <mergeCell ref="Q144:Q145"/>
    <mergeCell ref="R144:R145"/>
    <mergeCell ref="S144:S145"/>
    <mergeCell ref="T144:T145"/>
    <mergeCell ref="U144:U145"/>
    <mergeCell ref="V144:V145"/>
    <mergeCell ref="AB147:AB148"/>
    <mergeCell ref="AC147:AC148"/>
    <mergeCell ref="AG147:AG148"/>
    <mergeCell ref="AH147:AH148"/>
    <mergeCell ref="AI147:AI148"/>
    <mergeCell ref="AJ147:AJ148"/>
    <mergeCell ref="V147:V148"/>
    <mergeCell ref="W147:W148"/>
    <mergeCell ref="X147:X148"/>
    <mergeCell ref="Y147:Y148"/>
    <mergeCell ref="Z147:Z148"/>
    <mergeCell ref="AA147:AA148"/>
    <mergeCell ref="P147:P148"/>
    <mergeCell ref="Q147:Q148"/>
    <mergeCell ref="R147:R148"/>
    <mergeCell ref="S147:S148"/>
    <mergeCell ref="T147:T148"/>
    <mergeCell ref="U147:U148"/>
    <mergeCell ref="B201:B202"/>
    <mergeCell ref="C201:C202"/>
    <mergeCell ref="D201:D202"/>
    <mergeCell ref="E201:E202"/>
    <mergeCell ref="F201:F202"/>
    <mergeCell ref="T149:T150"/>
    <mergeCell ref="U149:U150"/>
    <mergeCell ref="V149:V150"/>
    <mergeCell ref="W149:W150"/>
    <mergeCell ref="X149:X150"/>
    <mergeCell ref="Y149:Y150"/>
    <mergeCell ref="N149:N150"/>
    <mergeCell ref="O149:O150"/>
    <mergeCell ref="P149:P150"/>
    <mergeCell ref="Q149:Q150"/>
    <mergeCell ref="R149:R150"/>
    <mergeCell ref="S149:S150"/>
    <mergeCell ref="H149:H150"/>
    <mergeCell ref="I149:I150"/>
    <mergeCell ref="J149:J150"/>
    <mergeCell ref="K149:K150"/>
    <mergeCell ref="L149:L150"/>
    <mergeCell ref="M149:M150"/>
    <mergeCell ref="B149:B150"/>
    <mergeCell ref="C149:C150"/>
    <mergeCell ref="D149:D150"/>
    <mergeCell ref="E149:E150"/>
    <mergeCell ref="F149:F150"/>
    <mergeCell ref="G149:G150"/>
    <mergeCell ref="D210:D212"/>
    <mergeCell ref="E210:E212"/>
    <mergeCell ref="F210:F212"/>
    <mergeCell ref="G210:G212"/>
    <mergeCell ref="Y201:Y202"/>
    <mergeCell ref="Z201:Z202"/>
    <mergeCell ref="AG201:AG202"/>
    <mergeCell ref="AH201:AH202"/>
    <mergeCell ref="AI201:AI202"/>
    <mergeCell ref="AJ201:AJ202"/>
    <mergeCell ref="S201:S202"/>
    <mergeCell ref="T201:T202"/>
    <mergeCell ref="U201:U202"/>
    <mergeCell ref="V201:V202"/>
    <mergeCell ref="W201:W202"/>
    <mergeCell ref="X201:X202"/>
    <mergeCell ref="M201:M202"/>
    <mergeCell ref="N201:N202"/>
    <mergeCell ref="O201:O202"/>
    <mergeCell ref="P201:P202"/>
    <mergeCell ref="Q201:Q202"/>
    <mergeCell ref="R201:R202"/>
    <mergeCell ref="G201:G202"/>
    <mergeCell ref="H201:H202"/>
    <mergeCell ref="I201:I202"/>
    <mergeCell ref="J201:J202"/>
    <mergeCell ref="K201:K202"/>
    <mergeCell ref="L201:L202"/>
    <mergeCell ref="K213:K216"/>
    <mergeCell ref="L213:L216"/>
    <mergeCell ref="Z210:Z212"/>
    <mergeCell ref="AG210:AG212"/>
    <mergeCell ref="AH210:AH212"/>
    <mergeCell ref="AI210:AI212"/>
    <mergeCell ref="AJ210:AJ212"/>
    <mergeCell ref="B213:B216"/>
    <mergeCell ref="C213:C216"/>
    <mergeCell ref="D213:D216"/>
    <mergeCell ref="E213:E216"/>
    <mergeCell ref="F213:F216"/>
    <mergeCell ref="T210:T212"/>
    <mergeCell ref="U210:U212"/>
    <mergeCell ref="V210:V212"/>
    <mergeCell ref="W210:W212"/>
    <mergeCell ref="X210:X212"/>
    <mergeCell ref="Y210:Y212"/>
    <mergeCell ref="N210:N212"/>
    <mergeCell ref="O210:O212"/>
    <mergeCell ref="P210:P212"/>
    <mergeCell ref="Q210:Q212"/>
    <mergeCell ref="R210:R212"/>
    <mergeCell ref="S210:S212"/>
    <mergeCell ref="H210:H212"/>
    <mergeCell ref="I210:I212"/>
    <mergeCell ref="J210:J212"/>
    <mergeCell ref="K210:K212"/>
    <mergeCell ref="L210:L212"/>
    <mergeCell ref="M210:M212"/>
    <mergeCell ref="B210:B212"/>
    <mergeCell ref="C210:C212"/>
    <mergeCell ref="AI213:AI216"/>
    <mergeCell ref="AJ213:AJ216"/>
    <mergeCell ref="B217:B219"/>
    <mergeCell ref="C217:C219"/>
    <mergeCell ref="D217:D219"/>
    <mergeCell ref="E217:E219"/>
    <mergeCell ref="F217:F219"/>
    <mergeCell ref="G217:G219"/>
    <mergeCell ref="H217:H219"/>
    <mergeCell ref="I217:I219"/>
    <mergeCell ref="Y213:Y216"/>
    <mergeCell ref="Z213:Z216"/>
    <mergeCell ref="AC213:AC216"/>
    <mergeCell ref="AF213:AF216"/>
    <mergeCell ref="AG213:AG216"/>
    <mergeCell ref="AH213:AH216"/>
    <mergeCell ref="S213:S216"/>
    <mergeCell ref="T213:T216"/>
    <mergeCell ref="U213:U216"/>
    <mergeCell ref="V213:V216"/>
    <mergeCell ref="W213:W216"/>
    <mergeCell ref="X213:X216"/>
    <mergeCell ref="M213:M216"/>
    <mergeCell ref="N213:N216"/>
    <mergeCell ref="O213:O216"/>
    <mergeCell ref="P213:P216"/>
    <mergeCell ref="Q213:Q216"/>
    <mergeCell ref="R213:R216"/>
    <mergeCell ref="G213:G216"/>
    <mergeCell ref="H213:H216"/>
    <mergeCell ref="I213:I216"/>
    <mergeCell ref="J213:J216"/>
    <mergeCell ref="AF217:AF219"/>
    <mergeCell ref="AG217:AG219"/>
    <mergeCell ref="AH217:AH219"/>
    <mergeCell ref="AI217:AI219"/>
    <mergeCell ref="AJ217:AJ219"/>
    <mergeCell ref="B220:B221"/>
    <mergeCell ref="C220:C221"/>
    <mergeCell ref="D220:D221"/>
    <mergeCell ref="E220:E221"/>
    <mergeCell ref="F220:F221"/>
    <mergeCell ref="V217:V219"/>
    <mergeCell ref="W217:W219"/>
    <mergeCell ref="X217:X219"/>
    <mergeCell ref="Y217:Y219"/>
    <mergeCell ref="Z217:Z219"/>
    <mergeCell ref="AC217:AC219"/>
    <mergeCell ref="P217:P219"/>
    <mergeCell ref="Q217:Q219"/>
    <mergeCell ref="R217:R219"/>
    <mergeCell ref="S217:S219"/>
    <mergeCell ref="T217:T219"/>
    <mergeCell ref="U217:U219"/>
    <mergeCell ref="J217:J219"/>
    <mergeCell ref="K217:K219"/>
    <mergeCell ref="L217:L219"/>
    <mergeCell ref="M217:M219"/>
    <mergeCell ref="N217:N219"/>
    <mergeCell ref="O217:O219"/>
    <mergeCell ref="AH220:AH221"/>
    <mergeCell ref="AI220:AI221"/>
    <mergeCell ref="AJ220:AJ221"/>
    <mergeCell ref="E222:E223"/>
    <mergeCell ref="F222:F223"/>
    <mergeCell ref="G222:G223"/>
    <mergeCell ref="H222:H223"/>
    <mergeCell ref="Y220:Y221"/>
    <mergeCell ref="Z220:Z221"/>
    <mergeCell ref="AA220:AA221"/>
    <mergeCell ref="AB220:AB221"/>
    <mergeCell ref="AC220:AC221"/>
    <mergeCell ref="AG220:AG221"/>
    <mergeCell ref="S220:S221"/>
    <mergeCell ref="T220:T221"/>
    <mergeCell ref="U220:U221"/>
    <mergeCell ref="V220:V221"/>
    <mergeCell ref="W220:W221"/>
    <mergeCell ref="X220:X221"/>
    <mergeCell ref="M220:M221"/>
    <mergeCell ref="N220:N221"/>
    <mergeCell ref="O220:O221"/>
    <mergeCell ref="P220:P221"/>
    <mergeCell ref="Q220:Q221"/>
    <mergeCell ref="R220:R221"/>
    <mergeCell ref="G220:G221"/>
    <mergeCell ref="H220:H221"/>
    <mergeCell ref="I220:I221"/>
    <mergeCell ref="J220:J221"/>
    <mergeCell ref="K220:K221"/>
    <mergeCell ref="L220:L221"/>
    <mergeCell ref="AG222:AG223"/>
    <mergeCell ref="AH222:AH223"/>
    <mergeCell ref="AI222:AI223"/>
    <mergeCell ref="AJ222:AJ223"/>
    <mergeCell ref="B224:B225"/>
    <mergeCell ref="C224:C225"/>
    <mergeCell ref="D224:D225"/>
    <mergeCell ref="E224:E225"/>
    <mergeCell ref="F224:F225"/>
    <mergeCell ref="G224:G225"/>
    <mergeCell ref="U222:U223"/>
    <mergeCell ref="V222:V223"/>
    <mergeCell ref="W222:W223"/>
    <mergeCell ref="X222:X223"/>
    <mergeCell ref="Y222:Y223"/>
    <mergeCell ref="Z222:Z223"/>
    <mergeCell ref="O222:O223"/>
    <mergeCell ref="P222:P223"/>
    <mergeCell ref="Q222:Q223"/>
    <mergeCell ref="R222:R223"/>
    <mergeCell ref="S222:S223"/>
    <mergeCell ref="T222:T223"/>
    <mergeCell ref="I222:I223"/>
    <mergeCell ref="J222:J223"/>
    <mergeCell ref="K222:K223"/>
    <mergeCell ref="L222:L223"/>
    <mergeCell ref="M222:M223"/>
    <mergeCell ref="N222:N223"/>
    <mergeCell ref="AI224:AI225"/>
    <mergeCell ref="AJ224:AJ225"/>
    <mergeCell ref="B222:B223"/>
    <mergeCell ref="C222:C223"/>
    <mergeCell ref="D222:D223"/>
    <mergeCell ref="D226:D227"/>
    <mergeCell ref="E226:E227"/>
    <mergeCell ref="F226:F227"/>
    <mergeCell ref="G226:G227"/>
    <mergeCell ref="H226:H227"/>
    <mergeCell ref="I226:I227"/>
    <mergeCell ref="Z224:Z225"/>
    <mergeCell ref="AD224:AD225"/>
    <mergeCell ref="AE224:AE225"/>
    <mergeCell ref="AF224:AF225"/>
    <mergeCell ref="AG224:AG225"/>
    <mergeCell ref="AH224:AH225"/>
    <mergeCell ref="T224:T225"/>
    <mergeCell ref="U224:U225"/>
    <mergeCell ref="V224:V225"/>
    <mergeCell ref="W224:W225"/>
    <mergeCell ref="X224:X225"/>
    <mergeCell ref="Y224:Y225"/>
    <mergeCell ref="N224:N225"/>
    <mergeCell ref="O224:O225"/>
    <mergeCell ref="P224:P225"/>
    <mergeCell ref="Q224:Q225"/>
    <mergeCell ref="R224:R225"/>
    <mergeCell ref="S224:S225"/>
    <mergeCell ref="H224:H225"/>
    <mergeCell ref="I224:I225"/>
    <mergeCell ref="J224:J225"/>
    <mergeCell ref="K224:K225"/>
    <mergeCell ref="AH226:AH227"/>
    <mergeCell ref="L224:L225"/>
    <mergeCell ref="M224:M225"/>
    <mergeCell ref="L229:L231"/>
    <mergeCell ref="M229:M231"/>
    <mergeCell ref="N229:N231"/>
    <mergeCell ref="AI226:AI227"/>
    <mergeCell ref="AJ226:AJ227"/>
    <mergeCell ref="B229:B231"/>
    <mergeCell ref="C229:C231"/>
    <mergeCell ref="D229:D231"/>
    <mergeCell ref="E229:E231"/>
    <mergeCell ref="F229:F231"/>
    <mergeCell ref="G229:G231"/>
    <mergeCell ref="H229:H231"/>
    <mergeCell ref="V226:V227"/>
    <mergeCell ref="W226:W227"/>
    <mergeCell ref="X226:X227"/>
    <mergeCell ref="Y226:Y227"/>
    <mergeCell ref="Z226:Z227"/>
    <mergeCell ref="AG226:AG227"/>
    <mergeCell ref="P226:P227"/>
    <mergeCell ref="Q226:Q227"/>
    <mergeCell ref="R226:R227"/>
    <mergeCell ref="S226:S227"/>
    <mergeCell ref="T226:T227"/>
    <mergeCell ref="U226:U227"/>
    <mergeCell ref="J226:J227"/>
    <mergeCell ref="K226:K227"/>
    <mergeCell ref="L226:L227"/>
    <mergeCell ref="M226:M227"/>
    <mergeCell ref="N226:N227"/>
    <mergeCell ref="O226:O227"/>
    <mergeCell ref="B226:B227"/>
    <mergeCell ref="C226:C227"/>
    <mergeCell ref="I232:I235"/>
    <mergeCell ref="J232:J235"/>
    <mergeCell ref="K232:K235"/>
    <mergeCell ref="L232:L235"/>
    <mergeCell ref="M232:M235"/>
    <mergeCell ref="B232:B235"/>
    <mergeCell ref="C232:C235"/>
    <mergeCell ref="D232:D235"/>
    <mergeCell ref="E232:E235"/>
    <mergeCell ref="F232:F235"/>
    <mergeCell ref="G232:G235"/>
    <mergeCell ref="AC229:AC231"/>
    <mergeCell ref="AF229:AF231"/>
    <mergeCell ref="AG229:AG231"/>
    <mergeCell ref="AH229:AH231"/>
    <mergeCell ref="AI229:AI231"/>
    <mergeCell ref="AJ229:AJ231"/>
    <mergeCell ref="U229:U231"/>
    <mergeCell ref="V229:V231"/>
    <mergeCell ref="W229:W231"/>
    <mergeCell ref="X229:X231"/>
    <mergeCell ref="Y229:Y231"/>
    <mergeCell ref="Z229:Z231"/>
    <mergeCell ref="O229:O231"/>
    <mergeCell ref="P229:P231"/>
    <mergeCell ref="Q229:Q231"/>
    <mergeCell ref="R229:R231"/>
    <mergeCell ref="S229:S231"/>
    <mergeCell ref="T229:T231"/>
    <mergeCell ref="I229:I231"/>
    <mergeCell ref="J229:J231"/>
    <mergeCell ref="K229:K231"/>
    <mergeCell ref="O236:O240"/>
    <mergeCell ref="P236:P240"/>
    <mergeCell ref="AJ241:AJ244"/>
    <mergeCell ref="AJ232:AJ235"/>
    <mergeCell ref="B236:B240"/>
    <mergeCell ref="C236:C240"/>
    <mergeCell ref="D236:D240"/>
    <mergeCell ref="E236:E240"/>
    <mergeCell ref="F236:F240"/>
    <mergeCell ref="G236:G240"/>
    <mergeCell ref="H236:H240"/>
    <mergeCell ref="I236:I240"/>
    <mergeCell ref="J236:J240"/>
    <mergeCell ref="Z232:Z235"/>
    <mergeCell ref="AC232:AC235"/>
    <mergeCell ref="AF232:AF235"/>
    <mergeCell ref="AG232:AG235"/>
    <mergeCell ref="AH232:AH235"/>
    <mergeCell ref="AI232:AI235"/>
    <mergeCell ref="T232:T235"/>
    <mergeCell ref="U232:U235"/>
    <mergeCell ref="V232:V235"/>
    <mergeCell ref="W232:W235"/>
    <mergeCell ref="X232:X235"/>
    <mergeCell ref="Y232:Y235"/>
    <mergeCell ref="N232:N235"/>
    <mergeCell ref="O232:O235"/>
    <mergeCell ref="P232:P235"/>
    <mergeCell ref="Q232:Q235"/>
    <mergeCell ref="R232:R235"/>
    <mergeCell ref="S232:S235"/>
    <mergeCell ref="H232:H235"/>
    <mergeCell ref="H241:H244"/>
    <mergeCell ref="I241:I244"/>
    <mergeCell ref="J241:J244"/>
    <mergeCell ref="K241:K244"/>
    <mergeCell ref="L241:L244"/>
    <mergeCell ref="M241:M244"/>
    <mergeCell ref="AG236:AG240"/>
    <mergeCell ref="AH236:AH240"/>
    <mergeCell ref="AI236:AI240"/>
    <mergeCell ref="AJ236:AJ240"/>
    <mergeCell ref="B241:B244"/>
    <mergeCell ref="C241:C244"/>
    <mergeCell ref="D241:D244"/>
    <mergeCell ref="E241:E244"/>
    <mergeCell ref="F241:F244"/>
    <mergeCell ref="G241:G244"/>
    <mergeCell ref="W236:W240"/>
    <mergeCell ref="X236:X240"/>
    <mergeCell ref="Y236:Y240"/>
    <mergeCell ref="Z236:Z240"/>
    <mergeCell ref="AC236:AC240"/>
    <mergeCell ref="AF236:AF240"/>
    <mergeCell ref="Q236:Q240"/>
    <mergeCell ref="R236:R240"/>
    <mergeCell ref="S236:S240"/>
    <mergeCell ref="T236:T240"/>
    <mergeCell ref="U236:U240"/>
    <mergeCell ref="V236:V240"/>
    <mergeCell ref="K236:K240"/>
    <mergeCell ref="L236:L240"/>
    <mergeCell ref="M236:M240"/>
    <mergeCell ref="N236:N240"/>
    <mergeCell ref="Z241:Z244"/>
    <mergeCell ref="AC241:AC244"/>
    <mergeCell ref="AF241:AF244"/>
    <mergeCell ref="AG241:AG244"/>
    <mergeCell ref="AH241:AH244"/>
    <mergeCell ref="AI241:AI244"/>
    <mergeCell ref="T241:T244"/>
    <mergeCell ref="U241:U244"/>
    <mergeCell ref="V241:V244"/>
    <mergeCell ref="W241:W244"/>
    <mergeCell ref="X241:X244"/>
    <mergeCell ref="Y241:Y244"/>
    <mergeCell ref="N241:N244"/>
    <mergeCell ref="O241:O244"/>
    <mergeCell ref="P241:P244"/>
    <mergeCell ref="Q241:Q244"/>
    <mergeCell ref="R241:R244"/>
    <mergeCell ref="S241:S244"/>
    <mergeCell ref="K245:K248"/>
    <mergeCell ref="L245:L248"/>
    <mergeCell ref="M245:M248"/>
    <mergeCell ref="N245:N248"/>
    <mergeCell ref="O245:O248"/>
    <mergeCell ref="P245:P248"/>
    <mergeCell ref="Z250:Z251"/>
    <mergeCell ref="AG250:AG251"/>
    <mergeCell ref="AH250:AH251"/>
    <mergeCell ref="AI250:AI251"/>
    <mergeCell ref="AJ250:AJ251"/>
    <mergeCell ref="B245:B248"/>
    <mergeCell ref="C245:C248"/>
    <mergeCell ref="D245:D248"/>
    <mergeCell ref="E245:E248"/>
    <mergeCell ref="F245:F248"/>
    <mergeCell ref="G245:G248"/>
    <mergeCell ref="H245:H248"/>
    <mergeCell ref="I245:I248"/>
    <mergeCell ref="J245:J248"/>
    <mergeCell ref="AC245:AC248"/>
    <mergeCell ref="AF245:AF248"/>
    <mergeCell ref="AG245:AG248"/>
    <mergeCell ref="AH245:AH248"/>
    <mergeCell ref="AI245:AI248"/>
    <mergeCell ref="AJ245:AJ248"/>
    <mergeCell ref="W245:W248"/>
    <mergeCell ref="X245:X248"/>
    <mergeCell ref="Y245:Y248"/>
    <mergeCell ref="Z245:Z248"/>
    <mergeCell ref="AA245:AA248"/>
    <mergeCell ref="AB245:AB248"/>
    <mergeCell ref="Q245:Q248"/>
    <mergeCell ref="R245:R248"/>
    <mergeCell ref="S245:S248"/>
    <mergeCell ref="T245:T248"/>
    <mergeCell ref="U245:U248"/>
    <mergeCell ref="V245:V248"/>
    <mergeCell ref="B253:B254"/>
    <mergeCell ref="C253:C254"/>
    <mergeCell ref="D253:D254"/>
    <mergeCell ref="E253:E254"/>
    <mergeCell ref="F253:F254"/>
    <mergeCell ref="T250:T251"/>
    <mergeCell ref="U250:U251"/>
    <mergeCell ref="V250:V251"/>
    <mergeCell ref="W250:W251"/>
    <mergeCell ref="X250:X251"/>
    <mergeCell ref="Y250:Y251"/>
    <mergeCell ref="N250:N251"/>
    <mergeCell ref="O250:O251"/>
    <mergeCell ref="P250:P251"/>
    <mergeCell ref="Q250:Q251"/>
    <mergeCell ref="R250:R251"/>
    <mergeCell ref="S250:S251"/>
    <mergeCell ref="H250:H251"/>
    <mergeCell ref="I250:I251"/>
    <mergeCell ref="J250:J251"/>
    <mergeCell ref="K250:K251"/>
    <mergeCell ref="L250:L251"/>
    <mergeCell ref="M250:M251"/>
    <mergeCell ref="B250:B251"/>
    <mergeCell ref="C250:C251"/>
    <mergeCell ref="D250:D251"/>
    <mergeCell ref="E250:E251"/>
    <mergeCell ref="F250:F251"/>
    <mergeCell ref="G250:G251"/>
    <mergeCell ref="L272:L273"/>
    <mergeCell ref="M272:M273"/>
    <mergeCell ref="B272:B273"/>
    <mergeCell ref="C272:C273"/>
    <mergeCell ref="D272:D273"/>
    <mergeCell ref="E272:E273"/>
    <mergeCell ref="F272:F273"/>
    <mergeCell ref="G272:G273"/>
    <mergeCell ref="Y253:Y254"/>
    <mergeCell ref="Z253:Z254"/>
    <mergeCell ref="AG253:AG254"/>
    <mergeCell ref="AH253:AH254"/>
    <mergeCell ref="AI253:AI254"/>
    <mergeCell ref="AJ253:AJ254"/>
    <mergeCell ref="S253:S254"/>
    <mergeCell ref="T253:T254"/>
    <mergeCell ref="U253:U254"/>
    <mergeCell ref="V253:V254"/>
    <mergeCell ref="W253:W254"/>
    <mergeCell ref="X253:X254"/>
    <mergeCell ref="M253:M254"/>
    <mergeCell ref="N253:N254"/>
    <mergeCell ref="O253:O254"/>
    <mergeCell ref="P253:P254"/>
    <mergeCell ref="Q253:Q254"/>
    <mergeCell ref="R253:R254"/>
    <mergeCell ref="G253:G254"/>
    <mergeCell ref="H253:H254"/>
    <mergeCell ref="I253:I254"/>
    <mergeCell ref="J253:J254"/>
    <mergeCell ref="K253:K254"/>
    <mergeCell ref="L253:L254"/>
    <mergeCell ref="AI272:AI273"/>
    <mergeCell ref="AJ272:AJ273"/>
    <mergeCell ref="B280:B281"/>
    <mergeCell ref="C280:C281"/>
    <mergeCell ref="D280:D281"/>
    <mergeCell ref="E280:E281"/>
    <mergeCell ref="F280:F281"/>
    <mergeCell ref="G280:G281"/>
    <mergeCell ref="H280:H281"/>
    <mergeCell ref="I280:I281"/>
    <mergeCell ref="Z272:Z273"/>
    <mergeCell ref="AD272:AD273"/>
    <mergeCell ref="AE272:AE273"/>
    <mergeCell ref="AF272:AF273"/>
    <mergeCell ref="AG272:AG273"/>
    <mergeCell ref="AH272:AH273"/>
    <mergeCell ref="T272:T273"/>
    <mergeCell ref="U272:U273"/>
    <mergeCell ref="V272:V273"/>
    <mergeCell ref="W272:W273"/>
    <mergeCell ref="X272:X273"/>
    <mergeCell ref="Y272:Y273"/>
    <mergeCell ref="N272:N273"/>
    <mergeCell ref="O272:O273"/>
    <mergeCell ref="P272:P273"/>
    <mergeCell ref="Q272:Q273"/>
    <mergeCell ref="R272:R273"/>
    <mergeCell ref="S272:S273"/>
    <mergeCell ref="H272:H273"/>
    <mergeCell ref="I272:I273"/>
    <mergeCell ref="J272:J273"/>
    <mergeCell ref="K272:K273"/>
    <mergeCell ref="B282:B283"/>
    <mergeCell ref="C282:C283"/>
    <mergeCell ref="D282:D283"/>
    <mergeCell ref="E282:E283"/>
    <mergeCell ref="F282:F283"/>
    <mergeCell ref="G282:G283"/>
    <mergeCell ref="AB280:AB281"/>
    <mergeCell ref="AC280:AC281"/>
    <mergeCell ref="AG280:AG281"/>
    <mergeCell ref="AH280:AH281"/>
    <mergeCell ref="AI280:AI281"/>
    <mergeCell ref="AJ280:AJ281"/>
    <mergeCell ref="V280:V281"/>
    <mergeCell ref="W280:W281"/>
    <mergeCell ref="X280:X281"/>
    <mergeCell ref="Y280:Y281"/>
    <mergeCell ref="Z280:Z281"/>
    <mergeCell ref="AA280:AA281"/>
    <mergeCell ref="P280:P281"/>
    <mergeCell ref="Q280:Q281"/>
    <mergeCell ref="R280:R281"/>
    <mergeCell ref="S280:S281"/>
    <mergeCell ref="T280:T281"/>
    <mergeCell ref="U280:U281"/>
    <mergeCell ref="J280:J281"/>
    <mergeCell ref="K280:K281"/>
    <mergeCell ref="L280:L281"/>
    <mergeCell ref="M280:M281"/>
    <mergeCell ref="N280:N281"/>
    <mergeCell ref="O280:O281"/>
    <mergeCell ref="I296:I297"/>
    <mergeCell ref="J296:J297"/>
    <mergeCell ref="K296:K297"/>
    <mergeCell ref="L296:L297"/>
    <mergeCell ref="Z282:Z283"/>
    <mergeCell ref="AG282:AG283"/>
    <mergeCell ref="AH282:AH283"/>
    <mergeCell ref="AI282:AI283"/>
    <mergeCell ref="AJ282:AJ283"/>
    <mergeCell ref="B296:B297"/>
    <mergeCell ref="C296:C297"/>
    <mergeCell ref="D296:D297"/>
    <mergeCell ref="E296:E297"/>
    <mergeCell ref="F296:F297"/>
    <mergeCell ref="T282:T283"/>
    <mergeCell ref="U282:U283"/>
    <mergeCell ref="V282:V283"/>
    <mergeCell ref="W282:W283"/>
    <mergeCell ref="X282:X283"/>
    <mergeCell ref="Y282:Y283"/>
    <mergeCell ref="N282:N283"/>
    <mergeCell ref="O282:O283"/>
    <mergeCell ref="P282:P283"/>
    <mergeCell ref="Q282:Q283"/>
    <mergeCell ref="R282:R283"/>
    <mergeCell ref="S282:S283"/>
    <mergeCell ref="H282:H283"/>
    <mergeCell ref="I282:I283"/>
    <mergeCell ref="J282:J283"/>
    <mergeCell ref="K282:K283"/>
    <mergeCell ref="L282:L283"/>
    <mergeCell ref="M282:M283"/>
    <mergeCell ref="M312:M314"/>
    <mergeCell ref="N312:N314"/>
    <mergeCell ref="AH296:AH297"/>
    <mergeCell ref="AI296:AI297"/>
    <mergeCell ref="AJ296:AJ297"/>
    <mergeCell ref="B312:B314"/>
    <mergeCell ref="C312:C314"/>
    <mergeCell ref="D312:D314"/>
    <mergeCell ref="E312:E314"/>
    <mergeCell ref="F312:F314"/>
    <mergeCell ref="G312:G314"/>
    <mergeCell ref="H312:H314"/>
    <mergeCell ref="Y296:Y297"/>
    <mergeCell ref="Z296:Z297"/>
    <mergeCell ref="AD296:AD297"/>
    <mergeCell ref="AE296:AE297"/>
    <mergeCell ref="AF296:AF297"/>
    <mergeCell ref="AG296:AG297"/>
    <mergeCell ref="S296:S297"/>
    <mergeCell ref="T296:T297"/>
    <mergeCell ref="U296:U297"/>
    <mergeCell ref="V296:V297"/>
    <mergeCell ref="W296:W297"/>
    <mergeCell ref="X296:X297"/>
    <mergeCell ref="M296:M297"/>
    <mergeCell ref="N296:N297"/>
    <mergeCell ref="O296:O297"/>
    <mergeCell ref="P296:P297"/>
    <mergeCell ref="Q296:Q297"/>
    <mergeCell ref="R296:R297"/>
    <mergeCell ref="G296:G297"/>
    <mergeCell ref="H296:H297"/>
    <mergeCell ref="AJ312:AJ314"/>
    <mergeCell ref="B329:B330"/>
    <mergeCell ref="C329:C330"/>
    <mergeCell ref="D329:D330"/>
    <mergeCell ref="E329:E330"/>
    <mergeCell ref="F329:F330"/>
    <mergeCell ref="G329:G330"/>
    <mergeCell ref="H329:H330"/>
    <mergeCell ref="I329:I330"/>
    <mergeCell ref="J329:J330"/>
    <mergeCell ref="AA312:AA314"/>
    <mergeCell ref="AB312:AB314"/>
    <mergeCell ref="AC312:AC314"/>
    <mergeCell ref="AG312:AG314"/>
    <mergeCell ref="AH312:AH314"/>
    <mergeCell ref="AI312:AI314"/>
    <mergeCell ref="U312:U314"/>
    <mergeCell ref="V312:V314"/>
    <mergeCell ref="W312:W314"/>
    <mergeCell ref="X312:X314"/>
    <mergeCell ref="Y312:Y314"/>
    <mergeCell ref="Z312:Z314"/>
    <mergeCell ref="O312:O314"/>
    <mergeCell ref="P312:P314"/>
    <mergeCell ref="Q312:Q314"/>
    <mergeCell ref="R312:R314"/>
    <mergeCell ref="S312:S314"/>
    <mergeCell ref="T312:T314"/>
    <mergeCell ref="I312:I314"/>
    <mergeCell ref="J312:J314"/>
    <mergeCell ref="K312:K314"/>
    <mergeCell ref="L312:L314"/>
    <mergeCell ref="AC329:AC330"/>
    <mergeCell ref="AG329:AG330"/>
    <mergeCell ref="AH329:AH330"/>
    <mergeCell ref="AI329:AI330"/>
    <mergeCell ref="AJ329:AJ330"/>
    <mergeCell ref="B347:B348"/>
    <mergeCell ref="C347:C348"/>
    <mergeCell ref="D347:D348"/>
    <mergeCell ref="E347:E348"/>
    <mergeCell ref="F347:F348"/>
    <mergeCell ref="W329:W330"/>
    <mergeCell ref="X329:X330"/>
    <mergeCell ref="Y329:Y330"/>
    <mergeCell ref="Z329:Z330"/>
    <mergeCell ref="AA329:AA330"/>
    <mergeCell ref="AB329:AB330"/>
    <mergeCell ref="Q329:Q330"/>
    <mergeCell ref="R329:R330"/>
    <mergeCell ref="S329:S330"/>
    <mergeCell ref="T329:T330"/>
    <mergeCell ref="U329:U330"/>
    <mergeCell ref="V329:V330"/>
    <mergeCell ref="K329:K330"/>
    <mergeCell ref="L329:L330"/>
    <mergeCell ref="M329:M330"/>
    <mergeCell ref="N329:N330"/>
    <mergeCell ref="O329:O330"/>
    <mergeCell ref="P329:P330"/>
    <mergeCell ref="AH347:AH348"/>
    <mergeCell ref="AI347:AI348"/>
    <mergeCell ref="AJ347:AJ348"/>
    <mergeCell ref="E349:E350"/>
    <mergeCell ref="F349:F350"/>
    <mergeCell ref="G349:G350"/>
    <mergeCell ref="H349:H350"/>
    <mergeCell ref="Y347:Y348"/>
    <mergeCell ref="Z347:Z348"/>
    <mergeCell ref="AD347:AD348"/>
    <mergeCell ref="AE347:AE348"/>
    <mergeCell ref="AF347:AF348"/>
    <mergeCell ref="AG347:AG348"/>
    <mergeCell ref="S347:S348"/>
    <mergeCell ref="T347:T348"/>
    <mergeCell ref="U347:U348"/>
    <mergeCell ref="V347:V348"/>
    <mergeCell ref="W347:W348"/>
    <mergeCell ref="X347:X348"/>
    <mergeCell ref="M347:M348"/>
    <mergeCell ref="N347:N348"/>
    <mergeCell ref="O347:O348"/>
    <mergeCell ref="P347:P348"/>
    <mergeCell ref="Q347:Q348"/>
    <mergeCell ref="R347:R348"/>
    <mergeCell ref="G347:G348"/>
    <mergeCell ref="H347:H348"/>
    <mergeCell ref="I347:I348"/>
    <mergeCell ref="J347:J348"/>
    <mergeCell ref="K347:K348"/>
    <mergeCell ref="L347:L348"/>
    <mergeCell ref="AG349:AG350"/>
    <mergeCell ref="AH349:AH350"/>
    <mergeCell ref="AI349:AI350"/>
    <mergeCell ref="AJ349:AJ350"/>
    <mergeCell ref="B352:B353"/>
    <mergeCell ref="C352:C353"/>
    <mergeCell ref="D352:D353"/>
    <mergeCell ref="E352:E353"/>
    <mergeCell ref="F352:F353"/>
    <mergeCell ref="G352:G353"/>
    <mergeCell ref="U349:U350"/>
    <mergeCell ref="V349:V350"/>
    <mergeCell ref="W349:W350"/>
    <mergeCell ref="X349:X350"/>
    <mergeCell ref="Y349:Y350"/>
    <mergeCell ref="Z349:Z350"/>
    <mergeCell ref="O349:O350"/>
    <mergeCell ref="P349:P350"/>
    <mergeCell ref="Q349:Q350"/>
    <mergeCell ref="R349:R350"/>
    <mergeCell ref="S349:S350"/>
    <mergeCell ref="T349:T350"/>
    <mergeCell ref="I349:I350"/>
    <mergeCell ref="J349:J350"/>
    <mergeCell ref="K349:K350"/>
    <mergeCell ref="L349:L350"/>
    <mergeCell ref="M349:M350"/>
    <mergeCell ref="N349:N350"/>
    <mergeCell ref="AI352:AI353"/>
    <mergeCell ref="AJ352:AJ353"/>
    <mergeCell ref="B349:B350"/>
    <mergeCell ref="C349:C350"/>
    <mergeCell ref="D349:D350"/>
    <mergeCell ref="B354:B356"/>
    <mergeCell ref="C354:C356"/>
    <mergeCell ref="D354:D356"/>
    <mergeCell ref="E354:E356"/>
    <mergeCell ref="F354:F356"/>
    <mergeCell ref="G354:G356"/>
    <mergeCell ref="H354:H356"/>
    <mergeCell ref="I354:I356"/>
    <mergeCell ref="Z352:Z353"/>
    <mergeCell ref="AD352:AD353"/>
    <mergeCell ref="AE352:AE353"/>
    <mergeCell ref="AF352:AF353"/>
    <mergeCell ref="AG352:AG353"/>
    <mergeCell ref="AH352:AH353"/>
    <mergeCell ref="T352:T353"/>
    <mergeCell ref="U352:U353"/>
    <mergeCell ref="V352:V353"/>
    <mergeCell ref="W352:W353"/>
    <mergeCell ref="X352:X353"/>
    <mergeCell ref="Y352:Y353"/>
    <mergeCell ref="N352:N353"/>
    <mergeCell ref="O352:O353"/>
    <mergeCell ref="P352:P353"/>
    <mergeCell ref="Q352:Q353"/>
    <mergeCell ref="R352:R353"/>
    <mergeCell ref="S352:S353"/>
    <mergeCell ref="H352:H353"/>
    <mergeCell ref="I352:I353"/>
    <mergeCell ref="J352:J353"/>
    <mergeCell ref="K352:K353"/>
    <mergeCell ref="L352:L353"/>
    <mergeCell ref="M352:M353"/>
    <mergeCell ref="L358:L359"/>
    <mergeCell ref="M358:M359"/>
    <mergeCell ref="B358:B359"/>
    <mergeCell ref="C358:C359"/>
    <mergeCell ref="D358:D359"/>
    <mergeCell ref="E358:E359"/>
    <mergeCell ref="F358:F359"/>
    <mergeCell ref="G358:G359"/>
    <mergeCell ref="AE354:AE356"/>
    <mergeCell ref="AF354:AF356"/>
    <mergeCell ref="AG354:AG356"/>
    <mergeCell ref="AH354:AH356"/>
    <mergeCell ref="AI354:AI356"/>
    <mergeCell ref="AJ354:AJ356"/>
    <mergeCell ref="V354:V356"/>
    <mergeCell ref="W354:W356"/>
    <mergeCell ref="X354:X356"/>
    <mergeCell ref="Y354:Y356"/>
    <mergeCell ref="Z354:Z356"/>
    <mergeCell ref="AD354:AD356"/>
    <mergeCell ref="P354:P356"/>
    <mergeCell ref="Q354:Q356"/>
    <mergeCell ref="R354:R356"/>
    <mergeCell ref="S354:S356"/>
    <mergeCell ref="T354:T356"/>
    <mergeCell ref="U354:U356"/>
    <mergeCell ref="J354:J356"/>
    <mergeCell ref="K354:K356"/>
    <mergeCell ref="L354:L356"/>
    <mergeCell ref="M354:M356"/>
    <mergeCell ref="N354:N356"/>
    <mergeCell ref="O354:O356"/>
    <mergeCell ref="AI358:AI359"/>
    <mergeCell ref="AJ358:AJ359"/>
    <mergeCell ref="B360:B361"/>
    <mergeCell ref="C360:C361"/>
    <mergeCell ref="D360:D361"/>
    <mergeCell ref="E360:E361"/>
    <mergeCell ref="F360:F361"/>
    <mergeCell ref="G360:G361"/>
    <mergeCell ref="H360:H361"/>
    <mergeCell ref="I360:I361"/>
    <mergeCell ref="Z358:Z359"/>
    <mergeCell ref="AD358:AD359"/>
    <mergeCell ref="AE358:AE359"/>
    <mergeCell ref="AF358:AF359"/>
    <mergeCell ref="AG358:AG359"/>
    <mergeCell ref="AH358:AH359"/>
    <mergeCell ref="T358:T359"/>
    <mergeCell ref="U358:U359"/>
    <mergeCell ref="V358:V359"/>
    <mergeCell ref="W358:W359"/>
    <mergeCell ref="X358:X359"/>
    <mergeCell ref="Y358:Y359"/>
    <mergeCell ref="N358:N359"/>
    <mergeCell ref="O358:O359"/>
    <mergeCell ref="P358:P359"/>
    <mergeCell ref="Q358:Q359"/>
    <mergeCell ref="R358:R359"/>
    <mergeCell ref="S358:S359"/>
    <mergeCell ref="H358:H359"/>
    <mergeCell ref="I358:I359"/>
    <mergeCell ref="J358:J359"/>
    <mergeCell ref="K358:K359"/>
    <mergeCell ref="AH360:AH361"/>
    <mergeCell ref="AI360:AI361"/>
    <mergeCell ref="AJ360:AJ361"/>
    <mergeCell ref="B417:B418"/>
    <mergeCell ref="C417:C418"/>
    <mergeCell ref="D417:D418"/>
    <mergeCell ref="E417:E418"/>
    <mergeCell ref="F417:F418"/>
    <mergeCell ref="G417:G418"/>
    <mergeCell ref="H417:H418"/>
    <mergeCell ref="V360:V361"/>
    <mergeCell ref="W360:W361"/>
    <mergeCell ref="X360:X361"/>
    <mergeCell ref="Y360:Y361"/>
    <mergeCell ref="Z360:Z361"/>
    <mergeCell ref="AG360:AG361"/>
    <mergeCell ref="P360:P361"/>
    <mergeCell ref="Q360:Q361"/>
    <mergeCell ref="R360:R361"/>
    <mergeCell ref="S360:S361"/>
    <mergeCell ref="T360:T361"/>
    <mergeCell ref="U360:U361"/>
    <mergeCell ref="J360:J361"/>
    <mergeCell ref="K360:K361"/>
    <mergeCell ref="L360:L361"/>
    <mergeCell ref="M360:M361"/>
    <mergeCell ref="N360:N361"/>
    <mergeCell ref="O360:O361"/>
    <mergeCell ref="AG417:AG418"/>
    <mergeCell ref="AH417:AH418"/>
    <mergeCell ref="AI417:AI418"/>
    <mergeCell ref="AJ417:AJ418"/>
    <mergeCell ref="B420:B421"/>
    <mergeCell ref="C420:C421"/>
    <mergeCell ref="D420:D421"/>
    <mergeCell ref="E420:E421"/>
    <mergeCell ref="F420:F421"/>
    <mergeCell ref="G420:G421"/>
    <mergeCell ref="U417:U418"/>
    <mergeCell ref="V417:V418"/>
    <mergeCell ref="W417:W418"/>
    <mergeCell ref="X417:X418"/>
    <mergeCell ref="Y417:Y418"/>
    <mergeCell ref="Z417:Z418"/>
    <mergeCell ref="O417:O418"/>
    <mergeCell ref="P417:P418"/>
    <mergeCell ref="Q417:Q418"/>
    <mergeCell ref="R417:R418"/>
    <mergeCell ref="S417:S418"/>
    <mergeCell ref="T417:T418"/>
    <mergeCell ref="I417:I418"/>
    <mergeCell ref="J417:J418"/>
    <mergeCell ref="K417:K418"/>
    <mergeCell ref="L417:L418"/>
    <mergeCell ref="M417:M418"/>
    <mergeCell ref="N417:N418"/>
    <mergeCell ref="I422:I423"/>
    <mergeCell ref="J422:J423"/>
    <mergeCell ref="K422:K423"/>
    <mergeCell ref="L422:L423"/>
    <mergeCell ref="Z420:Z421"/>
    <mergeCell ref="AG420:AG421"/>
    <mergeCell ref="AH420:AH421"/>
    <mergeCell ref="AI420:AI421"/>
    <mergeCell ref="AJ420:AJ421"/>
    <mergeCell ref="B422:B423"/>
    <mergeCell ref="C422:C423"/>
    <mergeCell ref="D422:D423"/>
    <mergeCell ref="E422:E423"/>
    <mergeCell ref="F422:F423"/>
    <mergeCell ref="T420:T421"/>
    <mergeCell ref="U420:U421"/>
    <mergeCell ref="V420:V421"/>
    <mergeCell ref="W420:W421"/>
    <mergeCell ref="X420:X421"/>
    <mergeCell ref="Y420:Y421"/>
    <mergeCell ref="N420:N421"/>
    <mergeCell ref="O420:O421"/>
    <mergeCell ref="P420:P421"/>
    <mergeCell ref="Q420:Q421"/>
    <mergeCell ref="R420:R421"/>
    <mergeCell ref="S420:S421"/>
    <mergeCell ref="H420:H421"/>
    <mergeCell ref="I420:I421"/>
    <mergeCell ref="J420:J421"/>
    <mergeCell ref="K420:K421"/>
    <mergeCell ref="L420:L421"/>
    <mergeCell ref="M420:M421"/>
    <mergeCell ref="M441:M442"/>
    <mergeCell ref="N441:N442"/>
    <mergeCell ref="AH422:AH423"/>
    <mergeCell ref="AI422:AI423"/>
    <mergeCell ref="AJ422:AJ423"/>
    <mergeCell ref="B441:B442"/>
    <mergeCell ref="C441:C442"/>
    <mergeCell ref="D441:D442"/>
    <mergeCell ref="E441:E442"/>
    <mergeCell ref="F441:F442"/>
    <mergeCell ref="G441:G442"/>
    <mergeCell ref="H441:H442"/>
    <mergeCell ref="Y422:Y423"/>
    <mergeCell ref="Z422:Z423"/>
    <mergeCell ref="AD422:AD423"/>
    <mergeCell ref="AE422:AE423"/>
    <mergeCell ref="AF422:AF423"/>
    <mergeCell ref="AG422:AG423"/>
    <mergeCell ref="S422:S423"/>
    <mergeCell ref="T422:T423"/>
    <mergeCell ref="U422:U423"/>
    <mergeCell ref="V422:V423"/>
    <mergeCell ref="W422:W423"/>
    <mergeCell ref="X422:X423"/>
    <mergeCell ref="M422:M423"/>
    <mergeCell ref="N422:N423"/>
    <mergeCell ref="O422:O423"/>
    <mergeCell ref="P422:P423"/>
    <mergeCell ref="Q422:Q423"/>
    <mergeCell ref="R422:R423"/>
    <mergeCell ref="G422:G423"/>
    <mergeCell ref="H422:H423"/>
    <mergeCell ref="AJ441:AJ442"/>
    <mergeCell ref="B444:B445"/>
    <mergeCell ref="C444:C445"/>
    <mergeCell ref="D444:D445"/>
    <mergeCell ref="E444:E445"/>
    <mergeCell ref="F444:F445"/>
    <mergeCell ref="G444:G445"/>
    <mergeCell ref="H444:H445"/>
    <mergeCell ref="I444:I445"/>
    <mergeCell ref="J444:J445"/>
    <mergeCell ref="AD441:AD442"/>
    <mergeCell ref="AE441:AE442"/>
    <mergeCell ref="AF441:AF442"/>
    <mergeCell ref="AG441:AG442"/>
    <mergeCell ref="AH441:AH442"/>
    <mergeCell ref="AI441:AI442"/>
    <mergeCell ref="U441:U442"/>
    <mergeCell ref="V441:V442"/>
    <mergeCell ref="W441:W442"/>
    <mergeCell ref="X441:X442"/>
    <mergeCell ref="Y441:Y442"/>
    <mergeCell ref="Z441:Z442"/>
    <mergeCell ref="O441:O442"/>
    <mergeCell ref="P441:P442"/>
    <mergeCell ref="Q441:Q442"/>
    <mergeCell ref="R441:R442"/>
    <mergeCell ref="S441:S442"/>
    <mergeCell ref="T441:T442"/>
    <mergeCell ref="I441:I442"/>
    <mergeCell ref="J441:J442"/>
    <mergeCell ref="K441:K442"/>
    <mergeCell ref="L441:L442"/>
    <mergeCell ref="AI444:AI445"/>
    <mergeCell ref="AJ444:AJ445"/>
    <mergeCell ref="B463:B464"/>
    <mergeCell ref="C463:C464"/>
    <mergeCell ref="D463:D464"/>
    <mergeCell ref="E463:E464"/>
    <mergeCell ref="F463:F464"/>
    <mergeCell ref="G463:G464"/>
    <mergeCell ref="H463:H464"/>
    <mergeCell ref="I463:I464"/>
    <mergeCell ref="W444:W445"/>
    <mergeCell ref="X444:X445"/>
    <mergeCell ref="Y444:Y445"/>
    <mergeCell ref="Z444:Z445"/>
    <mergeCell ref="AG444:AG445"/>
    <mergeCell ref="AH444:AH445"/>
    <mergeCell ref="Q444:Q445"/>
    <mergeCell ref="R444:R445"/>
    <mergeCell ref="S444:S445"/>
    <mergeCell ref="T444:T445"/>
    <mergeCell ref="U444:U445"/>
    <mergeCell ref="V444:V445"/>
    <mergeCell ref="K444:K445"/>
    <mergeCell ref="L444:L445"/>
    <mergeCell ref="M444:M445"/>
    <mergeCell ref="N444:N445"/>
    <mergeCell ref="O444:O445"/>
    <mergeCell ref="P444:P445"/>
    <mergeCell ref="AH463:AH464"/>
    <mergeCell ref="AI463:AI464"/>
    <mergeCell ref="AJ463:AJ464"/>
    <mergeCell ref="B465:B466"/>
    <mergeCell ref="C465:C466"/>
    <mergeCell ref="D465:D466"/>
    <mergeCell ref="E465:E466"/>
    <mergeCell ref="F465:F466"/>
    <mergeCell ref="G465:G466"/>
    <mergeCell ref="H465:H466"/>
    <mergeCell ref="V463:V464"/>
    <mergeCell ref="W463:W464"/>
    <mergeCell ref="X463:X464"/>
    <mergeCell ref="Y463:Y464"/>
    <mergeCell ref="Z463:Z464"/>
    <mergeCell ref="AG463:AG464"/>
    <mergeCell ref="P463:P464"/>
    <mergeCell ref="Q463:Q464"/>
    <mergeCell ref="R463:R464"/>
    <mergeCell ref="S463:S464"/>
    <mergeCell ref="T463:T464"/>
    <mergeCell ref="U463:U464"/>
    <mergeCell ref="J463:J464"/>
    <mergeCell ref="K463:K464"/>
    <mergeCell ref="L463:L464"/>
    <mergeCell ref="M463:M464"/>
    <mergeCell ref="N463:N464"/>
    <mergeCell ref="O463:O464"/>
    <mergeCell ref="AG465:AG466"/>
    <mergeCell ref="AH465:AH466"/>
    <mergeCell ref="AI465:AI466"/>
    <mergeCell ref="AJ465:AJ466"/>
    <mergeCell ref="B467:B468"/>
    <mergeCell ref="C467:C468"/>
    <mergeCell ref="D467:D468"/>
    <mergeCell ref="E467:E468"/>
    <mergeCell ref="F467:F468"/>
    <mergeCell ref="G467:G468"/>
    <mergeCell ref="U465:U466"/>
    <mergeCell ref="V465:V466"/>
    <mergeCell ref="W465:W466"/>
    <mergeCell ref="X465:X466"/>
    <mergeCell ref="Y465:Y466"/>
    <mergeCell ref="Z465:Z466"/>
    <mergeCell ref="O465:O466"/>
    <mergeCell ref="P465:P466"/>
    <mergeCell ref="Q465:Q466"/>
    <mergeCell ref="R465:R466"/>
    <mergeCell ref="S465:S466"/>
    <mergeCell ref="T465:T466"/>
    <mergeCell ref="I465:I466"/>
    <mergeCell ref="J465:J466"/>
    <mergeCell ref="K465:K466"/>
    <mergeCell ref="L465:L466"/>
    <mergeCell ref="M465:M466"/>
    <mergeCell ref="N465:N466"/>
    <mergeCell ref="Z467:Z468"/>
    <mergeCell ref="AG467:AG468"/>
    <mergeCell ref="AH467:AH468"/>
    <mergeCell ref="AI467:AI468"/>
    <mergeCell ref="AJ467:AJ468"/>
    <mergeCell ref="T467:T468"/>
    <mergeCell ref="U467:U468"/>
    <mergeCell ref="V467:V468"/>
    <mergeCell ref="W467:W468"/>
    <mergeCell ref="X467:X468"/>
    <mergeCell ref="Y467:Y468"/>
    <mergeCell ref="N467:N468"/>
    <mergeCell ref="O467:O468"/>
    <mergeCell ref="P467:P468"/>
    <mergeCell ref="Q467:Q468"/>
    <mergeCell ref="R467:R468"/>
    <mergeCell ref="S467:S468"/>
    <mergeCell ref="H467:H468"/>
    <mergeCell ref="I467:I468"/>
    <mergeCell ref="J467:J468"/>
    <mergeCell ref="K467:K468"/>
    <mergeCell ref="L467:L468"/>
    <mergeCell ref="M467:M468"/>
    <mergeCell ref="AJ469:AJ470"/>
    <mergeCell ref="S469:S470"/>
    <mergeCell ref="T469:T470"/>
    <mergeCell ref="U469:U470"/>
    <mergeCell ref="V469:V470"/>
    <mergeCell ref="W469:W470"/>
    <mergeCell ref="X469:X470"/>
    <mergeCell ref="M469:M470"/>
    <mergeCell ref="N469:N470"/>
    <mergeCell ref="O469:O470"/>
    <mergeCell ref="P469:P470"/>
    <mergeCell ref="Q469:Q470"/>
    <mergeCell ref="R469:R470"/>
    <mergeCell ref="AJ471:AJ472"/>
    <mergeCell ref="B469:B470"/>
    <mergeCell ref="C469:C470"/>
    <mergeCell ref="D469:D470"/>
    <mergeCell ref="E469:E470"/>
    <mergeCell ref="F469:F470"/>
    <mergeCell ref="L471:L472"/>
    <mergeCell ref="M471:M472"/>
    <mergeCell ref="B471:B472"/>
    <mergeCell ref="C471:C472"/>
    <mergeCell ref="D471:D472"/>
    <mergeCell ref="E471:E472"/>
    <mergeCell ref="F471:F472"/>
    <mergeCell ref="G471:G472"/>
    <mergeCell ref="G469:G470"/>
    <mergeCell ref="H469:H470"/>
    <mergeCell ref="I469:I470"/>
    <mergeCell ref="J469:J470"/>
    <mergeCell ref="K469:K470"/>
    <mergeCell ref="L469:L470"/>
    <mergeCell ref="Z471:Z472"/>
    <mergeCell ref="AG471:AG472"/>
    <mergeCell ref="AH471:AH472"/>
    <mergeCell ref="AI471:AI472"/>
    <mergeCell ref="G473:G474"/>
    <mergeCell ref="H473:H474"/>
    <mergeCell ref="I473:I474"/>
    <mergeCell ref="J473:J474"/>
    <mergeCell ref="K473:K474"/>
    <mergeCell ref="L473:L474"/>
    <mergeCell ref="Z475:Z476"/>
    <mergeCell ref="AG475:AG476"/>
    <mergeCell ref="AH475:AH476"/>
    <mergeCell ref="AI475:AI476"/>
    <mergeCell ref="W473:W474"/>
    <mergeCell ref="X473:X474"/>
    <mergeCell ref="M473:M474"/>
    <mergeCell ref="N473:N474"/>
    <mergeCell ref="O473:O474"/>
    <mergeCell ref="P473:P474"/>
    <mergeCell ref="Q473:Q474"/>
    <mergeCell ref="R473:R474"/>
    <mergeCell ref="Y469:Y470"/>
    <mergeCell ref="Z469:Z470"/>
    <mergeCell ref="AG469:AG470"/>
    <mergeCell ref="AH469:AH470"/>
    <mergeCell ref="AI469:AI470"/>
    <mergeCell ref="AJ475:AJ476"/>
    <mergeCell ref="B473:B474"/>
    <mergeCell ref="C473:C474"/>
    <mergeCell ref="D473:D474"/>
    <mergeCell ref="E473:E474"/>
    <mergeCell ref="F473:F474"/>
    <mergeCell ref="T471:T472"/>
    <mergeCell ref="U471:U472"/>
    <mergeCell ref="V471:V472"/>
    <mergeCell ref="W471:W472"/>
    <mergeCell ref="X471:X472"/>
    <mergeCell ref="Y471:Y472"/>
    <mergeCell ref="N471:N472"/>
    <mergeCell ref="O471:O472"/>
    <mergeCell ref="P471:P472"/>
    <mergeCell ref="Q471:Q472"/>
    <mergeCell ref="R471:R472"/>
    <mergeCell ref="S471:S472"/>
    <mergeCell ref="H471:H472"/>
    <mergeCell ref="I471:I472"/>
    <mergeCell ref="J471:J472"/>
    <mergeCell ref="K471:K472"/>
    <mergeCell ref="Y473:Y474"/>
    <mergeCell ref="Z473:Z474"/>
    <mergeCell ref="AG473:AG474"/>
    <mergeCell ref="AH473:AH474"/>
    <mergeCell ref="AI473:AI474"/>
    <mergeCell ref="AJ473:AJ474"/>
    <mergeCell ref="S473:S474"/>
    <mergeCell ref="T473:T474"/>
    <mergeCell ref="U473:U474"/>
    <mergeCell ref="V473:V474"/>
    <mergeCell ref="B488:B489"/>
    <mergeCell ref="C488:C489"/>
    <mergeCell ref="D488:D489"/>
    <mergeCell ref="E488:E489"/>
    <mergeCell ref="F488:F489"/>
    <mergeCell ref="T475:T476"/>
    <mergeCell ref="U475:U476"/>
    <mergeCell ref="V475:V476"/>
    <mergeCell ref="W475:W476"/>
    <mergeCell ref="X475:X476"/>
    <mergeCell ref="Y475:Y476"/>
    <mergeCell ref="N475:N476"/>
    <mergeCell ref="O475:O476"/>
    <mergeCell ref="P475:P476"/>
    <mergeCell ref="Q475:Q476"/>
    <mergeCell ref="R475:R476"/>
    <mergeCell ref="S475:S476"/>
    <mergeCell ref="H475:H476"/>
    <mergeCell ref="I475:I476"/>
    <mergeCell ref="J475:J476"/>
    <mergeCell ref="K475:K476"/>
    <mergeCell ref="L475:L476"/>
    <mergeCell ref="M475:M476"/>
    <mergeCell ref="B475:B476"/>
    <mergeCell ref="C475:C476"/>
    <mergeCell ref="D475:D476"/>
    <mergeCell ref="E475:E476"/>
    <mergeCell ref="F475:F476"/>
    <mergeCell ref="G475:G476"/>
    <mergeCell ref="L490:L491"/>
    <mergeCell ref="M490:M491"/>
    <mergeCell ref="B490:B491"/>
    <mergeCell ref="C490:C491"/>
    <mergeCell ref="D490:D491"/>
    <mergeCell ref="E490:E491"/>
    <mergeCell ref="F490:F491"/>
    <mergeCell ref="G490:G491"/>
    <mergeCell ref="Y488:Y489"/>
    <mergeCell ref="Z488:Z489"/>
    <mergeCell ref="AG488:AG489"/>
    <mergeCell ref="AH488:AH489"/>
    <mergeCell ref="AI488:AI489"/>
    <mergeCell ref="AJ488:AJ489"/>
    <mergeCell ref="S488:S489"/>
    <mergeCell ref="T488:T489"/>
    <mergeCell ref="U488:U489"/>
    <mergeCell ref="V488:V489"/>
    <mergeCell ref="W488:W489"/>
    <mergeCell ref="X488:X489"/>
    <mergeCell ref="M488:M489"/>
    <mergeCell ref="N488:N489"/>
    <mergeCell ref="O488:O489"/>
    <mergeCell ref="P488:P489"/>
    <mergeCell ref="Q488:Q489"/>
    <mergeCell ref="R488:R489"/>
    <mergeCell ref="G488:G489"/>
    <mergeCell ref="H488:H489"/>
    <mergeCell ref="I488:I489"/>
    <mergeCell ref="J488:J489"/>
    <mergeCell ref="K488:K489"/>
    <mergeCell ref="L488:L489"/>
    <mergeCell ref="AI490:AI491"/>
    <mergeCell ref="AJ490:AJ491"/>
    <mergeCell ref="B492:B493"/>
    <mergeCell ref="C492:C493"/>
    <mergeCell ref="D492:D493"/>
    <mergeCell ref="E492:E493"/>
    <mergeCell ref="F492:F493"/>
    <mergeCell ref="G492:G493"/>
    <mergeCell ref="H492:H493"/>
    <mergeCell ref="I492:I493"/>
    <mergeCell ref="Z490:Z491"/>
    <mergeCell ref="AA490:AA491"/>
    <mergeCell ref="AB490:AB491"/>
    <mergeCell ref="AC490:AC491"/>
    <mergeCell ref="AG490:AG491"/>
    <mergeCell ref="AH490:AH491"/>
    <mergeCell ref="T490:T491"/>
    <mergeCell ref="U490:U491"/>
    <mergeCell ref="V490:V491"/>
    <mergeCell ref="W490:W491"/>
    <mergeCell ref="X490:X491"/>
    <mergeCell ref="Y490:Y491"/>
    <mergeCell ref="N490:N491"/>
    <mergeCell ref="O490:O491"/>
    <mergeCell ref="P490:P491"/>
    <mergeCell ref="Q490:Q491"/>
    <mergeCell ref="R490:R491"/>
    <mergeCell ref="S490:S491"/>
    <mergeCell ref="H490:H491"/>
    <mergeCell ref="I490:I491"/>
    <mergeCell ref="J490:J491"/>
    <mergeCell ref="K490:K491"/>
    <mergeCell ref="K520:K521"/>
    <mergeCell ref="L520:L521"/>
    <mergeCell ref="M520:M521"/>
    <mergeCell ref="N520:N521"/>
    <mergeCell ref="AH492:AH493"/>
    <mergeCell ref="AI492:AI493"/>
    <mergeCell ref="AJ492:AJ493"/>
    <mergeCell ref="B520:B521"/>
    <mergeCell ref="C520:C521"/>
    <mergeCell ref="D520:D521"/>
    <mergeCell ref="E520:E521"/>
    <mergeCell ref="F520:F521"/>
    <mergeCell ref="G520:G521"/>
    <mergeCell ref="H520:H521"/>
    <mergeCell ref="V492:V493"/>
    <mergeCell ref="W492:W493"/>
    <mergeCell ref="X492:X493"/>
    <mergeCell ref="Y492:Y493"/>
    <mergeCell ref="Z492:Z493"/>
    <mergeCell ref="AG492:AG493"/>
    <mergeCell ref="P492:P493"/>
    <mergeCell ref="Q492:Q493"/>
    <mergeCell ref="R492:R493"/>
    <mergeCell ref="S492:S493"/>
    <mergeCell ref="T492:T493"/>
    <mergeCell ref="U492:U493"/>
    <mergeCell ref="J492:J493"/>
    <mergeCell ref="K492:K493"/>
    <mergeCell ref="L492:L493"/>
    <mergeCell ref="M492:M493"/>
    <mergeCell ref="N492:N493"/>
    <mergeCell ref="O492:O493"/>
    <mergeCell ref="L570:L571"/>
    <mergeCell ref="M570:M571"/>
    <mergeCell ref="AG520:AG521"/>
    <mergeCell ref="AH520:AH521"/>
    <mergeCell ref="AI520:AI521"/>
    <mergeCell ref="AJ520:AJ521"/>
    <mergeCell ref="B570:B571"/>
    <mergeCell ref="C570:C571"/>
    <mergeCell ref="D570:D571"/>
    <mergeCell ref="E570:E571"/>
    <mergeCell ref="F570:F571"/>
    <mergeCell ref="G570:G571"/>
    <mergeCell ref="AA520:AA521"/>
    <mergeCell ref="AB520:AB521"/>
    <mergeCell ref="AC520:AC521"/>
    <mergeCell ref="AD520:AD521"/>
    <mergeCell ref="AE520:AE521"/>
    <mergeCell ref="AF520:AF521"/>
    <mergeCell ref="U520:U521"/>
    <mergeCell ref="V520:V521"/>
    <mergeCell ref="W520:W521"/>
    <mergeCell ref="X520:X521"/>
    <mergeCell ref="Y520:Y521"/>
    <mergeCell ref="Z520:Z521"/>
    <mergeCell ref="O520:O521"/>
    <mergeCell ref="P520:P521"/>
    <mergeCell ref="Q520:Q521"/>
    <mergeCell ref="R520:R521"/>
    <mergeCell ref="S520:S521"/>
    <mergeCell ref="T520:T521"/>
    <mergeCell ref="I520:I521"/>
    <mergeCell ref="J520:J521"/>
    <mergeCell ref="AI570:AI571"/>
    <mergeCell ref="AJ570:AJ571"/>
    <mergeCell ref="B574:B575"/>
    <mergeCell ref="C574:C575"/>
    <mergeCell ref="D574:D575"/>
    <mergeCell ref="E574:E575"/>
    <mergeCell ref="F574:F575"/>
    <mergeCell ref="G574:G575"/>
    <mergeCell ref="H574:H575"/>
    <mergeCell ref="I574:I575"/>
    <mergeCell ref="Z570:Z571"/>
    <mergeCell ref="AA570:AA571"/>
    <mergeCell ref="AB570:AB571"/>
    <mergeCell ref="AC570:AC571"/>
    <mergeCell ref="AG570:AG571"/>
    <mergeCell ref="AH570:AH571"/>
    <mergeCell ref="T570:T571"/>
    <mergeCell ref="U570:U571"/>
    <mergeCell ref="V570:V571"/>
    <mergeCell ref="W570:W571"/>
    <mergeCell ref="X570:X571"/>
    <mergeCell ref="Y570:Y571"/>
    <mergeCell ref="N570:N571"/>
    <mergeCell ref="O570:O571"/>
    <mergeCell ref="P570:P571"/>
    <mergeCell ref="Q570:Q571"/>
    <mergeCell ref="R570:R571"/>
    <mergeCell ref="S570:S571"/>
    <mergeCell ref="H570:H571"/>
    <mergeCell ref="I570:I571"/>
    <mergeCell ref="J570:J571"/>
    <mergeCell ref="K570:K571"/>
    <mergeCell ref="B576:B577"/>
    <mergeCell ref="C576:C577"/>
    <mergeCell ref="D576:D577"/>
    <mergeCell ref="E576:E577"/>
    <mergeCell ref="F576:F577"/>
    <mergeCell ref="G576:G577"/>
    <mergeCell ref="AB574:AB575"/>
    <mergeCell ref="AC574:AC575"/>
    <mergeCell ref="AG574:AG575"/>
    <mergeCell ref="AH574:AH575"/>
    <mergeCell ref="AI574:AI575"/>
    <mergeCell ref="AJ574:AJ575"/>
    <mergeCell ref="V574:V575"/>
    <mergeCell ref="W574:W575"/>
    <mergeCell ref="X574:X575"/>
    <mergeCell ref="Y574:Y575"/>
    <mergeCell ref="Z574:Z575"/>
    <mergeCell ref="AA574:AA575"/>
    <mergeCell ref="P574:P575"/>
    <mergeCell ref="Q574:Q575"/>
    <mergeCell ref="R574:R575"/>
    <mergeCell ref="S574:S575"/>
    <mergeCell ref="T574:T575"/>
    <mergeCell ref="U574:U575"/>
    <mergeCell ref="J574:J575"/>
    <mergeCell ref="K574:K575"/>
    <mergeCell ref="L574:L575"/>
    <mergeCell ref="M574:M575"/>
    <mergeCell ref="N574:N575"/>
    <mergeCell ref="O574:O575"/>
    <mergeCell ref="I582:I583"/>
    <mergeCell ref="J582:J583"/>
    <mergeCell ref="K582:K583"/>
    <mergeCell ref="L582:L583"/>
    <mergeCell ref="Z576:Z577"/>
    <mergeCell ref="AG576:AG577"/>
    <mergeCell ref="AH576:AH577"/>
    <mergeCell ref="AI576:AI577"/>
    <mergeCell ref="AJ576:AJ577"/>
    <mergeCell ref="B582:B583"/>
    <mergeCell ref="C582:C583"/>
    <mergeCell ref="D582:D583"/>
    <mergeCell ref="E582:E583"/>
    <mergeCell ref="F582:F583"/>
    <mergeCell ref="T576:T577"/>
    <mergeCell ref="U576:U577"/>
    <mergeCell ref="V576:V577"/>
    <mergeCell ref="W576:W577"/>
    <mergeCell ref="X576:X577"/>
    <mergeCell ref="Y576:Y577"/>
    <mergeCell ref="N576:N577"/>
    <mergeCell ref="O576:O577"/>
    <mergeCell ref="P576:P577"/>
    <mergeCell ref="Q576:Q577"/>
    <mergeCell ref="R576:R577"/>
    <mergeCell ref="S576:S577"/>
    <mergeCell ref="H576:H577"/>
    <mergeCell ref="I576:I577"/>
    <mergeCell ref="J576:J577"/>
    <mergeCell ref="K576:K577"/>
    <mergeCell ref="L576:L577"/>
    <mergeCell ref="M576:M577"/>
    <mergeCell ref="M594:M595"/>
    <mergeCell ref="N594:N595"/>
    <mergeCell ref="AH582:AH583"/>
    <mergeCell ref="AI582:AI583"/>
    <mergeCell ref="AJ582:AJ583"/>
    <mergeCell ref="B594:B595"/>
    <mergeCell ref="C594:C595"/>
    <mergeCell ref="D594:D595"/>
    <mergeCell ref="E594:E595"/>
    <mergeCell ref="F594:F595"/>
    <mergeCell ref="G594:G595"/>
    <mergeCell ref="H594:H595"/>
    <mergeCell ref="Y582:Y583"/>
    <mergeCell ref="Z582:Z583"/>
    <mergeCell ref="AA582:AA583"/>
    <mergeCell ref="AB582:AB583"/>
    <mergeCell ref="AC582:AC583"/>
    <mergeCell ref="AG582:AG583"/>
    <mergeCell ref="S582:S583"/>
    <mergeCell ref="T582:T583"/>
    <mergeCell ref="U582:U583"/>
    <mergeCell ref="V582:V583"/>
    <mergeCell ref="W582:W583"/>
    <mergeCell ref="X582:X583"/>
    <mergeCell ref="M582:M583"/>
    <mergeCell ref="N582:N583"/>
    <mergeCell ref="O582:O583"/>
    <mergeCell ref="P582:P583"/>
    <mergeCell ref="Q582:Q583"/>
    <mergeCell ref="R582:R583"/>
    <mergeCell ref="G582:G583"/>
    <mergeCell ref="H582:H583"/>
    <mergeCell ref="AJ594:AJ595"/>
    <mergeCell ref="B596:B597"/>
    <mergeCell ref="C596:C597"/>
    <mergeCell ref="D596:D597"/>
    <mergeCell ref="E596:E597"/>
    <mergeCell ref="F596:F597"/>
    <mergeCell ref="G596:G597"/>
    <mergeCell ref="H596:H597"/>
    <mergeCell ref="I596:I597"/>
    <mergeCell ref="J596:J597"/>
    <mergeCell ref="AA594:AA595"/>
    <mergeCell ref="AB594:AB595"/>
    <mergeCell ref="AC594:AC595"/>
    <mergeCell ref="AG594:AG595"/>
    <mergeCell ref="AH594:AH595"/>
    <mergeCell ref="AI594:AI595"/>
    <mergeCell ref="U594:U595"/>
    <mergeCell ref="V594:V595"/>
    <mergeCell ref="W594:W595"/>
    <mergeCell ref="X594:X595"/>
    <mergeCell ref="Y594:Y595"/>
    <mergeCell ref="Z594:Z595"/>
    <mergeCell ref="O594:O595"/>
    <mergeCell ref="P594:P595"/>
    <mergeCell ref="Q594:Q595"/>
    <mergeCell ref="R594:R595"/>
    <mergeCell ref="S594:S595"/>
    <mergeCell ref="T594:T595"/>
    <mergeCell ref="I594:I595"/>
    <mergeCell ref="J594:J595"/>
    <mergeCell ref="K594:K595"/>
    <mergeCell ref="L594:L595"/>
    <mergeCell ref="I598:I599"/>
    <mergeCell ref="J598:J599"/>
    <mergeCell ref="K598:K599"/>
    <mergeCell ref="L598:L599"/>
    <mergeCell ref="AC596:AC597"/>
    <mergeCell ref="AG596:AG597"/>
    <mergeCell ref="AH596:AH597"/>
    <mergeCell ref="AI596:AI597"/>
    <mergeCell ref="AJ596:AJ597"/>
    <mergeCell ref="B598:B599"/>
    <mergeCell ref="C598:C599"/>
    <mergeCell ref="D598:D599"/>
    <mergeCell ref="E598:E599"/>
    <mergeCell ref="F598:F599"/>
    <mergeCell ref="W596:W597"/>
    <mergeCell ref="X596:X597"/>
    <mergeCell ref="Y596:Y597"/>
    <mergeCell ref="Z596:Z597"/>
    <mergeCell ref="AA596:AA597"/>
    <mergeCell ref="AB596:AB597"/>
    <mergeCell ref="Q596:Q597"/>
    <mergeCell ref="R596:R597"/>
    <mergeCell ref="S596:S597"/>
    <mergeCell ref="T596:T597"/>
    <mergeCell ref="U596:U597"/>
    <mergeCell ref="V596:V597"/>
    <mergeCell ref="K596:K597"/>
    <mergeCell ref="L596:L597"/>
    <mergeCell ref="M596:M597"/>
    <mergeCell ref="N596:N597"/>
    <mergeCell ref="O596:O597"/>
    <mergeCell ref="P596:P597"/>
    <mergeCell ref="M600:M601"/>
    <mergeCell ref="N600:N601"/>
    <mergeCell ref="AH598:AH599"/>
    <mergeCell ref="AI598:AI599"/>
    <mergeCell ref="AJ598:AJ599"/>
    <mergeCell ref="B600:B601"/>
    <mergeCell ref="C600:C601"/>
    <mergeCell ref="D600:D601"/>
    <mergeCell ref="E600:E601"/>
    <mergeCell ref="F600:F601"/>
    <mergeCell ref="G600:G601"/>
    <mergeCell ref="H600:H601"/>
    <mergeCell ref="Y598:Y599"/>
    <mergeCell ref="Z598:Z599"/>
    <mergeCell ref="AA598:AA599"/>
    <mergeCell ref="AB598:AB599"/>
    <mergeCell ref="AC598:AC599"/>
    <mergeCell ref="AG598:AG599"/>
    <mergeCell ref="S598:S599"/>
    <mergeCell ref="T598:T599"/>
    <mergeCell ref="U598:U599"/>
    <mergeCell ref="V598:V599"/>
    <mergeCell ref="W598:W599"/>
    <mergeCell ref="X598:X599"/>
    <mergeCell ref="M598:M599"/>
    <mergeCell ref="N598:N599"/>
    <mergeCell ref="O598:O599"/>
    <mergeCell ref="P598:P599"/>
    <mergeCell ref="Q598:Q599"/>
    <mergeCell ref="R598:R599"/>
    <mergeCell ref="G598:G599"/>
    <mergeCell ref="H598:H599"/>
    <mergeCell ref="AJ600:AJ601"/>
    <mergeCell ref="B602:B603"/>
    <mergeCell ref="C602:C603"/>
    <mergeCell ref="D602:D603"/>
    <mergeCell ref="E602:E603"/>
    <mergeCell ref="F602:F603"/>
    <mergeCell ref="G602:G603"/>
    <mergeCell ref="H602:H603"/>
    <mergeCell ref="I602:I603"/>
    <mergeCell ref="J602:J603"/>
    <mergeCell ref="AA600:AA601"/>
    <mergeCell ref="AB600:AB601"/>
    <mergeCell ref="AC600:AC601"/>
    <mergeCell ref="AG600:AG601"/>
    <mergeCell ref="AH600:AH601"/>
    <mergeCell ref="AI600:AI601"/>
    <mergeCell ref="U600:U601"/>
    <mergeCell ref="V600:V601"/>
    <mergeCell ref="W600:W601"/>
    <mergeCell ref="X600:X601"/>
    <mergeCell ref="Y600:Y601"/>
    <mergeCell ref="Z600:Z601"/>
    <mergeCell ref="O600:O601"/>
    <mergeCell ref="P600:P601"/>
    <mergeCell ref="Q600:Q601"/>
    <mergeCell ref="R600:R601"/>
    <mergeCell ref="S600:S601"/>
    <mergeCell ref="T600:T601"/>
    <mergeCell ref="I600:I601"/>
    <mergeCell ref="J600:J601"/>
    <mergeCell ref="K600:K601"/>
    <mergeCell ref="L600:L601"/>
    <mergeCell ref="AC602:AC603"/>
    <mergeCell ref="AG602:AG603"/>
    <mergeCell ref="AH602:AH603"/>
    <mergeCell ref="AI602:AI603"/>
    <mergeCell ref="AJ602:AJ603"/>
    <mergeCell ref="B605:B606"/>
    <mergeCell ref="C605:C606"/>
    <mergeCell ref="D605:D606"/>
    <mergeCell ref="E605:E606"/>
    <mergeCell ref="F605:F606"/>
    <mergeCell ref="W602:W603"/>
    <mergeCell ref="X602:X603"/>
    <mergeCell ref="Y602:Y603"/>
    <mergeCell ref="Z602:Z603"/>
    <mergeCell ref="AA602:AA603"/>
    <mergeCell ref="AB602:AB603"/>
    <mergeCell ref="Q602:Q603"/>
    <mergeCell ref="R602:R603"/>
    <mergeCell ref="S602:S603"/>
    <mergeCell ref="T602:T603"/>
    <mergeCell ref="U602:U603"/>
    <mergeCell ref="V602:V603"/>
    <mergeCell ref="K602:K603"/>
    <mergeCell ref="L602:L603"/>
    <mergeCell ref="M602:M603"/>
    <mergeCell ref="N602:N603"/>
    <mergeCell ref="O602:O603"/>
    <mergeCell ref="P602:P603"/>
    <mergeCell ref="L607:L608"/>
    <mergeCell ref="M607:M608"/>
    <mergeCell ref="B607:B608"/>
    <mergeCell ref="C607:C608"/>
    <mergeCell ref="D607:D608"/>
    <mergeCell ref="E607:E608"/>
    <mergeCell ref="F607:F608"/>
    <mergeCell ref="G607:G608"/>
    <mergeCell ref="Y605:Y606"/>
    <mergeCell ref="Z605:Z606"/>
    <mergeCell ref="AG605:AG606"/>
    <mergeCell ref="AH605:AH606"/>
    <mergeCell ref="AI605:AI606"/>
    <mergeCell ref="AJ605:AJ606"/>
    <mergeCell ref="S605:S606"/>
    <mergeCell ref="T605:T606"/>
    <mergeCell ref="U605:U606"/>
    <mergeCell ref="V605:V606"/>
    <mergeCell ref="W605:W606"/>
    <mergeCell ref="X605:X606"/>
    <mergeCell ref="M605:M606"/>
    <mergeCell ref="N605:N606"/>
    <mergeCell ref="O605:O606"/>
    <mergeCell ref="P605:P606"/>
    <mergeCell ref="Q605:Q606"/>
    <mergeCell ref="R605:R606"/>
    <mergeCell ref="G605:G606"/>
    <mergeCell ref="H605:H606"/>
    <mergeCell ref="I605:I606"/>
    <mergeCell ref="J605:J606"/>
    <mergeCell ref="K605:K606"/>
    <mergeCell ref="L605:L606"/>
    <mergeCell ref="AI607:AI608"/>
    <mergeCell ref="AJ607:AJ608"/>
    <mergeCell ref="B610:B611"/>
    <mergeCell ref="C610:C611"/>
    <mergeCell ref="D610:D611"/>
    <mergeCell ref="E610:E611"/>
    <mergeCell ref="F610:F611"/>
    <mergeCell ref="G610:G611"/>
    <mergeCell ref="H610:H611"/>
    <mergeCell ref="I610:I611"/>
    <mergeCell ref="Z607:Z608"/>
    <mergeCell ref="AA607:AA608"/>
    <mergeCell ref="AB607:AB608"/>
    <mergeCell ref="AC607:AC608"/>
    <mergeCell ref="AG607:AG608"/>
    <mergeCell ref="AH607:AH608"/>
    <mergeCell ref="T607:T608"/>
    <mergeCell ref="U607:U608"/>
    <mergeCell ref="V607:V608"/>
    <mergeCell ref="W607:W608"/>
    <mergeCell ref="X607:X608"/>
    <mergeCell ref="Y607:Y608"/>
    <mergeCell ref="N607:N608"/>
    <mergeCell ref="O607:O608"/>
    <mergeCell ref="P607:P608"/>
    <mergeCell ref="Q607:Q608"/>
    <mergeCell ref="R607:R608"/>
    <mergeCell ref="S607:S608"/>
    <mergeCell ref="H607:H608"/>
    <mergeCell ref="I607:I608"/>
    <mergeCell ref="J607:J608"/>
    <mergeCell ref="K607:K608"/>
    <mergeCell ref="L618:L619"/>
    <mergeCell ref="M618:M619"/>
    <mergeCell ref="B618:B619"/>
    <mergeCell ref="C618:C619"/>
    <mergeCell ref="D618:D619"/>
    <mergeCell ref="E618:E619"/>
    <mergeCell ref="F618:F619"/>
    <mergeCell ref="G618:G619"/>
    <mergeCell ref="AB610:AB611"/>
    <mergeCell ref="AC610:AC611"/>
    <mergeCell ref="AG610:AG611"/>
    <mergeCell ref="AH610:AH611"/>
    <mergeCell ref="AI610:AI611"/>
    <mergeCell ref="AJ610:AJ611"/>
    <mergeCell ref="V610:V611"/>
    <mergeCell ref="W610:W611"/>
    <mergeCell ref="X610:X611"/>
    <mergeCell ref="Y610:Y611"/>
    <mergeCell ref="Z610:Z611"/>
    <mergeCell ref="AA610:AA611"/>
    <mergeCell ref="P610:P611"/>
    <mergeCell ref="Q610:Q611"/>
    <mergeCell ref="R610:R611"/>
    <mergeCell ref="S610:S611"/>
    <mergeCell ref="T610:T611"/>
    <mergeCell ref="U610:U611"/>
    <mergeCell ref="J610:J611"/>
    <mergeCell ref="K610:K611"/>
    <mergeCell ref="L610:L611"/>
    <mergeCell ref="M610:M611"/>
    <mergeCell ref="N610:N611"/>
    <mergeCell ref="O610:O611"/>
    <mergeCell ref="AI618:AI619"/>
    <mergeCell ref="AJ618:AJ619"/>
    <mergeCell ref="B625:B626"/>
    <mergeCell ref="C625:C626"/>
    <mergeCell ref="D625:D626"/>
    <mergeCell ref="E625:E626"/>
    <mergeCell ref="F625:F626"/>
    <mergeCell ref="G625:G626"/>
    <mergeCell ref="H625:H626"/>
    <mergeCell ref="I625:I626"/>
    <mergeCell ref="Z618:Z619"/>
    <mergeCell ref="AA618:AA619"/>
    <mergeCell ref="AB618:AB619"/>
    <mergeCell ref="AC618:AC619"/>
    <mergeCell ref="AG618:AG619"/>
    <mergeCell ref="AH618:AH619"/>
    <mergeCell ref="T618:T619"/>
    <mergeCell ref="U618:U619"/>
    <mergeCell ref="V618:V619"/>
    <mergeCell ref="W618:W619"/>
    <mergeCell ref="X618:X619"/>
    <mergeCell ref="Y618:Y619"/>
    <mergeCell ref="N618:N619"/>
    <mergeCell ref="O618:O619"/>
    <mergeCell ref="P618:P619"/>
    <mergeCell ref="Q618:Q619"/>
    <mergeCell ref="R618:R619"/>
    <mergeCell ref="S618:S619"/>
    <mergeCell ref="H618:H619"/>
    <mergeCell ref="I618:I619"/>
    <mergeCell ref="J618:J619"/>
    <mergeCell ref="K618:K619"/>
    <mergeCell ref="AH625:AH626"/>
    <mergeCell ref="AI625:AI626"/>
    <mergeCell ref="AJ625:AJ626"/>
    <mergeCell ref="V625:V626"/>
    <mergeCell ref="W625:W626"/>
    <mergeCell ref="X625:X626"/>
    <mergeCell ref="Y625:Y626"/>
    <mergeCell ref="Z625:Z626"/>
    <mergeCell ref="AA625:AA626"/>
    <mergeCell ref="P625:P626"/>
    <mergeCell ref="Q625:Q626"/>
    <mergeCell ref="R625:R626"/>
    <mergeCell ref="S625:S626"/>
    <mergeCell ref="T625:T626"/>
    <mergeCell ref="U625:U626"/>
    <mergeCell ref="J625:J626"/>
    <mergeCell ref="K625:K626"/>
    <mergeCell ref="L625:L626"/>
    <mergeCell ref="M625:M626"/>
    <mergeCell ref="N625:N626"/>
    <mergeCell ref="O625:O626"/>
    <mergeCell ref="R627:R628"/>
    <mergeCell ref="S627:S628"/>
    <mergeCell ref="H627:H628"/>
    <mergeCell ref="I627:I628"/>
    <mergeCell ref="J627:J628"/>
    <mergeCell ref="K627:K628"/>
    <mergeCell ref="L627:L628"/>
    <mergeCell ref="M627:M628"/>
    <mergeCell ref="B627:B628"/>
    <mergeCell ref="C627:C628"/>
    <mergeCell ref="D627:D628"/>
    <mergeCell ref="E627:E628"/>
    <mergeCell ref="F627:F628"/>
    <mergeCell ref="G627:G628"/>
    <mergeCell ref="AB625:AB626"/>
    <mergeCell ref="AC625:AC626"/>
    <mergeCell ref="AG625:AG626"/>
    <mergeCell ref="J629:J630"/>
    <mergeCell ref="K629:K630"/>
    <mergeCell ref="L629:L630"/>
    <mergeCell ref="M629:M630"/>
    <mergeCell ref="N629:N630"/>
    <mergeCell ref="O629:O630"/>
    <mergeCell ref="AI627:AI628"/>
    <mergeCell ref="AJ627:AJ628"/>
    <mergeCell ref="B629:B630"/>
    <mergeCell ref="C629:C630"/>
    <mergeCell ref="D629:D630"/>
    <mergeCell ref="E629:E630"/>
    <mergeCell ref="F629:F630"/>
    <mergeCell ref="G629:G630"/>
    <mergeCell ref="H629:H630"/>
    <mergeCell ref="I629:I630"/>
    <mergeCell ref="Z627:Z628"/>
    <mergeCell ref="AA627:AA628"/>
    <mergeCell ref="AB627:AB628"/>
    <mergeCell ref="AC627:AC628"/>
    <mergeCell ref="AG627:AG628"/>
    <mergeCell ref="AH627:AH628"/>
    <mergeCell ref="T627:T628"/>
    <mergeCell ref="U627:U628"/>
    <mergeCell ref="V627:V628"/>
    <mergeCell ref="W627:W628"/>
    <mergeCell ref="X627:X628"/>
    <mergeCell ref="Y627:Y628"/>
    <mergeCell ref="N627:N628"/>
    <mergeCell ref="O627:O628"/>
    <mergeCell ref="P627:P628"/>
    <mergeCell ref="Q627:Q628"/>
    <mergeCell ref="AB629:AB630"/>
    <mergeCell ref="AC629:AC630"/>
    <mergeCell ref="AG629:AG630"/>
    <mergeCell ref="AH629:AH630"/>
    <mergeCell ref="AI629:AI630"/>
    <mergeCell ref="AJ629:AJ630"/>
    <mergeCell ref="V629:V630"/>
    <mergeCell ref="W629:W630"/>
    <mergeCell ref="X629:X630"/>
    <mergeCell ref="Y629:Y630"/>
    <mergeCell ref="Z629:Z630"/>
    <mergeCell ref="AA629:AA630"/>
    <mergeCell ref="P629:P630"/>
    <mergeCell ref="Q629:Q630"/>
    <mergeCell ref="R629:R630"/>
    <mergeCell ref="S629:S630"/>
    <mergeCell ref="T629:T630"/>
    <mergeCell ref="U629:U630"/>
    <mergeCell ref="Y631:Y632"/>
    <mergeCell ref="N631:N632"/>
    <mergeCell ref="O631:O632"/>
    <mergeCell ref="P631:P632"/>
    <mergeCell ref="Q631:Q632"/>
    <mergeCell ref="R631:R632"/>
    <mergeCell ref="S631:S632"/>
    <mergeCell ref="H631:H632"/>
    <mergeCell ref="I631:I632"/>
    <mergeCell ref="J631:J632"/>
    <mergeCell ref="K631:K632"/>
    <mergeCell ref="L631:L632"/>
    <mergeCell ref="M631:M632"/>
    <mergeCell ref="B631:B632"/>
    <mergeCell ref="C631:C632"/>
    <mergeCell ref="D631:D632"/>
    <mergeCell ref="E631:E632"/>
    <mergeCell ref="F631:F632"/>
    <mergeCell ref="G631:G632"/>
    <mergeCell ref="J633:J634"/>
    <mergeCell ref="K633:K634"/>
    <mergeCell ref="L633:L634"/>
    <mergeCell ref="M633:M634"/>
    <mergeCell ref="N633:N634"/>
    <mergeCell ref="O633:O634"/>
    <mergeCell ref="Z702:Z703"/>
    <mergeCell ref="AG702:AG703"/>
    <mergeCell ref="AH702:AH703"/>
    <mergeCell ref="AI702:AI703"/>
    <mergeCell ref="AJ702:AJ703"/>
    <mergeCell ref="AI631:AI632"/>
    <mergeCell ref="AJ631:AJ632"/>
    <mergeCell ref="B633:B634"/>
    <mergeCell ref="C633:C634"/>
    <mergeCell ref="D633:D634"/>
    <mergeCell ref="E633:E634"/>
    <mergeCell ref="F633:F634"/>
    <mergeCell ref="G633:G634"/>
    <mergeCell ref="H633:H634"/>
    <mergeCell ref="I633:I634"/>
    <mergeCell ref="Z631:Z632"/>
    <mergeCell ref="AA631:AA632"/>
    <mergeCell ref="AB631:AB632"/>
    <mergeCell ref="AC631:AC632"/>
    <mergeCell ref="AG631:AG632"/>
    <mergeCell ref="AH631:AH632"/>
    <mergeCell ref="T631:T632"/>
    <mergeCell ref="U631:U632"/>
    <mergeCell ref="V631:V632"/>
    <mergeCell ref="W631:W632"/>
    <mergeCell ref="X631:X632"/>
    <mergeCell ref="AB633:AB634"/>
    <mergeCell ref="AC633:AC634"/>
    <mergeCell ref="AG633:AG634"/>
    <mergeCell ref="AH633:AH634"/>
    <mergeCell ref="AI633:AI634"/>
    <mergeCell ref="AJ633:AJ634"/>
    <mergeCell ref="V633:V634"/>
    <mergeCell ref="W633:W634"/>
    <mergeCell ref="X633:X634"/>
    <mergeCell ref="Y633:Y634"/>
    <mergeCell ref="Z633:Z634"/>
    <mergeCell ref="AA633:AA634"/>
    <mergeCell ref="P633:P634"/>
    <mergeCell ref="Q633:Q634"/>
    <mergeCell ref="R633:R634"/>
    <mergeCell ref="S633:S634"/>
    <mergeCell ref="T633:T634"/>
    <mergeCell ref="U633:U634"/>
    <mergeCell ref="B704:B705"/>
    <mergeCell ref="C704:C705"/>
    <mergeCell ref="D704:D705"/>
    <mergeCell ref="E704:E705"/>
    <mergeCell ref="F704:F705"/>
    <mergeCell ref="T702:T703"/>
    <mergeCell ref="U702:U703"/>
    <mergeCell ref="V702:V703"/>
    <mergeCell ref="W702:W703"/>
    <mergeCell ref="X702:X703"/>
    <mergeCell ref="Y702:Y703"/>
    <mergeCell ref="N702:N703"/>
    <mergeCell ref="O702:O703"/>
    <mergeCell ref="P702:P703"/>
    <mergeCell ref="Q702:Q703"/>
    <mergeCell ref="R702:R703"/>
    <mergeCell ref="S702:S703"/>
    <mergeCell ref="H702:H703"/>
    <mergeCell ref="I702:I703"/>
    <mergeCell ref="J702:J703"/>
    <mergeCell ref="K702:K703"/>
    <mergeCell ref="L702:L703"/>
    <mergeCell ref="M702:M703"/>
    <mergeCell ref="B702:B703"/>
    <mergeCell ref="C702:C703"/>
    <mergeCell ref="D702:D703"/>
    <mergeCell ref="E702:E703"/>
    <mergeCell ref="F702:F703"/>
    <mergeCell ref="G702:G703"/>
    <mergeCell ref="L706:L707"/>
    <mergeCell ref="M706:M707"/>
    <mergeCell ref="B706:B707"/>
    <mergeCell ref="C706:C707"/>
    <mergeCell ref="D706:D707"/>
    <mergeCell ref="E706:E707"/>
    <mergeCell ref="F706:F707"/>
    <mergeCell ref="G706:G707"/>
    <mergeCell ref="Y704:Y705"/>
    <mergeCell ref="Z704:Z705"/>
    <mergeCell ref="AG704:AG705"/>
    <mergeCell ref="AH704:AH705"/>
    <mergeCell ref="AI704:AI705"/>
    <mergeCell ref="AJ704:AJ705"/>
    <mergeCell ref="S704:S705"/>
    <mergeCell ref="T704:T705"/>
    <mergeCell ref="U704:U705"/>
    <mergeCell ref="V704:V705"/>
    <mergeCell ref="W704:W705"/>
    <mergeCell ref="X704:X705"/>
    <mergeCell ref="M704:M705"/>
    <mergeCell ref="N704:N705"/>
    <mergeCell ref="O704:O705"/>
    <mergeCell ref="P704:P705"/>
    <mergeCell ref="Q704:Q705"/>
    <mergeCell ref="R704:R705"/>
    <mergeCell ref="G704:G705"/>
    <mergeCell ref="H704:H705"/>
    <mergeCell ref="I704:I705"/>
    <mergeCell ref="J704:J705"/>
    <mergeCell ref="K704:K705"/>
    <mergeCell ref="L704:L705"/>
    <mergeCell ref="AI706:AI707"/>
    <mergeCell ref="AJ706:AJ707"/>
    <mergeCell ref="B708:B709"/>
    <mergeCell ref="C708:C709"/>
    <mergeCell ref="D708:D709"/>
    <mergeCell ref="E708:E709"/>
    <mergeCell ref="F708:F709"/>
    <mergeCell ref="G708:G709"/>
    <mergeCell ref="H708:H709"/>
    <mergeCell ref="I708:I709"/>
    <mergeCell ref="Z706:Z707"/>
    <mergeCell ref="AA706:AA707"/>
    <mergeCell ref="AB706:AB707"/>
    <mergeCell ref="AC706:AC707"/>
    <mergeCell ref="AG706:AG707"/>
    <mergeCell ref="AH706:AH707"/>
    <mergeCell ref="T706:T707"/>
    <mergeCell ref="U706:U707"/>
    <mergeCell ref="V706:V707"/>
    <mergeCell ref="W706:W707"/>
    <mergeCell ref="X706:X707"/>
    <mergeCell ref="Y706:Y707"/>
    <mergeCell ref="N706:N707"/>
    <mergeCell ref="O706:O707"/>
    <mergeCell ref="P706:P707"/>
    <mergeCell ref="Q706:Q707"/>
    <mergeCell ref="R706:R707"/>
    <mergeCell ref="S706:S707"/>
    <mergeCell ref="H706:H707"/>
    <mergeCell ref="I706:I707"/>
    <mergeCell ref="J706:J707"/>
    <mergeCell ref="K706:K707"/>
    <mergeCell ref="AH708:AH709"/>
    <mergeCell ref="AI708:AI709"/>
    <mergeCell ref="AJ708:AJ709"/>
    <mergeCell ref="B710:B712"/>
    <mergeCell ref="C710:C712"/>
    <mergeCell ref="D710:D712"/>
    <mergeCell ref="E710:E712"/>
    <mergeCell ref="F710:F712"/>
    <mergeCell ref="G710:G712"/>
    <mergeCell ref="H710:H712"/>
    <mergeCell ref="V708:V709"/>
    <mergeCell ref="W708:W709"/>
    <mergeCell ref="X708:X709"/>
    <mergeCell ref="Y708:Y709"/>
    <mergeCell ref="Z708:Z709"/>
    <mergeCell ref="AG708:AG709"/>
    <mergeCell ref="P708:P709"/>
    <mergeCell ref="Q708:Q709"/>
    <mergeCell ref="R708:R709"/>
    <mergeCell ref="S708:S709"/>
    <mergeCell ref="T708:T709"/>
    <mergeCell ref="U708:U709"/>
    <mergeCell ref="J708:J709"/>
    <mergeCell ref="K708:K709"/>
    <mergeCell ref="L708:L709"/>
    <mergeCell ref="M708:M709"/>
    <mergeCell ref="N708:N709"/>
    <mergeCell ref="O708:O709"/>
    <mergeCell ref="AG710:AG712"/>
    <mergeCell ref="AH710:AH712"/>
    <mergeCell ref="AI710:AI712"/>
    <mergeCell ref="AJ710:AJ712"/>
    <mergeCell ref="G720:G721"/>
    <mergeCell ref="U710:U712"/>
    <mergeCell ref="V710:V712"/>
    <mergeCell ref="W710:W712"/>
    <mergeCell ref="X710:X712"/>
    <mergeCell ref="Y710:Y712"/>
    <mergeCell ref="Z710:Z712"/>
    <mergeCell ref="O710:O712"/>
    <mergeCell ref="P710:P712"/>
    <mergeCell ref="Q710:Q712"/>
    <mergeCell ref="R710:R712"/>
    <mergeCell ref="S710:S712"/>
    <mergeCell ref="T710:T712"/>
    <mergeCell ref="I710:I712"/>
    <mergeCell ref="J710:J712"/>
    <mergeCell ref="K710:K712"/>
    <mergeCell ref="L710:L712"/>
    <mergeCell ref="M710:M712"/>
    <mergeCell ref="N710:N712"/>
    <mergeCell ref="Z720:Z721"/>
    <mergeCell ref="AG720:AG721"/>
    <mergeCell ref="AH720:AH721"/>
    <mergeCell ref="AI720:AI721"/>
    <mergeCell ref="AJ720:AJ721"/>
    <mergeCell ref="B723:B727"/>
    <mergeCell ref="C723:C727"/>
    <mergeCell ref="D723:D727"/>
    <mergeCell ref="E723:E727"/>
    <mergeCell ref="F723:F727"/>
    <mergeCell ref="T720:T721"/>
    <mergeCell ref="U720:U721"/>
    <mergeCell ref="V720:V721"/>
    <mergeCell ref="W720:W721"/>
    <mergeCell ref="X720:X721"/>
    <mergeCell ref="Y720:Y721"/>
    <mergeCell ref="N720:N721"/>
    <mergeCell ref="O720:O721"/>
    <mergeCell ref="P720:P721"/>
    <mergeCell ref="Q720:Q721"/>
    <mergeCell ref="R720:R721"/>
    <mergeCell ref="S720:S721"/>
    <mergeCell ref="H720:H721"/>
    <mergeCell ref="I720:I721"/>
    <mergeCell ref="J720:J721"/>
    <mergeCell ref="K720:K721"/>
    <mergeCell ref="L720:L721"/>
    <mergeCell ref="M720:M721"/>
    <mergeCell ref="B720:B721"/>
    <mergeCell ref="C720:C721"/>
    <mergeCell ref="D720:D721"/>
    <mergeCell ref="E720:E721"/>
    <mergeCell ref="F720:F721"/>
    <mergeCell ref="D728:D729"/>
    <mergeCell ref="E728:E729"/>
    <mergeCell ref="F728:F729"/>
    <mergeCell ref="G728:G729"/>
    <mergeCell ref="Y723:Y727"/>
    <mergeCell ref="Z723:Z727"/>
    <mergeCell ref="AG723:AG727"/>
    <mergeCell ref="AH723:AH727"/>
    <mergeCell ref="AI723:AI727"/>
    <mergeCell ref="AJ723:AJ727"/>
    <mergeCell ref="S723:S727"/>
    <mergeCell ref="T723:T727"/>
    <mergeCell ref="U723:U727"/>
    <mergeCell ref="V723:V727"/>
    <mergeCell ref="W723:W727"/>
    <mergeCell ref="X723:X727"/>
    <mergeCell ref="M723:M727"/>
    <mergeCell ref="N723:N727"/>
    <mergeCell ref="O723:O727"/>
    <mergeCell ref="P723:P727"/>
    <mergeCell ref="Q723:Q727"/>
    <mergeCell ref="R723:R727"/>
    <mergeCell ref="G723:G727"/>
    <mergeCell ref="H723:H727"/>
    <mergeCell ref="I723:I727"/>
    <mergeCell ref="J723:J727"/>
    <mergeCell ref="K723:K727"/>
    <mergeCell ref="L723:L727"/>
    <mergeCell ref="K731:K732"/>
    <mergeCell ref="L731:L732"/>
    <mergeCell ref="Z728:Z729"/>
    <mergeCell ref="AG728:AG729"/>
    <mergeCell ref="AH728:AH729"/>
    <mergeCell ref="AI728:AI729"/>
    <mergeCell ref="AJ728:AJ729"/>
    <mergeCell ref="B731:B732"/>
    <mergeCell ref="C731:C732"/>
    <mergeCell ref="D731:D732"/>
    <mergeCell ref="E731:E732"/>
    <mergeCell ref="F731:F732"/>
    <mergeCell ref="T728:T729"/>
    <mergeCell ref="U728:U729"/>
    <mergeCell ref="V728:V729"/>
    <mergeCell ref="W728:W729"/>
    <mergeCell ref="X728:X729"/>
    <mergeCell ref="Y728:Y729"/>
    <mergeCell ref="N728:N729"/>
    <mergeCell ref="O728:O729"/>
    <mergeCell ref="P728:P729"/>
    <mergeCell ref="Q728:Q729"/>
    <mergeCell ref="R728:R729"/>
    <mergeCell ref="S728:S729"/>
    <mergeCell ref="H728:H729"/>
    <mergeCell ref="I728:I729"/>
    <mergeCell ref="J728:J729"/>
    <mergeCell ref="K728:K729"/>
    <mergeCell ref="L728:L729"/>
    <mergeCell ref="M728:M729"/>
    <mergeCell ref="B728:B729"/>
    <mergeCell ref="C728:C729"/>
    <mergeCell ref="AH731:AH732"/>
    <mergeCell ref="AI731:AI732"/>
    <mergeCell ref="AJ731:AJ732"/>
    <mergeCell ref="B733:B735"/>
    <mergeCell ref="C733:C735"/>
    <mergeCell ref="D733:D735"/>
    <mergeCell ref="E733:E735"/>
    <mergeCell ref="F733:F735"/>
    <mergeCell ref="G733:G735"/>
    <mergeCell ref="H733:H735"/>
    <mergeCell ref="Y731:Y732"/>
    <mergeCell ref="Z731:Z732"/>
    <mergeCell ref="AD731:AD732"/>
    <mergeCell ref="AE731:AE732"/>
    <mergeCell ref="AF731:AF732"/>
    <mergeCell ref="AG731:AG732"/>
    <mergeCell ref="S731:S732"/>
    <mergeCell ref="T731:T732"/>
    <mergeCell ref="U731:U732"/>
    <mergeCell ref="V731:V732"/>
    <mergeCell ref="W731:W732"/>
    <mergeCell ref="X731:X732"/>
    <mergeCell ref="M731:M732"/>
    <mergeCell ref="N731:N732"/>
    <mergeCell ref="O731:O732"/>
    <mergeCell ref="P731:P732"/>
    <mergeCell ref="Q731:Q732"/>
    <mergeCell ref="R731:R732"/>
    <mergeCell ref="G731:G732"/>
    <mergeCell ref="H731:H732"/>
    <mergeCell ref="I731:I732"/>
    <mergeCell ref="J731:J732"/>
    <mergeCell ref="AG733:AG735"/>
    <mergeCell ref="AH733:AH735"/>
    <mergeCell ref="AI733:AI735"/>
    <mergeCell ref="AJ733:AJ735"/>
    <mergeCell ref="B736:B738"/>
    <mergeCell ref="C736:C738"/>
    <mergeCell ref="D736:D738"/>
    <mergeCell ref="E736:E738"/>
    <mergeCell ref="F736:F738"/>
    <mergeCell ref="G736:G738"/>
    <mergeCell ref="U733:U735"/>
    <mergeCell ref="V733:V735"/>
    <mergeCell ref="W733:W735"/>
    <mergeCell ref="X733:X735"/>
    <mergeCell ref="Y733:Y735"/>
    <mergeCell ref="Z733:Z735"/>
    <mergeCell ref="O733:O735"/>
    <mergeCell ref="P733:P735"/>
    <mergeCell ref="Q733:Q735"/>
    <mergeCell ref="R733:R735"/>
    <mergeCell ref="S733:S735"/>
    <mergeCell ref="T733:T735"/>
    <mergeCell ref="I733:I735"/>
    <mergeCell ref="J733:J735"/>
    <mergeCell ref="K733:K735"/>
    <mergeCell ref="L733:L735"/>
    <mergeCell ref="M733:M735"/>
    <mergeCell ref="N733:N735"/>
    <mergeCell ref="Z736:Z738"/>
    <mergeCell ref="AG736:AG738"/>
    <mergeCell ref="AH736:AH738"/>
    <mergeCell ref="AI736:AI738"/>
    <mergeCell ref="L739:L741"/>
    <mergeCell ref="AJ736:AJ738"/>
    <mergeCell ref="B739:B741"/>
    <mergeCell ref="C739:C741"/>
    <mergeCell ref="D739:D741"/>
    <mergeCell ref="E739:E741"/>
    <mergeCell ref="F739:F741"/>
    <mergeCell ref="T736:T738"/>
    <mergeCell ref="U736:U738"/>
    <mergeCell ref="V736:V738"/>
    <mergeCell ref="W736:W738"/>
    <mergeCell ref="X736:X738"/>
    <mergeCell ref="Y736:Y738"/>
    <mergeCell ref="N736:N738"/>
    <mergeCell ref="O736:O738"/>
    <mergeCell ref="P736:P738"/>
    <mergeCell ref="Q736:Q738"/>
    <mergeCell ref="R736:R738"/>
    <mergeCell ref="S736:S738"/>
    <mergeCell ref="H736:H738"/>
    <mergeCell ref="I736:I738"/>
    <mergeCell ref="J736:J738"/>
    <mergeCell ref="K736:K738"/>
    <mergeCell ref="L736:L738"/>
    <mergeCell ref="M736:M738"/>
    <mergeCell ref="K742:K743"/>
    <mergeCell ref="L742:L743"/>
    <mergeCell ref="M742:M743"/>
    <mergeCell ref="B742:B743"/>
    <mergeCell ref="C742:C743"/>
    <mergeCell ref="D742:D743"/>
    <mergeCell ref="E742:E743"/>
    <mergeCell ref="F742:F743"/>
    <mergeCell ref="G742:G743"/>
    <mergeCell ref="Y739:Y741"/>
    <mergeCell ref="Z739:Z741"/>
    <mergeCell ref="AG739:AG741"/>
    <mergeCell ref="AH739:AH741"/>
    <mergeCell ref="AI739:AI741"/>
    <mergeCell ref="AJ739:AJ741"/>
    <mergeCell ref="S739:S741"/>
    <mergeCell ref="T739:T741"/>
    <mergeCell ref="U739:U741"/>
    <mergeCell ref="V739:V741"/>
    <mergeCell ref="W739:W741"/>
    <mergeCell ref="X739:X741"/>
    <mergeCell ref="M739:M741"/>
    <mergeCell ref="N739:N741"/>
    <mergeCell ref="O739:O741"/>
    <mergeCell ref="P739:P741"/>
    <mergeCell ref="Q739:Q741"/>
    <mergeCell ref="R739:R741"/>
    <mergeCell ref="G739:G741"/>
    <mergeCell ref="H739:H741"/>
    <mergeCell ref="I739:I741"/>
    <mergeCell ref="J739:J741"/>
    <mergeCell ref="K739:K741"/>
    <mergeCell ref="R749:R750"/>
    <mergeCell ref="G749:G750"/>
    <mergeCell ref="H749:H750"/>
    <mergeCell ref="I749:I750"/>
    <mergeCell ref="J749:J750"/>
    <mergeCell ref="K749:K750"/>
    <mergeCell ref="L749:L750"/>
    <mergeCell ref="Z742:Z743"/>
    <mergeCell ref="AG742:AG743"/>
    <mergeCell ref="AH742:AH743"/>
    <mergeCell ref="AI742:AI743"/>
    <mergeCell ref="AJ742:AJ743"/>
    <mergeCell ref="B749:B750"/>
    <mergeCell ref="C749:C750"/>
    <mergeCell ref="D749:D750"/>
    <mergeCell ref="E749:E750"/>
    <mergeCell ref="F749:F750"/>
    <mergeCell ref="T742:T743"/>
    <mergeCell ref="U742:U743"/>
    <mergeCell ref="V742:V743"/>
    <mergeCell ref="W742:W743"/>
    <mergeCell ref="X742:X743"/>
    <mergeCell ref="Y742:Y743"/>
    <mergeCell ref="N742:N743"/>
    <mergeCell ref="O742:O743"/>
    <mergeCell ref="P742:P743"/>
    <mergeCell ref="Q742:Q743"/>
    <mergeCell ref="R742:R743"/>
    <mergeCell ref="S742:S743"/>
    <mergeCell ref="H742:H743"/>
    <mergeCell ref="I742:I743"/>
    <mergeCell ref="J742:J743"/>
    <mergeCell ref="J755:J756"/>
    <mergeCell ref="K755:K756"/>
    <mergeCell ref="L755:L756"/>
    <mergeCell ref="M755:M756"/>
    <mergeCell ref="N755:N756"/>
    <mergeCell ref="AH749:AH750"/>
    <mergeCell ref="AI749:AI750"/>
    <mergeCell ref="AJ749:AJ750"/>
    <mergeCell ref="B755:B756"/>
    <mergeCell ref="C755:C756"/>
    <mergeCell ref="D755:D756"/>
    <mergeCell ref="E755:E756"/>
    <mergeCell ref="F755:F756"/>
    <mergeCell ref="G755:G756"/>
    <mergeCell ref="H755:H756"/>
    <mergeCell ref="Y749:Y750"/>
    <mergeCell ref="Z749:Z750"/>
    <mergeCell ref="AD749:AD750"/>
    <mergeCell ref="AE749:AE750"/>
    <mergeCell ref="AF749:AF750"/>
    <mergeCell ref="AG749:AG750"/>
    <mergeCell ref="S749:S750"/>
    <mergeCell ref="T749:T750"/>
    <mergeCell ref="U749:U750"/>
    <mergeCell ref="V749:V750"/>
    <mergeCell ref="W749:W750"/>
    <mergeCell ref="X749:X750"/>
    <mergeCell ref="M749:M750"/>
    <mergeCell ref="N749:N750"/>
    <mergeCell ref="O749:O750"/>
    <mergeCell ref="P749:P750"/>
    <mergeCell ref="Q749:Q750"/>
    <mergeCell ref="AH766:AH767"/>
    <mergeCell ref="AI766:AI767"/>
    <mergeCell ref="AJ766:AJ767"/>
    <mergeCell ref="AJ755:AJ756"/>
    <mergeCell ref="B757:B759"/>
    <mergeCell ref="C757:C759"/>
    <mergeCell ref="D757:D759"/>
    <mergeCell ref="E757:E759"/>
    <mergeCell ref="F757:F759"/>
    <mergeCell ref="G757:G759"/>
    <mergeCell ref="H757:H759"/>
    <mergeCell ref="I757:I759"/>
    <mergeCell ref="J757:J759"/>
    <mergeCell ref="AD755:AD756"/>
    <mergeCell ref="AE755:AE756"/>
    <mergeCell ref="AF755:AF756"/>
    <mergeCell ref="AG755:AG756"/>
    <mergeCell ref="AH755:AH756"/>
    <mergeCell ref="AI755:AI756"/>
    <mergeCell ref="U755:U756"/>
    <mergeCell ref="V755:V756"/>
    <mergeCell ref="W755:W756"/>
    <mergeCell ref="X755:X756"/>
    <mergeCell ref="Y755:Y756"/>
    <mergeCell ref="Z755:Z756"/>
    <mergeCell ref="O755:O756"/>
    <mergeCell ref="P755:P756"/>
    <mergeCell ref="Q755:Q756"/>
    <mergeCell ref="R755:R756"/>
    <mergeCell ref="S755:S756"/>
    <mergeCell ref="T755:T756"/>
    <mergeCell ref="I755:I756"/>
    <mergeCell ref="I774:I775"/>
    <mergeCell ref="J774:J775"/>
    <mergeCell ref="K774:K775"/>
    <mergeCell ref="L774:L775"/>
    <mergeCell ref="AI757:AI759"/>
    <mergeCell ref="AJ757:AJ759"/>
    <mergeCell ref="B766:B767"/>
    <mergeCell ref="C766:C767"/>
    <mergeCell ref="D766:D767"/>
    <mergeCell ref="E766:E767"/>
    <mergeCell ref="F766:F767"/>
    <mergeCell ref="G766:G767"/>
    <mergeCell ref="H766:H767"/>
    <mergeCell ref="I766:I767"/>
    <mergeCell ref="W757:W759"/>
    <mergeCell ref="X757:X759"/>
    <mergeCell ref="Y757:Y759"/>
    <mergeCell ref="Z757:Z759"/>
    <mergeCell ref="AG757:AG759"/>
    <mergeCell ref="AH757:AH759"/>
    <mergeCell ref="Q757:Q759"/>
    <mergeCell ref="R757:R759"/>
    <mergeCell ref="S757:S759"/>
    <mergeCell ref="T757:T759"/>
    <mergeCell ref="U757:U759"/>
    <mergeCell ref="V757:V759"/>
    <mergeCell ref="K757:K759"/>
    <mergeCell ref="L757:L759"/>
    <mergeCell ref="M757:M759"/>
    <mergeCell ref="N757:N759"/>
    <mergeCell ref="O757:O759"/>
    <mergeCell ref="P757:P759"/>
    <mergeCell ref="C772:C773"/>
    <mergeCell ref="D772:D773"/>
    <mergeCell ref="E772:E773"/>
    <mergeCell ref="F772:F773"/>
    <mergeCell ref="G772:G773"/>
    <mergeCell ref="H772:H773"/>
    <mergeCell ref="V766:V767"/>
    <mergeCell ref="W766:W767"/>
    <mergeCell ref="X766:X767"/>
    <mergeCell ref="Y766:Y767"/>
    <mergeCell ref="Z766:Z767"/>
    <mergeCell ref="AG766:AG767"/>
    <mergeCell ref="P766:P767"/>
    <mergeCell ref="Q766:Q767"/>
    <mergeCell ref="R766:R767"/>
    <mergeCell ref="S766:S767"/>
    <mergeCell ref="T766:T767"/>
    <mergeCell ref="U766:U767"/>
    <mergeCell ref="J766:J767"/>
    <mergeCell ref="K766:K767"/>
    <mergeCell ref="L766:L767"/>
    <mergeCell ref="M766:M767"/>
    <mergeCell ref="N766:N767"/>
    <mergeCell ref="O766:O767"/>
    <mergeCell ref="M774:M775"/>
    <mergeCell ref="AG772:AG773"/>
    <mergeCell ref="AH772:AH773"/>
    <mergeCell ref="AI772:AI773"/>
    <mergeCell ref="AJ772:AJ773"/>
    <mergeCell ref="B774:B775"/>
    <mergeCell ref="C774:C775"/>
    <mergeCell ref="D774:D775"/>
    <mergeCell ref="E774:E775"/>
    <mergeCell ref="F774:F775"/>
    <mergeCell ref="G774:G775"/>
    <mergeCell ref="U772:U773"/>
    <mergeCell ref="V772:V773"/>
    <mergeCell ref="W772:W773"/>
    <mergeCell ref="X772:X773"/>
    <mergeCell ref="Y772:Y773"/>
    <mergeCell ref="Z772:Z773"/>
    <mergeCell ref="O772:O773"/>
    <mergeCell ref="P772:P773"/>
    <mergeCell ref="Q772:Q773"/>
    <mergeCell ref="R772:R773"/>
    <mergeCell ref="S772:S773"/>
    <mergeCell ref="T772:T773"/>
    <mergeCell ref="I772:I773"/>
    <mergeCell ref="J772:J773"/>
    <mergeCell ref="K772:K773"/>
    <mergeCell ref="L772:L773"/>
    <mergeCell ref="M772:M773"/>
    <mergeCell ref="N772:N773"/>
    <mergeCell ref="AI774:AI775"/>
    <mergeCell ref="AJ774:AJ775"/>
    <mergeCell ref="B772:B773"/>
    <mergeCell ref="Z782:Z783"/>
    <mergeCell ref="AG782:AG783"/>
    <mergeCell ref="AH782:AH783"/>
    <mergeCell ref="AI782:AI783"/>
    <mergeCell ref="AJ782:AJ783"/>
    <mergeCell ref="B776:B777"/>
    <mergeCell ref="C776:C777"/>
    <mergeCell ref="D776:D777"/>
    <mergeCell ref="E776:E777"/>
    <mergeCell ref="F776:F777"/>
    <mergeCell ref="G776:G777"/>
    <mergeCell ref="H776:H777"/>
    <mergeCell ref="I776:I777"/>
    <mergeCell ref="Z774:Z775"/>
    <mergeCell ref="AD774:AD775"/>
    <mergeCell ref="AE774:AE775"/>
    <mergeCell ref="AF774:AF775"/>
    <mergeCell ref="AG774:AG775"/>
    <mergeCell ref="AH774:AH775"/>
    <mergeCell ref="T774:T775"/>
    <mergeCell ref="U774:U775"/>
    <mergeCell ref="V774:V775"/>
    <mergeCell ref="W774:W775"/>
    <mergeCell ref="X774:X775"/>
    <mergeCell ref="Y774:Y775"/>
    <mergeCell ref="N774:N775"/>
    <mergeCell ref="O774:O775"/>
    <mergeCell ref="P774:P775"/>
    <mergeCell ref="Q774:Q775"/>
    <mergeCell ref="R774:R775"/>
    <mergeCell ref="S774:S775"/>
    <mergeCell ref="H774:H775"/>
    <mergeCell ref="L782:L783"/>
    <mergeCell ref="M782:M783"/>
    <mergeCell ref="B782:B783"/>
    <mergeCell ref="C782:C783"/>
    <mergeCell ref="D782:D783"/>
    <mergeCell ref="E782:E783"/>
    <mergeCell ref="F782:F783"/>
    <mergeCell ref="G782:G783"/>
    <mergeCell ref="AE776:AE777"/>
    <mergeCell ref="AF776:AF777"/>
    <mergeCell ref="AG776:AG777"/>
    <mergeCell ref="AH776:AH777"/>
    <mergeCell ref="AI776:AI777"/>
    <mergeCell ref="AJ776:AJ777"/>
    <mergeCell ref="V776:V777"/>
    <mergeCell ref="W776:W777"/>
    <mergeCell ref="X776:X777"/>
    <mergeCell ref="Y776:Y777"/>
    <mergeCell ref="Z776:Z777"/>
    <mergeCell ref="AD776:AD777"/>
    <mergeCell ref="P776:P777"/>
    <mergeCell ref="Q776:Q777"/>
    <mergeCell ref="R776:R777"/>
    <mergeCell ref="S776:S777"/>
    <mergeCell ref="T776:T777"/>
    <mergeCell ref="U776:U777"/>
    <mergeCell ref="J776:J777"/>
    <mergeCell ref="K776:K777"/>
    <mergeCell ref="L776:L777"/>
    <mergeCell ref="M776:M777"/>
    <mergeCell ref="N776:N777"/>
    <mergeCell ref="O776:O777"/>
    <mergeCell ref="G786:G787"/>
    <mergeCell ref="H786:H787"/>
    <mergeCell ref="I786:I787"/>
    <mergeCell ref="J786:J787"/>
    <mergeCell ref="K786:K787"/>
    <mergeCell ref="L786:L787"/>
    <mergeCell ref="Z789:Z790"/>
    <mergeCell ref="AG789:AG790"/>
    <mergeCell ref="AH789:AH790"/>
    <mergeCell ref="AI789:AI790"/>
    <mergeCell ref="AJ789:AJ790"/>
    <mergeCell ref="B786:B787"/>
    <mergeCell ref="C786:C787"/>
    <mergeCell ref="D786:D787"/>
    <mergeCell ref="E786:E787"/>
    <mergeCell ref="F786:F787"/>
    <mergeCell ref="T782:T783"/>
    <mergeCell ref="U782:U783"/>
    <mergeCell ref="V782:V783"/>
    <mergeCell ref="W782:W783"/>
    <mergeCell ref="X782:X783"/>
    <mergeCell ref="Y782:Y783"/>
    <mergeCell ref="N782:N783"/>
    <mergeCell ref="O782:O783"/>
    <mergeCell ref="P782:P783"/>
    <mergeCell ref="Q782:Q783"/>
    <mergeCell ref="R782:R783"/>
    <mergeCell ref="S782:S783"/>
    <mergeCell ref="H782:H783"/>
    <mergeCell ref="I782:I783"/>
    <mergeCell ref="J782:J783"/>
    <mergeCell ref="K782:K783"/>
    <mergeCell ref="Y786:Y787"/>
    <mergeCell ref="Z786:Z787"/>
    <mergeCell ref="AG786:AG787"/>
    <mergeCell ref="AH786:AH787"/>
    <mergeCell ref="AI786:AI787"/>
    <mergeCell ref="AJ786:AJ787"/>
    <mergeCell ref="S786:S787"/>
    <mergeCell ref="T786:T787"/>
    <mergeCell ref="U786:U787"/>
    <mergeCell ref="V786:V787"/>
    <mergeCell ref="W786:W787"/>
    <mergeCell ref="X786:X787"/>
    <mergeCell ref="M786:M787"/>
    <mergeCell ref="N786:N787"/>
    <mergeCell ref="O786:O787"/>
    <mergeCell ref="P786:P787"/>
    <mergeCell ref="Q786:Q787"/>
    <mergeCell ref="R786:R787"/>
    <mergeCell ref="B794:B795"/>
    <mergeCell ref="C794:C795"/>
    <mergeCell ref="D794:D795"/>
    <mergeCell ref="E794:E795"/>
    <mergeCell ref="F794:F795"/>
    <mergeCell ref="T789:T790"/>
    <mergeCell ref="U789:U790"/>
    <mergeCell ref="V789:V790"/>
    <mergeCell ref="W789:W790"/>
    <mergeCell ref="X789:X790"/>
    <mergeCell ref="Y789:Y790"/>
    <mergeCell ref="N789:N790"/>
    <mergeCell ref="O789:O790"/>
    <mergeCell ref="P789:P790"/>
    <mergeCell ref="Q789:Q790"/>
    <mergeCell ref="R789:R790"/>
    <mergeCell ref="S789:S790"/>
    <mergeCell ref="H789:H790"/>
    <mergeCell ref="I789:I790"/>
    <mergeCell ref="J789:J790"/>
    <mergeCell ref="K789:K790"/>
    <mergeCell ref="L789:L790"/>
    <mergeCell ref="M789:M790"/>
    <mergeCell ref="B789:B790"/>
    <mergeCell ref="C789:C790"/>
    <mergeCell ref="D789:D790"/>
    <mergeCell ref="E789:E790"/>
    <mergeCell ref="F789:F790"/>
    <mergeCell ref="G789:G790"/>
    <mergeCell ref="F796:F797"/>
    <mergeCell ref="G796:G797"/>
    <mergeCell ref="Y794:Y795"/>
    <mergeCell ref="Z794:Z795"/>
    <mergeCell ref="AG794:AG795"/>
    <mergeCell ref="AH794:AH795"/>
    <mergeCell ref="AI794:AI795"/>
    <mergeCell ref="AJ794:AJ795"/>
    <mergeCell ref="S794:S795"/>
    <mergeCell ref="T794:T795"/>
    <mergeCell ref="U794:U795"/>
    <mergeCell ref="V794:V795"/>
    <mergeCell ref="W794:W795"/>
    <mergeCell ref="X794:X795"/>
    <mergeCell ref="M794:M795"/>
    <mergeCell ref="N794:N795"/>
    <mergeCell ref="O794:O795"/>
    <mergeCell ref="P794:P795"/>
    <mergeCell ref="Q794:Q795"/>
    <mergeCell ref="R794:R795"/>
    <mergeCell ref="G794:G795"/>
    <mergeCell ref="H794:H795"/>
    <mergeCell ref="I794:I795"/>
    <mergeCell ref="J794:J795"/>
    <mergeCell ref="K794:K795"/>
    <mergeCell ref="L794:L795"/>
    <mergeCell ref="Z796:Z797"/>
    <mergeCell ref="AG796:AG797"/>
    <mergeCell ref="AH796:AH797"/>
    <mergeCell ref="AI796:AI797"/>
    <mergeCell ref="AJ796:AJ797"/>
    <mergeCell ref="Z800:Z801"/>
    <mergeCell ref="AG800:AG801"/>
    <mergeCell ref="AH800:AH801"/>
    <mergeCell ref="AI800:AI801"/>
    <mergeCell ref="AJ800:AJ801"/>
    <mergeCell ref="B798:B799"/>
    <mergeCell ref="C798:C799"/>
    <mergeCell ref="D798:D799"/>
    <mergeCell ref="E798:E799"/>
    <mergeCell ref="F798:F799"/>
    <mergeCell ref="T796:T797"/>
    <mergeCell ref="U796:U797"/>
    <mergeCell ref="V796:V797"/>
    <mergeCell ref="W796:W797"/>
    <mergeCell ref="X796:X797"/>
    <mergeCell ref="Y796:Y797"/>
    <mergeCell ref="N796:N797"/>
    <mergeCell ref="O796:O797"/>
    <mergeCell ref="P796:P797"/>
    <mergeCell ref="Q796:Q797"/>
    <mergeCell ref="R796:R797"/>
    <mergeCell ref="S796:S797"/>
    <mergeCell ref="H796:H797"/>
    <mergeCell ref="I796:I797"/>
    <mergeCell ref="J796:J797"/>
    <mergeCell ref="K796:K797"/>
    <mergeCell ref="L796:L797"/>
    <mergeCell ref="M796:M797"/>
    <mergeCell ref="B796:B797"/>
    <mergeCell ref="C796:C797"/>
    <mergeCell ref="D796:D797"/>
    <mergeCell ref="E796:E797"/>
    <mergeCell ref="L800:L801"/>
    <mergeCell ref="M800:M801"/>
    <mergeCell ref="B800:B801"/>
    <mergeCell ref="C800:C801"/>
    <mergeCell ref="D800:D801"/>
    <mergeCell ref="E800:E801"/>
    <mergeCell ref="F800:F801"/>
    <mergeCell ref="G800:G801"/>
    <mergeCell ref="Y798:Y799"/>
    <mergeCell ref="Z798:Z799"/>
    <mergeCell ref="AG798:AG799"/>
    <mergeCell ref="AH798:AH799"/>
    <mergeCell ref="AI798:AI799"/>
    <mergeCell ref="AJ798:AJ799"/>
    <mergeCell ref="S798:S799"/>
    <mergeCell ref="T798:T799"/>
    <mergeCell ref="U798:U799"/>
    <mergeCell ref="V798:V799"/>
    <mergeCell ref="W798:W799"/>
    <mergeCell ref="X798:X799"/>
    <mergeCell ref="M798:M799"/>
    <mergeCell ref="N798:N799"/>
    <mergeCell ref="O798:O799"/>
    <mergeCell ref="P798:P799"/>
    <mergeCell ref="Q798:Q799"/>
    <mergeCell ref="R798:R799"/>
    <mergeCell ref="G798:G799"/>
    <mergeCell ref="H798:H799"/>
    <mergeCell ref="I798:I799"/>
    <mergeCell ref="J798:J799"/>
    <mergeCell ref="K798:K799"/>
    <mergeCell ref="L798:L799"/>
    <mergeCell ref="G803:G804"/>
    <mergeCell ref="H803:H804"/>
    <mergeCell ref="I803:I804"/>
    <mergeCell ref="J803:J804"/>
    <mergeCell ref="K803:K804"/>
    <mergeCell ref="L803:L804"/>
    <mergeCell ref="Z805:Z806"/>
    <mergeCell ref="AG805:AG806"/>
    <mergeCell ref="AH805:AH806"/>
    <mergeCell ref="AI805:AI806"/>
    <mergeCell ref="AJ805:AJ806"/>
    <mergeCell ref="B803:B804"/>
    <mergeCell ref="C803:C804"/>
    <mergeCell ref="D803:D804"/>
    <mergeCell ref="E803:E804"/>
    <mergeCell ref="F803:F804"/>
    <mergeCell ref="T800:T801"/>
    <mergeCell ref="U800:U801"/>
    <mergeCell ref="V800:V801"/>
    <mergeCell ref="W800:W801"/>
    <mergeCell ref="X800:X801"/>
    <mergeCell ref="Y800:Y801"/>
    <mergeCell ref="N800:N801"/>
    <mergeCell ref="O800:O801"/>
    <mergeCell ref="P800:P801"/>
    <mergeCell ref="Q800:Q801"/>
    <mergeCell ref="R800:R801"/>
    <mergeCell ref="S800:S801"/>
    <mergeCell ref="H800:H801"/>
    <mergeCell ref="I800:I801"/>
    <mergeCell ref="J800:J801"/>
    <mergeCell ref="K800:K801"/>
    <mergeCell ref="Y803:Y804"/>
    <mergeCell ref="Z803:Z804"/>
    <mergeCell ref="AG803:AG804"/>
    <mergeCell ref="AH803:AH804"/>
    <mergeCell ref="AI803:AI804"/>
    <mergeCell ref="AJ803:AJ804"/>
    <mergeCell ref="S803:S804"/>
    <mergeCell ref="T803:T804"/>
    <mergeCell ref="U803:U804"/>
    <mergeCell ref="V803:V804"/>
    <mergeCell ref="W803:W804"/>
    <mergeCell ref="X803:X804"/>
    <mergeCell ref="M803:M804"/>
    <mergeCell ref="N803:N804"/>
    <mergeCell ref="O803:O804"/>
    <mergeCell ref="P803:P804"/>
    <mergeCell ref="Q803:Q804"/>
    <mergeCell ref="R803:R804"/>
    <mergeCell ref="B807:B808"/>
    <mergeCell ref="C807:C808"/>
    <mergeCell ref="D807:D808"/>
    <mergeCell ref="E807:E808"/>
    <mergeCell ref="F807:F808"/>
    <mergeCell ref="T805:T806"/>
    <mergeCell ref="U805:U806"/>
    <mergeCell ref="V805:V806"/>
    <mergeCell ref="W805:W806"/>
    <mergeCell ref="X805:X806"/>
    <mergeCell ref="Y805:Y806"/>
    <mergeCell ref="N805:N806"/>
    <mergeCell ref="O805:O806"/>
    <mergeCell ref="P805:P806"/>
    <mergeCell ref="Q805:Q806"/>
    <mergeCell ref="R805:R806"/>
    <mergeCell ref="S805:S806"/>
    <mergeCell ref="H805:H806"/>
    <mergeCell ref="I805:I806"/>
    <mergeCell ref="J805:J806"/>
    <mergeCell ref="K805:K806"/>
    <mergeCell ref="L805:L806"/>
    <mergeCell ref="M805:M806"/>
    <mergeCell ref="B805:B806"/>
    <mergeCell ref="C805:C806"/>
    <mergeCell ref="D805:D806"/>
    <mergeCell ref="E805:E806"/>
    <mergeCell ref="F805:F806"/>
    <mergeCell ref="G805:G806"/>
    <mergeCell ref="D809:D810"/>
    <mergeCell ref="E809:E810"/>
    <mergeCell ref="F809:F810"/>
    <mergeCell ref="G809:G810"/>
    <mergeCell ref="Y807:Y808"/>
    <mergeCell ref="Z807:Z808"/>
    <mergeCell ref="AG807:AG808"/>
    <mergeCell ref="AH807:AH808"/>
    <mergeCell ref="AI807:AI808"/>
    <mergeCell ref="AJ807:AJ808"/>
    <mergeCell ref="S807:S808"/>
    <mergeCell ref="T807:T808"/>
    <mergeCell ref="U807:U808"/>
    <mergeCell ref="V807:V808"/>
    <mergeCell ref="W807:W808"/>
    <mergeCell ref="X807:X808"/>
    <mergeCell ref="M807:M808"/>
    <mergeCell ref="N807:N808"/>
    <mergeCell ref="O807:O808"/>
    <mergeCell ref="P807:P808"/>
    <mergeCell ref="Q807:Q808"/>
    <mergeCell ref="R807:R808"/>
    <mergeCell ref="G807:G808"/>
    <mergeCell ref="H807:H808"/>
    <mergeCell ref="I807:I808"/>
    <mergeCell ref="J807:J808"/>
    <mergeCell ref="K807:K808"/>
    <mergeCell ref="L807:L808"/>
    <mergeCell ref="K811:K812"/>
    <mergeCell ref="L811:L812"/>
    <mergeCell ref="Z809:Z810"/>
    <mergeCell ref="AG809:AG810"/>
    <mergeCell ref="AH809:AH810"/>
    <mergeCell ref="AI809:AI810"/>
    <mergeCell ref="AJ809:AJ810"/>
    <mergeCell ref="B811:B812"/>
    <mergeCell ref="C811:C812"/>
    <mergeCell ref="D811:D812"/>
    <mergeCell ref="E811:E812"/>
    <mergeCell ref="F811:F812"/>
    <mergeCell ref="T809:T810"/>
    <mergeCell ref="U809:U810"/>
    <mergeCell ref="V809:V810"/>
    <mergeCell ref="W809:W810"/>
    <mergeCell ref="X809:X810"/>
    <mergeCell ref="Y809:Y810"/>
    <mergeCell ref="N809:N810"/>
    <mergeCell ref="O809:O810"/>
    <mergeCell ref="P809:P810"/>
    <mergeCell ref="Q809:Q810"/>
    <mergeCell ref="R809:R810"/>
    <mergeCell ref="S809:S810"/>
    <mergeCell ref="H809:H810"/>
    <mergeCell ref="I809:I810"/>
    <mergeCell ref="J809:J810"/>
    <mergeCell ref="K809:K810"/>
    <mergeCell ref="L809:L810"/>
    <mergeCell ref="M809:M810"/>
    <mergeCell ref="B809:B810"/>
    <mergeCell ref="C809:C810"/>
    <mergeCell ref="AH811:AH812"/>
    <mergeCell ref="AI811:AI812"/>
    <mergeCell ref="AJ811:AJ812"/>
    <mergeCell ref="B813:B814"/>
    <mergeCell ref="C813:C814"/>
    <mergeCell ref="D813:D814"/>
    <mergeCell ref="E813:E814"/>
    <mergeCell ref="F813:F814"/>
    <mergeCell ref="G813:G814"/>
    <mergeCell ref="H813:H814"/>
    <mergeCell ref="Y811:Y812"/>
    <mergeCell ref="Z811:Z812"/>
    <mergeCell ref="AA811:AA812"/>
    <mergeCell ref="AB811:AB812"/>
    <mergeCell ref="AC811:AC812"/>
    <mergeCell ref="AG811:AG812"/>
    <mergeCell ref="S811:S812"/>
    <mergeCell ref="T811:T812"/>
    <mergeCell ref="U811:U812"/>
    <mergeCell ref="V811:V812"/>
    <mergeCell ref="W811:W812"/>
    <mergeCell ref="X811:X812"/>
    <mergeCell ref="M811:M812"/>
    <mergeCell ref="N811:N812"/>
    <mergeCell ref="O811:O812"/>
    <mergeCell ref="P811:P812"/>
    <mergeCell ref="Q811:Q812"/>
    <mergeCell ref="R811:R812"/>
    <mergeCell ref="G811:G812"/>
    <mergeCell ref="H811:H812"/>
    <mergeCell ref="I811:I812"/>
    <mergeCell ref="J811:J812"/>
    <mergeCell ref="AG813:AG814"/>
    <mergeCell ref="AH813:AH814"/>
    <mergeCell ref="AI813:AI814"/>
    <mergeCell ref="AJ813:AJ814"/>
    <mergeCell ref="B815:B816"/>
    <mergeCell ref="C815:C816"/>
    <mergeCell ref="D815:D816"/>
    <mergeCell ref="E815:E816"/>
    <mergeCell ref="F815:F816"/>
    <mergeCell ref="G815:G816"/>
    <mergeCell ref="U813:U814"/>
    <mergeCell ref="V813:V814"/>
    <mergeCell ref="W813:W814"/>
    <mergeCell ref="X813:X814"/>
    <mergeCell ref="Y813:Y814"/>
    <mergeCell ref="Z813:Z814"/>
    <mergeCell ref="O813:O814"/>
    <mergeCell ref="P813:P814"/>
    <mergeCell ref="Q813:Q814"/>
    <mergeCell ref="R813:R814"/>
    <mergeCell ref="S813:S814"/>
    <mergeCell ref="T813:T814"/>
    <mergeCell ref="I813:I814"/>
    <mergeCell ref="J813:J814"/>
    <mergeCell ref="K813:K814"/>
    <mergeCell ref="L813:L814"/>
    <mergeCell ref="M813:M814"/>
    <mergeCell ref="N813:N814"/>
    <mergeCell ref="Z815:Z816"/>
    <mergeCell ref="AG815:AG816"/>
    <mergeCell ref="AH815:AH816"/>
    <mergeCell ref="AI815:AI816"/>
    <mergeCell ref="AJ815:AJ816"/>
    <mergeCell ref="B817:B818"/>
    <mergeCell ref="C817:C818"/>
    <mergeCell ref="D817:D818"/>
    <mergeCell ref="E817:E818"/>
    <mergeCell ref="F817:F818"/>
    <mergeCell ref="T815:T816"/>
    <mergeCell ref="U815:U816"/>
    <mergeCell ref="V815:V816"/>
    <mergeCell ref="W815:W816"/>
    <mergeCell ref="X815:X816"/>
    <mergeCell ref="Y815:Y816"/>
    <mergeCell ref="N815:N816"/>
    <mergeCell ref="O815:O816"/>
    <mergeCell ref="P815:P816"/>
    <mergeCell ref="Q815:Q816"/>
    <mergeCell ref="R815:R816"/>
    <mergeCell ref="S815:S816"/>
    <mergeCell ref="H815:H816"/>
    <mergeCell ref="I815:I816"/>
    <mergeCell ref="J815:J816"/>
    <mergeCell ref="K815:K816"/>
    <mergeCell ref="L815:L816"/>
    <mergeCell ref="M815:M816"/>
    <mergeCell ref="F819:F820"/>
    <mergeCell ref="G819:G820"/>
    <mergeCell ref="Y817:Y818"/>
    <mergeCell ref="Z817:Z818"/>
    <mergeCell ref="AG817:AG818"/>
    <mergeCell ref="AH817:AH818"/>
    <mergeCell ref="AI817:AI818"/>
    <mergeCell ref="AJ817:AJ818"/>
    <mergeCell ref="S817:S818"/>
    <mergeCell ref="T817:T818"/>
    <mergeCell ref="U817:U818"/>
    <mergeCell ref="V817:V818"/>
    <mergeCell ref="W817:W818"/>
    <mergeCell ref="X817:X818"/>
    <mergeCell ref="M817:M818"/>
    <mergeCell ref="N817:N818"/>
    <mergeCell ref="O817:O818"/>
    <mergeCell ref="P817:P818"/>
    <mergeCell ref="Q817:Q818"/>
    <mergeCell ref="R817:R818"/>
    <mergeCell ref="G817:G818"/>
    <mergeCell ref="H817:H818"/>
    <mergeCell ref="I817:I818"/>
    <mergeCell ref="J817:J818"/>
    <mergeCell ref="K817:K818"/>
    <mergeCell ref="L817:L818"/>
    <mergeCell ref="Z819:Z820"/>
    <mergeCell ref="AG819:AG820"/>
    <mergeCell ref="AH819:AH820"/>
    <mergeCell ref="AI819:AI820"/>
    <mergeCell ref="AJ819:AJ820"/>
    <mergeCell ref="Z823:Z824"/>
    <mergeCell ref="AG823:AG824"/>
    <mergeCell ref="AH823:AH824"/>
    <mergeCell ref="AI823:AI824"/>
    <mergeCell ref="AJ823:AJ824"/>
    <mergeCell ref="B821:B822"/>
    <mergeCell ref="C821:C822"/>
    <mergeCell ref="D821:D822"/>
    <mergeCell ref="E821:E822"/>
    <mergeCell ref="F821:F822"/>
    <mergeCell ref="T819:T820"/>
    <mergeCell ref="U819:U820"/>
    <mergeCell ref="V819:V820"/>
    <mergeCell ref="W819:W820"/>
    <mergeCell ref="X819:X820"/>
    <mergeCell ref="Y819:Y820"/>
    <mergeCell ref="N819:N820"/>
    <mergeCell ref="O819:O820"/>
    <mergeCell ref="P819:P820"/>
    <mergeCell ref="Q819:Q820"/>
    <mergeCell ref="R819:R820"/>
    <mergeCell ref="S819:S820"/>
    <mergeCell ref="H819:H820"/>
    <mergeCell ref="I819:I820"/>
    <mergeCell ref="J819:J820"/>
    <mergeCell ref="K819:K820"/>
    <mergeCell ref="L819:L820"/>
    <mergeCell ref="M819:M820"/>
    <mergeCell ref="B819:B820"/>
    <mergeCell ref="C819:C820"/>
    <mergeCell ref="D819:D820"/>
    <mergeCell ref="E819:E820"/>
    <mergeCell ref="L823:L824"/>
    <mergeCell ref="M823:M824"/>
    <mergeCell ref="B823:B824"/>
    <mergeCell ref="C823:C824"/>
    <mergeCell ref="D823:D824"/>
    <mergeCell ref="E823:E824"/>
    <mergeCell ref="F823:F824"/>
    <mergeCell ref="G823:G824"/>
    <mergeCell ref="Y821:Y822"/>
    <mergeCell ref="Z821:Z822"/>
    <mergeCell ref="AG821:AG822"/>
    <mergeCell ref="AH821:AH822"/>
    <mergeCell ref="AI821:AI822"/>
    <mergeCell ref="AJ821:AJ822"/>
    <mergeCell ref="S821:S822"/>
    <mergeCell ref="T821:T822"/>
    <mergeCell ref="U821:U822"/>
    <mergeCell ref="V821:V822"/>
    <mergeCell ref="W821:W822"/>
    <mergeCell ref="X821:X822"/>
    <mergeCell ref="M821:M822"/>
    <mergeCell ref="N821:N822"/>
    <mergeCell ref="O821:O822"/>
    <mergeCell ref="P821:P822"/>
    <mergeCell ref="Q821:Q822"/>
    <mergeCell ref="R821:R822"/>
    <mergeCell ref="G821:G822"/>
    <mergeCell ref="H821:H822"/>
    <mergeCell ref="I821:I822"/>
    <mergeCell ref="J821:J822"/>
    <mergeCell ref="K821:K822"/>
    <mergeCell ref="L821:L822"/>
    <mergeCell ref="G825:G826"/>
    <mergeCell ref="H825:H826"/>
    <mergeCell ref="I825:I826"/>
    <mergeCell ref="J825:J826"/>
    <mergeCell ref="K825:K826"/>
    <mergeCell ref="L825:L826"/>
    <mergeCell ref="Z827:Z828"/>
    <mergeCell ref="AG827:AG828"/>
    <mergeCell ref="AH827:AH828"/>
    <mergeCell ref="AI827:AI828"/>
    <mergeCell ref="AJ827:AJ828"/>
    <mergeCell ref="B825:B826"/>
    <mergeCell ref="C825:C826"/>
    <mergeCell ref="D825:D826"/>
    <mergeCell ref="E825:E826"/>
    <mergeCell ref="F825:F826"/>
    <mergeCell ref="T823:T824"/>
    <mergeCell ref="U823:U824"/>
    <mergeCell ref="V823:V824"/>
    <mergeCell ref="W823:W824"/>
    <mergeCell ref="X823:X824"/>
    <mergeCell ref="Y823:Y824"/>
    <mergeCell ref="N823:N824"/>
    <mergeCell ref="O823:O824"/>
    <mergeCell ref="P823:P824"/>
    <mergeCell ref="Q823:Q824"/>
    <mergeCell ref="R823:R824"/>
    <mergeCell ref="S823:S824"/>
    <mergeCell ref="H823:H824"/>
    <mergeCell ref="I823:I824"/>
    <mergeCell ref="J823:J824"/>
    <mergeCell ref="K823:K824"/>
    <mergeCell ref="Y825:Y826"/>
    <mergeCell ref="Z825:Z826"/>
    <mergeCell ref="AG825:AG826"/>
    <mergeCell ref="AH825:AH826"/>
    <mergeCell ref="AI825:AI826"/>
    <mergeCell ref="AJ825:AJ826"/>
    <mergeCell ref="S825:S826"/>
    <mergeCell ref="T825:T826"/>
    <mergeCell ref="U825:U826"/>
    <mergeCell ref="V825:V826"/>
    <mergeCell ref="W825:W826"/>
    <mergeCell ref="X825:X826"/>
    <mergeCell ref="M825:M826"/>
    <mergeCell ref="N825:N826"/>
    <mergeCell ref="O825:O826"/>
    <mergeCell ref="P825:P826"/>
    <mergeCell ref="Q825:Q826"/>
    <mergeCell ref="R825:R826"/>
    <mergeCell ref="L829:L830"/>
    <mergeCell ref="B829:B830"/>
    <mergeCell ref="C829:C830"/>
    <mergeCell ref="D829:D830"/>
    <mergeCell ref="E829:E830"/>
    <mergeCell ref="F829:F830"/>
    <mergeCell ref="T827:T828"/>
    <mergeCell ref="U827:U828"/>
    <mergeCell ref="V827:V828"/>
    <mergeCell ref="W827:W828"/>
    <mergeCell ref="X827:X828"/>
    <mergeCell ref="Y827:Y828"/>
    <mergeCell ref="N827:N828"/>
    <mergeCell ref="O827:O828"/>
    <mergeCell ref="P827:P828"/>
    <mergeCell ref="Q827:Q828"/>
    <mergeCell ref="R827:R828"/>
    <mergeCell ref="S827:S828"/>
    <mergeCell ref="H827:H828"/>
    <mergeCell ref="I827:I828"/>
    <mergeCell ref="J827:J828"/>
    <mergeCell ref="K827:K828"/>
    <mergeCell ref="L827:L828"/>
    <mergeCell ref="M827:M828"/>
    <mergeCell ref="B827:B828"/>
    <mergeCell ref="C827:C828"/>
    <mergeCell ref="D827:D828"/>
    <mergeCell ref="E827:E828"/>
    <mergeCell ref="F827:F828"/>
    <mergeCell ref="G827:G828"/>
    <mergeCell ref="K832:K833"/>
    <mergeCell ref="L832:L833"/>
    <mergeCell ref="M832:M833"/>
    <mergeCell ref="B832:B833"/>
    <mergeCell ref="C832:C833"/>
    <mergeCell ref="D832:D833"/>
    <mergeCell ref="E832:E833"/>
    <mergeCell ref="F832:F833"/>
    <mergeCell ref="G832:G833"/>
    <mergeCell ref="Y829:Y830"/>
    <mergeCell ref="Z829:Z830"/>
    <mergeCell ref="AG829:AG830"/>
    <mergeCell ref="AH829:AH830"/>
    <mergeCell ref="AI829:AI830"/>
    <mergeCell ref="AJ829:AJ830"/>
    <mergeCell ref="S829:S830"/>
    <mergeCell ref="T829:T830"/>
    <mergeCell ref="U829:U830"/>
    <mergeCell ref="V829:V830"/>
    <mergeCell ref="W829:W830"/>
    <mergeCell ref="X829:X830"/>
    <mergeCell ref="M829:M830"/>
    <mergeCell ref="N829:N830"/>
    <mergeCell ref="O829:O830"/>
    <mergeCell ref="P829:P830"/>
    <mergeCell ref="Q829:Q830"/>
    <mergeCell ref="R829:R830"/>
    <mergeCell ref="G829:G830"/>
    <mergeCell ref="H829:H830"/>
    <mergeCell ref="I829:I830"/>
    <mergeCell ref="J829:J830"/>
    <mergeCell ref="K829:K830"/>
    <mergeCell ref="O834:O835"/>
    <mergeCell ref="AI832:AI833"/>
    <mergeCell ref="AJ832:AJ833"/>
    <mergeCell ref="B834:B835"/>
    <mergeCell ref="C834:C835"/>
    <mergeCell ref="D834:D835"/>
    <mergeCell ref="E834:E835"/>
    <mergeCell ref="F834:F835"/>
    <mergeCell ref="G834:G835"/>
    <mergeCell ref="H834:H835"/>
    <mergeCell ref="I834:I835"/>
    <mergeCell ref="Z832:Z833"/>
    <mergeCell ref="AA832:AA833"/>
    <mergeCell ref="AB832:AB833"/>
    <mergeCell ref="AC832:AC833"/>
    <mergeCell ref="AG832:AG833"/>
    <mergeCell ref="AH832:AH833"/>
    <mergeCell ref="T832:T833"/>
    <mergeCell ref="U832:U833"/>
    <mergeCell ref="V832:V833"/>
    <mergeCell ref="W832:W833"/>
    <mergeCell ref="X832:X833"/>
    <mergeCell ref="Y832:Y833"/>
    <mergeCell ref="N832:N833"/>
    <mergeCell ref="O832:O833"/>
    <mergeCell ref="P832:P833"/>
    <mergeCell ref="Q832:Q833"/>
    <mergeCell ref="R832:R833"/>
    <mergeCell ref="S832:S833"/>
    <mergeCell ref="H832:H833"/>
    <mergeCell ref="I832:I833"/>
    <mergeCell ref="J832:J833"/>
    <mergeCell ref="K840:K842"/>
    <mergeCell ref="L840:L842"/>
    <mergeCell ref="M840:M842"/>
    <mergeCell ref="B840:B842"/>
    <mergeCell ref="C840:C842"/>
    <mergeCell ref="D840:D842"/>
    <mergeCell ref="E840:E842"/>
    <mergeCell ref="F840:F842"/>
    <mergeCell ref="G840:G842"/>
    <mergeCell ref="AB834:AB835"/>
    <mergeCell ref="AC834:AC835"/>
    <mergeCell ref="AG834:AG835"/>
    <mergeCell ref="AH834:AH835"/>
    <mergeCell ref="AI834:AI835"/>
    <mergeCell ref="AJ834:AJ835"/>
    <mergeCell ref="V834:V835"/>
    <mergeCell ref="W834:W835"/>
    <mergeCell ref="X834:X835"/>
    <mergeCell ref="Y834:Y835"/>
    <mergeCell ref="Z834:Z835"/>
    <mergeCell ref="AA834:AA835"/>
    <mergeCell ref="P834:P835"/>
    <mergeCell ref="Q834:Q835"/>
    <mergeCell ref="R834:R835"/>
    <mergeCell ref="S834:S835"/>
    <mergeCell ref="T834:T835"/>
    <mergeCell ref="U834:U835"/>
    <mergeCell ref="J834:J835"/>
    <mergeCell ref="K834:K835"/>
    <mergeCell ref="L834:L835"/>
    <mergeCell ref="M834:M835"/>
    <mergeCell ref="N834:N835"/>
    <mergeCell ref="O843:O844"/>
    <mergeCell ref="AI840:AI842"/>
    <mergeCell ref="AJ840:AJ842"/>
    <mergeCell ref="B843:B844"/>
    <mergeCell ref="C843:C844"/>
    <mergeCell ref="D843:D844"/>
    <mergeCell ref="E843:E844"/>
    <mergeCell ref="F843:F844"/>
    <mergeCell ref="G843:G844"/>
    <mergeCell ref="H843:H844"/>
    <mergeCell ref="I843:I844"/>
    <mergeCell ref="Z840:Z842"/>
    <mergeCell ref="AD840:AD842"/>
    <mergeCell ref="AE840:AE842"/>
    <mergeCell ref="AF840:AF842"/>
    <mergeCell ref="AG840:AG842"/>
    <mergeCell ref="AH840:AH842"/>
    <mergeCell ref="T840:T842"/>
    <mergeCell ref="U840:U842"/>
    <mergeCell ref="V840:V842"/>
    <mergeCell ref="W840:W842"/>
    <mergeCell ref="X840:X842"/>
    <mergeCell ref="Y840:Y842"/>
    <mergeCell ref="N840:N842"/>
    <mergeCell ref="O840:O842"/>
    <mergeCell ref="P840:P842"/>
    <mergeCell ref="Q840:Q842"/>
    <mergeCell ref="R840:R842"/>
    <mergeCell ref="S840:S842"/>
    <mergeCell ref="H840:H842"/>
    <mergeCell ref="I840:I842"/>
    <mergeCell ref="J840:J842"/>
    <mergeCell ref="K845:K846"/>
    <mergeCell ref="L845:L846"/>
    <mergeCell ref="M845:M846"/>
    <mergeCell ref="B845:B846"/>
    <mergeCell ref="C845:C846"/>
    <mergeCell ref="D845:D846"/>
    <mergeCell ref="E845:E846"/>
    <mergeCell ref="F845:F846"/>
    <mergeCell ref="G845:G846"/>
    <mergeCell ref="AE843:AE844"/>
    <mergeCell ref="AF843:AF844"/>
    <mergeCell ref="AG843:AG844"/>
    <mergeCell ref="AH843:AH844"/>
    <mergeCell ref="AI843:AI844"/>
    <mergeCell ref="AJ843:AJ844"/>
    <mergeCell ref="V843:V844"/>
    <mergeCell ref="W843:W844"/>
    <mergeCell ref="X843:X844"/>
    <mergeCell ref="Y843:Y844"/>
    <mergeCell ref="Z843:Z844"/>
    <mergeCell ref="AD843:AD844"/>
    <mergeCell ref="P843:P844"/>
    <mergeCell ref="Q843:Q844"/>
    <mergeCell ref="R843:R844"/>
    <mergeCell ref="S843:S844"/>
    <mergeCell ref="T843:T844"/>
    <mergeCell ref="U843:U844"/>
    <mergeCell ref="J843:J844"/>
    <mergeCell ref="K843:K844"/>
    <mergeCell ref="L843:L844"/>
    <mergeCell ref="M843:M844"/>
    <mergeCell ref="N843:N844"/>
    <mergeCell ref="AJ849:AJ850"/>
    <mergeCell ref="AI845:AI846"/>
    <mergeCell ref="AJ845:AJ846"/>
    <mergeCell ref="B847:B848"/>
    <mergeCell ref="C847:C848"/>
    <mergeCell ref="D847:D848"/>
    <mergeCell ref="E847:E848"/>
    <mergeCell ref="F847:F848"/>
    <mergeCell ref="G847:G848"/>
    <mergeCell ref="H847:H848"/>
    <mergeCell ref="I847:I848"/>
    <mergeCell ref="Z845:Z846"/>
    <mergeCell ref="AD845:AD846"/>
    <mergeCell ref="AE845:AE846"/>
    <mergeCell ref="AF845:AF846"/>
    <mergeCell ref="AG845:AG846"/>
    <mergeCell ref="AH845:AH846"/>
    <mergeCell ref="T845:T846"/>
    <mergeCell ref="U845:U846"/>
    <mergeCell ref="V845:V846"/>
    <mergeCell ref="W845:W846"/>
    <mergeCell ref="X845:X846"/>
    <mergeCell ref="Y845:Y846"/>
    <mergeCell ref="N845:N846"/>
    <mergeCell ref="O845:O846"/>
    <mergeCell ref="P845:P846"/>
    <mergeCell ref="Q845:Q846"/>
    <mergeCell ref="R845:R846"/>
    <mergeCell ref="S845:S846"/>
    <mergeCell ref="H845:H846"/>
    <mergeCell ref="I845:I846"/>
    <mergeCell ref="J845:J846"/>
    <mergeCell ref="L849:L850"/>
    <mergeCell ref="AI851:AI852"/>
    <mergeCell ref="M849:M850"/>
    <mergeCell ref="N849:N850"/>
    <mergeCell ref="AH847:AH848"/>
    <mergeCell ref="AI847:AI848"/>
    <mergeCell ref="AJ847:AJ848"/>
    <mergeCell ref="B849:B850"/>
    <mergeCell ref="C849:C850"/>
    <mergeCell ref="D849:D850"/>
    <mergeCell ref="E849:E850"/>
    <mergeCell ref="F849:F850"/>
    <mergeCell ref="G849:G850"/>
    <mergeCell ref="H849:H850"/>
    <mergeCell ref="V847:V848"/>
    <mergeCell ref="W847:W848"/>
    <mergeCell ref="X847:X848"/>
    <mergeCell ref="Y847:Y848"/>
    <mergeCell ref="Z847:Z848"/>
    <mergeCell ref="AG847:AG848"/>
    <mergeCell ref="P847:P848"/>
    <mergeCell ref="Q847:Q848"/>
    <mergeCell ref="R847:R848"/>
    <mergeCell ref="S847:S848"/>
    <mergeCell ref="T847:T848"/>
    <mergeCell ref="U847:U848"/>
    <mergeCell ref="J847:J848"/>
    <mergeCell ref="K847:K848"/>
    <mergeCell ref="L847:L848"/>
    <mergeCell ref="M847:M848"/>
    <mergeCell ref="N847:N848"/>
    <mergeCell ref="O847:O848"/>
    <mergeCell ref="AI853:AI854"/>
    <mergeCell ref="AJ853:AJ854"/>
    <mergeCell ref="B851:B852"/>
    <mergeCell ref="C851:C852"/>
    <mergeCell ref="D851:D852"/>
    <mergeCell ref="E851:E852"/>
    <mergeCell ref="F851:F852"/>
    <mergeCell ref="G851:G852"/>
    <mergeCell ref="H851:H852"/>
    <mergeCell ref="I851:I852"/>
    <mergeCell ref="J851:J852"/>
    <mergeCell ref="AD849:AD850"/>
    <mergeCell ref="AE849:AE850"/>
    <mergeCell ref="AF849:AF850"/>
    <mergeCell ref="AG849:AG850"/>
    <mergeCell ref="AH849:AH850"/>
    <mergeCell ref="AI849:AI850"/>
    <mergeCell ref="U849:U850"/>
    <mergeCell ref="V849:V850"/>
    <mergeCell ref="W849:W850"/>
    <mergeCell ref="X849:X850"/>
    <mergeCell ref="Y849:Y850"/>
    <mergeCell ref="Z849:Z850"/>
    <mergeCell ref="O849:O850"/>
    <mergeCell ref="P849:P850"/>
    <mergeCell ref="Q849:Q850"/>
    <mergeCell ref="R849:R850"/>
    <mergeCell ref="S849:S850"/>
    <mergeCell ref="T849:T850"/>
    <mergeCell ref="I849:I850"/>
    <mergeCell ref="J849:J850"/>
    <mergeCell ref="K849:K850"/>
    <mergeCell ref="L941:L942"/>
    <mergeCell ref="M941:M942"/>
    <mergeCell ref="AH937:AH939"/>
    <mergeCell ref="AI937:AI939"/>
    <mergeCell ref="AJ851:AJ852"/>
    <mergeCell ref="B853:B854"/>
    <mergeCell ref="C853:C854"/>
    <mergeCell ref="D853:D854"/>
    <mergeCell ref="E853:E854"/>
    <mergeCell ref="F853:F854"/>
    <mergeCell ref="G853:G854"/>
    <mergeCell ref="H853:H854"/>
    <mergeCell ref="I853:I854"/>
    <mergeCell ref="W851:W852"/>
    <mergeCell ref="X851:X852"/>
    <mergeCell ref="Y851:Y852"/>
    <mergeCell ref="Z851:Z852"/>
    <mergeCell ref="AG851:AG852"/>
    <mergeCell ref="AH851:AH852"/>
    <mergeCell ref="Q851:Q852"/>
    <mergeCell ref="R851:R852"/>
    <mergeCell ref="S851:S852"/>
    <mergeCell ref="T851:T852"/>
    <mergeCell ref="U851:U852"/>
    <mergeCell ref="V851:V852"/>
    <mergeCell ref="K851:K852"/>
    <mergeCell ref="L851:L852"/>
    <mergeCell ref="M851:M852"/>
    <mergeCell ref="N851:N852"/>
    <mergeCell ref="O851:O852"/>
    <mergeCell ref="P851:P852"/>
    <mergeCell ref="AH853:AH854"/>
    <mergeCell ref="D937:D939"/>
    <mergeCell ref="E937:E939"/>
    <mergeCell ref="F937:F939"/>
    <mergeCell ref="G937:G939"/>
    <mergeCell ref="H937:H939"/>
    <mergeCell ref="V853:V854"/>
    <mergeCell ref="W853:W854"/>
    <mergeCell ref="X853:X854"/>
    <mergeCell ref="Y853:Y854"/>
    <mergeCell ref="Z853:Z854"/>
    <mergeCell ref="AG853:AG854"/>
    <mergeCell ref="P853:P854"/>
    <mergeCell ref="Q853:Q854"/>
    <mergeCell ref="R853:R854"/>
    <mergeCell ref="S853:S854"/>
    <mergeCell ref="T853:T854"/>
    <mergeCell ref="U853:U854"/>
    <mergeCell ref="J853:J854"/>
    <mergeCell ref="K853:K854"/>
    <mergeCell ref="L853:L854"/>
    <mergeCell ref="M853:M854"/>
    <mergeCell ref="N853:N854"/>
    <mergeCell ref="O853:O854"/>
    <mergeCell ref="AG937:AG939"/>
    <mergeCell ref="AJ937:AJ939"/>
    <mergeCell ref="B941:B942"/>
    <mergeCell ref="C941:C942"/>
    <mergeCell ref="D941:D942"/>
    <mergeCell ref="E941:E942"/>
    <mergeCell ref="F941:F942"/>
    <mergeCell ref="G941:G942"/>
    <mergeCell ref="U937:U939"/>
    <mergeCell ref="V937:V939"/>
    <mergeCell ref="W937:W939"/>
    <mergeCell ref="X937:X939"/>
    <mergeCell ref="Y937:Y939"/>
    <mergeCell ref="Z937:Z939"/>
    <mergeCell ref="O937:O939"/>
    <mergeCell ref="P937:P939"/>
    <mergeCell ref="Q937:Q939"/>
    <mergeCell ref="R937:R939"/>
    <mergeCell ref="S937:S939"/>
    <mergeCell ref="T937:T939"/>
    <mergeCell ref="I937:I939"/>
    <mergeCell ref="J937:J939"/>
    <mergeCell ref="K937:K939"/>
    <mergeCell ref="L937:L939"/>
    <mergeCell ref="M937:M939"/>
    <mergeCell ref="N937:N939"/>
    <mergeCell ref="Z941:Z942"/>
    <mergeCell ref="AG941:AG942"/>
    <mergeCell ref="AH941:AH942"/>
    <mergeCell ref="AI941:AI942"/>
    <mergeCell ref="AJ941:AJ942"/>
    <mergeCell ref="B937:B939"/>
    <mergeCell ref="C937:C939"/>
    <mergeCell ref="G943:G944"/>
    <mergeCell ref="H943:H944"/>
    <mergeCell ref="I943:I944"/>
    <mergeCell ref="J943:J944"/>
    <mergeCell ref="K943:K944"/>
    <mergeCell ref="L943:L944"/>
    <mergeCell ref="Z945:Z946"/>
    <mergeCell ref="AG945:AG946"/>
    <mergeCell ref="AH945:AH946"/>
    <mergeCell ref="AI945:AI946"/>
    <mergeCell ref="AJ945:AJ946"/>
    <mergeCell ref="B943:B944"/>
    <mergeCell ref="C943:C944"/>
    <mergeCell ref="D943:D944"/>
    <mergeCell ref="E943:E944"/>
    <mergeCell ref="F943:F944"/>
    <mergeCell ref="T941:T942"/>
    <mergeCell ref="U941:U942"/>
    <mergeCell ref="V941:V942"/>
    <mergeCell ref="W941:W942"/>
    <mergeCell ref="X941:X942"/>
    <mergeCell ref="Y941:Y942"/>
    <mergeCell ref="N941:N942"/>
    <mergeCell ref="O941:O942"/>
    <mergeCell ref="P941:P942"/>
    <mergeCell ref="Q941:Q942"/>
    <mergeCell ref="R941:R942"/>
    <mergeCell ref="S941:S942"/>
    <mergeCell ref="H941:H942"/>
    <mergeCell ref="I941:I942"/>
    <mergeCell ref="J941:J942"/>
    <mergeCell ref="K941:K942"/>
    <mergeCell ref="Y943:Y944"/>
    <mergeCell ref="Z943:Z944"/>
    <mergeCell ref="AG943:AG944"/>
    <mergeCell ref="AH943:AH944"/>
    <mergeCell ref="AI943:AI944"/>
    <mergeCell ref="AJ943:AJ944"/>
    <mergeCell ref="S943:S944"/>
    <mergeCell ref="T943:T944"/>
    <mergeCell ref="U943:U944"/>
    <mergeCell ref="V943:V944"/>
    <mergeCell ref="W943:W944"/>
    <mergeCell ref="X943:X944"/>
    <mergeCell ref="M943:M944"/>
    <mergeCell ref="N943:N944"/>
    <mergeCell ref="O943:O944"/>
    <mergeCell ref="P943:P944"/>
    <mergeCell ref="Q943:Q944"/>
    <mergeCell ref="R943:R944"/>
    <mergeCell ref="AH949:AH950"/>
    <mergeCell ref="AI949:AI950"/>
    <mergeCell ref="AJ949:AJ950"/>
    <mergeCell ref="B947:B948"/>
    <mergeCell ref="C947:C948"/>
    <mergeCell ref="D947:D948"/>
    <mergeCell ref="E947:E948"/>
    <mergeCell ref="F947:F948"/>
    <mergeCell ref="T945:T946"/>
    <mergeCell ref="U945:U946"/>
    <mergeCell ref="V945:V946"/>
    <mergeCell ref="W945:W946"/>
    <mergeCell ref="X945:X946"/>
    <mergeCell ref="Y945:Y946"/>
    <mergeCell ref="N945:N946"/>
    <mergeCell ref="O945:O946"/>
    <mergeCell ref="P945:P946"/>
    <mergeCell ref="Q945:Q946"/>
    <mergeCell ref="R945:R946"/>
    <mergeCell ref="S945:S946"/>
    <mergeCell ref="H945:H946"/>
    <mergeCell ref="I945:I946"/>
    <mergeCell ref="J945:J946"/>
    <mergeCell ref="K945:K946"/>
    <mergeCell ref="L945:L946"/>
    <mergeCell ref="M945:M946"/>
    <mergeCell ref="B945:B946"/>
    <mergeCell ref="C945:C946"/>
    <mergeCell ref="D945:D946"/>
    <mergeCell ref="E945:E946"/>
    <mergeCell ref="F945:F946"/>
    <mergeCell ref="G945:G946"/>
    <mergeCell ref="B949:B950"/>
    <mergeCell ref="C949:C950"/>
    <mergeCell ref="D949:D950"/>
    <mergeCell ref="E949:E950"/>
    <mergeCell ref="F949:F950"/>
    <mergeCell ref="G949:G950"/>
    <mergeCell ref="Y947:Y948"/>
    <mergeCell ref="Z947:Z948"/>
    <mergeCell ref="AG947:AG948"/>
    <mergeCell ref="AH947:AH948"/>
    <mergeCell ref="AI947:AI948"/>
    <mergeCell ref="AJ947:AJ948"/>
    <mergeCell ref="S947:S948"/>
    <mergeCell ref="T947:T948"/>
    <mergeCell ref="U947:U948"/>
    <mergeCell ref="V947:V948"/>
    <mergeCell ref="W947:W948"/>
    <mergeCell ref="X947:X948"/>
    <mergeCell ref="M947:M948"/>
    <mergeCell ref="N947:N948"/>
    <mergeCell ref="O947:O948"/>
    <mergeCell ref="P947:P948"/>
    <mergeCell ref="Q947:Q948"/>
    <mergeCell ref="R947:R948"/>
    <mergeCell ref="G947:G948"/>
    <mergeCell ref="H947:H948"/>
    <mergeCell ref="I947:I948"/>
    <mergeCell ref="J947:J948"/>
    <mergeCell ref="K947:K948"/>
    <mergeCell ref="L947:L948"/>
    <mergeCell ref="Z949:Z950"/>
    <mergeCell ref="AG949:AG950"/>
    <mergeCell ref="C951:C952"/>
    <mergeCell ref="D951:D952"/>
    <mergeCell ref="E951:E952"/>
    <mergeCell ref="F951:F952"/>
    <mergeCell ref="T949:T950"/>
    <mergeCell ref="U949:U950"/>
    <mergeCell ref="V949:V950"/>
    <mergeCell ref="W949:W950"/>
    <mergeCell ref="X949:X950"/>
    <mergeCell ref="Y949:Y950"/>
    <mergeCell ref="N949:N950"/>
    <mergeCell ref="O949:O950"/>
    <mergeCell ref="P949:P950"/>
    <mergeCell ref="Q949:Q950"/>
    <mergeCell ref="R949:R950"/>
    <mergeCell ref="S949:S950"/>
    <mergeCell ref="H949:H950"/>
    <mergeCell ref="I949:I950"/>
    <mergeCell ref="J949:J950"/>
    <mergeCell ref="K949:K950"/>
    <mergeCell ref="L949:L950"/>
    <mergeCell ref="M949:M950"/>
    <mergeCell ref="M953:M954"/>
    <mergeCell ref="B953:B954"/>
    <mergeCell ref="C953:C954"/>
    <mergeCell ref="D953:D954"/>
    <mergeCell ref="E953:E954"/>
    <mergeCell ref="F953:F954"/>
    <mergeCell ref="G953:G954"/>
    <mergeCell ref="Y951:Y952"/>
    <mergeCell ref="Z951:Z952"/>
    <mergeCell ref="AG951:AG952"/>
    <mergeCell ref="AH951:AH952"/>
    <mergeCell ref="AI951:AI952"/>
    <mergeCell ref="AJ951:AJ952"/>
    <mergeCell ref="S951:S952"/>
    <mergeCell ref="T951:T952"/>
    <mergeCell ref="U951:U952"/>
    <mergeCell ref="V951:V952"/>
    <mergeCell ref="W951:W952"/>
    <mergeCell ref="X951:X952"/>
    <mergeCell ref="M951:M952"/>
    <mergeCell ref="N951:N952"/>
    <mergeCell ref="O951:O952"/>
    <mergeCell ref="P951:P952"/>
    <mergeCell ref="Q951:Q952"/>
    <mergeCell ref="R951:R952"/>
    <mergeCell ref="G951:G952"/>
    <mergeCell ref="H951:H952"/>
    <mergeCell ref="I951:I952"/>
    <mergeCell ref="J951:J952"/>
    <mergeCell ref="K951:K952"/>
    <mergeCell ref="L951:L952"/>
    <mergeCell ref="B951:B952"/>
    <mergeCell ref="H980:H981"/>
    <mergeCell ref="I980:I981"/>
    <mergeCell ref="J980:J981"/>
    <mergeCell ref="K980:K981"/>
    <mergeCell ref="L980:L981"/>
    <mergeCell ref="Z953:Z954"/>
    <mergeCell ref="AG953:AG954"/>
    <mergeCell ref="AH953:AH954"/>
    <mergeCell ref="AI953:AI954"/>
    <mergeCell ref="AJ953:AJ954"/>
    <mergeCell ref="B980:B981"/>
    <mergeCell ref="C980:C981"/>
    <mergeCell ref="D980:D981"/>
    <mergeCell ref="E980:E981"/>
    <mergeCell ref="F980:F981"/>
    <mergeCell ref="T953:T954"/>
    <mergeCell ref="U953:U954"/>
    <mergeCell ref="V953:V954"/>
    <mergeCell ref="W953:W954"/>
    <mergeCell ref="X953:X954"/>
    <mergeCell ref="Y953:Y954"/>
    <mergeCell ref="N953:N954"/>
    <mergeCell ref="O953:O954"/>
    <mergeCell ref="P953:P954"/>
    <mergeCell ref="Q953:Q954"/>
    <mergeCell ref="R953:R954"/>
    <mergeCell ref="S953:S954"/>
    <mergeCell ref="H953:H954"/>
    <mergeCell ref="I953:I954"/>
    <mergeCell ref="J953:J954"/>
    <mergeCell ref="K953:K954"/>
    <mergeCell ref="L953:L954"/>
    <mergeCell ref="L982:L983"/>
    <mergeCell ref="M982:M983"/>
    <mergeCell ref="N982:N983"/>
    <mergeCell ref="AH980:AH981"/>
    <mergeCell ref="AI980:AI981"/>
    <mergeCell ref="AJ980:AJ981"/>
    <mergeCell ref="B982:B983"/>
    <mergeCell ref="C982:C983"/>
    <mergeCell ref="D982:D983"/>
    <mergeCell ref="E982:E983"/>
    <mergeCell ref="F982:F983"/>
    <mergeCell ref="G982:G983"/>
    <mergeCell ref="H982:H983"/>
    <mergeCell ref="Y980:Y981"/>
    <mergeCell ref="Z980:Z981"/>
    <mergeCell ref="AA980:AA981"/>
    <mergeCell ref="AB980:AB981"/>
    <mergeCell ref="AC980:AC981"/>
    <mergeCell ref="AG980:AG981"/>
    <mergeCell ref="S980:S981"/>
    <mergeCell ref="T980:T981"/>
    <mergeCell ref="U980:U981"/>
    <mergeCell ref="V980:V981"/>
    <mergeCell ref="W980:W981"/>
    <mergeCell ref="X980:X981"/>
    <mergeCell ref="M980:M981"/>
    <mergeCell ref="N980:N981"/>
    <mergeCell ref="O980:O981"/>
    <mergeCell ref="P980:P981"/>
    <mergeCell ref="Q980:Q981"/>
    <mergeCell ref="R980:R981"/>
    <mergeCell ref="G980:G981"/>
    <mergeCell ref="P984:P985"/>
    <mergeCell ref="AJ982:AJ983"/>
    <mergeCell ref="B984:B985"/>
    <mergeCell ref="C984:C985"/>
    <mergeCell ref="D984:D985"/>
    <mergeCell ref="E984:E985"/>
    <mergeCell ref="F984:F985"/>
    <mergeCell ref="G984:G985"/>
    <mergeCell ref="H984:H985"/>
    <mergeCell ref="I984:I985"/>
    <mergeCell ref="J984:J985"/>
    <mergeCell ref="AA982:AA983"/>
    <mergeCell ref="AB982:AB983"/>
    <mergeCell ref="AC982:AC983"/>
    <mergeCell ref="AG982:AG983"/>
    <mergeCell ref="AH982:AH983"/>
    <mergeCell ref="AI982:AI983"/>
    <mergeCell ref="U982:U983"/>
    <mergeCell ref="V982:V983"/>
    <mergeCell ref="W982:W983"/>
    <mergeCell ref="X982:X983"/>
    <mergeCell ref="Y982:Y983"/>
    <mergeCell ref="Z982:Z983"/>
    <mergeCell ref="O982:O983"/>
    <mergeCell ref="P982:P983"/>
    <mergeCell ref="Q982:Q983"/>
    <mergeCell ref="R982:R983"/>
    <mergeCell ref="S982:S983"/>
    <mergeCell ref="T982:T983"/>
    <mergeCell ref="I982:I983"/>
    <mergeCell ref="J982:J983"/>
    <mergeCell ref="K982:K983"/>
    <mergeCell ref="H986:H987"/>
    <mergeCell ref="I986:I987"/>
    <mergeCell ref="J986:J987"/>
    <mergeCell ref="K986:K987"/>
    <mergeCell ref="L986:L987"/>
    <mergeCell ref="AC984:AC985"/>
    <mergeCell ref="AG984:AG985"/>
    <mergeCell ref="AH984:AH985"/>
    <mergeCell ref="AI984:AI985"/>
    <mergeCell ref="AJ984:AJ985"/>
    <mergeCell ref="B986:B987"/>
    <mergeCell ref="C986:C987"/>
    <mergeCell ref="D986:D987"/>
    <mergeCell ref="E986:E987"/>
    <mergeCell ref="F986:F987"/>
    <mergeCell ref="W984:W985"/>
    <mergeCell ref="X984:X985"/>
    <mergeCell ref="Y984:Y985"/>
    <mergeCell ref="Z984:Z985"/>
    <mergeCell ref="AA984:AA985"/>
    <mergeCell ref="AB984:AB985"/>
    <mergeCell ref="Q984:Q985"/>
    <mergeCell ref="R984:R985"/>
    <mergeCell ref="S984:S985"/>
    <mergeCell ref="T984:T985"/>
    <mergeCell ref="U984:U985"/>
    <mergeCell ref="V984:V985"/>
    <mergeCell ref="K984:K985"/>
    <mergeCell ref="L984:L985"/>
    <mergeCell ref="M984:M985"/>
    <mergeCell ref="N984:N985"/>
    <mergeCell ref="O984:O985"/>
    <mergeCell ref="L1049:L1050"/>
    <mergeCell ref="M1049:M1050"/>
    <mergeCell ref="N1049:N1050"/>
    <mergeCell ref="AH986:AH987"/>
    <mergeCell ref="AI986:AI987"/>
    <mergeCell ref="AJ986:AJ987"/>
    <mergeCell ref="B1049:B1050"/>
    <mergeCell ref="C1049:C1050"/>
    <mergeCell ref="D1049:D1050"/>
    <mergeCell ref="E1049:E1050"/>
    <mergeCell ref="F1049:F1050"/>
    <mergeCell ref="G1049:G1050"/>
    <mergeCell ref="H1049:H1050"/>
    <mergeCell ref="Y986:Y987"/>
    <mergeCell ref="Z986:Z987"/>
    <mergeCell ref="AA986:AA987"/>
    <mergeCell ref="AB986:AB987"/>
    <mergeCell ref="AC986:AC987"/>
    <mergeCell ref="AG986:AG987"/>
    <mergeCell ref="S986:S987"/>
    <mergeCell ref="T986:T987"/>
    <mergeCell ref="U986:U987"/>
    <mergeCell ref="V986:V987"/>
    <mergeCell ref="W986:W987"/>
    <mergeCell ref="X986:X987"/>
    <mergeCell ref="M986:M987"/>
    <mergeCell ref="N986:N987"/>
    <mergeCell ref="O986:O987"/>
    <mergeCell ref="P986:P987"/>
    <mergeCell ref="Q986:Q987"/>
    <mergeCell ref="R986:R987"/>
    <mergeCell ref="G986:G987"/>
    <mergeCell ref="P1053:P1055"/>
    <mergeCell ref="AJ1049:AJ1050"/>
    <mergeCell ref="B1053:B1055"/>
    <mergeCell ref="C1053:C1055"/>
    <mergeCell ref="D1053:D1055"/>
    <mergeCell ref="E1053:E1055"/>
    <mergeCell ref="F1053:F1055"/>
    <mergeCell ref="G1053:G1055"/>
    <mergeCell ref="H1053:H1055"/>
    <mergeCell ref="I1053:I1055"/>
    <mergeCell ref="J1053:J1055"/>
    <mergeCell ref="AD1049:AD1050"/>
    <mergeCell ref="AE1049:AE1050"/>
    <mergeCell ref="AF1049:AF1050"/>
    <mergeCell ref="AG1049:AG1050"/>
    <mergeCell ref="AH1049:AH1050"/>
    <mergeCell ref="AI1049:AI1050"/>
    <mergeCell ref="U1049:U1050"/>
    <mergeCell ref="V1049:V1050"/>
    <mergeCell ref="W1049:W1050"/>
    <mergeCell ref="X1049:X1050"/>
    <mergeCell ref="Y1049:Y1050"/>
    <mergeCell ref="Z1049:Z1050"/>
    <mergeCell ref="O1049:O1050"/>
    <mergeCell ref="P1049:P1050"/>
    <mergeCell ref="Q1049:Q1050"/>
    <mergeCell ref="R1049:R1050"/>
    <mergeCell ref="S1049:S1050"/>
    <mergeCell ref="T1049:T1050"/>
    <mergeCell ref="I1049:I1050"/>
    <mergeCell ref="J1049:J1050"/>
    <mergeCell ref="K1049:K1050"/>
    <mergeCell ref="Z1059:Z1060"/>
    <mergeCell ref="AG1059:AG1060"/>
    <mergeCell ref="AH1059:AH1060"/>
    <mergeCell ref="AI1059:AI1060"/>
    <mergeCell ref="AJ1059:AJ1060"/>
    <mergeCell ref="AI1053:AI1055"/>
    <mergeCell ref="AJ1053:AJ1055"/>
    <mergeCell ref="B1056:B1058"/>
    <mergeCell ref="C1056:C1058"/>
    <mergeCell ref="D1056:D1058"/>
    <mergeCell ref="E1056:E1058"/>
    <mergeCell ref="F1056:F1058"/>
    <mergeCell ref="G1056:G1058"/>
    <mergeCell ref="H1056:H1058"/>
    <mergeCell ref="I1056:I1058"/>
    <mergeCell ref="W1053:W1055"/>
    <mergeCell ref="X1053:X1055"/>
    <mergeCell ref="Y1053:Y1055"/>
    <mergeCell ref="Z1053:Z1055"/>
    <mergeCell ref="AG1053:AG1055"/>
    <mergeCell ref="AH1053:AH1055"/>
    <mergeCell ref="Q1053:Q1055"/>
    <mergeCell ref="R1053:R1055"/>
    <mergeCell ref="S1053:S1055"/>
    <mergeCell ref="T1053:T1055"/>
    <mergeCell ref="U1053:U1055"/>
    <mergeCell ref="V1053:V1055"/>
    <mergeCell ref="K1053:K1055"/>
    <mergeCell ref="L1053:L1055"/>
    <mergeCell ref="M1053:M1055"/>
    <mergeCell ref="N1053:N1055"/>
    <mergeCell ref="O1053:O1055"/>
    <mergeCell ref="L1059:L1060"/>
    <mergeCell ref="M1059:M1060"/>
    <mergeCell ref="B1059:B1060"/>
    <mergeCell ref="C1059:C1060"/>
    <mergeCell ref="D1059:D1060"/>
    <mergeCell ref="E1059:E1060"/>
    <mergeCell ref="F1059:F1060"/>
    <mergeCell ref="G1059:G1060"/>
    <mergeCell ref="AB1056:AB1058"/>
    <mergeCell ref="AC1056:AC1058"/>
    <mergeCell ref="AG1056:AG1058"/>
    <mergeCell ref="AH1056:AH1058"/>
    <mergeCell ref="AI1056:AI1058"/>
    <mergeCell ref="AJ1056:AJ1058"/>
    <mergeCell ref="V1056:V1058"/>
    <mergeCell ref="W1056:W1058"/>
    <mergeCell ref="X1056:X1058"/>
    <mergeCell ref="Y1056:Y1058"/>
    <mergeCell ref="Z1056:Z1058"/>
    <mergeCell ref="AA1056:AA1058"/>
    <mergeCell ref="P1056:P1058"/>
    <mergeCell ref="Q1056:Q1058"/>
    <mergeCell ref="R1056:R1058"/>
    <mergeCell ref="S1056:S1058"/>
    <mergeCell ref="T1056:T1058"/>
    <mergeCell ref="U1056:U1058"/>
    <mergeCell ref="J1056:J1058"/>
    <mergeCell ref="K1056:K1058"/>
    <mergeCell ref="L1056:L1058"/>
    <mergeCell ref="M1056:M1058"/>
    <mergeCell ref="N1056:N1058"/>
    <mergeCell ref="O1056:O1058"/>
    <mergeCell ref="G1061:G1062"/>
    <mergeCell ref="H1061:H1062"/>
    <mergeCell ref="I1061:I1062"/>
    <mergeCell ref="J1061:J1062"/>
    <mergeCell ref="K1061:K1062"/>
    <mergeCell ref="L1061:L1062"/>
    <mergeCell ref="Z1063:Z1064"/>
    <mergeCell ref="AG1063:AG1064"/>
    <mergeCell ref="AH1063:AH1064"/>
    <mergeCell ref="AI1063:AI1064"/>
    <mergeCell ref="AJ1063:AJ1064"/>
    <mergeCell ref="B1061:B1062"/>
    <mergeCell ref="C1061:C1062"/>
    <mergeCell ref="D1061:D1062"/>
    <mergeCell ref="E1061:E1062"/>
    <mergeCell ref="F1061:F1062"/>
    <mergeCell ref="T1059:T1060"/>
    <mergeCell ref="U1059:U1060"/>
    <mergeCell ref="V1059:V1060"/>
    <mergeCell ref="W1059:W1060"/>
    <mergeCell ref="X1059:X1060"/>
    <mergeCell ref="Y1059:Y1060"/>
    <mergeCell ref="N1059:N1060"/>
    <mergeCell ref="O1059:O1060"/>
    <mergeCell ref="P1059:P1060"/>
    <mergeCell ref="Q1059:Q1060"/>
    <mergeCell ref="R1059:R1060"/>
    <mergeCell ref="S1059:S1060"/>
    <mergeCell ref="H1059:H1060"/>
    <mergeCell ref="I1059:I1060"/>
    <mergeCell ref="J1059:J1060"/>
    <mergeCell ref="K1059:K1060"/>
    <mergeCell ref="Y1061:Y1062"/>
    <mergeCell ref="Z1061:Z1062"/>
    <mergeCell ref="AG1061:AG1062"/>
    <mergeCell ref="AH1061:AH1062"/>
    <mergeCell ref="AI1061:AI1062"/>
    <mergeCell ref="AJ1061:AJ1062"/>
    <mergeCell ref="S1061:S1062"/>
    <mergeCell ref="T1061:T1062"/>
    <mergeCell ref="U1061:U1062"/>
    <mergeCell ref="V1061:V1062"/>
    <mergeCell ref="W1061:W1062"/>
    <mergeCell ref="X1061:X1062"/>
    <mergeCell ref="M1061:M1062"/>
    <mergeCell ref="N1061:N1062"/>
    <mergeCell ref="O1061:O1062"/>
    <mergeCell ref="P1061:P1062"/>
    <mergeCell ref="Q1061:Q1062"/>
    <mergeCell ref="R1061:R1062"/>
    <mergeCell ref="B1065:B1067"/>
    <mergeCell ref="C1065:C1067"/>
    <mergeCell ref="D1065:D1067"/>
    <mergeCell ref="E1065:E1067"/>
    <mergeCell ref="F1065:F1067"/>
    <mergeCell ref="T1063:T1064"/>
    <mergeCell ref="U1063:U1064"/>
    <mergeCell ref="V1063:V1064"/>
    <mergeCell ref="W1063:W1064"/>
    <mergeCell ref="X1063:X1064"/>
    <mergeCell ref="Y1063:Y1064"/>
    <mergeCell ref="N1063:N1064"/>
    <mergeCell ref="O1063:O1064"/>
    <mergeCell ref="P1063:P1064"/>
    <mergeCell ref="Q1063:Q1064"/>
    <mergeCell ref="R1063:R1064"/>
    <mergeCell ref="S1063:S1064"/>
    <mergeCell ref="H1063:H1064"/>
    <mergeCell ref="I1063:I1064"/>
    <mergeCell ref="J1063:J1064"/>
    <mergeCell ref="K1063:K1064"/>
    <mergeCell ref="L1063:L1064"/>
    <mergeCell ref="M1063:M1064"/>
    <mergeCell ref="B1063:B1064"/>
    <mergeCell ref="C1063:C1064"/>
    <mergeCell ref="D1063:D1064"/>
    <mergeCell ref="E1063:E1064"/>
    <mergeCell ref="F1063:F1064"/>
    <mergeCell ref="G1063:G1064"/>
    <mergeCell ref="L1070:L1071"/>
    <mergeCell ref="M1070:M1071"/>
    <mergeCell ref="B1070:B1071"/>
    <mergeCell ref="C1070:C1071"/>
    <mergeCell ref="D1070:D1071"/>
    <mergeCell ref="E1070:E1071"/>
    <mergeCell ref="F1070:F1071"/>
    <mergeCell ref="G1070:G1071"/>
    <mergeCell ref="Y1065:Y1067"/>
    <mergeCell ref="Z1065:Z1067"/>
    <mergeCell ref="AG1065:AG1067"/>
    <mergeCell ref="AH1065:AH1067"/>
    <mergeCell ref="AI1065:AI1067"/>
    <mergeCell ref="AJ1065:AJ1067"/>
    <mergeCell ref="S1065:S1067"/>
    <mergeCell ref="T1065:T1067"/>
    <mergeCell ref="U1065:U1067"/>
    <mergeCell ref="V1065:V1067"/>
    <mergeCell ref="W1065:W1067"/>
    <mergeCell ref="X1065:X1067"/>
    <mergeCell ref="M1065:M1067"/>
    <mergeCell ref="N1065:N1067"/>
    <mergeCell ref="O1065:O1067"/>
    <mergeCell ref="P1065:P1067"/>
    <mergeCell ref="Q1065:Q1067"/>
    <mergeCell ref="R1065:R1067"/>
    <mergeCell ref="G1065:G1067"/>
    <mergeCell ref="H1065:H1067"/>
    <mergeCell ref="I1065:I1067"/>
    <mergeCell ref="J1065:J1067"/>
    <mergeCell ref="K1065:K1067"/>
    <mergeCell ref="L1065:L1067"/>
    <mergeCell ref="AI1070:AI1071"/>
    <mergeCell ref="AJ1070:AJ1071"/>
    <mergeCell ref="B1099:B1100"/>
    <mergeCell ref="C1099:C1100"/>
    <mergeCell ref="D1099:D1100"/>
    <mergeCell ref="E1099:E1100"/>
    <mergeCell ref="F1099:F1100"/>
    <mergeCell ref="G1099:G1100"/>
    <mergeCell ref="H1099:H1100"/>
    <mergeCell ref="I1099:I1100"/>
    <mergeCell ref="Z1070:Z1071"/>
    <mergeCell ref="AA1070:AA1071"/>
    <mergeCell ref="AB1070:AB1071"/>
    <mergeCell ref="AC1070:AC1071"/>
    <mergeCell ref="AG1070:AG1071"/>
    <mergeCell ref="AH1070:AH1071"/>
    <mergeCell ref="T1070:T1071"/>
    <mergeCell ref="U1070:U1071"/>
    <mergeCell ref="V1070:V1071"/>
    <mergeCell ref="W1070:W1071"/>
    <mergeCell ref="X1070:X1071"/>
    <mergeCell ref="Y1070:Y1071"/>
    <mergeCell ref="N1070:N1071"/>
    <mergeCell ref="O1070:O1071"/>
    <mergeCell ref="P1070:P1071"/>
    <mergeCell ref="Q1070:Q1071"/>
    <mergeCell ref="R1070:R1071"/>
    <mergeCell ref="S1070:S1071"/>
    <mergeCell ref="H1070:H1071"/>
    <mergeCell ref="I1070:I1071"/>
    <mergeCell ref="J1070:J1071"/>
    <mergeCell ref="K1070:K1071"/>
    <mergeCell ref="L1101:L1102"/>
    <mergeCell ref="M1101:M1102"/>
    <mergeCell ref="B1101:B1102"/>
    <mergeCell ref="C1101:C1102"/>
    <mergeCell ref="D1101:D1102"/>
    <mergeCell ref="E1101:E1102"/>
    <mergeCell ref="F1101:F1102"/>
    <mergeCell ref="G1101:G1102"/>
    <mergeCell ref="AB1099:AB1100"/>
    <mergeCell ref="AC1099:AC1100"/>
    <mergeCell ref="AG1099:AG1100"/>
    <mergeCell ref="AH1099:AH1100"/>
    <mergeCell ref="AI1099:AI1100"/>
    <mergeCell ref="AJ1099:AJ1100"/>
    <mergeCell ref="V1099:V1100"/>
    <mergeCell ref="W1099:W1100"/>
    <mergeCell ref="X1099:X1100"/>
    <mergeCell ref="Y1099:Y1100"/>
    <mergeCell ref="Z1099:Z1100"/>
    <mergeCell ref="AA1099:AA1100"/>
    <mergeCell ref="P1099:P1100"/>
    <mergeCell ref="Q1099:Q1100"/>
    <mergeCell ref="R1099:R1100"/>
    <mergeCell ref="S1099:S1100"/>
    <mergeCell ref="T1099:T1100"/>
    <mergeCell ref="U1099:U1100"/>
    <mergeCell ref="J1099:J1100"/>
    <mergeCell ref="K1099:K1100"/>
    <mergeCell ref="L1099:L1100"/>
    <mergeCell ref="M1099:M1100"/>
    <mergeCell ref="N1099:N1100"/>
    <mergeCell ref="O1099:O1100"/>
    <mergeCell ref="AI1101:AI1102"/>
    <mergeCell ref="AJ1101:AJ1102"/>
    <mergeCell ref="B1107:B1109"/>
    <mergeCell ref="C1107:C1109"/>
    <mergeCell ref="D1107:D1109"/>
    <mergeCell ref="E1107:E1109"/>
    <mergeCell ref="F1107:F1109"/>
    <mergeCell ref="G1107:G1109"/>
    <mergeCell ref="H1107:H1109"/>
    <mergeCell ref="I1107:I1109"/>
    <mergeCell ref="Z1101:Z1102"/>
    <mergeCell ref="AA1101:AA1102"/>
    <mergeCell ref="AB1101:AB1102"/>
    <mergeCell ref="AC1101:AC1102"/>
    <mergeCell ref="AG1101:AG1102"/>
    <mergeCell ref="AH1101:AH1102"/>
    <mergeCell ref="T1101:T1102"/>
    <mergeCell ref="U1101:U1102"/>
    <mergeCell ref="V1101:V1102"/>
    <mergeCell ref="W1101:W1102"/>
    <mergeCell ref="X1101:X1102"/>
    <mergeCell ref="Y1101:Y1102"/>
    <mergeCell ref="N1101:N1102"/>
    <mergeCell ref="O1101:O1102"/>
    <mergeCell ref="P1101:P1102"/>
    <mergeCell ref="Q1101:Q1102"/>
    <mergeCell ref="R1101:R1102"/>
    <mergeCell ref="S1101:S1102"/>
    <mergeCell ref="H1101:H1102"/>
    <mergeCell ref="I1101:I1102"/>
    <mergeCell ref="J1101:J1102"/>
    <mergeCell ref="K1101:K1102"/>
    <mergeCell ref="L1115:L1116"/>
    <mergeCell ref="M1115:M1116"/>
    <mergeCell ref="B1115:B1116"/>
    <mergeCell ref="C1115:C1116"/>
    <mergeCell ref="D1115:D1116"/>
    <mergeCell ref="E1115:E1116"/>
    <mergeCell ref="F1115:F1116"/>
    <mergeCell ref="G1115:G1116"/>
    <mergeCell ref="AB1107:AB1109"/>
    <mergeCell ref="AC1107:AC1109"/>
    <mergeCell ref="AG1107:AG1109"/>
    <mergeCell ref="AH1107:AH1109"/>
    <mergeCell ref="AI1107:AI1109"/>
    <mergeCell ref="AJ1107:AJ1109"/>
    <mergeCell ref="V1107:V1109"/>
    <mergeCell ref="W1107:W1109"/>
    <mergeCell ref="X1107:X1109"/>
    <mergeCell ref="Y1107:Y1109"/>
    <mergeCell ref="Z1107:Z1109"/>
    <mergeCell ref="AA1107:AA1109"/>
    <mergeCell ref="P1107:P1109"/>
    <mergeCell ref="Q1107:Q1109"/>
    <mergeCell ref="R1107:R1109"/>
    <mergeCell ref="S1107:S1109"/>
    <mergeCell ref="T1107:T1109"/>
    <mergeCell ref="U1107:U1109"/>
    <mergeCell ref="J1107:J1109"/>
    <mergeCell ref="K1107:K1109"/>
    <mergeCell ref="L1107:L1109"/>
    <mergeCell ref="M1107:M1109"/>
    <mergeCell ref="N1107:N1109"/>
    <mergeCell ref="O1107:O1109"/>
    <mergeCell ref="AI1115:AI1116"/>
    <mergeCell ref="AJ1115:AJ1116"/>
    <mergeCell ref="B1117:B1118"/>
    <mergeCell ref="C1117:C1118"/>
    <mergeCell ref="D1117:D1118"/>
    <mergeCell ref="E1117:E1118"/>
    <mergeCell ref="F1117:F1118"/>
    <mergeCell ref="G1117:G1118"/>
    <mergeCell ref="H1117:H1118"/>
    <mergeCell ref="I1117:I1118"/>
    <mergeCell ref="Z1115:Z1116"/>
    <mergeCell ref="AA1115:AA1116"/>
    <mergeCell ref="AB1115:AB1116"/>
    <mergeCell ref="AC1115:AC1116"/>
    <mergeCell ref="AG1115:AG1116"/>
    <mergeCell ref="AH1115:AH1116"/>
    <mergeCell ref="T1115:T1116"/>
    <mergeCell ref="U1115:U1116"/>
    <mergeCell ref="V1115:V1116"/>
    <mergeCell ref="W1115:W1116"/>
    <mergeCell ref="X1115:X1116"/>
    <mergeCell ref="Y1115:Y1116"/>
    <mergeCell ref="N1115:N1116"/>
    <mergeCell ref="O1115:O1116"/>
    <mergeCell ref="P1115:P1116"/>
    <mergeCell ref="Q1115:Q1116"/>
    <mergeCell ref="R1115:R1116"/>
    <mergeCell ref="S1115:S1116"/>
    <mergeCell ref="H1115:H1116"/>
    <mergeCell ref="I1115:I1116"/>
    <mergeCell ref="J1115:J1116"/>
    <mergeCell ref="K1115:K1116"/>
    <mergeCell ref="L1119:L1120"/>
    <mergeCell ref="M1119:M1120"/>
    <mergeCell ref="B1119:B1120"/>
    <mergeCell ref="C1119:C1120"/>
    <mergeCell ref="D1119:D1120"/>
    <mergeCell ref="E1119:E1120"/>
    <mergeCell ref="F1119:F1120"/>
    <mergeCell ref="G1119:G1120"/>
    <mergeCell ref="AB1117:AB1118"/>
    <mergeCell ref="AC1117:AC1118"/>
    <mergeCell ref="AG1117:AG1118"/>
    <mergeCell ref="AH1117:AH1118"/>
    <mergeCell ref="AI1117:AI1118"/>
    <mergeCell ref="AJ1117:AJ1118"/>
    <mergeCell ref="V1117:V1118"/>
    <mergeCell ref="W1117:W1118"/>
    <mergeCell ref="X1117:X1118"/>
    <mergeCell ref="Y1117:Y1118"/>
    <mergeCell ref="Z1117:Z1118"/>
    <mergeCell ref="AA1117:AA1118"/>
    <mergeCell ref="P1117:P1118"/>
    <mergeCell ref="Q1117:Q1118"/>
    <mergeCell ref="R1117:R1118"/>
    <mergeCell ref="S1117:S1118"/>
    <mergeCell ref="T1117:T1118"/>
    <mergeCell ref="U1117:U1118"/>
    <mergeCell ref="J1117:J1118"/>
    <mergeCell ref="K1117:K1118"/>
    <mergeCell ref="L1117:L1118"/>
    <mergeCell ref="M1117:M1118"/>
    <mergeCell ref="N1117:N1118"/>
    <mergeCell ref="O1117:O1118"/>
    <mergeCell ref="AI1119:AI1120"/>
    <mergeCell ref="AJ1119:AJ1120"/>
    <mergeCell ref="B1121:B1122"/>
    <mergeCell ref="C1121:C1122"/>
    <mergeCell ref="D1121:D1122"/>
    <mergeCell ref="E1121:E1122"/>
    <mergeCell ref="F1121:F1122"/>
    <mergeCell ref="G1121:G1122"/>
    <mergeCell ref="H1121:H1122"/>
    <mergeCell ref="I1121:I1122"/>
    <mergeCell ref="Z1119:Z1120"/>
    <mergeCell ref="AA1119:AA1120"/>
    <mergeCell ref="AB1119:AB1120"/>
    <mergeCell ref="AC1119:AC1120"/>
    <mergeCell ref="AG1119:AG1120"/>
    <mergeCell ref="AH1119:AH1120"/>
    <mergeCell ref="T1119:T1120"/>
    <mergeCell ref="U1119:U1120"/>
    <mergeCell ref="V1119:V1120"/>
    <mergeCell ref="W1119:W1120"/>
    <mergeCell ref="X1119:X1120"/>
    <mergeCell ref="Y1119:Y1120"/>
    <mergeCell ref="N1119:N1120"/>
    <mergeCell ref="O1119:O1120"/>
    <mergeCell ref="P1119:P1120"/>
    <mergeCell ref="Q1119:Q1120"/>
    <mergeCell ref="R1119:R1120"/>
    <mergeCell ref="S1119:S1120"/>
    <mergeCell ref="H1119:H1120"/>
    <mergeCell ref="I1119:I1120"/>
    <mergeCell ref="J1119:J1120"/>
    <mergeCell ref="K1119:K1120"/>
    <mergeCell ref="B1124:B1125"/>
    <mergeCell ref="C1124:C1125"/>
    <mergeCell ref="D1124:D1125"/>
    <mergeCell ref="E1124:E1125"/>
    <mergeCell ref="F1124:F1125"/>
    <mergeCell ref="G1124:G1125"/>
    <mergeCell ref="AB1121:AB1122"/>
    <mergeCell ref="AC1121:AC1122"/>
    <mergeCell ref="AG1121:AG1122"/>
    <mergeCell ref="AH1121:AH1122"/>
    <mergeCell ref="AI1121:AI1122"/>
    <mergeCell ref="AJ1121:AJ1122"/>
    <mergeCell ref="V1121:V1122"/>
    <mergeCell ref="W1121:W1122"/>
    <mergeCell ref="X1121:X1122"/>
    <mergeCell ref="Y1121:Y1122"/>
    <mergeCell ref="Z1121:Z1122"/>
    <mergeCell ref="AA1121:AA1122"/>
    <mergeCell ref="P1121:P1122"/>
    <mergeCell ref="Q1121:Q1122"/>
    <mergeCell ref="R1121:R1122"/>
    <mergeCell ref="S1121:S1122"/>
    <mergeCell ref="T1121:T1122"/>
    <mergeCell ref="U1121:U1122"/>
    <mergeCell ref="J1121:J1122"/>
    <mergeCell ref="K1121:K1122"/>
    <mergeCell ref="L1121:L1122"/>
    <mergeCell ref="M1121:M1122"/>
    <mergeCell ref="N1121:N1122"/>
    <mergeCell ref="O1121:O1122"/>
    <mergeCell ref="I1126:I1127"/>
    <mergeCell ref="J1126:J1127"/>
    <mergeCell ref="K1126:K1127"/>
    <mergeCell ref="L1126:L1127"/>
    <mergeCell ref="Z1124:Z1125"/>
    <mergeCell ref="AG1124:AG1125"/>
    <mergeCell ref="AH1124:AH1125"/>
    <mergeCell ref="AI1124:AI1125"/>
    <mergeCell ref="AJ1124:AJ1125"/>
    <mergeCell ref="B1126:B1127"/>
    <mergeCell ref="C1126:C1127"/>
    <mergeCell ref="D1126:D1127"/>
    <mergeCell ref="E1126:E1127"/>
    <mergeCell ref="F1126:F1127"/>
    <mergeCell ref="T1124:T1125"/>
    <mergeCell ref="U1124:U1125"/>
    <mergeCell ref="V1124:V1125"/>
    <mergeCell ref="W1124:W1125"/>
    <mergeCell ref="X1124:X1125"/>
    <mergeCell ref="Y1124:Y1125"/>
    <mergeCell ref="N1124:N1125"/>
    <mergeCell ref="O1124:O1125"/>
    <mergeCell ref="P1124:P1125"/>
    <mergeCell ref="Q1124:Q1125"/>
    <mergeCell ref="R1124:R1125"/>
    <mergeCell ref="S1124:S1125"/>
    <mergeCell ref="H1124:H1125"/>
    <mergeCell ref="I1124:I1125"/>
    <mergeCell ref="J1124:J1125"/>
    <mergeCell ref="K1124:K1125"/>
    <mergeCell ref="L1124:L1125"/>
    <mergeCell ref="M1124:M1125"/>
    <mergeCell ref="M1128:M1129"/>
    <mergeCell ref="N1128:N1129"/>
    <mergeCell ref="AH1126:AH1127"/>
    <mergeCell ref="AI1126:AI1127"/>
    <mergeCell ref="AJ1126:AJ1127"/>
    <mergeCell ref="B1128:B1129"/>
    <mergeCell ref="C1128:C1129"/>
    <mergeCell ref="D1128:D1129"/>
    <mergeCell ref="E1128:E1129"/>
    <mergeCell ref="F1128:F1129"/>
    <mergeCell ref="G1128:G1129"/>
    <mergeCell ref="H1128:H1129"/>
    <mergeCell ref="Y1126:Y1127"/>
    <mergeCell ref="Z1126:Z1127"/>
    <mergeCell ref="AA1126:AA1127"/>
    <mergeCell ref="AB1126:AB1127"/>
    <mergeCell ref="AC1126:AC1127"/>
    <mergeCell ref="AG1126:AG1127"/>
    <mergeCell ref="S1126:S1127"/>
    <mergeCell ref="T1126:T1127"/>
    <mergeCell ref="U1126:U1127"/>
    <mergeCell ref="V1126:V1127"/>
    <mergeCell ref="W1126:W1127"/>
    <mergeCell ref="X1126:X1127"/>
    <mergeCell ref="M1126:M1127"/>
    <mergeCell ref="N1126:N1127"/>
    <mergeCell ref="O1126:O1127"/>
    <mergeCell ref="P1126:P1127"/>
    <mergeCell ref="Q1126:Q1127"/>
    <mergeCell ref="R1126:R1127"/>
    <mergeCell ref="G1126:G1127"/>
    <mergeCell ref="H1126:H1127"/>
    <mergeCell ref="AJ1128:AJ1129"/>
    <mergeCell ref="B1130:B1131"/>
    <mergeCell ref="C1130:C1131"/>
    <mergeCell ref="D1130:D1131"/>
    <mergeCell ref="E1130:E1131"/>
    <mergeCell ref="F1130:F1131"/>
    <mergeCell ref="G1130:G1131"/>
    <mergeCell ref="H1130:H1131"/>
    <mergeCell ref="I1130:I1131"/>
    <mergeCell ref="J1130:J1131"/>
    <mergeCell ref="AD1128:AD1129"/>
    <mergeCell ref="AE1128:AE1129"/>
    <mergeCell ref="AF1128:AF1129"/>
    <mergeCell ref="AG1128:AG1129"/>
    <mergeCell ref="AH1128:AH1129"/>
    <mergeCell ref="AI1128:AI1129"/>
    <mergeCell ref="U1128:U1129"/>
    <mergeCell ref="V1128:V1129"/>
    <mergeCell ref="W1128:W1129"/>
    <mergeCell ref="X1128:X1129"/>
    <mergeCell ref="Y1128:Y1129"/>
    <mergeCell ref="Z1128:Z1129"/>
    <mergeCell ref="O1128:O1129"/>
    <mergeCell ref="P1128:P1129"/>
    <mergeCell ref="Q1128:Q1129"/>
    <mergeCell ref="R1128:R1129"/>
    <mergeCell ref="S1128:S1129"/>
    <mergeCell ref="T1128:T1129"/>
    <mergeCell ref="I1128:I1129"/>
    <mergeCell ref="J1128:J1129"/>
    <mergeCell ref="K1128:K1129"/>
    <mergeCell ref="L1128:L1129"/>
    <mergeCell ref="AI1130:AI1131"/>
    <mergeCell ref="AJ1130:AJ1131"/>
    <mergeCell ref="B1132:B1135"/>
    <mergeCell ref="C1132:C1135"/>
    <mergeCell ref="D1132:D1135"/>
    <mergeCell ref="E1132:E1135"/>
    <mergeCell ref="F1132:F1135"/>
    <mergeCell ref="G1132:G1135"/>
    <mergeCell ref="H1132:H1135"/>
    <mergeCell ref="I1132:I1135"/>
    <mergeCell ref="W1130:W1131"/>
    <mergeCell ref="X1130:X1131"/>
    <mergeCell ref="Y1130:Y1131"/>
    <mergeCell ref="Z1130:Z1131"/>
    <mergeCell ref="AG1130:AG1131"/>
    <mergeCell ref="AH1130:AH1131"/>
    <mergeCell ref="Q1130:Q1131"/>
    <mergeCell ref="R1130:R1131"/>
    <mergeCell ref="S1130:S1131"/>
    <mergeCell ref="T1130:T1131"/>
    <mergeCell ref="U1130:U1131"/>
    <mergeCell ref="V1130:V1131"/>
    <mergeCell ref="K1130:K1131"/>
    <mergeCell ref="L1130:L1131"/>
    <mergeCell ref="M1130:M1131"/>
    <mergeCell ref="N1130:N1131"/>
    <mergeCell ref="O1130:O1131"/>
    <mergeCell ref="P1130:P1131"/>
    <mergeCell ref="N1136:N1137"/>
    <mergeCell ref="AH1132:AH1135"/>
    <mergeCell ref="AI1132:AI1135"/>
    <mergeCell ref="AJ1132:AJ1135"/>
    <mergeCell ref="B1136:B1137"/>
    <mergeCell ref="C1136:C1137"/>
    <mergeCell ref="D1136:D1137"/>
    <mergeCell ref="E1136:E1137"/>
    <mergeCell ref="F1136:F1137"/>
    <mergeCell ref="G1136:G1137"/>
    <mergeCell ref="H1136:H1137"/>
    <mergeCell ref="V1132:V1135"/>
    <mergeCell ref="W1132:W1135"/>
    <mergeCell ref="X1132:X1135"/>
    <mergeCell ref="Y1132:Y1135"/>
    <mergeCell ref="Z1132:Z1135"/>
    <mergeCell ref="AG1132:AG1135"/>
    <mergeCell ref="P1132:P1135"/>
    <mergeCell ref="Q1132:Q1135"/>
    <mergeCell ref="R1132:R1135"/>
    <mergeCell ref="S1132:S1135"/>
    <mergeCell ref="T1132:T1135"/>
    <mergeCell ref="U1132:U1135"/>
    <mergeCell ref="J1132:J1135"/>
    <mergeCell ref="K1132:K1135"/>
    <mergeCell ref="L1132:L1135"/>
    <mergeCell ref="M1132:M1135"/>
    <mergeCell ref="N1132:N1135"/>
    <mergeCell ref="O1132:O1135"/>
    <mergeCell ref="AJ1136:AJ1137"/>
    <mergeCell ref="B1139:B1140"/>
    <mergeCell ref="C1139:C1140"/>
    <mergeCell ref="D1139:D1140"/>
    <mergeCell ref="E1139:E1140"/>
    <mergeCell ref="F1139:F1140"/>
    <mergeCell ref="G1139:G1140"/>
    <mergeCell ref="H1139:H1140"/>
    <mergeCell ref="I1139:I1140"/>
    <mergeCell ref="J1139:J1140"/>
    <mergeCell ref="AA1136:AA1137"/>
    <mergeCell ref="AB1136:AB1137"/>
    <mergeCell ref="AC1136:AC1137"/>
    <mergeCell ref="AG1136:AG1137"/>
    <mergeCell ref="AH1136:AH1137"/>
    <mergeCell ref="AI1136:AI1137"/>
    <mergeCell ref="U1136:U1137"/>
    <mergeCell ref="V1136:V1137"/>
    <mergeCell ref="W1136:W1137"/>
    <mergeCell ref="X1136:X1137"/>
    <mergeCell ref="Y1136:Y1137"/>
    <mergeCell ref="Z1136:Z1137"/>
    <mergeCell ref="O1136:O1137"/>
    <mergeCell ref="P1136:P1137"/>
    <mergeCell ref="Q1136:Q1137"/>
    <mergeCell ref="R1136:R1137"/>
    <mergeCell ref="S1136:S1137"/>
    <mergeCell ref="T1136:T1137"/>
    <mergeCell ref="I1136:I1137"/>
    <mergeCell ref="J1136:J1137"/>
    <mergeCell ref="K1136:K1137"/>
    <mergeCell ref="L1136:L1137"/>
    <mergeCell ref="M1136:M1137"/>
    <mergeCell ref="K1143:K1144"/>
    <mergeCell ref="L1143:L1144"/>
    <mergeCell ref="AC1139:AC1140"/>
    <mergeCell ref="AG1139:AG1140"/>
    <mergeCell ref="AH1139:AH1140"/>
    <mergeCell ref="AI1139:AI1140"/>
    <mergeCell ref="AJ1139:AJ1140"/>
    <mergeCell ref="B1143:B1144"/>
    <mergeCell ref="C1143:C1144"/>
    <mergeCell ref="D1143:D1144"/>
    <mergeCell ref="E1143:E1144"/>
    <mergeCell ref="F1143:F1144"/>
    <mergeCell ref="W1139:W1140"/>
    <mergeCell ref="X1139:X1140"/>
    <mergeCell ref="Y1139:Y1140"/>
    <mergeCell ref="Z1139:Z1140"/>
    <mergeCell ref="AA1139:AA1140"/>
    <mergeCell ref="AB1139:AB1140"/>
    <mergeCell ref="Q1139:Q1140"/>
    <mergeCell ref="R1139:R1140"/>
    <mergeCell ref="S1139:S1140"/>
    <mergeCell ref="T1139:T1140"/>
    <mergeCell ref="U1139:U1140"/>
    <mergeCell ref="V1139:V1140"/>
    <mergeCell ref="K1139:K1140"/>
    <mergeCell ref="L1139:L1140"/>
    <mergeCell ref="M1139:M1140"/>
    <mergeCell ref="N1139:N1140"/>
    <mergeCell ref="O1139:O1140"/>
    <mergeCell ref="P1139:P1140"/>
    <mergeCell ref="AH1143:AH1144"/>
    <mergeCell ref="AI1143:AI1144"/>
    <mergeCell ref="AJ1143:AJ1144"/>
    <mergeCell ref="B1147:B1149"/>
    <mergeCell ref="C1147:C1149"/>
    <mergeCell ref="D1147:D1149"/>
    <mergeCell ref="E1147:E1149"/>
    <mergeCell ref="F1147:F1149"/>
    <mergeCell ref="G1147:G1149"/>
    <mergeCell ref="H1147:H1149"/>
    <mergeCell ref="Y1143:Y1144"/>
    <mergeCell ref="Z1143:Z1144"/>
    <mergeCell ref="AD1143:AD1144"/>
    <mergeCell ref="AE1143:AE1144"/>
    <mergeCell ref="AF1143:AF1144"/>
    <mergeCell ref="AG1143:AG1144"/>
    <mergeCell ref="S1143:S1144"/>
    <mergeCell ref="T1143:T1144"/>
    <mergeCell ref="U1143:U1144"/>
    <mergeCell ref="V1143:V1144"/>
    <mergeCell ref="W1143:W1144"/>
    <mergeCell ref="X1143:X1144"/>
    <mergeCell ref="M1143:M1144"/>
    <mergeCell ref="N1143:N1144"/>
    <mergeCell ref="O1143:O1144"/>
    <mergeCell ref="P1143:P1144"/>
    <mergeCell ref="Q1143:Q1144"/>
    <mergeCell ref="R1143:R1144"/>
    <mergeCell ref="G1143:G1144"/>
    <mergeCell ref="H1143:H1144"/>
    <mergeCell ref="I1143:I1144"/>
    <mergeCell ref="J1143:J1144"/>
    <mergeCell ref="AG1147:AG1149"/>
    <mergeCell ref="AH1147:AH1149"/>
    <mergeCell ref="AI1147:AI1149"/>
    <mergeCell ref="AJ1147:AJ1149"/>
    <mergeCell ref="B1150:B1152"/>
    <mergeCell ref="C1150:C1152"/>
    <mergeCell ref="D1150:D1152"/>
    <mergeCell ref="E1150:E1152"/>
    <mergeCell ref="F1150:F1152"/>
    <mergeCell ref="G1150:G1152"/>
    <mergeCell ref="U1147:U1149"/>
    <mergeCell ref="V1147:V1149"/>
    <mergeCell ref="W1147:W1149"/>
    <mergeCell ref="X1147:X1149"/>
    <mergeCell ref="Y1147:Y1149"/>
    <mergeCell ref="Z1147:Z1149"/>
    <mergeCell ref="O1147:O1149"/>
    <mergeCell ref="P1147:P1149"/>
    <mergeCell ref="Q1147:Q1149"/>
    <mergeCell ref="R1147:R1149"/>
    <mergeCell ref="S1147:S1149"/>
    <mergeCell ref="T1147:T1149"/>
    <mergeCell ref="I1147:I1149"/>
    <mergeCell ref="J1147:J1149"/>
    <mergeCell ref="K1147:K1149"/>
    <mergeCell ref="L1147:L1149"/>
    <mergeCell ref="M1147:M1149"/>
    <mergeCell ref="N1147:N1149"/>
    <mergeCell ref="Z1150:Z1152"/>
    <mergeCell ref="AG1150:AG1152"/>
    <mergeCell ref="AH1150:AH1152"/>
    <mergeCell ref="AI1150:AI1152"/>
    <mergeCell ref="AJ1150:AJ1152"/>
    <mergeCell ref="B1153:B1156"/>
    <mergeCell ref="C1153:C1156"/>
    <mergeCell ref="D1153:D1156"/>
    <mergeCell ref="E1153:E1156"/>
    <mergeCell ref="F1153:F1156"/>
    <mergeCell ref="T1150:T1152"/>
    <mergeCell ref="U1150:U1152"/>
    <mergeCell ref="V1150:V1152"/>
    <mergeCell ref="W1150:W1152"/>
    <mergeCell ref="X1150:X1152"/>
    <mergeCell ref="Y1150:Y1152"/>
    <mergeCell ref="N1150:N1152"/>
    <mergeCell ref="O1150:O1152"/>
    <mergeCell ref="P1150:P1152"/>
    <mergeCell ref="Q1150:Q1152"/>
    <mergeCell ref="R1150:R1152"/>
    <mergeCell ref="S1150:S1152"/>
    <mergeCell ref="H1150:H1152"/>
    <mergeCell ref="I1150:I1152"/>
    <mergeCell ref="J1150:J1152"/>
    <mergeCell ref="K1150:K1152"/>
    <mergeCell ref="L1150:L1152"/>
    <mergeCell ref="M1150:M1152"/>
    <mergeCell ref="K1153:K1156"/>
    <mergeCell ref="L1153:L1156"/>
    <mergeCell ref="AH1153:AH1156"/>
    <mergeCell ref="AI1153:AI1156"/>
    <mergeCell ref="AJ1153:AJ1156"/>
    <mergeCell ref="B1157:B1159"/>
    <mergeCell ref="C1157:C1159"/>
    <mergeCell ref="D1157:D1159"/>
    <mergeCell ref="E1157:E1159"/>
    <mergeCell ref="F1157:F1159"/>
    <mergeCell ref="G1157:G1159"/>
    <mergeCell ref="H1157:H1159"/>
    <mergeCell ref="Y1153:Y1156"/>
    <mergeCell ref="Z1153:Z1156"/>
    <mergeCell ref="AA1153:AA1156"/>
    <mergeCell ref="AB1153:AB1156"/>
    <mergeCell ref="AC1153:AC1156"/>
    <mergeCell ref="AG1153:AG1156"/>
    <mergeCell ref="S1153:S1156"/>
    <mergeCell ref="T1153:T1156"/>
    <mergeCell ref="U1153:U1156"/>
    <mergeCell ref="V1153:V1156"/>
    <mergeCell ref="W1153:W1156"/>
    <mergeCell ref="X1153:X1156"/>
    <mergeCell ref="M1153:M1156"/>
    <mergeCell ref="N1153:N1156"/>
    <mergeCell ref="O1153:O1156"/>
    <mergeCell ref="P1153:P1156"/>
    <mergeCell ref="Q1153:Q1156"/>
    <mergeCell ref="R1153:R1156"/>
    <mergeCell ref="G1153:G1156"/>
    <mergeCell ref="H1153:H1156"/>
    <mergeCell ref="I1153:I1156"/>
    <mergeCell ref="J1153:J1156"/>
    <mergeCell ref="AG1157:AG1159"/>
    <mergeCell ref="AH1157:AH1159"/>
    <mergeCell ref="AI1157:AI1159"/>
    <mergeCell ref="AJ1157:AJ1159"/>
    <mergeCell ref="B1160:B1161"/>
    <mergeCell ref="C1160:C1161"/>
    <mergeCell ref="D1160:D1161"/>
    <mergeCell ref="E1160:E1161"/>
    <mergeCell ref="F1160:F1161"/>
    <mergeCell ref="G1160:G1161"/>
    <mergeCell ref="U1157:U1159"/>
    <mergeCell ref="V1157:V1159"/>
    <mergeCell ref="W1157:W1159"/>
    <mergeCell ref="X1157:X1159"/>
    <mergeCell ref="Y1157:Y1159"/>
    <mergeCell ref="Z1157:Z1159"/>
    <mergeCell ref="O1157:O1159"/>
    <mergeCell ref="P1157:P1159"/>
    <mergeCell ref="Q1157:Q1159"/>
    <mergeCell ref="R1157:R1159"/>
    <mergeCell ref="S1157:S1159"/>
    <mergeCell ref="T1157:T1159"/>
    <mergeCell ref="I1157:I1159"/>
    <mergeCell ref="J1157:J1159"/>
    <mergeCell ref="K1157:K1159"/>
    <mergeCell ref="L1157:L1159"/>
    <mergeCell ref="M1157:M1159"/>
    <mergeCell ref="N1157:N1159"/>
    <mergeCell ref="AI1160:AI1161"/>
    <mergeCell ref="AJ1160:AJ1161"/>
    <mergeCell ref="C1162:C1164"/>
    <mergeCell ref="D1162:D1164"/>
    <mergeCell ref="E1162:E1164"/>
    <mergeCell ref="F1162:F1164"/>
    <mergeCell ref="G1162:G1164"/>
    <mergeCell ref="H1162:H1164"/>
    <mergeCell ref="I1162:I1164"/>
    <mergeCell ref="Z1160:Z1161"/>
    <mergeCell ref="AA1160:AA1161"/>
    <mergeCell ref="AB1160:AB1161"/>
    <mergeCell ref="AC1160:AC1161"/>
    <mergeCell ref="AG1160:AG1161"/>
    <mergeCell ref="AH1160:AH1161"/>
    <mergeCell ref="T1160:T1161"/>
    <mergeCell ref="U1160:U1161"/>
    <mergeCell ref="V1160:V1161"/>
    <mergeCell ref="W1160:W1161"/>
    <mergeCell ref="X1160:X1161"/>
    <mergeCell ref="Y1160:Y1161"/>
    <mergeCell ref="N1160:N1161"/>
    <mergeCell ref="O1160:O1161"/>
    <mergeCell ref="P1160:P1161"/>
    <mergeCell ref="Q1160:Q1161"/>
    <mergeCell ref="R1160:R1161"/>
    <mergeCell ref="S1160:S1161"/>
    <mergeCell ref="H1160:H1161"/>
    <mergeCell ref="I1160:I1161"/>
    <mergeCell ref="J1160:J1161"/>
    <mergeCell ref="K1160:K1161"/>
    <mergeCell ref="AH1162:AH1164"/>
    <mergeCell ref="L1160:L1161"/>
    <mergeCell ref="M1160:M1161"/>
    <mergeCell ref="AI1162:AI1164"/>
    <mergeCell ref="AJ1162:AJ1164"/>
    <mergeCell ref="B1165:B1169"/>
    <mergeCell ref="C1165:C1169"/>
    <mergeCell ref="D1165:D1169"/>
    <mergeCell ref="E1165:E1169"/>
    <mergeCell ref="F1165:F1169"/>
    <mergeCell ref="G1165:G1169"/>
    <mergeCell ref="H1165:H1169"/>
    <mergeCell ref="V1162:V1164"/>
    <mergeCell ref="W1162:W1164"/>
    <mergeCell ref="X1162:X1164"/>
    <mergeCell ref="Y1162:Y1164"/>
    <mergeCell ref="Z1162:Z1164"/>
    <mergeCell ref="AG1162:AG1164"/>
    <mergeCell ref="P1162:P1164"/>
    <mergeCell ref="Q1162:Q1164"/>
    <mergeCell ref="R1162:R1164"/>
    <mergeCell ref="S1162:S1164"/>
    <mergeCell ref="T1162:T1164"/>
    <mergeCell ref="U1162:U1164"/>
    <mergeCell ref="J1162:J1164"/>
    <mergeCell ref="K1162:K1164"/>
    <mergeCell ref="L1162:L1164"/>
    <mergeCell ref="M1162:M1164"/>
    <mergeCell ref="N1162:N1164"/>
    <mergeCell ref="O1162:O1164"/>
    <mergeCell ref="AG1165:AG1169"/>
    <mergeCell ref="AH1165:AH1169"/>
    <mergeCell ref="AI1165:AI1169"/>
    <mergeCell ref="AJ1165:AJ1169"/>
    <mergeCell ref="B1162:B1164"/>
    <mergeCell ref="B1173:B1174"/>
    <mergeCell ref="C1173:C1174"/>
    <mergeCell ref="D1173:D1174"/>
    <mergeCell ref="E1173:E1174"/>
    <mergeCell ref="F1173:F1174"/>
    <mergeCell ref="G1173:G1174"/>
    <mergeCell ref="U1165:U1169"/>
    <mergeCell ref="V1165:V1169"/>
    <mergeCell ref="W1165:W1169"/>
    <mergeCell ref="X1165:X1169"/>
    <mergeCell ref="Y1165:Y1169"/>
    <mergeCell ref="Z1165:Z1169"/>
    <mergeCell ref="O1165:O1169"/>
    <mergeCell ref="P1165:P1169"/>
    <mergeCell ref="Q1165:Q1169"/>
    <mergeCell ref="R1165:R1169"/>
    <mergeCell ref="S1165:S1169"/>
    <mergeCell ref="T1165:T1169"/>
    <mergeCell ref="I1165:I1169"/>
    <mergeCell ref="J1165:J1169"/>
    <mergeCell ref="K1165:K1169"/>
    <mergeCell ref="L1165:L1169"/>
    <mergeCell ref="M1165:M1169"/>
    <mergeCell ref="N1165:N1169"/>
    <mergeCell ref="I1209:I1210"/>
    <mergeCell ref="J1209:J1210"/>
    <mergeCell ref="K1209:K1210"/>
    <mergeCell ref="L1209:L1210"/>
    <mergeCell ref="Z1173:Z1174"/>
    <mergeCell ref="AG1173:AG1174"/>
    <mergeCell ref="AH1173:AH1174"/>
    <mergeCell ref="AI1173:AI1174"/>
    <mergeCell ref="AJ1173:AJ1174"/>
    <mergeCell ref="B1209:B1210"/>
    <mergeCell ref="C1209:C1210"/>
    <mergeCell ref="D1209:D1210"/>
    <mergeCell ref="E1209:E1210"/>
    <mergeCell ref="F1209:F1210"/>
    <mergeCell ref="T1173:T1174"/>
    <mergeCell ref="U1173:U1174"/>
    <mergeCell ref="V1173:V1174"/>
    <mergeCell ref="W1173:W1174"/>
    <mergeCell ref="X1173:X1174"/>
    <mergeCell ref="Y1173:Y1174"/>
    <mergeCell ref="N1173:N1174"/>
    <mergeCell ref="O1173:O1174"/>
    <mergeCell ref="P1173:P1174"/>
    <mergeCell ref="Q1173:Q1174"/>
    <mergeCell ref="R1173:R1174"/>
    <mergeCell ref="S1173:S1174"/>
    <mergeCell ref="H1173:H1174"/>
    <mergeCell ref="I1173:I1174"/>
    <mergeCell ref="J1173:J1174"/>
    <mergeCell ref="K1173:K1174"/>
    <mergeCell ref="L1173:L1174"/>
    <mergeCell ref="M1173:M1174"/>
    <mergeCell ref="M1211:M1212"/>
    <mergeCell ref="N1211:N1212"/>
    <mergeCell ref="AH1209:AH1210"/>
    <mergeCell ref="AI1209:AI1210"/>
    <mergeCell ref="AJ1209:AJ1210"/>
    <mergeCell ref="B1211:B1212"/>
    <mergeCell ref="C1211:C1212"/>
    <mergeCell ref="D1211:D1212"/>
    <mergeCell ref="E1211:E1212"/>
    <mergeCell ref="F1211:F1212"/>
    <mergeCell ref="G1211:G1212"/>
    <mergeCell ref="H1211:H1212"/>
    <mergeCell ref="Y1209:Y1210"/>
    <mergeCell ref="Z1209:Z1210"/>
    <mergeCell ref="AD1209:AD1210"/>
    <mergeCell ref="AE1209:AE1210"/>
    <mergeCell ref="AF1209:AF1210"/>
    <mergeCell ref="AG1209:AG1210"/>
    <mergeCell ref="S1209:S1210"/>
    <mergeCell ref="T1209:T1210"/>
    <mergeCell ref="U1209:U1210"/>
    <mergeCell ref="V1209:V1210"/>
    <mergeCell ref="W1209:W1210"/>
    <mergeCell ref="X1209:X1210"/>
    <mergeCell ref="M1209:M1210"/>
    <mergeCell ref="N1209:N1210"/>
    <mergeCell ref="O1209:O1210"/>
    <mergeCell ref="P1209:P1210"/>
    <mergeCell ref="Q1209:Q1210"/>
    <mergeCell ref="R1209:R1210"/>
    <mergeCell ref="G1209:G1210"/>
    <mergeCell ref="H1209:H1210"/>
    <mergeCell ref="AJ1211:AJ1212"/>
    <mergeCell ref="B1214:B1215"/>
    <mergeCell ref="C1214:C1215"/>
    <mergeCell ref="D1214:D1215"/>
    <mergeCell ref="E1214:E1215"/>
    <mergeCell ref="F1214:F1215"/>
    <mergeCell ref="G1214:G1215"/>
    <mergeCell ref="H1214:H1215"/>
    <mergeCell ref="I1214:I1215"/>
    <mergeCell ref="J1214:J1215"/>
    <mergeCell ref="AD1211:AD1212"/>
    <mergeCell ref="AE1211:AE1212"/>
    <mergeCell ref="AF1211:AF1212"/>
    <mergeCell ref="AG1211:AG1212"/>
    <mergeCell ref="AH1211:AH1212"/>
    <mergeCell ref="AI1211:AI1212"/>
    <mergeCell ref="U1211:U1212"/>
    <mergeCell ref="V1211:V1212"/>
    <mergeCell ref="W1211:W1212"/>
    <mergeCell ref="X1211:X1212"/>
    <mergeCell ref="Y1211:Y1212"/>
    <mergeCell ref="Z1211:Z1212"/>
    <mergeCell ref="O1211:O1212"/>
    <mergeCell ref="P1211:P1212"/>
    <mergeCell ref="Q1211:Q1212"/>
    <mergeCell ref="R1211:R1212"/>
    <mergeCell ref="S1211:S1212"/>
    <mergeCell ref="T1211:T1212"/>
    <mergeCell ref="I1211:I1212"/>
    <mergeCell ref="J1211:J1212"/>
    <mergeCell ref="K1211:K1212"/>
    <mergeCell ref="L1211:L1212"/>
    <mergeCell ref="I1217:I1218"/>
    <mergeCell ref="J1217:J1218"/>
    <mergeCell ref="K1217:K1218"/>
    <mergeCell ref="L1217:L1218"/>
    <mergeCell ref="AF1214:AF1215"/>
    <mergeCell ref="AG1214:AG1215"/>
    <mergeCell ref="AH1214:AH1215"/>
    <mergeCell ref="AI1214:AI1215"/>
    <mergeCell ref="AJ1214:AJ1215"/>
    <mergeCell ref="B1217:B1218"/>
    <mergeCell ref="C1217:C1218"/>
    <mergeCell ref="D1217:D1218"/>
    <mergeCell ref="E1217:E1218"/>
    <mergeCell ref="F1217:F1218"/>
    <mergeCell ref="W1214:W1215"/>
    <mergeCell ref="X1214:X1215"/>
    <mergeCell ref="Y1214:Y1215"/>
    <mergeCell ref="Z1214:Z1215"/>
    <mergeCell ref="AD1214:AD1215"/>
    <mergeCell ref="AE1214:AE1215"/>
    <mergeCell ref="Q1214:Q1215"/>
    <mergeCell ref="R1214:R1215"/>
    <mergeCell ref="S1214:S1215"/>
    <mergeCell ref="T1214:T1215"/>
    <mergeCell ref="U1214:U1215"/>
    <mergeCell ref="V1214:V1215"/>
    <mergeCell ref="K1214:K1215"/>
    <mergeCell ref="L1214:L1215"/>
    <mergeCell ref="M1214:M1215"/>
    <mergeCell ref="N1214:N1215"/>
    <mergeCell ref="O1214:O1215"/>
    <mergeCell ref="P1214:P1215"/>
    <mergeCell ref="M1220:M1221"/>
    <mergeCell ref="N1220:N1221"/>
    <mergeCell ref="AH1217:AH1218"/>
    <mergeCell ref="AI1217:AI1218"/>
    <mergeCell ref="AJ1217:AJ1218"/>
    <mergeCell ref="B1220:B1221"/>
    <mergeCell ref="C1220:C1221"/>
    <mergeCell ref="D1220:D1221"/>
    <mergeCell ref="E1220:E1221"/>
    <mergeCell ref="F1220:F1221"/>
    <mergeCell ref="G1220:G1221"/>
    <mergeCell ref="H1220:H1221"/>
    <mergeCell ref="Y1217:Y1218"/>
    <mergeCell ref="Z1217:Z1218"/>
    <mergeCell ref="AD1217:AD1218"/>
    <mergeCell ref="AE1217:AE1218"/>
    <mergeCell ref="AF1217:AF1218"/>
    <mergeCell ref="AG1217:AG1218"/>
    <mergeCell ref="S1217:S1218"/>
    <mergeCell ref="T1217:T1218"/>
    <mergeCell ref="U1217:U1218"/>
    <mergeCell ref="V1217:V1218"/>
    <mergeCell ref="W1217:W1218"/>
    <mergeCell ref="X1217:X1218"/>
    <mergeCell ref="M1217:M1218"/>
    <mergeCell ref="N1217:N1218"/>
    <mergeCell ref="O1217:O1218"/>
    <mergeCell ref="P1217:P1218"/>
    <mergeCell ref="Q1217:Q1218"/>
    <mergeCell ref="R1217:R1218"/>
    <mergeCell ref="G1217:G1218"/>
    <mergeCell ref="H1217:H1218"/>
    <mergeCell ref="AJ1220:AJ1221"/>
    <mergeCell ref="B1222:B1223"/>
    <mergeCell ref="C1222:C1223"/>
    <mergeCell ref="D1222:D1223"/>
    <mergeCell ref="E1222:E1223"/>
    <mergeCell ref="F1222:F1223"/>
    <mergeCell ref="G1222:G1223"/>
    <mergeCell ref="H1222:H1223"/>
    <mergeCell ref="I1222:I1223"/>
    <mergeCell ref="J1222:J1223"/>
    <mergeCell ref="AD1220:AD1221"/>
    <mergeCell ref="AE1220:AE1221"/>
    <mergeCell ref="AF1220:AF1221"/>
    <mergeCell ref="AG1220:AG1221"/>
    <mergeCell ref="AH1220:AH1221"/>
    <mergeCell ref="AI1220:AI1221"/>
    <mergeCell ref="U1220:U1221"/>
    <mergeCell ref="V1220:V1221"/>
    <mergeCell ref="W1220:W1221"/>
    <mergeCell ref="X1220:X1221"/>
    <mergeCell ref="Y1220:Y1221"/>
    <mergeCell ref="Z1220:Z1221"/>
    <mergeCell ref="O1220:O1221"/>
    <mergeCell ref="P1220:P1221"/>
    <mergeCell ref="Q1220:Q1221"/>
    <mergeCell ref="R1220:R1221"/>
    <mergeCell ref="S1220:S1221"/>
    <mergeCell ref="T1220:T1221"/>
    <mergeCell ref="I1220:I1221"/>
    <mergeCell ref="J1220:J1221"/>
    <mergeCell ref="K1220:K1221"/>
    <mergeCell ref="L1220:L1221"/>
    <mergeCell ref="I1225:I1226"/>
    <mergeCell ref="J1225:J1226"/>
    <mergeCell ref="K1225:K1226"/>
    <mergeCell ref="L1225:L1226"/>
    <mergeCell ref="AC1222:AC1223"/>
    <mergeCell ref="AG1222:AG1223"/>
    <mergeCell ref="AH1222:AH1223"/>
    <mergeCell ref="AI1222:AI1223"/>
    <mergeCell ref="AJ1222:AJ1223"/>
    <mergeCell ref="B1225:B1226"/>
    <mergeCell ref="C1225:C1226"/>
    <mergeCell ref="D1225:D1226"/>
    <mergeCell ref="E1225:E1226"/>
    <mergeCell ref="F1225:F1226"/>
    <mergeCell ref="W1222:W1223"/>
    <mergeCell ref="X1222:X1223"/>
    <mergeCell ref="Y1222:Y1223"/>
    <mergeCell ref="Z1222:Z1223"/>
    <mergeCell ref="AA1222:AA1223"/>
    <mergeCell ref="AB1222:AB1223"/>
    <mergeCell ref="Q1222:Q1223"/>
    <mergeCell ref="R1222:R1223"/>
    <mergeCell ref="S1222:S1223"/>
    <mergeCell ref="T1222:T1223"/>
    <mergeCell ref="U1222:U1223"/>
    <mergeCell ref="V1222:V1223"/>
    <mergeCell ref="K1222:K1223"/>
    <mergeCell ref="L1222:L1223"/>
    <mergeCell ref="M1222:M1223"/>
    <mergeCell ref="N1222:N1223"/>
    <mergeCell ref="O1222:O1223"/>
    <mergeCell ref="P1222:P1223"/>
    <mergeCell ref="M1245:M1246"/>
    <mergeCell ref="N1245:N1246"/>
    <mergeCell ref="AH1225:AH1226"/>
    <mergeCell ref="AI1225:AI1226"/>
    <mergeCell ref="AJ1225:AJ1226"/>
    <mergeCell ref="B1245:B1246"/>
    <mergeCell ref="C1245:C1246"/>
    <mergeCell ref="D1245:D1246"/>
    <mergeCell ref="E1245:E1246"/>
    <mergeCell ref="F1245:F1246"/>
    <mergeCell ref="G1245:G1246"/>
    <mergeCell ref="H1245:H1246"/>
    <mergeCell ref="Y1225:Y1226"/>
    <mergeCell ref="Z1225:Z1226"/>
    <mergeCell ref="AD1225:AD1226"/>
    <mergeCell ref="AE1225:AE1226"/>
    <mergeCell ref="AF1225:AF1226"/>
    <mergeCell ref="AG1225:AG1226"/>
    <mergeCell ref="S1225:S1226"/>
    <mergeCell ref="T1225:T1226"/>
    <mergeCell ref="U1225:U1226"/>
    <mergeCell ref="V1225:V1226"/>
    <mergeCell ref="W1225:W1226"/>
    <mergeCell ref="X1225:X1226"/>
    <mergeCell ref="M1225:M1226"/>
    <mergeCell ref="N1225:N1226"/>
    <mergeCell ref="O1225:O1226"/>
    <mergeCell ref="P1225:P1226"/>
    <mergeCell ref="Q1225:Q1226"/>
    <mergeCell ref="R1225:R1226"/>
    <mergeCell ref="G1225:G1226"/>
    <mergeCell ref="H1225:H1226"/>
    <mergeCell ref="AJ1245:AJ1246"/>
    <mergeCell ref="B1248:B1249"/>
    <mergeCell ref="C1248:C1249"/>
    <mergeCell ref="D1248:D1249"/>
    <mergeCell ref="E1248:E1249"/>
    <mergeCell ref="F1248:F1249"/>
    <mergeCell ref="G1248:G1249"/>
    <mergeCell ref="H1248:H1249"/>
    <mergeCell ref="I1248:I1249"/>
    <mergeCell ref="J1248:J1249"/>
    <mergeCell ref="AA1245:AA1246"/>
    <mergeCell ref="AB1245:AB1246"/>
    <mergeCell ref="AC1245:AC1246"/>
    <mergeCell ref="AG1245:AG1246"/>
    <mergeCell ref="AH1245:AH1246"/>
    <mergeCell ref="AI1245:AI1246"/>
    <mergeCell ref="U1245:U1246"/>
    <mergeCell ref="V1245:V1246"/>
    <mergeCell ref="W1245:W1246"/>
    <mergeCell ref="X1245:X1246"/>
    <mergeCell ref="Y1245:Y1246"/>
    <mergeCell ref="Z1245:Z1246"/>
    <mergeCell ref="O1245:O1246"/>
    <mergeCell ref="P1245:P1246"/>
    <mergeCell ref="Q1245:Q1246"/>
    <mergeCell ref="R1245:R1246"/>
    <mergeCell ref="S1245:S1246"/>
    <mergeCell ref="T1245:T1246"/>
    <mergeCell ref="I1245:I1246"/>
    <mergeCell ref="J1245:J1246"/>
    <mergeCell ref="K1245:K1246"/>
    <mergeCell ref="L1245:L1246"/>
    <mergeCell ref="AF1248:AF1249"/>
    <mergeCell ref="AG1248:AG1249"/>
    <mergeCell ref="AH1248:AH1249"/>
    <mergeCell ref="AI1248:AI1249"/>
    <mergeCell ref="AJ1248:AJ1249"/>
    <mergeCell ref="B1250:B1251"/>
    <mergeCell ref="C1250:C1251"/>
    <mergeCell ref="D1250:D1251"/>
    <mergeCell ref="E1250:E1251"/>
    <mergeCell ref="F1250:F1251"/>
    <mergeCell ref="W1248:W1249"/>
    <mergeCell ref="X1248:X1249"/>
    <mergeCell ref="Y1248:Y1249"/>
    <mergeCell ref="Z1248:Z1249"/>
    <mergeCell ref="AD1248:AD1249"/>
    <mergeCell ref="AE1248:AE1249"/>
    <mergeCell ref="Q1248:Q1249"/>
    <mergeCell ref="R1248:R1249"/>
    <mergeCell ref="S1248:S1249"/>
    <mergeCell ref="T1248:T1249"/>
    <mergeCell ref="U1248:U1249"/>
    <mergeCell ref="V1248:V1249"/>
    <mergeCell ref="K1248:K1249"/>
    <mergeCell ref="L1248:L1249"/>
    <mergeCell ref="M1248:M1249"/>
    <mergeCell ref="N1248:N1249"/>
    <mergeCell ref="O1248:O1249"/>
    <mergeCell ref="P1248:P1249"/>
    <mergeCell ref="AH1250:AH1251"/>
    <mergeCell ref="AI1250:AI1251"/>
    <mergeCell ref="AJ1250:AJ1251"/>
    <mergeCell ref="B1252:B1255"/>
    <mergeCell ref="C1252:C1255"/>
    <mergeCell ref="D1252:D1255"/>
    <mergeCell ref="E1252:E1255"/>
    <mergeCell ref="F1252:F1255"/>
    <mergeCell ref="G1252:G1255"/>
    <mergeCell ref="H1252:H1255"/>
    <mergeCell ref="Y1250:Y1251"/>
    <mergeCell ref="Z1250:Z1251"/>
    <mergeCell ref="AD1250:AD1251"/>
    <mergeCell ref="AE1250:AE1251"/>
    <mergeCell ref="AF1250:AF1251"/>
    <mergeCell ref="AG1250:AG1251"/>
    <mergeCell ref="S1250:S1251"/>
    <mergeCell ref="T1250:T1251"/>
    <mergeCell ref="U1250:U1251"/>
    <mergeCell ref="V1250:V1251"/>
    <mergeCell ref="W1250:W1251"/>
    <mergeCell ref="X1250:X1251"/>
    <mergeCell ref="M1250:M1251"/>
    <mergeCell ref="N1250:N1251"/>
    <mergeCell ref="O1250:O1251"/>
    <mergeCell ref="P1250:P1251"/>
    <mergeCell ref="Q1250:Q1251"/>
    <mergeCell ref="R1250:R1251"/>
    <mergeCell ref="G1250:G1251"/>
    <mergeCell ref="H1250:H1251"/>
    <mergeCell ref="I1250:I1251"/>
    <mergeCell ref="J1250:J1251"/>
    <mergeCell ref="K1250:K1251"/>
    <mergeCell ref="L1250:L1251"/>
    <mergeCell ref="L1256:L1257"/>
    <mergeCell ref="M1256:M1257"/>
    <mergeCell ref="AG1252:AG1255"/>
    <mergeCell ref="AH1252:AH1255"/>
    <mergeCell ref="AI1252:AI1255"/>
    <mergeCell ref="AJ1252:AJ1255"/>
    <mergeCell ref="B1256:B1257"/>
    <mergeCell ref="C1256:C1257"/>
    <mergeCell ref="D1256:D1257"/>
    <mergeCell ref="E1256:E1257"/>
    <mergeCell ref="F1256:F1257"/>
    <mergeCell ref="G1256:G1257"/>
    <mergeCell ref="U1252:U1255"/>
    <mergeCell ref="V1252:V1255"/>
    <mergeCell ref="W1252:W1255"/>
    <mergeCell ref="X1252:X1255"/>
    <mergeCell ref="Y1252:Y1255"/>
    <mergeCell ref="Z1252:Z1255"/>
    <mergeCell ref="O1252:O1255"/>
    <mergeCell ref="P1252:P1255"/>
    <mergeCell ref="Q1252:Q1255"/>
    <mergeCell ref="R1252:R1255"/>
    <mergeCell ref="S1252:S1255"/>
    <mergeCell ref="T1252:T1255"/>
    <mergeCell ref="I1252:I1255"/>
    <mergeCell ref="J1252:J1255"/>
    <mergeCell ref="K1252:K1255"/>
    <mergeCell ref="L1252:L1255"/>
    <mergeCell ref="M1252:M1255"/>
    <mergeCell ref="N1252:N1255"/>
    <mergeCell ref="AI1256:AI1257"/>
    <mergeCell ref="AJ1256:AJ1257"/>
    <mergeCell ref="O1258:O1259"/>
    <mergeCell ref="B1258:B1259"/>
    <mergeCell ref="C1258:C1259"/>
    <mergeCell ref="D1258:D1259"/>
    <mergeCell ref="E1258:E1259"/>
    <mergeCell ref="F1258:F1259"/>
    <mergeCell ref="G1258:G1259"/>
    <mergeCell ref="H1258:H1259"/>
    <mergeCell ref="I1258:I1259"/>
    <mergeCell ref="Z1256:Z1257"/>
    <mergeCell ref="AD1256:AD1257"/>
    <mergeCell ref="AE1256:AE1257"/>
    <mergeCell ref="AF1256:AF1257"/>
    <mergeCell ref="AG1256:AG1257"/>
    <mergeCell ref="AH1256:AH1257"/>
    <mergeCell ref="T1256:T1257"/>
    <mergeCell ref="U1256:U1257"/>
    <mergeCell ref="V1256:V1257"/>
    <mergeCell ref="W1256:W1257"/>
    <mergeCell ref="X1256:X1257"/>
    <mergeCell ref="Y1256:Y1257"/>
    <mergeCell ref="N1256:N1257"/>
    <mergeCell ref="O1256:O1257"/>
    <mergeCell ref="P1256:P1257"/>
    <mergeCell ref="Q1256:Q1257"/>
    <mergeCell ref="R1256:R1257"/>
    <mergeCell ref="S1256:S1257"/>
    <mergeCell ref="H1256:H1257"/>
    <mergeCell ref="I1256:I1257"/>
    <mergeCell ref="J1256:J1257"/>
    <mergeCell ref="K1256:K1257"/>
    <mergeCell ref="AH1258:AH1259"/>
    <mergeCell ref="J1261:J1262"/>
    <mergeCell ref="K1261:K1262"/>
    <mergeCell ref="L1261:L1262"/>
    <mergeCell ref="M1261:M1262"/>
    <mergeCell ref="B1261:B1262"/>
    <mergeCell ref="C1261:C1262"/>
    <mergeCell ref="D1261:D1262"/>
    <mergeCell ref="E1261:E1262"/>
    <mergeCell ref="F1261:F1262"/>
    <mergeCell ref="G1261:G1262"/>
    <mergeCell ref="AE1258:AE1259"/>
    <mergeCell ref="AF1258:AF1259"/>
    <mergeCell ref="AG1258:AG1259"/>
    <mergeCell ref="AI1258:AI1259"/>
    <mergeCell ref="AJ1258:AJ1259"/>
    <mergeCell ref="V1258:V1259"/>
    <mergeCell ref="W1258:W1259"/>
    <mergeCell ref="X1258:X1259"/>
    <mergeCell ref="Y1258:Y1259"/>
    <mergeCell ref="Z1258:Z1259"/>
    <mergeCell ref="AD1258:AD1259"/>
    <mergeCell ref="P1258:P1259"/>
    <mergeCell ref="Q1258:Q1259"/>
    <mergeCell ref="R1258:R1259"/>
    <mergeCell ref="S1258:S1259"/>
    <mergeCell ref="T1258:T1259"/>
    <mergeCell ref="U1258:U1259"/>
    <mergeCell ref="J1258:J1259"/>
    <mergeCell ref="K1258:K1259"/>
    <mergeCell ref="L1258:L1259"/>
    <mergeCell ref="M1258:M1259"/>
    <mergeCell ref="N1258:N1259"/>
    <mergeCell ref="N1263:N1264"/>
    <mergeCell ref="O1263:O1264"/>
    <mergeCell ref="AI1261:AI1262"/>
    <mergeCell ref="AJ1261:AJ1262"/>
    <mergeCell ref="B1263:B1264"/>
    <mergeCell ref="C1263:C1264"/>
    <mergeCell ref="D1263:D1264"/>
    <mergeCell ref="E1263:E1264"/>
    <mergeCell ref="F1263:F1264"/>
    <mergeCell ref="G1263:G1264"/>
    <mergeCell ref="H1263:H1264"/>
    <mergeCell ref="I1263:I1264"/>
    <mergeCell ref="Z1261:Z1262"/>
    <mergeCell ref="AD1261:AD1262"/>
    <mergeCell ref="AE1261:AE1262"/>
    <mergeCell ref="AF1261:AF1262"/>
    <mergeCell ref="AG1261:AG1262"/>
    <mergeCell ref="AH1261:AH1262"/>
    <mergeCell ref="T1261:T1262"/>
    <mergeCell ref="U1261:U1262"/>
    <mergeCell ref="V1261:V1262"/>
    <mergeCell ref="W1261:W1262"/>
    <mergeCell ref="X1261:X1262"/>
    <mergeCell ref="Y1261:Y1262"/>
    <mergeCell ref="N1261:N1262"/>
    <mergeCell ref="O1261:O1262"/>
    <mergeCell ref="P1261:P1262"/>
    <mergeCell ref="Q1261:Q1262"/>
    <mergeCell ref="R1261:R1262"/>
    <mergeCell ref="S1261:S1262"/>
    <mergeCell ref="H1261:H1262"/>
    <mergeCell ref="I1261:I1262"/>
    <mergeCell ref="J1265:J1266"/>
    <mergeCell ref="K1265:K1266"/>
    <mergeCell ref="L1265:L1266"/>
    <mergeCell ref="M1265:M1266"/>
    <mergeCell ref="B1265:B1266"/>
    <mergeCell ref="C1265:C1266"/>
    <mergeCell ref="D1265:D1266"/>
    <mergeCell ref="E1265:E1266"/>
    <mergeCell ref="F1265:F1266"/>
    <mergeCell ref="G1265:G1266"/>
    <mergeCell ref="AB1263:AB1264"/>
    <mergeCell ref="AC1263:AC1264"/>
    <mergeCell ref="AG1263:AG1264"/>
    <mergeCell ref="AH1263:AH1264"/>
    <mergeCell ref="AI1263:AI1264"/>
    <mergeCell ref="AJ1263:AJ1264"/>
    <mergeCell ref="V1263:V1264"/>
    <mergeCell ref="W1263:W1264"/>
    <mergeCell ref="X1263:X1264"/>
    <mergeCell ref="Y1263:Y1264"/>
    <mergeCell ref="Z1263:Z1264"/>
    <mergeCell ref="AA1263:AA1264"/>
    <mergeCell ref="P1263:P1264"/>
    <mergeCell ref="Q1263:Q1264"/>
    <mergeCell ref="R1263:R1264"/>
    <mergeCell ref="S1263:S1264"/>
    <mergeCell ref="T1263:T1264"/>
    <mergeCell ref="U1263:U1264"/>
    <mergeCell ref="J1263:J1264"/>
    <mergeCell ref="K1263:K1264"/>
    <mergeCell ref="L1263:L1264"/>
    <mergeCell ref="M1263:M1264"/>
    <mergeCell ref="N1267:N1268"/>
    <mergeCell ref="O1267:O1268"/>
    <mergeCell ref="AI1265:AI1266"/>
    <mergeCell ref="AJ1265:AJ1266"/>
    <mergeCell ref="B1267:B1268"/>
    <mergeCell ref="C1267:C1268"/>
    <mergeCell ref="D1267:D1268"/>
    <mergeCell ref="E1267:E1268"/>
    <mergeCell ref="F1267:F1268"/>
    <mergeCell ref="G1267:G1268"/>
    <mergeCell ref="H1267:H1268"/>
    <mergeCell ref="I1267:I1268"/>
    <mergeCell ref="Z1265:Z1266"/>
    <mergeCell ref="AD1265:AD1266"/>
    <mergeCell ref="AE1265:AE1266"/>
    <mergeCell ref="AF1265:AF1266"/>
    <mergeCell ref="AG1265:AG1266"/>
    <mergeCell ref="AH1265:AH1266"/>
    <mergeCell ref="T1265:T1266"/>
    <mergeCell ref="U1265:U1266"/>
    <mergeCell ref="V1265:V1266"/>
    <mergeCell ref="W1265:W1266"/>
    <mergeCell ref="X1265:X1266"/>
    <mergeCell ref="Y1265:Y1266"/>
    <mergeCell ref="N1265:N1266"/>
    <mergeCell ref="O1265:O1266"/>
    <mergeCell ref="P1265:P1266"/>
    <mergeCell ref="Q1265:Q1266"/>
    <mergeCell ref="R1265:R1266"/>
    <mergeCell ref="S1265:S1266"/>
    <mergeCell ref="H1265:H1266"/>
    <mergeCell ref="I1265:I1266"/>
    <mergeCell ref="AH1267:AH1268"/>
    <mergeCell ref="AI1267:AI1268"/>
    <mergeCell ref="AJ1267:AJ1268"/>
    <mergeCell ref="B1269:B1270"/>
    <mergeCell ref="C1269:C1270"/>
    <mergeCell ref="D1269:D1270"/>
    <mergeCell ref="E1269:E1270"/>
    <mergeCell ref="F1269:F1270"/>
    <mergeCell ref="G1269:G1270"/>
    <mergeCell ref="H1269:H1270"/>
    <mergeCell ref="AB1267:AB1268"/>
    <mergeCell ref="AC1267:AC1268"/>
    <mergeCell ref="AD1267:AD1268"/>
    <mergeCell ref="AE1267:AE1268"/>
    <mergeCell ref="AF1267:AF1268"/>
    <mergeCell ref="AG1267:AG1268"/>
    <mergeCell ref="V1267:V1268"/>
    <mergeCell ref="W1267:W1268"/>
    <mergeCell ref="X1267:X1268"/>
    <mergeCell ref="Y1267:Y1268"/>
    <mergeCell ref="Z1267:Z1268"/>
    <mergeCell ref="AA1267:AA1268"/>
    <mergeCell ref="P1267:P1268"/>
    <mergeCell ref="Q1267:Q1268"/>
    <mergeCell ref="R1267:R1268"/>
    <mergeCell ref="S1267:S1268"/>
    <mergeCell ref="T1267:T1268"/>
    <mergeCell ref="U1267:U1268"/>
    <mergeCell ref="J1267:J1268"/>
    <mergeCell ref="K1267:K1268"/>
    <mergeCell ref="L1267:L1268"/>
    <mergeCell ref="M1267:M1268"/>
    <mergeCell ref="AH1269:AH1270"/>
    <mergeCell ref="AI1269:AI1270"/>
    <mergeCell ref="AJ1269:AJ1270"/>
    <mergeCell ref="B1271:B1273"/>
    <mergeCell ref="C1271:C1273"/>
    <mergeCell ref="D1271:D1273"/>
    <mergeCell ref="E1271:E1273"/>
    <mergeCell ref="F1271:F1273"/>
    <mergeCell ref="G1271:G1273"/>
    <mergeCell ref="AA1269:AA1270"/>
    <mergeCell ref="AB1269:AB1270"/>
    <mergeCell ref="AC1269:AC1270"/>
    <mergeCell ref="AD1269:AD1270"/>
    <mergeCell ref="AE1269:AE1270"/>
    <mergeCell ref="AF1269:AF1270"/>
    <mergeCell ref="U1269:U1270"/>
    <mergeCell ref="V1269:V1270"/>
    <mergeCell ref="W1269:W1270"/>
    <mergeCell ref="X1269:X1270"/>
    <mergeCell ref="Y1269:Y1270"/>
    <mergeCell ref="Z1269:Z1270"/>
    <mergeCell ref="O1269:O1270"/>
    <mergeCell ref="P1269:P1270"/>
    <mergeCell ref="Q1269:Q1270"/>
    <mergeCell ref="R1269:R1270"/>
    <mergeCell ref="S1269:S1270"/>
    <mergeCell ref="T1269:T1270"/>
    <mergeCell ref="I1269:I1270"/>
    <mergeCell ref="J1269:J1270"/>
    <mergeCell ref="K1269:K1270"/>
    <mergeCell ref="L1269:L1270"/>
    <mergeCell ref="M1269:M1270"/>
    <mergeCell ref="V1271:V1273"/>
    <mergeCell ref="W1271:W1273"/>
    <mergeCell ref="X1271:X1273"/>
    <mergeCell ref="Y1271:Y1273"/>
    <mergeCell ref="N1271:N1273"/>
    <mergeCell ref="O1271:O1273"/>
    <mergeCell ref="P1271:P1273"/>
    <mergeCell ref="Q1271:Q1273"/>
    <mergeCell ref="R1271:R1273"/>
    <mergeCell ref="S1271:S1273"/>
    <mergeCell ref="H1271:H1273"/>
    <mergeCell ref="I1271:I1273"/>
    <mergeCell ref="J1271:J1273"/>
    <mergeCell ref="K1271:K1273"/>
    <mergeCell ref="L1271:L1273"/>
    <mergeCell ref="M1271:M1273"/>
    <mergeCell ref="AG1269:AG1270"/>
    <mergeCell ref="N1269:N1270"/>
    <mergeCell ref="AA1274:AA1275"/>
    <mergeCell ref="AB1274:AB1275"/>
    <mergeCell ref="Q1274:Q1275"/>
    <mergeCell ref="R1274:R1275"/>
    <mergeCell ref="S1274:S1275"/>
    <mergeCell ref="T1274:T1275"/>
    <mergeCell ref="U1274:U1275"/>
    <mergeCell ref="V1274:V1275"/>
    <mergeCell ref="K1274:K1275"/>
    <mergeCell ref="L1274:L1275"/>
    <mergeCell ref="M1274:M1275"/>
    <mergeCell ref="N1274:N1275"/>
    <mergeCell ref="O1274:O1275"/>
    <mergeCell ref="P1274:P1275"/>
    <mergeCell ref="AJ1271:AJ1273"/>
    <mergeCell ref="B1274:B1275"/>
    <mergeCell ref="C1274:C1275"/>
    <mergeCell ref="D1274:D1275"/>
    <mergeCell ref="E1274:E1275"/>
    <mergeCell ref="F1274:F1275"/>
    <mergeCell ref="G1274:G1275"/>
    <mergeCell ref="H1274:H1275"/>
    <mergeCell ref="I1274:I1275"/>
    <mergeCell ref="J1274:J1275"/>
    <mergeCell ref="Z1271:Z1273"/>
    <mergeCell ref="AC1271:AC1273"/>
    <mergeCell ref="AF1271:AF1273"/>
    <mergeCell ref="AG1271:AG1273"/>
    <mergeCell ref="AH1271:AH1273"/>
    <mergeCell ref="AI1271:AI1273"/>
    <mergeCell ref="T1271:T1273"/>
    <mergeCell ref="U1271:U1273"/>
    <mergeCell ref="P1276:P1277"/>
    <mergeCell ref="Q1276:Q1277"/>
    <mergeCell ref="R1276:R1277"/>
    <mergeCell ref="S1276:S1277"/>
    <mergeCell ref="T1276:T1277"/>
    <mergeCell ref="U1276:U1277"/>
    <mergeCell ref="J1276:J1277"/>
    <mergeCell ref="K1276:K1277"/>
    <mergeCell ref="L1276:L1277"/>
    <mergeCell ref="M1276:M1277"/>
    <mergeCell ref="N1276:N1277"/>
    <mergeCell ref="O1276:O1277"/>
    <mergeCell ref="AI1274:AI1275"/>
    <mergeCell ref="AJ1274:AJ1275"/>
    <mergeCell ref="B1276:B1277"/>
    <mergeCell ref="C1276:C1277"/>
    <mergeCell ref="D1276:D1277"/>
    <mergeCell ref="E1276:E1277"/>
    <mergeCell ref="F1276:F1277"/>
    <mergeCell ref="G1276:G1277"/>
    <mergeCell ref="H1276:H1277"/>
    <mergeCell ref="I1276:I1277"/>
    <mergeCell ref="AC1274:AC1275"/>
    <mergeCell ref="AD1274:AD1275"/>
    <mergeCell ref="AE1274:AE1275"/>
    <mergeCell ref="AF1274:AF1275"/>
    <mergeCell ref="AG1274:AG1275"/>
    <mergeCell ref="AH1274:AH1275"/>
    <mergeCell ref="W1274:W1275"/>
    <mergeCell ref="X1274:X1275"/>
    <mergeCell ref="Y1274:Y1275"/>
    <mergeCell ref="Z1274:Z1275"/>
    <mergeCell ref="Q1278:Q1279"/>
    <mergeCell ref="R1278:R1279"/>
    <mergeCell ref="S1278:S1279"/>
    <mergeCell ref="T1278:T1279"/>
    <mergeCell ref="I1278:I1279"/>
    <mergeCell ref="J1278:J1279"/>
    <mergeCell ref="K1278:K1279"/>
    <mergeCell ref="L1278:L1279"/>
    <mergeCell ref="M1278:M1279"/>
    <mergeCell ref="N1278:N1279"/>
    <mergeCell ref="AH1276:AH1277"/>
    <mergeCell ref="AI1276:AI1277"/>
    <mergeCell ref="AJ1276:AJ1277"/>
    <mergeCell ref="B1278:B1279"/>
    <mergeCell ref="C1278:C1279"/>
    <mergeCell ref="D1278:D1279"/>
    <mergeCell ref="E1278:E1279"/>
    <mergeCell ref="F1278:F1279"/>
    <mergeCell ref="G1278:G1279"/>
    <mergeCell ref="H1278:H1279"/>
    <mergeCell ref="AB1276:AB1277"/>
    <mergeCell ref="AC1276:AC1277"/>
    <mergeCell ref="AD1276:AD1277"/>
    <mergeCell ref="AE1276:AE1277"/>
    <mergeCell ref="AF1276:AF1277"/>
    <mergeCell ref="AG1276:AG1277"/>
    <mergeCell ref="V1276:V1277"/>
    <mergeCell ref="W1276:W1277"/>
    <mergeCell ref="X1276:X1277"/>
    <mergeCell ref="Y1276:Y1277"/>
    <mergeCell ref="Z1276:Z1277"/>
    <mergeCell ref="AA1276:AA1277"/>
    <mergeCell ref="R1280:R1282"/>
    <mergeCell ref="S1280:S1282"/>
    <mergeCell ref="H1280:H1282"/>
    <mergeCell ref="I1280:I1282"/>
    <mergeCell ref="J1280:J1282"/>
    <mergeCell ref="K1280:K1282"/>
    <mergeCell ref="L1280:L1282"/>
    <mergeCell ref="M1280:M1282"/>
    <mergeCell ref="AG1278:AG1279"/>
    <mergeCell ref="AH1278:AH1279"/>
    <mergeCell ref="AI1278:AI1279"/>
    <mergeCell ref="AJ1278:AJ1279"/>
    <mergeCell ref="B1280:B1282"/>
    <mergeCell ref="C1280:C1282"/>
    <mergeCell ref="D1280:D1282"/>
    <mergeCell ref="E1280:E1282"/>
    <mergeCell ref="F1280:F1282"/>
    <mergeCell ref="G1280:G1282"/>
    <mergeCell ref="AA1278:AA1279"/>
    <mergeCell ref="AB1278:AB1279"/>
    <mergeCell ref="AC1278:AC1279"/>
    <mergeCell ref="AD1278:AD1279"/>
    <mergeCell ref="AE1278:AE1279"/>
    <mergeCell ref="AF1278:AF1279"/>
    <mergeCell ref="U1278:U1279"/>
    <mergeCell ref="V1278:V1279"/>
    <mergeCell ref="W1278:W1279"/>
    <mergeCell ref="X1278:X1279"/>
    <mergeCell ref="Y1278:Y1279"/>
    <mergeCell ref="Z1278:Z1279"/>
    <mergeCell ref="O1278:O1279"/>
    <mergeCell ref="P1278:P1279"/>
    <mergeCell ref="K1283:K1285"/>
    <mergeCell ref="L1283:L1285"/>
    <mergeCell ref="M1283:M1285"/>
    <mergeCell ref="N1283:N1285"/>
    <mergeCell ref="O1283:O1285"/>
    <mergeCell ref="P1283:P1285"/>
    <mergeCell ref="AJ1280:AJ1282"/>
    <mergeCell ref="B1283:B1285"/>
    <mergeCell ref="C1283:C1285"/>
    <mergeCell ref="D1283:D1285"/>
    <mergeCell ref="E1283:E1285"/>
    <mergeCell ref="F1283:F1285"/>
    <mergeCell ref="G1283:G1285"/>
    <mergeCell ref="H1283:H1285"/>
    <mergeCell ref="I1283:I1285"/>
    <mergeCell ref="J1283:J1285"/>
    <mergeCell ref="Z1280:Z1282"/>
    <mergeCell ref="AC1280:AC1282"/>
    <mergeCell ref="AF1280:AF1282"/>
    <mergeCell ref="AG1280:AG1282"/>
    <mergeCell ref="AH1280:AH1282"/>
    <mergeCell ref="AI1280:AI1282"/>
    <mergeCell ref="T1280:T1282"/>
    <mergeCell ref="U1280:U1282"/>
    <mergeCell ref="V1280:V1282"/>
    <mergeCell ref="W1280:W1282"/>
    <mergeCell ref="X1280:X1282"/>
    <mergeCell ref="Y1280:Y1282"/>
    <mergeCell ref="N1280:N1282"/>
    <mergeCell ref="O1280:O1282"/>
    <mergeCell ref="P1280:P1282"/>
    <mergeCell ref="Q1280:Q1282"/>
    <mergeCell ref="AE1283:AE1285"/>
    <mergeCell ref="AF1283:AF1285"/>
    <mergeCell ref="AG1283:AG1285"/>
    <mergeCell ref="AH1283:AH1285"/>
    <mergeCell ref="AI1283:AI1285"/>
    <mergeCell ref="AJ1283:AJ1285"/>
    <mergeCell ref="W1283:W1285"/>
    <mergeCell ref="X1283:X1285"/>
    <mergeCell ref="Y1283:Y1285"/>
    <mergeCell ref="Z1283:Z1285"/>
    <mergeCell ref="AC1283:AC1285"/>
    <mergeCell ref="AD1283:AD1285"/>
    <mergeCell ref="Q1283:Q1285"/>
    <mergeCell ref="R1283:R1285"/>
    <mergeCell ref="S1283:S1285"/>
    <mergeCell ref="T1283:T1285"/>
    <mergeCell ref="U1283:U1285"/>
    <mergeCell ref="V1283:V1285"/>
    <mergeCell ref="X1286:X1288"/>
    <mergeCell ref="Y1286:Y1288"/>
    <mergeCell ref="N1286:N1288"/>
    <mergeCell ref="O1286:O1288"/>
    <mergeCell ref="P1286:P1288"/>
    <mergeCell ref="Q1286:Q1288"/>
    <mergeCell ref="R1286:R1288"/>
    <mergeCell ref="S1286:S1288"/>
    <mergeCell ref="H1286:H1288"/>
    <mergeCell ref="I1286:I1288"/>
    <mergeCell ref="J1286:J1288"/>
    <mergeCell ref="K1286:K1288"/>
    <mergeCell ref="L1286:L1288"/>
    <mergeCell ref="M1286:M1288"/>
    <mergeCell ref="B1286:B1288"/>
    <mergeCell ref="C1286:C1288"/>
    <mergeCell ref="D1286:D1288"/>
    <mergeCell ref="E1286:E1288"/>
    <mergeCell ref="F1286:F1288"/>
    <mergeCell ref="G1286:G1288"/>
    <mergeCell ref="Q1289:Q1290"/>
    <mergeCell ref="R1289:R1290"/>
    <mergeCell ref="S1289:S1290"/>
    <mergeCell ref="T1289:T1290"/>
    <mergeCell ref="U1289:U1290"/>
    <mergeCell ref="V1289:V1290"/>
    <mergeCell ref="K1289:K1290"/>
    <mergeCell ref="L1289:L1290"/>
    <mergeCell ref="M1289:M1290"/>
    <mergeCell ref="N1289:N1290"/>
    <mergeCell ref="O1289:O1290"/>
    <mergeCell ref="P1289:P1290"/>
    <mergeCell ref="AJ1286:AJ1288"/>
    <mergeCell ref="B1289:B1290"/>
    <mergeCell ref="C1289:C1290"/>
    <mergeCell ref="D1289:D1290"/>
    <mergeCell ref="E1289:E1290"/>
    <mergeCell ref="F1289:F1290"/>
    <mergeCell ref="G1289:G1290"/>
    <mergeCell ref="H1289:H1290"/>
    <mergeCell ref="I1289:I1290"/>
    <mergeCell ref="J1289:J1290"/>
    <mergeCell ref="Z1286:Z1288"/>
    <mergeCell ref="AC1286:AC1288"/>
    <mergeCell ref="AF1286:AF1288"/>
    <mergeCell ref="AG1286:AG1288"/>
    <mergeCell ref="AH1286:AH1288"/>
    <mergeCell ref="AI1286:AI1288"/>
    <mergeCell ref="T1286:T1288"/>
    <mergeCell ref="U1286:U1288"/>
    <mergeCell ref="V1286:V1288"/>
    <mergeCell ref="W1286:W1288"/>
    <mergeCell ref="R1291:R1292"/>
    <mergeCell ref="S1291:S1292"/>
    <mergeCell ref="T1291:T1292"/>
    <mergeCell ref="U1291:U1292"/>
    <mergeCell ref="J1291:J1292"/>
    <mergeCell ref="K1291:K1292"/>
    <mergeCell ref="L1291:L1292"/>
    <mergeCell ref="M1291:M1292"/>
    <mergeCell ref="N1291:N1292"/>
    <mergeCell ref="O1291:O1292"/>
    <mergeCell ref="AI1289:AI1290"/>
    <mergeCell ref="AJ1289:AJ1290"/>
    <mergeCell ref="B1291:B1292"/>
    <mergeCell ref="C1291:C1292"/>
    <mergeCell ref="D1291:D1292"/>
    <mergeCell ref="E1291:E1292"/>
    <mergeCell ref="F1291:F1292"/>
    <mergeCell ref="G1291:G1292"/>
    <mergeCell ref="H1291:H1292"/>
    <mergeCell ref="I1291:I1292"/>
    <mergeCell ref="AC1289:AC1290"/>
    <mergeCell ref="AD1289:AD1290"/>
    <mergeCell ref="AE1289:AE1290"/>
    <mergeCell ref="AF1289:AF1290"/>
    <mergeCell ref="AG1289:AG1290"/>
    <mergeCell ref="AH1289:AH1290"/>
    <mergeCell ref="W1289:W1290"/>
    <mergeCell ref="X1289:X1290"/>
    <mergeCell ref="Y1289:Y1290"/>
    <mergeCell ref="Z1289:Z1290"/>
    <mergeCell ref="AA1289:AA1290"/>
    <mergeCell ref="AB1289:AB1290"/>
    <mergeCell ref="S1293:S1295"/>
    <mergeCell ref="T1293:T1295"/>
    <mergeCell ref="I1293:I1295"/>
    <mergeCell ref="J1293:J1295"/>
    <mergeCell ref="K1293:K1295"/>
    <mergeCell ref="L1293:L1295"/>
    <mergeCell ref="M1293:M1295"/>
    <mergeCell ref="N1293:N1295"/>
    <mergeCell ref="AH1291:AH1292"/>
    <mergeCell ref="AI1291:AI1292"/>
    <mergeCell ref="AJ1291:AJ1292"/>
    <mergeCell ref="B1293:B1295"/>
    <mergeCell ref="C1293:C1295"/>
    <mergeCell ref="D1293:D1295"/>
    <mergeCell ref="E1293:E1295"/>
    <mergeCell ref="F1293:F1295"/>
    <mergeCell ref="G1293:G1295"/>
    <mergeCell ref="H1293:H1295"/>
    <mergeCell ref="AB1291:AB1292"/>
    <mergeCell ref="AC1291:AC1292"/>
    <mergeCell ref="AD1291:AD1292"/>
    <mergeCell ref="AE1291:AE1292"/>
    <mergeCell ref="AF1291:AF1292"/>
    <mergeCell ref="AG1291:AG1292"/>
    <mergeCell ref="V1291:V1292"/>
    <mergeCell ref="W1291:W1292"/>
    <mergeCell ref="X1291:X1292"/>
    <mergeCell ref="Y1291:Y1292"/>
    <mergeCell ref="Z1291:Z1292"/>
    <mergeCell ref="AA1291:AA1292"/>
    <mergeCell ref="P1291:P1292"/>
    <mergeCell ref="Q1291:Q1292"/>
    <mergeCell ref="N1296:N1298"/>
    <mergeCell ref="O1296:O1298"/>
    <mergeCell ref="AJ1299:AJ1300"/>
    <mergeCell ref="Y1299:Y1300"/>
    <mergeCell ref="Z1299:Z1300"/>
    <mergeCell ref="AA1299:AA1300"/>
    <mergeCell ref="AI1293:AI1295"/>
    <mergeCell ref="AJ1293:AJ1295"/>
    <mergeCell ref="B1296:B1298"/>
    <mergeCell ref="C1296:C1298"/>
    <mergeCell ref="D1296:D1298"/>
    <mergeCell ref="E1296:E1298"/>
    <mergeCell ref="F1296:F1298"/>
    <mergeCell ref="G1296:G1298"/>
    <mergeCell ref="H1296:H1298"/>
    <mergeCell ref="I1296:I1298"/>
    <mergeCell ref="AA1293:AA1295"/>
    <mergeCell ref="AB1293:AB1295"/>
    <mergeCell ref="AC1293:AC1295"/>
    <mergeCell ref="AF1293:AF1295"/>
    <mergeCell ref="AG1293:AG1295"/>
    <mergeCell ref="AH1293:AH1295"/>
    <mergeCell ref="U1293:U1295"/>
    <mergeCell ref="V1293:V1295"/>
    <mergeCell ref="W1293:W1295"/>
    <mergeCell ref="X1293:X1295"/>
    <mergeCell ref="Y1293:Y1295"/>
    <mergeCell ref="Z1293:Z1295"/>
    <mergeCell ref="O1293:O1295"/>
    <mergeCell ref="P1293:P1295"/>
    <mergeCell ref="Q1293:Q1295"/>
    <mergeCell ref="R1293:R1295"/>
    <mergeCell ref="H1301:H1303"/>
    <mergeCell ref="I1301:I1303"/>
    <mergeCell ref="J1301:J1303"/>
    <mergeCell ref="K1301:K1303"/>
    <mergeCell ref="L1301:L1303"/>
    <mergeCell ref="M1301:M1303"/>
    <mergeCell ref="AF1296:AF1298"/>
    <mergeCell ref="AG1296:AG1298"/>
    <mergeCell ref="AH1296:AH1298"/>
    <mergeCell ref="AI1296:AI1298"/>
    <mergeCell ref="AJ1296:AJ1298"/>
    <mergeCell ref="B1299:B1300"/>
    <mergeCell ref="C1299:C1300"/>
    <mergeCell ref="D1299:D1300"/>
    <mergeCell ref="E1299:E1300"/>
    <mergeCell ref="F1299:F1300"/>
    <mergeCell ref="V1296:V1298"/>
    <mergeCell ref="W1296:W1298"/>
    <mergeCell ref="X1296:X1298"/>
    <mergeCell ref="Y1296:Y1298"/>
    <mergeCell ref="Z1296:Z1298"/>
    <mergeCell ref="AC1296:AC1298"/>
    <mergeCell ref="P1296:P1298"/>
    <mergeCell ref="Q1296:Q1298"/>
    <mergeCell ref="R1296:R1298"/>
    <mergeCell ref="S1296:S1298"/>
    <mergeCell ref="T1296:T1298"/>
    <mergeCell ref="U1296:U1298"/>
    <mergeCell ref="J1296:J1298"/>
    <mergeCell ref="K1296:K1298"/>
    <mergeCell ref="L1296:L1298"/>
    <mergeCell ref="M1296:M1298"/>
    <mergeCell ref="B1301:B1303"/>
    <mergeCell ref="C1301:C1303"/>
    <mergeCell ref="D1301:D1303"/>
    <mergeCell ref="E1301:E1303"/>
    <mergeCell ref="F1301:F1303"/>
    <mergeCell ref="G1301:G1303"/>
    <mergeCell ref="AE1299:AE1300"/>
    <mergeCell ref="AF1299:AF1300"/>
    <mergeCell ref="AG1299:AG1300"/>
    <mergeCell ref="AH1299:AH1300"/>
    <mergeCell ref="AI1299:AI1300"/>
    <mergeCell ref="G1299:G1300"/>
    <mergeCell ref="H1299:H1300"/>
    <mergeCell ref="I1299:I1300"/>
    <mergeCell ref="J1299:J1300"/>
    <mergeCell ref="K1299:K1300"/>
    <mergeCell ref="L1299:L1300"/>
    <mergeCell ref="AB1299:AB1300"/>
    <mergeCell ref="AC1299:AC1300"/>
    <mergeCell ref="AD1299:AD1300"/>
    <mergeCell ref="S1299:S1300"/>
    <mergeCell ref="T1299:T1300"/>
    <mergeCell ref="U1299:U1300"/>
    <mergeCell ref="V1299:V1300"/>
    <mergeCell ref="W1299:W1300"/>
    <mergeCell ref="X1299:X1300"/>
    <mergeCell ref="M1299:M1300"/>
    <mergeCell ref="N1299:N1300"/>
    <mergeCell ref="O1299:O1300"/>
    <mergeCell ref="P1299:P1300"/>
    <mergeCell ref="Q1299:Q1300"/>
    <mergeCell ref="R1299:R1300"/>
    <mergeCell ref="K1304:K1305"/>
    <mergeCell ref="L1304:L1305"/>
    <mergeCell ref="M1304:M1305"/>
    <mergeCell ref="N1304:N1305"/>
    <mergeCell ref="AH1301:AH1303"/>
    <mergeCell ref="AI1301:AI1303"/>
    <mergeCell ref="AJ1301:AJ1303"/>
    <mergeCell ref="B1304:B1305"/>
    <mergeCell ref="C1304:C1305"/>
    <mergeCell ref="D1304:D1305"/>
    <mergeCell ref="E1304:E1305"/>
    <mergeCell ref="F1304:F1305"/>
    <mergeCell ref="G1304:G1305"/>
    <mergeCell ref="H1304:H1305"/>
    <mergeCell ref="Z1301:Z1303"/>
    <mergeCell ref="AC1301:AC1303"/>
    <mergeCell ref="AD1301:AD1303"/>
    <mergeCell ref="AE1301:AE1303"/>
    <mergeCell ref="AF1301:AF1303"/>
    <mergeCell ref="AG1301:AG1303"/>
    <mergeCell ref="T1301:T1303"/>
    <mergeCell ref="U1301:U1303"/>
    <mergeCell ref="V1301:V1303"/>
    <mergeCell ref="W1301:W1303"/>
    <mergeCell ref="X1301:X1303"/>
    <mergeCell ref="Y1301:Y1303"/>
    <mergeCell ref="N1301:N1303"/>
    <mergeCell ref="O1301:O1303"/>
    <mergeCell ref="P1301:P1303"/>
    <mergeCell ref="Q1301:Q1303"/>
    <mergeCell ref="R1301:R1303"/>
    <mergeCell ref="S1301:S1303"/>
    <mergeCell ref="L1306:L1307"/>
    <mergeCell ref="M1306:M1307"/>
    <mergeCell ref="AG1304:AG1305"/>
    <mergeCell ref="AH1304:AH1305"/>
    <mergeCell ref="AI1304:AI1305"/>
    <mergeCell ref="AJ1304:AJ1305"/>
    <mergeCell ref="B1306:B1307"/>
    <mergeCell ref="C1306:C1307"/>
    <mergeCell ref="D1306:D1307"/>
    <mergeCell ref="E1306:E1307"/>
    <mergeCell ref="F1306:F1307"/>
    <mergeCell ref="G1306:G1307"/>
    <mergeCell ref="AA1304:AA1305"/>
    <mergeCell ref="AB1304:AB1305"/>
    <mergeCell ref="AC1304:AC1305"/>
    <mergeCell ref="AD1304:AD1305"/>
    <mergeCell ref="AE1304:AE1305"/>
    <mergeCell ref="AF1304:AF1305"/>
    <mergeCell ref="U1304:U1305"/>
    <mergeCell ref="V1304:V1305"/>
    <mergeCell ref="W1304:W1305"/>
    <mergeCell ref="X1304:X1305"/>
    <mergeCell ref="Y1304:Y1305"/>
    <mergeCell ref="Z1304:Z1305"/>
    <mergeCell ref="O1304:O1305"/>
    <mergeCell ref="P1304:P1305"/>
    <mergeCell ref="Q1304:Q1305"/>
    <mergeCell ref="R1304:R1305"/>
    <mergeCell ref="S1304:S1305"/>
    <mergeCell ref="T1304:T1305"/>
    <mergeCell ref="I1304:I1305"/>
    <mergeCell ref="J1304:J1305"/>
    <mergeCell ref="AF1306:AF1307"/>
    <mergeCell ref="AG1306:AG1307"/>
    <mergeCell ref="AH1306:AH1307"/>
    <mergeCell ref="AI1306:AI1307"/>
    <mergeCell ref="AJ1306:AJ1307"/>
    <mergeCell ref="B1308:B1309"/>
    <mergeCell ref="C1308:C1309"/>
    <mergeCell ref="D1308:D1309"/>
    <mergeCell ref="E1308:E1309"/>
    <mergeCell ref="F1308:F1309"/>
    <mergeCell ref="Z1306:Z1307"/>
    <mergeCell ref="AA1306:AA1307"/>
    <mergeCell ref="AB1306:AB1307"/>
    <mergeCell ref="AC1306:AC1307"/>
    <mergeCell ref="AD1306:AD1307"/>
    <mergeCell ref="AE1306:AE1307"/>
    <mergeCell ref="T1306:T1307"/>
    <mergeCell ref="U1306:U1307"/>
    <mergeCell ref="V1306:V1307"/>
    <mergeCell ref="W1306:W1307"/>
    <mergeCell ref="X1306:X1307"/>
    <mergeCell ref="Y1306:Y1307"/>
    <mergeCell ref="N1306:N1307"/>
    <mergeCell ref="O1306:O1307"/>
    <mergeCell ref="P1306:P1307"/>
    <mergeCell ref="Q1306:Q1307"/>
    <mergeCell ref="R1306:R1307"/>
    <mergeCell ref="S1306:S1307"/>
    <mergeCell ref="H1306:H1307"/>
    <mergeCell ref="I1306:I1307"/>
    <mergeCell ref="J1306:J1307"/>
    <mergeCell ref="K1306:K1307"/>
    <mergeCell ref="AH1308:AH1309"/>
    <mergeCell ref="AI1308:AI1309"/>
    <mergeCell ref="AJ1308:AJ1309"/>
    <mergeCell ref="Y1308:Y1309"/>
    <mergeCell ref="Z1308:Z1309"/>
    <mergeCell ref="AA1308:AA1309"/>
    <mergeCell ref="AB1308:AB1309"/>
    <mergeCell ref="AC1308:AC1309"/>
    <mergeCell ref="AD1308:AD1309"/>
    <mergeCell ref="S1308:S1309"/>
    <mergeCell ref="T1308:T1309"/>
    <mergeCell ref="U1308:U1309"/>
    <mergeCell ref="V1308:V1309"/>
    <mergeCell ref="W1308:W1309"/>
    <mergeCell ref="X1308:X1309"/>
    <mergeCell ref="M1308:M1309"/>
    <mergeCell ref="N1308:N1309"/>
    <mergeCell ref="O1308:O1309"/>
    <mergeCell ref="P1308:P1309"/>
    <mergeCell ref="Q1308:Q1309"/>
    <mergeCell ref="R1308:R1309"/>
    <mergeCell ref="R1310:R1311"/>
    <mergeCell ref="S1310:S1311"/>
    <mergeCell ref="H1310:H1311"/>
    <mergeCell ref="I1310:I1311"/>
    <mergeCell ref="J1310:J1311"/>
    <mergeCell ref="K1310:K1311"/>
    <mergeCell ref="L1310:L1311"/>
    <mergeCell ref="M1310:M1311"/>
    <mergeCell ref="B1310:B1311"/>
    <mergeCell ref="C1310:C1311"/>
    <mergeCell ref="D1310:D1311"/>
    <mergeCell ref="E1310:E1311"/>
    <mergeCell ref="F1310:F1311"/>
    <mergeCell ref="G1310:G1311"/>
    <mergeCell ref="AE1308:AE1309"/>
    <mergeCell ref="AF1308:AF1309"/>
    <mergeCell ref="AG1308:AG1309"/>
    <mergeCell ref="G1308:G1309"/>
    <mergeCell ref="H1308:H1309"/>
    <mergeCell ref="I1308:I1309"/>
    <mergeCell ref="J1308:J1309"/>
    <mergeCell ref="K1308:K1309"/>
    <mergeCell ref="L1308:L1309"/>
    <mergeCell ref="G1312:G1313"/>
    <mergeCell ref="H1312:H1313"/>
    <mergeCell ref="I1312:I1313"/>
    <mergeCell ref="J1312:J1313"/>
    <mergeCell ref="K1312:K1313"/>
    <mergeCell ref="L1312:L1313"/>
    <mergeCell ref="AF1310:AF1311"/>
    <mergeCell ref="AG1310:AG1311"/>
    <mergeCell ref="AH1310:AH1311"/>
    <mergeCell ref="AI1310:AI1311"/>
    <mergeCell ref="AJ1310:AJ1311"/>
    <mergeCell ref="B1312:B1313"/>
    <mergeCell ref="C1312:C1313"/>
    <mergeCell ref="D1312:D1313"/>
    <mergeCell ref="E1312:E1313"/>
    <mergeCell ref="F1312:F1313"/>
    <mergeCell ref="Z1310:Z1311"/>
    <mergeCell ref="AA1310:AA1311"/>
    <mergeCell ref="AB1310:AB1311"/>
    <mergeCell ref="AC1310:AC1311"/>
    <mergeCell ref="AD1310:AD1311"/>
    <mergeCell ref="AE1310:AE1311"/>
    <mergeCell ref="T1310:T1311"/>
    <mergeCell ref="U1310:U1311"/>
    <mergeCell ref="V1310:V1311"/>
    <mergeCell ref="W1310:W1311"/>
    <mergeCell ref="X1310:X1311"/>
    <mergeCell ref="Y1310:Y1311"/>
    <mergeCell ref="N1310:N1311"/>
    <mergeCell ref="O1310:O1311"/>
    <mergeCell ref="P1310:P1311"/>
    <mergeCell ref="Q1310:Q1311"/>
    <mergeCell ref="L1314:L1315"/>
    <mergeCell ref="M1314:M1315"/>
    <mergeCell ref="B1314:B1315"/>
    <mergeCell ref="C1314:C1315"/>
    <mergeCell ref="D1314:D1315"/>
    <mergeCell ref="E1314:E1315"/>
    <mergeCell ref="F1314:F1315"/>
    <mergeCell ref="G1314:G1315"/>
    <mergeCell ref="AE1312:AE1313"/>
    <mergeCell ref="AF1312:AF1313"/>
    <mergeCell ref="AG1312:AG1313"/>
    <mergeCell ref="AH1312:AH1313"/>
    <mergeCell ref="AI1312:AI1313"/>
    <mergeCell ref="AJ1312:AJ1313"/>
    <mergeCell ref="Y1312:Y1313"/>
    <mergeCell ref="Z1312:Z1313"/>
    <mergeCell ref="AA1312:AA1313"/>
    <mergeCell ref="AB1312:AB1313"/>
    <mergeCell ref="AC1312:AC1313"/>
    <mergeCell ref="AD1312:AD1313"/>
    <mergeCell ref="S1312:S1313"/>
    <mergeCell ref="T1312:T1313"/>
    <mergeCell ref="U1312:U1313"/>
    <mergeCell ref="V1312:V1313"/>
    <mergeCell ref="W1312:W1313"/>
    <mergeCell ref="X1312:X1313"/>
    <mergeCell ref="M1312:M1313"/>
    <mergeCell ref="N1312:N1313"/>
    <mergeCell ref="O1312:O1313"/>
    <mergeCell ref="P1312:P1313"/>
    <mergeCell ref="Q1312:Q1313"/>
    <mergeCell ref="R1312:R1313"/>
    <mergeCell ref="AF1314:AF1315"/>
    <mergeCell ref="AG1314:AG1315"/>
    <mergeCell ref="AH1314:AH1315"/>
    <mergeCell ref="AI1314:AI1315"/>
    <mergeCell ref="AJ1314:AJ1315"/>
    <mergeCell ref="B1316:B1317"/>
    <mergeCell ref="C1316:C1317"/>
    <mergeCell ref="D1316:D1317"/>
    <mergeCell ref="E1316:E1317"/>
    <mergeCell ref="F1316:F1317"/>
    <mergeCell ref="Z1314:Z1315"/>
    <mergeCell ref="AA1314:AA1315"/>
    <mergeCell ref="AB1314:AB1315"/>
    <mergeCell ref="AC1314:AC1315"/>
    <mergeCell ref="AD1314:AD1315"/>
    <mergeCell ref="AE1314:AE1315"/>
    <mergeCell ref="T1314:T1315"/>
    <mergeCell ref="U1314:U1315"/>
    <mergeCell ref="V1314:V1315"/>
    <mergeCell ref="W1314:W1315"/>
    <mergeCell ref="X1314:X1315"/>
    <mergeCell ref="Y1314:Y1315"/>
    <mergeCell ref="N1314:N1315"/>
    <mergeCell ref="O1314:O1315"/>
    <mergeCell ref="P1314:P1315"/>
    <mergeCell ref="Q1314:Q1315"/>
    <mergeCell ref="R1314:R1315"/>
    <mergeCell ref="S1314:S1315"/>
    <mergeCell ref="H1314:H1315"/>
    <mergeCell ref="I1314:I1315"/>
    <mergeCell ref="J1314:J1315"/>
    <mergeCell ref="K1314:K1315"/>
    <mergeCell ref="AH1316:AH1317"/>
    <mergeCell ref="AI1316:AI1317"/>
    <mergeCell ref="AJ1316:AJ1317"/>
    <mergeCell ref="Y1316:Y1317"/>
    <mergeCell ref="Z1316:Z1317"/>
    <mergeCell ref="AA1316:AA1317"/>
    <mergeCell ref="AB1316:AB1317"/>
    <mergeCell ref="AC1316:AC1317"/>
    <mergeCell ref="AD1316:AD1317"/>
    <mergeCell ref="S1316:S1317"/>
    <mergeCell ref="T1316:T1317"/>
    <mergeCell ref="U1316:U1317"/>
    <mergeCell ref="V1316:V1317"/>
    <mergeCell ref="W1316:W1317"/>
    <mergeCell ref="X1316:X1317"/>
    <mergeCell ref="M1316:M1317"/>
    <mergeCell ref="N1316:N1317"/>
    <mergeCell ref="O1316:O1317"/>
    <mergeCell ref="P1316:P1317"/>
    <mergeCell ref="Q1316:Q1317"/>
    <mergeCell ref="R1316:R1317"/>
    <mergeCell ref="R1318:R1319"/>
    <mergeCell ref="S1318:S1319"/>
    <mergeCell ref="H1318:H1319"/>
    <mergeCell ref="I1318:I1319"/>
    <mergeCell ref="J1318:J1319"/>
    <mergeCell ref="K1318:K1319"/>
    <mergeCell ref="L1318:L1319"/>
    <mergeCell ref="M1318:M1319"/>
    <mergeCell ref="B1318:B1319"/>
    <mergeCell ref="C1318:C1319"/>
    <mergeCell ref="D1318:D1319"/>
    <mergeCell ref="E1318:E1319"/>
    <mergeCell ref="F1318:F1319"/>
    <mergeCell ref="G1318:G1319"/>
    <mergeCell ref="AE1316:AE1317"/>
    <mergeCell ref="AF1316:AF1317"/>
    <mergeCell ref="AG1316:AG1317"/>
    <mergeCell ref="G1316:G1317"/>
    <mergeCell ref="H1316:H1317"/>
    <mergeCell ref="I1316:I1317"/>
    <mergeCell ref="J1316:J1317"/>
    <mergeCell ref="K1316:K1317"/>
    <mergeCell ref="L1316:L1317"/>
    <mergeCell ref="G1320:G1321"/>
    <mergeCell ref="H1320:H1321"/>
    <mergeCell ref="I1320:I1321"/>
    <mergeCell ref="J1320:J1321"/>
    <mergeCell ref="K1320:K1321"/>
    <mergeCell ref="L1320:L1321"/>
    <mergeCell ref="AF1318:AF1319"/>
    <mergeCell ref="AG1318:AG1319"/>
    <mergeCell ref="AH1318:AH1319"/>
    <mergeCell ref="AI1318:AI1319"/>
    <mergeCell ref="AJ1318:AJ1319"/>
    <mergeCell ref="B1320:B1321"/>
    <mergeCell ref="C1320:C1321"/>
    <mergeCell ref="D1320:D1321"/>
    <mergeCell ref="E1320:E1321"/>
    <mergeCell ref="F1320:F1321"/>
    <mergeCell ref="Z1318:Z1319"/>
    <mergeCell ref="AA1318:AA1319"/>
    <mergeCell ref="AB1318:AB1319"/>
    <mergeCell ref="AC1318:AC1319"/>
    <mergeCell ref="AD1318:AD1319"/>
    <mergeCell ref="AE1318:AE1319"/>
    <mergeCell ref="T1318:T1319"/>
    <mergeCell ref="U1318:U1319"/>
    <mergeCell ref="V1318:V1319"/>
    <mergeCell ref="W1318:W1319"/>
    <mergeCell ref="X1318:X1319"/>
    <mergeCell ref="Y1318:Y1319"/>
    <mergeCell ref="N1318:N1319"/>
    <mergeCell ref="O1318:O1319"/>
    <mergeCell ref="P1318:P1319"/>
    <mergeCell ref="Q1318:Q1319"/>
    <mergeCell ref="L1323:L1324"/>
    <mergeCell ref="M1323:M1324"/>
    <mergeCell ref="B1323:B1324"/>
    <mergeCell ref="C1323:C1324"/>
    <mergeCell ref="D1323:D1324"/>
    <mergeCell ref="E1323:E1324"/>
    <mergeCell ref="F1323:F1324"/>
    <mergeCell ref="G1323:G1324"/>
    <mergeCell ref="AE1320:AE1321"/>
    <mergeCell ref="AF1320:AF1321"/>
    <mergeCell ref="AG1320:AG1321"/>
    <mergeCell ref="AH1320:AH1321"/>
    <mergeCell ref="AI1320:AI1321"/>
    <mergeCell ref="AJ1320:AJ1321"/>
    <mergeCell ref="Y1320:Y1321"/>
    <mergeCell ref="Z1320:Z1321"/>
    <mergeCell ref="AA1320:AA1321"/>
    <mergeCell ref="AB1320:AB1321"/>
    <mergeCell ref="AC1320:AC1321"/>
    <mergeCell ref="AD1320:AD1321"/>
    <mergeCell ref="S1320:S1321"/>
    <mergeCell ref="T1320:T1321"/>
    <mergeCell ref="U1320:U1321"/>
    <mergeCell ref="V1320:V1321"/>
    <mergeCell ref="W1320:W1321"/>
    <mergeCell ref="X1320:X1321"/>
    <mergeCell ref="M1320:M1321"/>
    <mergeCell ref="N1320:N1321"/>
    <mergeCell ref="O1320:O1321"/>
    <mergeCell ref="P1320:P1321"/>
    <mergeCell ref="Q1320:Q1321"/>
    <mergeCell ref="R1320:R1321"/>
    <mergeCell ref="AF1323:AF1324"/>
    <mergeCell ref="AG1323:AG1324"/>
    <mergeCell ref="AH1323:AH1324"/>
    <mergeCell ref="AI1323:AI1324"/>
    <mergeCell ref="AJ1323:AJ1324"/>
    <mergeCell ref="B1325:B1326"/>
    <mergeCell ref="C1325:C1326"/>
    <mergeCell ref="D1325:D1326"/>
    <mergeCell ref="E1325:E1326"/>
    <mergeCell ref="F1325:F1326"/>
    <mergeCell ref="Z1323:Z1324"/>
    <mergeCell ref="AA1323:AA1324"/>
    <mergeCell ref="AB1323:AB1324"/>
    <mergeCell ref="AC1323:AC1324"/>
    <mergeCell ref="AD1323:AD1324"/>
    <mergeCell ref="AE1323:AE1324"/>
    <mergeCell ref="T1323:T1324"/>
    <mergeCell ref="U1323:U1324"/>
    <mergeCell ref="V1323:V1324"/>
    <mergeCell ref="W1323:W1324"/>
    <mergeCell ref="X1323:X1324"/>
    <mergeCell ref="Y1323:Y1324"/>
    <mergeCell ref="N1323:N1324"/>
    <mergeCell ref="O1323:O1324"/>
    <mergeCell ref="P1323:P1324"/>
    <mergeCell ref="Q1323:Q1324"/>
    <mergeCell ref="R1323:R1324"/>
    <mergeCell ref="S1323:S1324"/>
    <mergeCell ref="H1323:H1324"/>
    <mergeCell ref="I1323:I1324"/>
    <mergeCell ref="J1323:J1324"/>
    <mergeCell ref="K1323:K1324"/>
    <mergeCell ref="AH1325:AH1326"/>
    <mergeCell ref="AI1325:AI1326"/>
    <mergeCell ref="AJ1325:AJ1326"/>
    <mergeCell ref="Y1325:Y1326"/>
    <mergeCell ref="Z1325:Z1326"/>
    <mergeCell ref="AA1325:AA1326"/>
    <mergeCell ref="AB1325:AB1326"/>
    <mergeCell ref="AC1325:AC1326"/>
    <mergeCell ref="AD1325:AD1326"/>
    <mergeCell ref="S1325:S1326"/>
    <mergeCell ref="T1325:T1326"/>
    <mergeCell ref="U1325:U1326"/>
    <mergeCell ref="V1325:V1326"/>
    <mergeCell ref="W1325:W1326"/>
    <mergeCell ref="X1325:X1326"/>
    <mergeCell ref="M1325:M1326"/>
    <mergeCell ref="N1325:N1326"/>
    <mergeCell ref="O1325:O1326"/>
    <mergeCell ref="P1325:P1326"/>
    <mergeCell ref="Q1325:Q1326"/>
    <mergeCell ref="R1325:R1326"/>
    <mergeCell ref="R1327:R1328"/>
    <mergeCell ref="S1327:S1328"/>
    <mergeCell ref="H1327:H1328"/>
    <mergeCell ref="I1327:I1328"/>
    <mergeCell ref="J1327:J1328"/>
    <mergeCell ref="K1327:K1328"/>
    <mergeCell ref="L1327:L1328"/>
    <mergeCell ref="M1327:M1328"/>
    <mergeCell ref="B1327:B1328"/>
    <mergeCell ref="C1327:C1328"/>
    <mergeCell ref="D1327:D1328"/>
    <mergeCell ref="E1327:E1328"/>
    <mergeCell ref="F1327:F1328"/>
    <mergeCell ref="G1327:G1328"/>
    <mergeCell ref="AE1325:AE1326"/>
    <mergeCell ref="AF1325:AF1326"/>
    <mergeCell ref="AG1325:AG1326"/>
    <mergeCell ref="G1325:G1326"/>
    <mergeCell ref="H1325:H1326"/>
    <mergeCell ref="I1325:I1326"/>
    <mergeCell ref="J1325:J1326"/>
    <mergeCell ref="K1325:K1326"/>
    <mergeCell ref="L1325:L1326"/>
    <mergeCell ref="G1329:G1330"/>
    <mergeCell ref="H1329:H1330"/>
    <mergeCell ref="I1329:I1330"/>
    <mergeCell ref="J1329:J1330"/>
    <mergeCell ref="K1329:K1330"/>
    <mergeCell ref="L1329:L1330"/>
    <mergeCell ref="AF1327:AF1328"/>
    <mergeCell ref="AG1327:AG1328"/>
    <mergeCell ref="AH1327:AH1328"/>
    <mergeCell ref="AI1327:AI1328"/>
    <mergeCell ref="AJ1327:AJ1328"/>
    <mergeCell ref="B1329:B1330"/>
    <mergeCell ref="C1329:C1330"/>
    <mergeCell ref="D1329:D1330"/>
    <mergeCell ref="E1329:E1330"/>
    <mergeCell ref="F1329:F1330"/>
    <mergeCell ref="Z1327:Z1328"/>
    <mergeCell ref="AA1327:AA1328"/>
    <mergeCell ref="AB1327:AB1328"/>
    <mergeCell ref="AC1327:AC1328"/>
    <mergeCell ref="AD1327:AD1328"/>
    <mergeCell ref="AE1327:AE1328"/>
    <mergeCell ref="T1327:T1328"/>
    <mergeCell ref="U1327:U1328"/>
    <mergeCell ref="V1327:V1328"/>
    <mergeCell ref="W1327:W1328"/>
    <mergeCell ref="X1327:X1328"/>
    <mergeCell ref="Y1327:Y1328"/>
    <mergeCell ref="N1327:N1328"/>
    <mergeCell ref="O1327:O1328"/>
    <mergeCell ref="P1327:P1328"/>
    <mergeCell ref="Q1327:Q1328"/>
    <mergeCell ref="L1331:L1332"/>
    <mergeCell ref="M1331:M1332"/>
    <mergeCell ref="B1331:B1332"/>
    <mergeCell ref="C1331:C1332"/>
    <mergeCell ref="D1331:D1332"/>
    <mergeCell ref="E1331:E1332"/>
    <mergeCell ref="F1331:F1332"/>
    <mergeCell ref="G1331:G1332"/>
    <mergeCell ref="AE1329:AE1330"/>
    <mergeCell ref="AF1329:AF1330"/>
    <mergeCell ref="AG1329:AG1330"/>
    <mergeCell ref="AH1329:AH1330"/>
    <mergeCell ref="AI1329:AI1330"/>
    <mergeCell ref="AJ1329:AJ1330"/>
    <mergeCell ref="Y1329:Y1330"/>
    <mergeCell ref="Z1329:Z1330"/>
    <mergeCell ref="AA1329:AA1330"/>
    <mergeCell ref="AB1329:AB1330"/>
    <mergeCell ref="AC1329:AC1330"/>
    <mergeCell ref="AD1329:AD1330"/>
    <mergeCell ref="S1329:S1330"/>
    <mergeCell ref="T1329:T1330"/>
    <mergeCell ref="U1329:U1330"/>
    <mergeCell ref="V1329:V1330"/>
    <mergeCell ref="W1329:W1330"/>
    <mergeCell ref="X1329:X1330"/>
    <mergeCell ref="M1329:M1330"/>
    <mergeCell ref="N1329:N1330"/>
    <mergeCell ref="O1329:O1330"/>
    <mergeCell ref="P1329:P1330"/>
    <mergeCell ref="Q1329:Q1330"/>
    <mergeCell ref="R1329:R1330"/>
    <mergeCell ref="AF1331:AF1332"/>
    <mergeCell ref="AG1331:AG1332"/>
    <mergeCell ref="AH1331:AH1332"/>
    <mergeCell ref="AI1331:AI1332"/>
    <mergeCell ref="AJ1331:AJ1332"/>
    <mergeCell ref="B1333:B1334"/>
    <mergeCell ref="C1333:C1334"/>
    <mergeCell ref="D1333:D1334"/>
    <mergeCell ref="E1333:E1334"/>
    <mergeCell ref="F1333:F1334"/>
    <mergeCell ref="Z1331:Z1332"/>
    <mergeCell ref="AA1331:AA1332"/>
    <mergeCell ref="AB1331:AB1332"/>
    <mergeCell ref="AC1331:AC1332"/>
    <mergeCell ref="AD1331:AD1332"/>
    <mergeCell ref="AE1331:AE1332"/>
    <mergeCell ref="T1331:T1332"/>
    <mergeCell ref="U1331:U1332"/>
    <mergeCell ref="V1331:V1332"/>
    <mergeCell ref="W1331:W1332"/>
    <mergeCell ref="X1331:X1332"/>
    <mergeCell ref="Y1331:Y1332"/>
    <mergeCell ref="N1331:N1332"/>
    <mergeCell ref="O1331:O1332"/>
    <mergeCell ref="P1331:P1332"/>
    <mergeCell ref="Q1331:Q1332"/>
    <mergeCell ref="R1331:R1332"/>
    <mergeCell ref="S1331:S1332"/>
    <mergeCell ref="H1331:H1332"/>
    <mergeCell ref="I1331:I1332"/>
    <mergeCell ref="J1331:J1332"/>
    <mergeCell ref="K1331:K1332"/>
    <mergeCell ref="AF1333:AF1334"/>
    <mergeCell ref="AG1333:AG1334"/>
    <mergeCell ref="AH1333:AH1334"/>
    <mergeCell ref="AI1333:AI1334"/>
    <mergeCell ref="AJ1333:AJ1334"/>
    <mergeCell ref="Y1333:Y1334"/>
    <mergeCell ref="Z1333:Z1334"/>
    <mergeCell ref="AA1333:AA1334"/>
    <mergeCell ref="AB1333:AB1334"/>
    <mergeCell ref="AC1333:AC1334"/>
    <mergeCell ref="AD1333:AD1334"/>
    <mergeCell ref="S1333:S1334"/>
    <mergeCell ref="T1333:T1334"/>
    <mergeCell ref="U1333:U1334"/>
    <mergeCell ref="V1333:V1334"/>
    <mergeCell ref="W1333:W1334"/>
    <mergeCell ref="X1333:X1334"/>
    <mergeCell ref="P1335:P1337"/>
    <mergeCell ref="Q1335:Q1337"/>
    <mergeCell ref="R1335:R1337"/>
    <mergeCell ref="S1335:S1337"/>
    <mergeCell ref="H1335:H1337"/>
    <mergeCell ref="I1335:I1337"/>
    <mergeCell ref="J1335:J1337"/>
    <mergeCell ref="K1335:K1337"/>
    <mergeCell ref="L1335:L1337"/>
    <mergeCell ref="M1335:M1337"/>
    <mergeCell ref="B1335:B1337"/>
    <mergeCell ref="C1335:C1337"/>
    <mergeCell ref="D1335:D1337"/>
    <mergeCell ref="E1335:E1337"/>
    <mergeCell ref="F1335:F1337"/>
    <mergeCell ref="G1335:G1337"/>
    <mergeCell ref="AE1333:AE1334"/>
    <mergeCell ref="M1333:M1334"/>
    <mergeCell ref="N1333:N1334"/>
    <mergeCell ref="O1333:O1334"/>
    <mergeCell ref="P1333:P1334"/>
    <mergeCell ref="Q1333:Q1334"/>
    <mergeCell ref="R1333:R1334"/>
    <mergeCell ref="G1333:G1334"/>
    <mergeCell ref="H1333:H1334"/>
    <mergeCell ref="I1333:I1334"/>
    <mergeCell ref="J1333:J1334"/>
    <mergeCell ref="K1333:K1334"/>
    <mergeCell ref="L1333:L1334"/>
    <mergeCell ref="U1338:U1339"/>
    <mergeCell ref="V1338:V1339"/>
    <mergeCell ref="K1338:K1339"/>
    <mergeCell ref="L1338:L1339"/>
    <mergeCell ref="M1338:M1339"/>
    <mergeCell ref="N1338:N1339"/>
    <mergeCell ref="O1338:O1339"/>
    <mergeCell ref="P1338:P1339"/>
    <mergeCell ref="AJ1335:AJ1337"/>
    <mergeCell ref="B1338:B1339"/>
    <mergeCell ref="C1338:C1339"/>
    <mergeCell ref="D1338:D1339"/>
    <mergeCell ref="E1338:E1339"/>
    <mergeCell ref="F1338:F1339"/>
    <mergeCell ref="G1338:G1339"/>
    <mergeCell ref="H1338:H1339"/>
    <mergeCell ref="I1338:I1339"/>
    <mergeCell ref="J1338:J1339"/>
    <mergeCell ref="Z1335:Z1337"/>
    <mergeCell ref="AC1335:AC1337"/>
    <mergeCell ref="AF1335:AF1337"/>
    <mergeCell ref="AG1335:AG1337"/>
    <mergeCell ref="AH1335:AH1337"/>
    <mergeCell ref="AI1335:AI1337"/>
    <mergeCell ref="T1335:T1337"/>
    <mergeCell ref="U1335:U1337"/>
    <mergeCell ref="V1335:V1337"/>
    <mergeCell ref="W1335:W1337"/>
    <mergeCell ref="X1335:X1337"/>
    <mergeCell ref="Y1335:Y1337"/>
    <mergeCell ref="N1335:N1337"/>
    <mergeCell ref="O1335:O1337"/>
    <mergeCell ref="J1342:J1343"/>
    <mergeCell ref="K1342:K1343"/>
    <mergeCell ref="L1342:L1343"/>
    <mergeCell ref="M1342:M1343"/>
    <mergeCell ref="N1342:N1343"/>
    <mergeCell ref="O1342:O1343"/>
    <mergeCell ref="AI1338:AI1339"/>
    <mergeCell ref="AJ1338:AJ1339"/>
    <mergeCell ref="B1342:B1343"/>
    <mergeCell ref="C1342:C1343"/>
    <mergeCell ref="D1342:D1343"/>
    <mergeCell ref="E1342:E1343"/>
    <mergeCell ref="F1342:F1343"/>
    <mergeCell ref="G1342:G1343"/>
    <mergeCell ref="H1342:H1343"/>
    <mergeCell ref="I1342:I1343"/>
    <mergeCell ref="AC1338:AC1339"/>
    <mergeCell ref="AD1338:AD1339"/>
    <mergeCell ref="AE1338:AE1339"/>
    <mergeCell ref="AF1338:AF1339"/>
    <mergeCell ref="AG1338:AG1339"/>
    <mergeCell ref="AH1338:AH1339"/>
    <mergeCell ref="W1338:W1339"/>
    <mergeCell ref="X1338:X1339"/>
    <mergeCell ref="Y1338:Y1339"/>
    <mergeCell ref="Z1338:Z1339"/>
    <mergeCell ref="AA1338:AA1339"/>
    <mergeCell ref="AB1338:AB1339"/>
    <mergeCell ref="Q1338:Q1339"/>
    <mergeCell ref="R1338:R1339"/>
    <mergeCell ref="S1338:S1339"/>
    <mergeCell ref="T1338:T1339"/>
    <mergeCell ref="K1344:K1345"/>
    <mergeCell ref="L1344:L1345"/>
    <mergeCell ref="M1344:M1345"/>
    <mergeCell ref="N1344:N1345"/>
    <mergeCell ref="AH1342:AH1343"/>
    <mergeCell ref="AI1342:AI1343"/>
    <mergeCell ref="AJ1342:AJ1343"/>
    <mergeCell ref="B1344:B1345"/>
    <mergeCell ref="C1344:C1345"/>
    <mergeCell ref="D1344:D1345"/>
    <mergeCell ref="E1344:E1345"/>
    <mergeCell ref="F1344:F1345"/>
    <mergeCell ref="G1344:G1345"/>
    <mergeCell ref="H1344:H1345"/>
    <mergeCell ref="AB1342:AB1343"/>
    <mergeCell ref="AC1342:AC1343"/>
    <mergeCell ref="AD1342:AD1343"/>
    <mergeCell ref="AE1342:AE1343"/>
    <mergeCell ref="AF1342:AF1343"/>
    <mergeCell ref="AG1342:AG1343"/>
    <mergeCell ref="V1342:V1343"/>
    <mergeCell ref="W1342:W1343"/>
    <mergeCell ref="X1342:X1343"/>
    <mergeCell ref="Y1342:Y1343"/>
    <mergeCell ref="Z1342:Z1343"/>
    <mergeCell ref="AA1342:AA1343"/>
    <mergeCell ref="P1342:P1343"/>
    <mergeCell ref="Q1342:Q1343"/>
    <mergeCell ref="R1342:R1343"/>
    <mergeCell ref="S1342:S1343"/>
    <mergeCell ref="T1342:T1343"/>
    <mergeCell ref="U1342:U1343"/>
    <mergeCell ref="L1346:L1347"/>
    <mergeCell ref="M1346:M1347"/>
    <mergeCell ref="AG1344:AG1345"/>
    <mergeCell ref="AH1344:AH1345"/>
    <mergeCell ref="AI1344:AI1345"/>
    <mergeCell ref="AJ1344:AJ1345"/>
    <mergeCell ref="B1346:B1347"/>
    <mergeCell ref="C1346:C1347"/>
    <mergeCell ref="D1346:D1347"/>
    <mergeCell ref="E1346:E1347"/>
    <mergeCell ref="F1346:F1347"/>
    <mergeCell ref="G1346:G1347"/>
    <mergeCell ref="AA1344:AA1345"/>
    <mergeCell ref="AB1344:AB1345"/>
    <mergeCell ref="AC1344:AC1345"/>
    <mergeCell ref="AD1344:AD1345"/>
    <mergeCell ref="AE1344:AE1345"/>
    <mergeCell ref="AF1344:AF1345"/>
    <mergeCell ref="U1344:U1345"/>
    <mergeCell ref="V1344:V1345"/>
    <mergeCell ref="W1344:W1345"/>
    <mergeCell ref="X1344:X1345"/>
    <mergeCell ref="Y1344:Y1345"/>
    <mergeCell ref="Z1344:Z1345"/>
    <mergeCell ref="O1344:O1345"/>
    <mergeCell ref="P1344:P1345"/>
    <mergeCell ref="Q1344:Q1345"/>
    <mergeCell ref="R1344:R1345"/>
    <mergeCell ref="S1344:S1345"/>
    <mergeCell ref="T1344:T1345"/>
    <mergeCell ref="I1344:I1345"/>
    <mergeCell ref="J1344:J1345"/>
    <mergeCell ref="AF1346:AF1347"/>
    <mergeCell ref="AG1346:AG1347"/>
    <mergeCell ref="AH1346:AH1347"/>
    <mergeCell ref="AI1346:AI1347"/>
    <mergeCell ref="AJ1346:AJ1347"/>
    <mergeCell ref="B1348:B1349"/>
    <mergeCell ref="C1348:C1349"/>
    <mergeCell ref="D1348:D1349"/>
    <mergeCell ref="E1348:E1349"/>
    <mergeCell ref="F1348:F1349"/>
    <mergeCell ref="Z1346:Z1347"/>
    <mergeCell ref="AA1346:AA1347"/>
    <mergeCell ref="AB1346:AB1347"/>
    <mergeCell ref="AC1346:AC1347"/>
    <mergeCell ref="AD1346:AD1347"/>
    <mergeCell ref="AE1346:AE1347"/>
    <mergeCell ref="T1346:T1347"/>
    <mergeCell ref="U1346:U1347"/>
    <mergeCell ref="V1346:V1347"/>
    <mergeCell ref="W1346:W1347"/>
    <mergeCell ref="X1346:X1347"/>
    <mergeCell ref="Y1346:Y1347"/>
    <mergeCell ref="N1346:N1347"/>
    <mergeCell ref="O1346:O1347"/>
    <mergeCell ref="P1346:P1347"/>
    <mergeCell ref="Q1346:Q1347"/>
    <mergeCell ref="R1346:R1347"/>
    <mergeCell ref="S1346:S1347"/>
    <mergeCell ref="H1346:H1347"/>
    <mergeCell ref="I1346:I1347"/>
    <mergeCell ref="J1346:J1347"/>
    <mergeCell ref="K1346:K1347"/>
    <mergeCell ref="AH1348:AH1349"/>
    <mergeCell ref="AI1348:AI1349"/>
    <mergeCell ref="AJ1348:AJ1349"/>
    <mergeCell ref="Y1348:Y1349"/>
    <mergeCell ref="Z1348:Z1349"/>
    <mergeCell ref="AA1348:AA1349"/>
    <mergeCell ref="AB1348:AB1349"/>
    <mergeCell ref="AC1348:AC1349"/>
    <mergeCell ref="AD1348:AD1349"/>
    <mergeCell ref="S1348:S1349"/>
    <mergeCell ref="T1348:T1349"/>
    <mergeCell ref="U1348:U1349"/>
    <mergeCell ref="V1348:V1349"/>
    <mergeCell ref="W1348:W1349"/>
    <mergeCell ref="X1348:X1349"/>
    <mergeCell ref="M1348:M1349"/>
    <mergeCell ref="N1348:N1349"/>
    <mergeCell ref="O1348:O1349"/>
    <mergeCell ref="P1348:P1349"/>
    <mergeCell ref="Q1348:Q1349"/>
    <mergeCell ref="R1348:R1349"/>
    <mergeCell ref="R1350:R1351"/>
    <mergeCell ref="S1350:S1351"/>
    <mergeCell ref="H1350:H1351"/>
    <mergeCell ref="I1350:I1351"/>
    <mergeCell ref="J1350:J1351"/>
    <mergeCell ref="K1350:K1351"/>
    <mergeCell ref="L1350:L1351"/>
    <mergeCell ref="M1350:M1351"/>
    <mergeCell ref="B1350:B1351"/>
    <mergeCell ref="C1350:C1351"/>
    <mergeCell ref="D1350:D1351"/>
    <mergeCell ref="E1350:E1351"/>
    <mergeCell ref="F1350:F1351"/>
    <mergeCell ref="G1350:G1351"/>
    <mergeCell ref="AE1348:AE1349"/>
    <mergeCell ref="AF1348:AF1349"/>
    <mergeCell ref="AG1348:AG1349"/>
    <mergeCell ref="G1348:G1349"/>
    <mergeCell ref="H1348:H1349"/>
    <mergeCell ref="I1348:I1349"/>
    <mergeCell ref="J1348:J1349"/>
    <mergeCell ref="K1348:K1349"/>
    <mergeCell ref="L1348:L1349"/>
    <mergeCell ref="G1352:G1353"/>
    <mergeCell ref="H1352:H1353"/>
    <mergeCell ref="I1352:I1353"/>
    <mergeCell ref="J1352:J1353"/>
    <mergeCell ref="K1352:K1353"/>
    <mergeCell ref="L1352:L1353"/>
    <mergeCell ref="AF1350:AF1351"/>
    <mergeCell ref="AG1350:AG1351"/>
    <mergeCell ref="AH1350:AH1351"/>
    <mergeCell ref="AI1350:AI1351"/>
    <mergeCell ref="AJ1350:AJ1351"/>
    <mergeCell ref="B1352:B1353"/>
    <mergeCell ref="C1352:C1353"/>
    <mergeCell ref="D1352:D1353"/>
    <mergeCell ref="E1352:E1353"/>
    <mergeCell ref="F1352:F1353"/>
    <mergeCell ref="Z1350:Z1351"/>
    <mergeCell ref="AA1350:AA1351"/>
    <mergeCell ref="AB1350:AB1351"/>
    <mergeCell ref="AC1350:AC1351"/>
    <mergeCell ref="AD1350:AD1351"/>
    <mergeCell ref="AE1350:AE1351"/>
    <mergeCell ref="T1350:T1351"/>
    <mergeCell ref="U1350:U1351"/>
    <mergeCell ref="V1350:V1351"/>
    <mergeCell ref="W1350:W1351"/>
    <mergeCell ref="X1350:X1351"/>
    <mergeCell ref="Y1350:Y1351"/>
    <mergeCell ref="N1350:N1351"/>
    <mergeCell ref="O1350:O1351"/>
    <mergeCell ref="P1350:P1351"/>
    <mergeCell ref="Q1350:Q1351"/>
    <mergeCell ref="L1354:L1355"/>
    <mergeCell ref="M1354:M1355"/>
    <mergeCell ref="B1354:B1355"/>
    <mergeCell ref="C1354:C1355"/>
    <mergeCell ref="D1354:D1355"/>
    <mergeCell ref="E1354:E1355"/>
    <mergeCell ref="F1354:F1355"/>
    <mergeCell ref="G1354:G1355"/>
    <mergeCell ref="AE1352:AE1353"/>
    <mergeCell ref="AF1352:AF1353"/>
    <mergeCell ref="AG1352:AG1353"/>
    <mergeCell ref="AH1352:AH1353"/>
    <mergeCell ref="AI1352:AI1353"/>
    <mergeCell ref="AJ1352:AJ1353"/>
    <mergeCell ref="Y1352:Y1353"/>
    <mergeCell ref="Z1352:Z1353"/>
    <mergeCell ref="AA1352:AA1353"/>
    <mergeCell ref="AB1352:AB1353"/>
    <mergeCell ref="AC1352:AC1353"/>
    <mergeCell ref="AD1352:AD1353"/>
    <mergeCell ref="S1352:S1353"/>
    <mergeCell ref="T1352:T1353"/>
    <mergeCell ref="U1352:U1353"/>
    <mergeCell ref="V1352:V1353"/>
    <mergeCell ref="W1352:W1353"/>
    <mergeCell ref="X1352:X1353"/>
    <mergeCell ref="M1352:M1353"/>
    <mergeCell ref="N1352:N1353"/>
    <mergeCell ref="O1352:O1353"/>
    <mergeCell ref="P1352:P1353"/>
    <mergeCell ref="Q1352:Q1353"/>
    <mergeCell ref="R1352:R1353"/>
    <mergeCell ref="AF1354:AF1355"/>
    <mergeCell ref="AG1354:AG1355"/>
    <mergeCell ref="AH1354:AH1355"/>
    <mergeCell ref="AI1354:AI1355"/>
    <mergeCell ref="AJ1354:AJ1355"/>
    <mergeCell ref="B1356:B1357"/>
    <mergeCell ref="C1356:C1357"/>
    <mergeCell ref="D1356:D1357"/>
    <mergeCell ref="E1356:E1357"/>
    <mergeCell ref="F1356:F1357"/>
    <mergeCell ref="Z1354:Z1355"/>
    <mergeCell ref="AA1354:AA1355"/>
    <mergeCell ref="AB1354:AB1355"/>
    <mergeCell ref="AC1354:AC1355"/>
    <mergeCell ref="AD1354:AD1355"/>
    <mergeCell ref="AE1354:AE1355"/>
    <mergeCell ref="T1354:T1355"/>
    <mergeCell ref="U1354:U1355"/>
    <mergeCell ref="V1354:V1355"/>
    <mergeCell ref="W1354:W1355"/>
    <mergeCell ref="X1354:X1355"/>
    <mergeCell ref="Y1354:Y1355"/>
    <mergeCell ref="N1354:N1355"/>
    <mergeCell ref="O1354:O1355"/>
    <mergeCell ref="P1354:P1355"/>
    <mergeCell ref="Q1354:Q1355"/>
    <mergeCell ref="R1354:R1355"/>
    <mergeCell ref="S1354:S1355"/>
    <mergeCell ref="H1354:H1355"/>
    <mergeCell ref="I1354:I1355"/>
    <mergeCell ref="J1354:J1355"/>
    <mergeCell ref="K1354:K1355"/>
    <mergeCell ref="AH1356:AH1357"/>
    <mergeCell ref="AI1356:AI1357"/>
    <mergeCell ref="AJ1356:AJ1357"/>
    <mergeCell ref="Y1356:Y1357"/>
    <mergeCell ref="Z1356:Z1357"/>
    <mergeCell ref="AA1356:AA1357"/>
    <mergeCell ref="AB1356:AB1357"/>
    <mergeCell ref="AC1356:AC1357"/>
    <mergeCell ref="AD1356:AD1357"/>
    <mergeCell ref="S1356:S1357"/>
    <mergeCell ref="T1356:T1357"/>
    <mergeCell ref="U1356:U1357"/>
    <mergeCell ref="V1356:V1357"/>
    <mergeCell ref="W1356:W1357"/>
    <mergeCell ref="X1356:X1357"/>
    <mergeCell ref="M1356:M1357"/>
    <mergeCell ref="N1356:N1357"/>
    <mergeCell ref="O1356:O1357"/>
    <mergeCell ref="P1356:P1357"/>
    <mergeCell ref="Q1356:Q1357"/>
    <mergeCell ref="R1356:R1357"/>
    <mergeCell ref="R1358:R1360"/>
    <mergeCell ref="S1358:S1360"/>
    <mergeCell ref="H1358:H1360"/>
    <mergeCell ref="I1358:I1360"/>
    <mergeCell ref="J1358:J1360"/>
    <mergeCell ref="K1358:K1360"/>
    <mergeCell ref="L1358:L1360"/>
    <mergeCell ref="M1358:M1360"/>
    <mergeCell ref="B1358:B1360"/>
    <mergeCell ref="C1358:C1360"/>
    <mergeCell ref="D1358:D1360"/>
    <mergeCell ref="E1358:E1360"/>
    <mergeCell ref="F1358:F1360"/>
    <mergeCell ref="G1358:G1360"/>
    <mergeCell ref="AE1356:AE1357"/>
    <mergeCell ref="AF1356:AF1357"/>
    <mergeCell ref="AG1356:AG1357"/>
    <mergeCell ref="G1356:G1357"/>
    <mergeCell ref="H1356:H1357"/>
    <mergeCell ref="I1356:I1357"/>
    <mergeCell ref="J1356:J1357"/>
    <mergeCell ref="K1356:K1357"/>
    <mergeCell ref="L1356:L1357"/>
    <mergeCell ref="K1361:K1362"/>
    <mergeCell ref="L1361:L1362"/>
    <mergeCell ref="M1361:M1362"/>
    <mergeCell ref="N1361:N1362"/>
    <mergeCell ref="O1361:O1362"/>
    <mergeCell ref="P1361:P1362"/>
    <mergeCell ref="AJ1358:AJ1360"/>
    <mergeCell ref="B1361:B1362"/>
    <mergeCell ref="C1361:C1362"/>
    <mergeCell ref="D1361:D1362"/>
    <mergeCell ref="E1361:E1362"/>
    <mergeCell ref="F1361:F1362"/>
    <mergeCell ref="G1361:G1362"/>
    <mergeCell ref="H1361:H1362"/>
    <mergeCell ref="I1361:I1362"/>
    <mergeCell ref="J1361:J1362"/>
    <mergeCell ref="Z1358:Z1360"/>
    <mergeCell ref="AC1358:AC1360"/>
    <mergeCell ref="AF1358:AF1360"/>
    <mergeCell ref="AG1358:AG1360"/>
    <mergeCell ref="AH1358:AH1360"/>
    <mergeCell ref="AI1358:AI1360"/>
    <mergeCell ref="T1358:T1360"/>
    <mergeCell ref="U1358:U1360"/>
    <mergeCell ref="V1358:V1360"/>
    <mergeCell ref="W1358:W1360"/>
    <mergeCell ref="X1358:X1360"/>
    <mergeCell ref="Y1358:Y1360"/>
    <mergeCell ref="N1358:N1360"/>
    <mergeCell ref="O1358:O1360"/>
    <mergeCell ref="P1358:P1360"/>
    <mergeCell ref="Q1358:Q1360"/>
    <mergeCell ref="AI1361:AI1362"/>
    <mergeCell ref="AJ1361:AJ1362"/>
    <mergeCell ref="AC1361:AC1362"/>
    <mergeCell ref="AD1361:AD1362"/>
    <mergeCell ref="AE1361:AE1362"/>
    <mergeCell ref="AF1361:AF1362"/>
    <mergeCell ref="AG1361:AG1362"/>
    <mergeCell ref="AH1361:AH1362"/>
    <mergeCell ref="W1361:W1362"/>
    <mergeCell ref="X1361:X1362"/>
    <mergeCell ref="Y1361:Y1362"/>
    <mergeCell ref="Z1361:Z1362"/>
    <mergeCell ref="AA1361:AA1362"/>
    <mergeCell ref="AB1361:AB1362"/>
    <mergeCell ref="Q1361:Q1362"/>
    <mergeCell ref="R1361:R1362"/>
    <mergeCell ref="S1361:S1362"/>
    <mergeCell ref="T1361:T1362"/>
    <mergeCell ref="U1361:U1362"/>
    <mergeCell ref="V1361:V136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dimension ref="A2:F23"/>
  <sheetViews>
    <sheetView topLeftCell="A13" zoomScale="80" zoomScaleNormal="80" workbookViewId="0">
      <selection activeCell="C25" sqref="C25"/>
    </sheetView>
  </sheetViews>
  <sheetFormatPr defaultRowHeight="23.25"/>
  <cols>
    <col min="1" max="1" width="44.5703125" customWidth="1"/>
    <col min="2" max="2" width="25.28515625" style="495" customWidth="1"/>
    <col min="3" max="3" width="33.85546875" style="495" customWidth="1"/>
    <col min="4" max="4" width="26.85546875" style="495" customWidth="1"/>
    <col min="5" max="5" width="63" style="495" customWidth="1"/>
    <col min="6" max="6" width="13.85546875" customWidth="1"/>
  </cols>
  <sheetData>
    <row r="2" spans="1:5">
      <c r="B2" s="758" t="s">
        <v>3216</v>
      </c>
      <c r="C2" s="758"/>
      <c r="D2" s="758"/>
      <c r="E2" s="498" t="s">
        <v>3218</v>
      </c>
    </row>
    <row r="3" spans="1:5" ht="57" customHeight="1">
      <c r="A3" s="270" t="s">
        <v>76</v>
      </c>
      <c r="B3" s="418" t="s">
        <v>3217</v>
      </c>
      <c r="C3" s="418" t="s">
        <v>3214</v>
      </c>
      <c r="D3" s="418" t="s">
        <v>3215</v>
      </c>
      <c r="E3" s="497" t="s">
        <v>3214</v>
      </c>
    </row>
    <row r="4" spans="1:5">
      <c r="A4" s="271" t="s">
        <v>77</v>
      </c>
      <c r="B4" s="496">
        <v>6</v>
      </c>
      <c r="C4" s="496">
        <v>7</v>
      </c>
      <c r="D4" s="496">
        <v>5</v>
      </c>
      <c r="E4" s="418">
        <v>34</v>
      </c>
    </row>
    <row r="5" spans="1:5">
      <c r="A5" s="271" t="s">
        <v>78</v>
      </c>
      <c r="B5" s="496">
        <v>0</v>
      </c>
      <c r="C5" s="496">
        <v>1</v>
      </c>
      <c r="D5" s="496">
        <v>0</v>
      </c>
      <c r="E5" s="134">
        <v>29</v>
      </c>
    </row>
    <row r="6" spans="1:5">
      <c r="A6" s="271" t="s">
        <v>79</v>
      </c>
      <c r="B6" s="496">
        <v>1</v>
      </c>
      <c r="C6" s="496">
        <v>1</v>
      </c>
      <c r="D6" s="496">
        <v>0</v>
      </c>
      <c r="E6" s="496">
        <v>20</v>
      </c>
    </row>
    <row r="7" spans="1:5">
      <c r="A7" s="271" t="s">
        <v>80</v>
      </c>
      <c r="B7" s="496">
        <v>0</v>
      </c>
      <c r="C7" s="496">
        <v>0</v>
      </c>
      <c r="D7" s="496">
        <v>0</v>
      </c>
      <c r="E7" s="496">
        <v>9</v>
      </c>
    </row>
    <row r="8" spans="1:5">
      <c r="A8" s="271" t="s">
        <v>81</v>
      </c>
      <c r="B8" s="496">
        <v>1</v>
      </c>
      <c r="C8" s="496">
        <v>3</v>
      </c>
      <c r="D8" s="496">
        <v>0</v>
      </c>
      <c r="E8" s="496">
        <v>12</v>
      </c>
    </row>
    <row r="9" spans="1:5">
      <c r="A9" s="271" t="s">
        <v>82</v>
      </c>
      <c r="B9" s="496">
        <v>0</v>
      </c>
      <c r="C9" s="496">
        <v>2</v>
      </c>
      <c r="D9" s="496">
        <v>1</v>
      </c>
      <c r="E9" s="496">
        <v>9</v>
      </c>
    </row>
    <row r="10" spans="1:5">
      <c r="A10" s="271" t="s">
        <v>83</v>
      </c>
      <c r="B10" s="496">
        <v>0</v>
      </c>
      <c r="C10" s="496">
        <v>0</v>
      </c>
      <c r="D10" s="496">
        <v>0</v>
      </c>
      <c r="E10" s="496">
        <v>17</v>
      </c>
    </row>
    <row r="11" spans="1:5">
      <c r="A11" s="103" t="s">
        <v>84</v>
      </c>
      <c r="B11" s="496">
        <v>1</v>
      </c>
      <c r="C11" s="496">
        <v>7</v>
      </c>
      <c r="D11" s="496">
        <v>6</v>
      </c>
      <c r="E11" s="496">
        <v>0</v>
      </c>
    </row>
    <row r="12" spans="1:5">
      <c r="A12" s="271" t="s">
        <v>85</v>
      </c>
      <c r="B12" s="496">
        <v>0</v>
      </c>
      <c r="C12" s="496">
        <v>0</v>
      </c>
      <c r="D12" s="496">
        <v>0</v>
      </c>
      <c r="E12" s="496">
        <v>0</v>
      </c>
    </row>
    <row r="13" spans="1:5">
      <c r="A13" s="103" t="s">
        <v>86</v>
      </c>
      <c r="B13" s="496">
        <v>1</v>
      </c>
      <c r="C13" s="496">
        <v>6</v>
      </c>
      <c r="D13" s="496">
        <v>25</v>
      </c>
      <c r="E13" s="496">
        <v>7</v>
      </c>
    </row>
    <row r="14" spans="1:5">
      <c r="A14" s="271" t="s">
        <v>87</v>
      </c>
      <c r="B14" s="496">
        <v>0</v>
      </c>
      <c r="C14" s="496">
        <v>2</v>
      </c>
      <c r="D14" s="496">
        <v>2</v>
      </c>
      <c r="E14" s="496">
        <v>3</v>
      </c>
    </row>
    <row r="15" spans="1:5">
      <c r="A15" s="271" t="s">
        <v>88</v>
      </c>
      <c r="B15" s="496">
        <v>0</v>
      </c>
      <c r="C15" s="496">
        <v>2</v>
      </c>
      <c r="D15" s="496">
        <v>2</v>
      </c>
      <c r="E15" s="496">
        <v>9</v>
      </c>
    </row>
    <row r="16" spans="1:5">
      <c r="A16" s="271" t="s">
        <v>89</v>
      </c>
      <c r="B16" s="496">
        <v>0</v>
      </c>
      <c r="C16" s="496">
        <v>5</v>
      </c>
      <c r="D16" s="496">
        <v>3</v>
      </c>
      <c r="E16" s="496">
        <v>6</v>
      </c>
    </row>
    <row r="17" spans="1:6">
      <c r="A17" s="271" t="s">
        <v>90</v>
      </c>
      <c r="B17" s="496">
        <v>7</v>
      </c>
      <c r="C17" s="496">
        <v>16</v>
      </c>
      <c r="D17" s="496">
        <v>8</v>
      </c>
      <c r="E17" s="496">
        <v>15</v>
      </c>
    </row>
    <row r="18" spans="1:6">
      <c r="A18" s="271" t="s">
        <v>91</v>
      </c>
      <c r="B18" s="496">
        <v>0</v>
      </c>
      <c r="C18" s="496">
        <v>2</v>
      </c>
      <c r="D18" s="496">
        <v>1</v>
      </c>
      <c r="E18" s="496">
        <v>17</v>
      </c>
    </row>
    <row r="19" spans="1:6">
      <c r="A19" s="273" t="s">
        <v>435</v>
      </c>
      <c r="B19" s="496">
        <v>2</v>
      </c>
      <c r="C19" s="496">
        <v>2</v>
      </c>
      <c r="D19" s="496">
        <v>1</v>
      </c>
      <c r="E19" s="496">
        <v>5</v>
      </c>
    </row>
    <row r="20" spans="1:6">
      <c r="A20" s="273" t="s">
        <v>436</v>
      </c>
      <c r="B20" s="499">
        <v>1</v>
      </c>
      <c r="C20" s="499">
        <v>3</v>
      </c>
      <c r="D20" s="499">
        <v>0</v>
      </c>
      <c r="E20" s="499">
        <v>9</v>
      </c>
    </row>
    <row r="21" spans="1:6">
      <c r="A21" s="501" t="s">
        <v>8</v>
      </c>
      <c r="B21" s="503">
        <f>SUM(B4:B20)</f>
        <v>20</v>
      </c>
      <c r="C21" s="503">
        <f>SUM(C4:C20)</f>
        <v>59</v>
      </c>
      <c r="D21" s="503">
        <f>SUM(D4:D20)</f>
        <v>54</v>
      </c>
      <c r="E21" s="503">
        <f>SUM(E4:E20)</f>
        <v>201</v>
      </c>
      <c r="F21" s="495"/>
    </row>
    <row r="22" spans="1:6">
      <c r="A22" s="502" t="s">
        <v>7</v>
      </c>
      <c r="B22" s="496">
        <v>0</v>
      </c>
      <c r="C22" s="496">
        <v>201</v>
      </c>
      <c r="D22" s="496">
        <v>0</v>
      </c>
      <c r="E22" s="496"/>
    </row>
    <row r="23" spans="1:6">
      <c r="B23" s="500">
        <f>+B21+B22</f>
        <v>20</v>
      </c>
      <c r="C23" s="500">
        <f t="shared" ref="C23:D23" si="0">+C21+C22</f>
        <v>260</v>
      </c>
      <c r="D23" s="500">
        <f t="shared" si="0"/>
        <v>54</v>
      </c>
    </row>
  </sheetData>
  <mergeCells count="1">
    <mergeCell ref="B2:D2"/>
  </mergeCells>
  <pageMargins left="0.7" right="0.7" top="0.75" bottom="0.75" header="0.3" footer="0.3"/>
  <pageSetup orientation="portrait" horizontalDpi="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J45"/>
  <sheetViews>
    <sheetView topLeftCell="A19" zoomScale="80" zoomScaleNormal="80" workbookViewId="0">
      <selection activeCell="F36" sqref="F36"/>
    </sheetView>
  </sheetViews>
  <sheetFormatPr defaultRowHeight="21"/>
  <cols>
    <col min="1" max="1" width="32" style="233" customWidth="1"/>
    <col min="2" max="2" width="23" style="233" customWidth="1"/>
    <col min="3" max="3" width="20.7109375" style="233" customWidth="1"/>
    <col min="4" max="4" width="19.5703125" style="233" customWidth="1"/>
    <col min="5" max="5" width="20" style="233" customWidth="1"/>
    <col min="6" max="6" width="18.140625" style="30" bestFit="1" customWidth="1"/>
    <col min="7" max="7" width="17.42578125" style="233" customWidth="1"/>
    <col min="8" max="8" width="16.5703125" style="233" bestFit="1" customWidth="1"/>
    <col min="9" max="9" width="15.42578125" style="233" bestFit="1" customWidth="1"/>
    <col min="10" max="10" width="9.140625" style="233"/>
    <col min="11" max="11" width="13.85546875" style="233" bestFit="1" customWidth="1"/>
    <col min="12" max="16384" width="9.140625" style="233"/>
  </cols>
  <sheetData>
    <row r="1" spans="1:8">
      <c r="A1" s="549" t="s">
        <v>0</v>
      </c>
      <c r="B1" s="549"/>
      <c r="C1" s="549"/>
      <c r="D1" s="549"/>
      <c r="E1" s="549"/>
    </row>
    <row r="2" spans="1:8">
      <c r="A2" s="371"/>
    </row>
    <row r="3" spans="1:8">
      <c r="A3" s="372" t="s">
        <v>37</v>
      </c>
    </row>
    <row r="4" spans="1:8">
      <c r="A4" s="371"/>
    </row>
    <row r="5" spans="1:8">
      <c r="A5" s="550" t="s">
        <v>382</v>
      </c>
      <c r="B5" s="550"/>
      <c r="C5" s="550"/>
    </row>
    <row r="6" spans="1:8" s="371" customFormat="1">
      <c r="E6" s="122" t="s">
        <v>33</v>
      </c>
      <c r="F6" s="384"/>
    </row>
    <row r="7" spans="1:8" s="371" customFormat="1">
      <c r="A7" s="381" t="s">
        <v>5</v>
      </c>
      <c r="B7" s="381" t="s">
        <v>6</v>
      </c>
      <c r="C7" s="381" t="s">
        <v>7</v>
      </c>
      <c r="D7" s="381" t="s">
        <v>336</v>
      </c>
      <c r="E7" s="381" t="s">
        <v>8</v>
      </c>
      <c r="F7" s="384"/>
    </row>
    <row r="8" spans="1:8">
      <c r="A8" s="27" t="s">
        <v>62</v>
      </c>
      <c r="B8" s="102">
        <v>555784144.37</v>
      </c>
      <c r="C8" s="102">
        <v>64251787.640000001</v>
      </c>
      <c r="D8" s="102">
        <v>14581679.48</v>
      </c>
      <c r="E8" s="102">
        <f t="shared" ref="E8:E14" si="0">SUM(B8:D8)</f>
        <v>634617611.49000001</v>
      </c>
    </row>
    <row r="9" spans="1:8">
      <c r="A9" s="27" t="s">
        <v>109</v>
      </c>
      <c r="B9" s="102">
        <v>7437247.4900000002</v>
      </c>
      <c r="C9" s="102">
        <v>596544.06000000006</v>
      </c>
      <c r="D9" s="102">
        <f>+คชจ.หน่วยงาน61!G32</f>
        <v>0</v>
      </c>
      <c r="E9" s="102">
        <f t="shared" si="0"/>
        <v>8033791.5500000007</v>
      </c>
    </row>
    <row r="10" spans="1:8">
      <c r="A10" s="27" t="s">
        <v>110</v>
      </c>
      <c r="B10" s="102">
        <v>13150591.01</v>
      </c>
      <c r="C10" s="102">
        <v>3203443.11</v>
      </c>
      <c r="D10" s="102">
        <f>+คชจ.หน่วยงาน61!J32</f>
        <v>0</v>
      </c>
      <c r="E10" s="102">
        <f t="shared" si="0"/>
        <v>16354034.119999999</v>
      </c>
    </row>
    <row r="11" spans="1:8">
      <c r="A11" s="27" t="s">
        <v>111</v>
      </c>
      <c r="B11" s="102">
        <v>145583370.16999999</v>
      </c>
      <c r="C11" s="102">
        <v>86079852.129999995</v>
      </c>
      <c r="D11" s="102">
        <f>+คชจ.หน่วยงาน61!M32</f>
        <v>0</v>
      </c>
      <c r="E11" s="102">
        <f t="shared" si="0"/>
        <v>231663222.29999998</v>
      </c>
    </row>
    <row r="12" spans="1:8">
      <c r="A12" s="27" t="s">
        <v>112</v>
      </c>
      <c r="B12" s="102">
        <v>226498983.08000001</v>
      </c>
      <c r="C12" s="102">
        <v>36902794.799999997</v>
      </c>
      <c r="D12" s="102">
        <f>+คชจ.หน่วยงาน61!P32</f>
        <v>0</v>
      </c>
      <c r="E12" s="102">
        <f t="shared" si="0"/>
        <v>263401777.88</v>
      </c>
    </row>
    <row r="13" spans="1:8">
      <c r="A13" s="27" t="s">
        <v>113</v>
      </c>
      <c r="B13" s="102">
        <v>77429957</v>
      </c>
      <c r="C13" s="102">
        <v>12010527.5</v>
      </c>
      <c r="D13" s="102">
        <f>+คชจ.หน่วยงาน61!S32</f>
        <v>0</v>
      </c>
      <c r="E13" s="102">
        <f t="shared" si="0"/>
        <v>89440484.5</v>
      </c>
    </row>
    <row r="14" spans="1:8" ht="21.75" thickBot="1">
      <c r="A14" s="27" t="s">
        <v>114</v>
      </c>
      <c r="B14" s="394">
        <v>45555216.479999997</v>
      </c>
      <c r="C14" s="394">
        <v>47457312.390000001</v>
      </c>
      <c r="D14" s="394">
        <f>+คชจ.หน่วยงาน61!V32</f>
        <v>0</v>
      </c>
      <c r="E14" s="102">
        <f t="shared" si="0"/>
        <v>93012528.870000005</v>
      </c>
      <c r="H14" s="22"/>
    </row>
    <row r="15" spans="1:8" s="25" customFormat="1" ht="22.5" thickTop="1" thickBot="1">
      <c r="A15" s="53" t="s">
        <v>8</v>
      </c>
      <c r="B15" s="208">
        <f>SUM(B8:B14)</f>
        <v>1071439509.6</v>
      </c>
      <c r="C15" s="208">
        <f>SUM(C8:C14)</f>
        <v>250502261.63</v>
      </c>
      <c r="D15" s="208">
        <f>SUM(D8:D14)</f>
        <v>14581679.48</v>
      </c>
      <c r="E15" s="208">
        <f>SUM(B15:D15)</f>
        <v>1336523450.71</v>
      </c>
      <c r="F15" s="24"/>
    </row>
    <row r="16" spans="1:8" ht="21.75" thickTop="1">
      <c r="B16" s="22"/>
      <c r="C16" s="22"/>
      <c r="D16" s="22"/>
      <c r="E16" s="22"/>
    </row>
    <row r="17" spans="1:9">
      <c r="A17" s="123" t="s">
        <v>67</v>
      </c>
      <c r="C17" s="22"/>
      <c r="E17" s="22"/>
    </row>
    <row r="18" spans="1:9">
      <c r="A18" s="233" t="s">
        <v>160</v>
      </c>
      <c r="B18" s="30"/>
      <c r="C18" s="22"/>
      <c r="D18" s="30">
        <v>2643689105.25</v>
      </c>
      <c r="E18" s="118"/>
    </row>
    <row r="19" spans="1:9">
      <c r="A19" s="123" t="s">
        <v>294</v>
      </c>
      <c r="B19" s="31"/>
      <c r="C19" s="118">
        <v>28213184.170000002</v>
      </c>
      <c r="D19" s="30"/>
      <c r="E19" s="22"/>
    </row>
    <row r="20" spans="1:9">
      <c r="A20" s="209">
        <v>5101030101</v>
      </c>
      <c r="B20" s="210" t="s">
        <v>152</v>
      </c>
      <c r="C20" s="30">
        <v>2102230</v>
      </c>
      <c r="D20" s="30"/>
      <c r="E20" s="22"/>
    </row>
    <row r="21" spans="1:9">
      <c r="A21" s="209">
        <v>5101040102</v>
      </c>
      <c r="B21" s="210" t="s">
        <v>153</v>
      </c>
      <c r="C21" s="30">
        <v>47018676.420000002</v>
      </c>
      <c r="E21" s="22"/>
      <c r="I21" s="30"/>
    </row>
    <row r="22" spans="1:9">
      <c r="A22" s="209">
        <v>5101040104</v>
      </c>
      <c r="B22" s="210" t="s">
        <v>343</v>
      </c>
      <c r="C22" s="30">
        <v>274159.2</v>
      </c>
      <c r="G22" s="22"/>
    </row>
    <row r="23" spans="1:9">
      <c r="A23" s="209">
        <v>5101040105</v>
      </c>
      <c r="B23" s="210" t="s">
        <v>344</v>
      </c>
      <c r="C23" s="30">
        <v>3116013.12</v>
      </c>
    </row>
    <row r="24" spans="1:9">
      <c r="A24" s="209">
        <v>5101040106</v>
      </c>
      <c r="B24" s="210" t="s">
        <v>178</v>
      </c>
      <c r="C24" s="30">
        <v>1586415</v>
      </c>
    </row>
    <row r="25" spans="1:9">
      <c r="A25" s="209">
        <v>5101040107</v>
      </c>
      <c r="B25" s="210" t="s">
        <v>154</v>
      </c>
      <c r="C25" s="30">
        <v>834604</v>
      </c>
    </row>
    <row r="26" spans="1:9">
      <c r="A26" s="209">
        <v>5101040108</v>
      </c>
      <c r="B26" s="210" t="s">
        <v>345</v>
      </c>
      <c r="C26" s="30">
        <v>3600000</v>
      </c>
      <c r="E26" s="22"/>
    </row>
    <row r="27" spans="1:9">
      <c r="A27" s="209">
        <v>5101040111</v>
      </c>
      <c r="B27" s="210" t="s">
        <v>346</v>
      </c>
      <c r="C27" s="30">
        <v>67185</v>
      </c>
      <c r="E27" s="22"/>
    </row>
    <row r="28" spans="1:9">
      <c r="A28" s="209">
        <v>5101040120</v>
      </c>
      <c r="B28" s="210" t="s">
        <v>347</v>
      </c>
      <c r="C28" s="30">
        <v>4784685</v>
      </c>
      <c r="G28" s="22"/>
    </row>
    <row r="29" spans="1:9">
      <c r="A29" s="209">
        <v>5101040202</v>
      </c>
      <c r="B29" s="210" t="s">
        <v>152</v>
      </c>
      <c r="C29" s="30">
        <v>111650</v>
      </c>
    </row>
    <row r="30" spans="1:9">
      <c r="A30" s="209">
        <v>5101040204</v>
      </c>
      <c r="B30" s="210" t="s">
        <v>348</v>
      </c>
      <c r="C30" s="30">
        <v>2716583.25</v>
      </c>
    </row>
    <row r="31" spans="1:9">
      <c r="A31" s="209">
        <v>5101040205</v>
      </c>
      <c r="B31" s="210" t="s">
        <v>349</v>
      </c>
      <c r="C31" s="30">
        <v>1302043.71</v>
      </c>
    </row>
    <row r="32" spans="1:9">
      <c r="A32" s="209">
        <v>5101040206</v>
      </c>
      <c r="B32" s="210" t="s">
        <v>350</v>
      </c>
      <c r="C32" s="30">
        <v>5252</v>
      </c>
      <c r="E32" s="542"/>
    </row>
    <row r="33" spans="1:10">
      <c r="A33" s="211">
        <v>5101040207</v>
      </c>
      <c r="B33" s="212" t="s">
        <v>351</v>
      </c>
      <c r="C33" s="31">
        <v>18902.79</v>
      </c>
    </row>
    <row r="34" spans="1:10">
      <c r="A34" s="211">
        <v>5104030220</v>
      </c>
      <c r="B34" s="212" t="s">
        <v>499</v>
      </c>
      <c r="C34" s="397">
        <v>71894613.549999997</v>
      </c>
      <c r="E34" s="22"/>
    </row>
    <row r="35" spans="1:10">
      <c r="A35" s="209">
        <v>5209010112</v>
      </c>
      <c r="B35" s="210" t="s">
        <v>3237</v>
      </c>
      <c r="C35" s="536">
        <v>4713308.99</v>
      </c>
      <c r="E35" s="22"/>
    </row>
    <row r="36" spans="1:10">
      <c r="A36" s="209">
        <v>5210010102</v>
      </c>
      <c r="B36" s="210" t="s">
        <v>3238</v>
      </c>
      <c r="C36" s="536">
        <v>553746023.62</v>
      </c>
    </row>
    <row r="37" spans="1:10">
      <c r="A37" s="209">
        <v>5210010103</v>
      </c>
      <c r="B37" s="210" t="s">
        <v>3239</v>
      </c>
      <c r="C37" s="536">
        <v>5400806.8600000003</v>
      </c>
      <c r="D37" s="30"/>
      <c r="E37" s="22"/>
    </row>
    <row r="38" spans="1:10">
      <c r="A38" s="209">
        <v>5210010105</v>
      </c>
      <c r="B38" s="210" t="s">
        <v>3240</v>
      </c>
      <c r="C38" s="536">
        <v>561440444.86000001</v>
      </c>
      <c r="D38" s="22"/>
    </row>
    <row r="39" spans="1:10">
      <c r="A39" s="209">
        <v>5210010118</v>
      </c>
      <c r="B39" s="210" t="s">
        <v>3241</v>
      </c>
      <c r="C39" s="536">
        <v>14218873</v>
      </c>
      <c r="D39" s="540">
        <f>SUM(C19:C39)</f>
        <v>1307165654.54</v>
      </c>
      <c r="E39" s="537"/>
      <c r="F39" s="537"/>
      <c r="G39" s="537"/>
      <c r="H39" s="538"/>
      <c r="I39" s="537"/>
      <c r="J39" s="538"/>
    </row>
    <row r="40" spans="1:10" ht="21.75" thickBot="1">
      <c r="A40" s="209"/>
      <c r="B40" s="210"/>
      <c r="C40" s="210"/>
      <c r="D40" s="541">
        <f>+D18-D39</f>
        <v>1336523450.71</v>
      </c>
      <c r="E40" s="537"/>
      <c r="F40" s="537"/>
      <c r="G40" s="537"/>
      <c r="H40" s="538"/>
      <c r="I40" s="537"/>
      <c r="J40" s="538"/>
    </row>
    <row r="41" spans="1:10" ht="21.75" thickTop="1">
      <c r="D41" s="537"/>
      <c r="E41" s="537"/>
      <c r="F41" s="537"/>
      <c r="G41" s="537"/>
      <c r="H41" s="538"/>
      <c r="I41" s="537"/>
      <c r="J41" s="538"/>
    </row>
    <row r="42" spans="1:10">
      <c r="D42" s="537"/>
      <c r="E42" s="537"/>
      <c r="F42" s="537"/>
      <c r="G42" s="537"/>
      <c r="H42" s="538"/>
      <c r="I42" s="537"/>
      <c r="J42" s="538"/>
    </row>
    <row r="43" spans="1:10">
      <c r="D43" s="539"/>
      <c r="E43" s="537"/>
      <c r="F43" s="537"/>
      <c r="G43" s="537"/>
      <c r="H43" s="538"/>
      <c r="I43" s="537"/>
      <c r="J43" s="537"/>
    </row>
    <row r="44" spans="1:10">
      <c r="D44" s="537"/>
      <c r="E44" s="537"/>
      <c r="F44" s="537"/>
      <c r="G44" s="537"/>
      <c r="H44" s="538"/>
      <c r="I44" s="537"/>
      <c r="J44" s="538"/>
    </row>
    <row r="45" spans="1:10">
      <c r="A45" s="209"/>
      <c r="B45" s="210"/>
      <c r="C45" s="210"/>
      <c r="D45" s="537"/>
      <c r="E45" s="537"/>
      <c r="F45" s="537"/>
      <c r="G45" s="537"/>
      <c r="H45" s="537"/>
      <c r="I45" s="537"/>
      <c r="J45" s="537"/>
    </row>
  </sheetData>
  <mergeCells count="2">
    <mergeCell ref="A1:E1"/>
    <mergeCell ref="A5:C5"/>
  </mergeCells>
  <phoneticPr fontId="3" type="noConversion"/>
  <printOptions horizontalCentered="1"/>
  <pageMargins left="0.59055118110236227" right="0.59055118110236227" top="0.86614173228346458" bottom="0.51181102362204722" header="0.39370078740157483" footer="0.39370078740157483"/>
  <pageSetup paperSize="9" scale="80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J53"/>
  <sheetViews>
    <sheetView zoomScale="90" zoomScaleNormal="90" workbookViewId="0">
      <selection activeCell="A11" sqref="A11"/>
    </sheetView>
  </sheetViews>
  <sheetFormatPr defaultRowHeight="21"/>
  <cols>
    <col min="1" max="1" width="58.28515625" style="233" customWidth="1"/>
    <col min="2" max="2" width="18.85546875" style="118" bestFit="1" customWidth="1"/>
    <col min="3" max="3" width="18.140625" style="30" bestFit="1" customWidth="1"/>
    <col min="4" max="4" width="15.85546875" style="30" bestFit="1" customWidth="1"/>
    <col min="5" max="5" width="17.140625" style="30" bestFit="1" customWidth="1"/>
    <col min="6" max="6" width="19" style="30" bestFit="1" customWidth="1"/>
    <col min="7" max="7" width="11.85546875" style="233" customWidth="1"/>
    <col min="8" max="8" width="17.42578125" style="383" customWidth="1"/>
    <col min="9" max="9" width="15.42578125" style="233" customWidth="1"/>
    <col min="10" max="10" width="14.140625" style="30" customWidth="1"/>
    <col min="11" max="16384" width="9.140625" style="233"/>
  </cols>
  <sheetData>
    <row r="1" spans="1:10">
      <c r="A1" s="549" t="s">
        <v>18</v>
      </c>
      <c r="B1" s="549"/>
      <c r="C1" s="549"/>
      <c r="D1" s="549"/>
      <c r="E1" s="549"/>
      <c r="F1" s="549"/>
      <c r="G1" s="549"/>
      <c r="H1" s="549"/>
      <c r="I1" s="549"/>
    </row>
    <row r="2" spans="1:10">
      <c r="A2" s="554" t="s">
        <v>37</v>
      </c>
      <c r="B2" s="554"/>
      <c r="C2" s="554"/>
      <c r="D2" s="554"/>
      <c r="E2" s="554"/>
      <c r="F2" s="554"/>
      <c r="G2" s="554"/>
      <c r="H2" s="554"/>
      <c r="I2" s="554"/>
    </row>
    <row r="3" spans="1:10">
      <c r="A3" s="436" t="s">
        <v>383</v>
      </c>
      <c r="G3" s="22"/>
      <c r="H3" s="512"/>
      <c r="I3" s="122" t="s">
        <v>33</v>
      </c>
    </row>
    <row r="4" spans="1:10" s="371" customFormat="1" ht="20.25" customHeight="1">
      <c r="A4" s="381" t="s">
        <v>9</v>
      </c>
      <c r="B4" s="219" t="s">
        <v>6</v>
      </c>
      <c r="C4" s="219" t="s">
        <v>7</v>
      </c>
      <c r="D4" s="219" t="s">
        <v>10</v>
      </c>
      <c r="E4" s="219" t="s">
        <v>11</v>
      </c>
      <c r="F4" s="219" t="s">
        <v>12</v>
      </c>
      <c r="G4" s="552" t="s">
        <v>13</v>
      </c>
      <c r="H4" s="553"/>
      <c r="I4" s="381" t="s">
        <v>14</v>
      </c>
      <c r="J4" s="384"/>
    </row>
    <row r="5" spans="1:10" s="192" customFormat="1" ht="20.25" customHeight="1">
      <c r="A5" s="50" t="s">
        <v>157</v>
      </c>
      <c r="B5" s="121">
        <v>16735782.939999999</v>
      </c>
      <c r="C5" s="121">
        <v>23061619.809999999</v>
      </c>
      <c r="D5" s="121">
        <v>5115932.88</v>
      </c>
      <c r="E5" s="121">
        <v>16364609.789999999</v>
      </c>
      <c r="F5" s="121">
        <f t="shared" ref="F5:F17" si="0">SUM(B5:E5)</f>
        <v>61277945.420000002</v>
      </c>
      <c r="G5" s="190">
        <v>4829.2</v>
      </c>
      <c r="H5" s="191" t="s">
        <v>39</v>
      </c>
      <c r="I5" s="40">
        <f t="shared" ref="I5:I17" si="1">F5/G5</f>
        <v>12689.046927027252</v>
      </c>
      <c r="J5" s="330"/>
    </row>
    <row r="6" spans="1:10" s="192" customFormat="1" ht="20.25" customHeight="1">
      <c r="A6" s="50" t="s">
        <v>158</v>
      </c>
      <c r="B6" s="121">
        <v>18292.52</v>
      </c>
      <c r="C6" s="121">
        <v>25834.71</v>
      </c>
      <c r="D6" s="121">
        <v>7968.7</v>
      </c>
      <c r="E6" s="121">
        <v>29205.88</v>
      </c>
      <c r="F6" s="121">
        <f t="shared" si="0"/>
        <v>81301.81</v>
      </c>
      <c r="G6" s="190">
        <v>7.33</v>
      </c>
      <c r="H6" s="191" t="s">
        <v>39</v>
      </c>
      <c r="I6" s="40">
        <f>F6/G6</f>
        <v>11091.652114597544</v>
      </c>
      <c r="J6" s="330"/>
    </row>
    <row r="7" spans="1:10" s="192" customFormat="1" ht="20.25" customHeight="1">
      <c r="A7" s="50" t="s">
        <v>159</v>
      </c>
      <c r="B7" s="121">
        <v>9444878.0500000007</v>
      </c>
      <c r="C7" s="121">
        <v>5916305.7800000003</v>
      </c>
      <c r="D7" s="121">
        <v>1330717.95</v>
      </c>
      <c r="E7" s="121">
        <v>5629679.8499999996</v>
      </c>
      <c r="F7" s="121">
        <f t="shared" si="0"/>
        <v>22321581.630000003</v>
      </c>
      <c r="G7" s="190">
        <v>1224.06</v>
      </c>
      <c r="H7" s="191" t="s">
        <v>39</v>
      </c>
      <c r="I7" s="40">
        <f>F7/G7</f>
        <v>18235.692392529782</v>
      </c>
      <c r="J7" s="330"/>
    </row>
    <row r="8" spans="1:10" s="192" customFormat="1" ht="20.25" customHeight="1">
      <c r="A8" s="50" t="s">
        <v>115</v>
      </c>
      <c r="B8" s="121">
        <v>6539630.3399999999</v>
      </c>
      <c r="C8" s="121">
        <v>659440.86</v>
      </c>
      <c r="D8" s="121">
        <v>423765.06</v>
      </c>
      <c r="E8" s="121">
        <v>3597065.85</v>
      </c>
      <c r="F8" s="121">
        <f t="shared" si="0"/>
        <v>11219902.109999999</v>
      </c>
      <c r="G8" s="190">
        <v>389.8</v>
      </c>
      <c r="H8" s="191" t="s">
        <v>39</v>
      </c>
      <c r="I8" s="40">
        <f t="shared" si="1"/>
        <v>28783.740661877884</v>
      </c>
      <c r="J8" s="330"/>
    </row>
    <row r="9" spans="1:10" s="192" customFormat="1" ht="20.25" customHeight="1">
      <c r="A9" s="34" t="s">
        <v>116</v>
      </c>
      <c r="B9" s="121">
        <v>22081262.890000001</v>
      </c>
      <c r="C9" s="121">
        <v>21678345.309999999</v>
      </c>
      <c r="D9" s="121">
        <v>3414130.68</v>
      </c>
      <c r="E9" s="121">
        <v>21311019.039999999</v>
      </c>
      <c r="F9" s="121">
        <f t="shared" si="0"/>
        <v>68484757.920000002</v>
      </c>
      <c r="G9" s="190">
        <v>3187.6</v>
      </c>
      <c r="H9" s="191" t="s">
        <v>39</v>
      </c>
      <c r="I9" s="40">
        <f t="shared" si="1"/>
        <v>21484.740218346091</v>
      </c>
      <c r="J9" s="330"/>
    </row>
    <row r="10" spans="1:10" s="192" customFormat="1" ht="20.25" customHeight="1">
      <c r="A10" s="50" t="s">
        <v>117</v>
      </c>
      <c r="B10" s="121">
        <v>72991.45</v>
      </c>
      <c r="C10" s="121">
        <v>95901.87</v>
      </c>
      <c r="D10" s="121">
        <v>16796.23</v>
      </c>
      <c r="E10" s="121">
        <v>80688.78</v>
      </c>
      <c r="F10" s="121">
        <f t="shared" si="0"/>
        <v>266378.33</v>
      </c>
      <c r="G10" s="190">
        <v>15.45</v>
      </c>
      <c r="H10" s="191" t="s">
        <v>39</v>
      </c>
      <c r="I10" s="40">
        <f t="shared" si="1"/>
        <v>17241.315857605179</v>
      </c>
      <c r="J10" s="330"/>
    </row>
    <row r="11" spans="1:10" s="192" customFormat="1" ht="20.25" customHeight="1">
      <c r="A11" s="50" t="s">
        <v>118</v>
      </c>
      <c r="B11" s="121">
        <v>10226520.41</v>
      </c>
      <c r="C11" s="121">
        <v>7154661.4100000001</v>
      </c>
      <c r="D11" s="121">
        <v>940864.28</v>
      </c>
      <c r="E11" s="121">
        <v>6833894.2199999997</v>
      </c>
      <c r="F11" s="121">
        <f t="shared" si="0"/>
        <v>25155940.32</v>
      </c>
      <c r="G11" s="190">
        <v>925.05</v>
      </c>
      <c r="H11" s="191" t="s">
        <v>39</v>
      </c>
      <c r="I11" s="40">
        <f t="shared" si="1"/>
        <v>27194.141203178209</v>
      </c>
      <c r="J11" s="330"/>
    </row>
    <row r="12" spans="1:10" s="192" customFormat="1" ht="20.25" customHeight="1">
      <c r="A12" s="50" t="s">
        <v>119</v>
      </c>
      <c r="B12" s="121">
        <v>63491.96</v>
      </c>
      <c r="C12" s="121">
        <v>56293.94</v>
      </c>
      <c r="D12" s="121">
        <v>7689.24</v>
      </c>
      <c r="E12" s="121">
        <v>44324.01</v>
      </c>
      <c r="F12" s="121">
        <f t="shared" si="0"/>
        <v>171799.15</v>
      </c>
      <c r="G12" s="190">
        <v>7.56</v>
      </c>
      <c r="H12" s="191" t="s">
        <v>39</v>
      </c>
      <c r="I12" s="40">
        <f t="shared" si="1"/>
        <v>22724.755291005291</v>
      </c>
      <c r="J12" s="330"/>
    </row>
    <row r="13" spans="1:10" s="192" customFormat="1" ht="20.25" customHeight="1">
      <c r="A13" s="50" t="s">
        <v>120</v>
      </c>
      <c r="B13" s="121">
        <v>13320795.369999999</v>
      </c>
      <c r="C13" s="121">
        <v>12872575.98</v>
      </c>
      <c r="D13" s="121">
        <v>1061471.46</v>
      </c>
      <c r="E13" s="121">
        <v>9482028.0199999996</v>
      </c>
      <c r="F13" s="121">
        <f t="shared" si="0"/>
        <v>36736870.829999998</v>
      </c>
      <c r="G13" s="190">
        <v>1043.6300000000001</v>
      </c>
      <c r="H13" s="191" t="s">
        <v>39</v>
      </c>
      <c r="I13" s="40">
        <f t="shared" si="1"/>
        <v>35201.04905953259</v>
      </c>
      <c r="J13" s="330"/>
    </row>
    <row r="14" spans="1:10" s="192" customFormat="1" ht="20.25" customHeight="1">
      <c r="A14" s="50" t="s">
        <v>121</v>
      </c>
      <c r="B14" s="121">
        <v>51880.71</v>
      </c>
      <c r="C14" s="121">
        <v>45007.69</v>
      </c>
      <c r="D14" s="121">
        <v>3386.93</v>
      </c>
      <c r="E14" s="121">
        <v>21998.13</v>
      </c>
      <c r="F14" s="121">
        <f t="shared" si="0"/>
        <v>122273.45999999999</v>
      </c>
      <c r="G14" s="190">
        <v>3.33</v>
      </c>
      <c r="H14" s="191" t="s">
        <v>39</v>
      </c>
      <c r="I14" s="40">
        <f t="shared" si="1"/>
        <v>36718.756756756753</v>
      </c>
      <c r="J14" s="330"/>
    </row>
    <row r="15" spans="1:10" s="192" customFormat="1" ht="20.25" customHeight="1">
      <c r="A15" s="50" t="s">
        <v>122</v>
      </c>
      <c r="B15" s="121">
        <v>5572200.46</v>
      </c>
      <c r="C15" s="121">
        <v>4362631.47</v>
      </c>
      <c r="D15" s="121">
        <v>230453.52</v>
      </c>
      <c r="E15" s="121">
        <v>7484482.2199999997</v>
      </c>
      <c r="F15" s="121">
        <f t="shared" si="0"/>
        <v>17649767.669999998</v>
      </c>
      <c r="G15" s="190">
        <v>226.58</v>
      </c>
      <c r="H15" s="191" t="s">
        <v>39</v>
      </c>
      <c r="I15" s="40">
        <f>F15/G15</f>
        <v>77896.405993468084</v>
      </c>
      <c r="J15" s="330"/>
    </row>
    <row r="16" spans="1:10" s="192" customFormat="1" ht="20.25" customHeight="1">
      <c r="A16" s="50" t="s">
        <v>123</v>
      </c>
      <c r="B16" s="121">
        <v>7390478.71</v>
      </c>
      <c r="C16" s="121">
        <v>4230500.1100000003</v>
      </c>
      <c r="D16" s="121">
        <v>1030777.52</v>
      </c>
      <c r="E16" s="121">
        <v>5856071.3700000001</v>
      </c>
      <c r="F16" s="121">
        <f t="shared" si="0"/>
        <v>18507827.710000001</v>
      </c>
      <c r="G16" s="190">
        <v>948.16</v>
      </c>
      <c r="H16" s="191" t="s">
        <v>39</v>
      </c>
      <c r="I16" s="40">
        <f t="shared" si="1"/>
        <v>19519.730541258861</v>
      </c>
      <c r="J16" s="330"/>
    </row>
    <row r="17" spans="1:10" s="192" customFormat="1" ht="20.25" customHeight="1">
      <c r="A17" s="144" t="s">
        <v>338</v>
      </c>
      <c r="B17" s="121">
        <v>5079902.4800000004</v>
      </c>
      <c r="C17" s="121">
        <v>2379878.6</v>
      </c>
      <c r="D17" s="121">
        <v>689776.02</v>
      </c>
      <c r="E17" s="121">
        <v>2022560.81</v>
      </c>
      <c r="F17" s="121">
        <f t="shared" si="0"/>
        <v>10172117.91</v>
      </c>
      <c r="G17" s="190">
        <v>634.49</v>
      </c>
      <c r="H17" s="191" t="s">
        <v>39</v>
      </c>
      <c r="I17" s="40">
        <f t="shared" si="1"/>
        <v>16031.959384702675</v>
      </c>
      <c r="J17" s="330"/>
    </row>
    <row r="18" spans="1:10" s="35" customFormat="1" ht="20.25" customHeight="1">
      <c r="A18" s="34" t="s">
        <v>124</v>
      </c>
      <c r="B18" s="56">
        <v>6399968.75</v>
      </c>
      <c r="C18" s="56">
        <v>50000</v>
      </c>
      <c r="D18" s="56">
        <v>0</v>
      </c>
      <c r="E18" s="56">
        <v>2696819.15</v>
      </c>
      <c r="F18" s="121">
        <f>SUM(B18:E18)</f>
        <v>9146787.9000000004</v>
      </c>
      <c r="G18" s="388">
        <v>185</v>
      </c>
      <c r="H18" s="191" t="str">
        <f ca="1">+'ตารางที่ 3'!H18</f>
        <v>โครงการ</v>
      </c>
      <c r="I18" s="56">
        <f t="shared" ref="I18:I19" si="2">+F18/G18</f>
        <v>49442.096756756757</v>
      </c>
      <c r="J18" s="38"/>
    </row>
    <row r="19" spans="1:10" s="35" customFormat="1" ht="20.25" customHeight="1">
      <c r="A19" s="34" t="s">
        <v>125</v>
      </c>
      <c r="B19" s="56">
        <v>2454514.7999999998</v>
      </c>
      <c r="C19" s="56">
        <v>1385675</v>
      </c>
      <c r="D19" s="56">
        <v>0</v>
      </c>
      <c r="E19" s="56">
        <v>2087400.3</v>
      </c>
      <c r="F19" s="121">
        <f>SUM(B19:E19)</f>
        <v>5927590.0999999996</v>
      </c>
      <c r="G19" s="388">
        <v>113</v>
      </c>
      <c r="H19" s="191" t="str">
        <f ca="1">+'ตารางที่ 3'!H19</f>
        <v>โครงการ</v>
      </c>
      <c r="I19" s="56">
        <f t="shared" si="2"/>
        <v>52456.549557522121</v>
      </c>
      <c r="J19" s="38"/>
    </row>
    <row r="20" spans="1:10" s="189" customFormat="1" ht="20.25" customHeight="1">
      <c r="A20" s="34" t="s">
        <v>399</v>
      </c>
      <c r="B20" s="56">
        <v>126949102.78</v>
      </c>
      <c r="C20" s="56">
        <v>49603448.020000003</v>
      </c>
      <c r="D20" s="56">
        <v>215039</v>
      </c>
      <c r="E20" s="56">
        <v>87252192.620000005</v>
      </c>
      <c r="F20" s="121">
        <f t="shared" ref="F20:F23" si="3">SUM(B20:E20)</f>
        <v>264019782.42000002</v>
      </c>
      <c r="G20" s="388">
        <v>1676</v>
      </c>
      <c r="H20" s="389" t="s">
        <v>147</v>
      </c>
      <c r="I20" s="56">
        <f>+F20/G20</f>
        <v>157529.70311455848</v>
      </c>
      <c r="J20" s="38"/>
    </row>
    <row r="21" spans="1:10" s="189" customFormat="1" ht="20.25" customHeight="1">
      <c r="A21" s="34" t="s">
        <v>3213</v>
      </c>
      <c r="B21" s="56">
        <v>8339800</v>
      </c>
      <c r="C21" s="56">
        <v>2259920</v>
      </c>
      <c r="D21" s="56">
        <v>0</v>
      </c>
      <c r="E21" s="56">
        <v>4698975.41</v>
      </c>
      <c r="F21" s="121">
        <f t="shared" si="3"/>
        <v>15298695.41</v>
      </c>
      <c r="G21" s="388">
        <v>20</v>
      </c>
      <c r="H21" s="389" t="s">
        <v>20</v>
      </c>
      <c r="I21" s="56">
        <f t="shared" ref="I21:I23" si="4">+F21/G21</f>
        <v>764934.77049999998</v>
      </c>
      <c r="J21" s="38"/>
    </row>
    <row r="22" spans="1:10" s="189" customFormat="1" ht="42" customHeight="1">
      <c r="A22" s="194" t="s">
        <v>400</v>
      </c>
      <c r="B22" s="56">
        <v>21720800</v>
      </c>
      <c r="C22" s="56">
        <v>2264000</v>
      </c>
      <c r="D22" s="56">
        <v>0</v>
      </c>
      <c r="E22" s="56">
        <v>10226074.76</v>
      </c>
      <c r="F22" s="121">
        <f t="shared" si="3"/>
        <v>34210874.759999998</v>
      </c>
      <c r="G22" s="388">
        <v>260</v>
      </c>
      <c r="H22" s="389" t="s">
        <v>20</v>
      </c>
      <c r="I22" s="56">
        <f t="shared" si="4"/>
        <v>131580.28753846153</v>
      </c>
      <c r="J22" s="38"/>
    </row>
    <row r="23" spans="1:10" s="189" customFormat="1" ht="20.25" customHeight="1">
      <c r="A23" s="34" t="s">
        <v>401</v>
      </c>
      <c r="B23" s="56">
        <v>21997106.66</v>
      </c>
      <c r="C23" s="56">
        <v>0</v>
      </c>
      <c r="D23" s="56">
        <v>0</v>
      </c>
      <c r="E23" s="56">
        <v>7675800.6100000003</v>
      </c>
      <c r="F23" s="121">
        <f t="shared" si="3"/>
        <v>29672907.27</v>
      </c>
      <c r="G23" s="388">
        <v>40</v>
      </c>
      <c r="H23" s="389" t="s">
        <v>20</v>
      </c>
      <c r="I23" s="56">
        <f t="shared" si="4"/>
        <v>741822.68174999999</v>
      </c>
      <c r="J23" s="38"/>
    </row>
    <row r="24" spans="1:10" s="35" customFormat="1" ht="20.25" customHeight="1">
      <c r="A24" s="34" t="s">
        <v>402</v>
      </c>
      <c r="B24" s="57">
        <v>429857013.27999997</v>
      </c>
      <c r="C24" s="56">
        <v>57902214.200000003</v>
      </c>
      <c r="D24" s="56">
        <v>71256.66</v>
      </c>
      <c r="E24" s="56">
        <v>53691284.200000003</v>
      </c>
      <c r="F24" s="121">
        <f>SUM(B24:E24)</f>
        <v>541521768.34000003</v>
      </c>
      <c r="G24" s="388">
        <v>1</v>
      </c>
      <c r="H24" s="191" t="s">
        <v>148</v>
      </c>
      <c r="I24" s="56">
        <f>+F24/G24</f>
        <v>541521768.34000003</v>
      </c>
      <c r="J24" s="38"/>
    </row>
    <row r="25" spans="1:10" s="189" customFormat="1" ht="20.25" customHeight="1">
      <c r="A25" s="193" t="s">
        <v>403</v>
      </c>
      <c r="B25" s="57">
        <v>14458167.369999999</v>
      </c>
      <c r="C25" s="56">
        <v>1947531.1</v>
      </c>
      <c r="D25" s="56">
        <v>2396.71</v>
      </c>
      <c r="E25" s="56">
        <v>1805897.19</v>
      </c>
      <c r="F25" s="121">
        <f t="shared" ref="F25:F34" si="5">SUM(B25:E25)</f>
        <v>18213992.370000001</v>
      </c>
      <c r="G25" s="388">
        <v>65059</v>
      </c>
      <c r="H25" s="389" t="s">
        <v>146</v>
      </c>
      <c r="I25" s="56">
        <f t="shared" ref="I25:I34" si="6">+F25/G25</f>
        <v>279.96114864968723</v>
      </c>
      <c r="J25" s="38"/>
    </row>
    <row r="26" spans="1:10" s="189" customFormat="1" ht="20.25" customHeight="1">
      <c r="A26" s="148" t="s">
        <v>404</v>
      </c>
      <c r="B26" s="57">
        <v>9261649.3800000008</v>
      </c>
      <c r="C26" s="56">
        <v>1247554.3999999999</v>
      </c>
      <c r="D26" s="56">
        <v>1535.29</v>
      </c>
      <c r="E26" s="56">
        <v>1156826.19</v>
      </c>
      <c r="F26" s="121">
        <f t="shared" si="5"/>
        <v>11667565.26</v>
      </c>
      <c r="G26" s="388">
        <v>1676</v>
      </c>
      <c r="H26" s="389" t="s">
        <v>147</v>
      </c>
      <c r="I26" s="56">
        <f t="shared" si="6"/>
        <v>6961.5544510739855</v>
      </c>
      <c r="J26" s="38"/>
    </row>
    <row r="27" spans="1:10" s="189" customFormat="1" ht="20.25" customHeight="1">
      <c r="A27" s="148" t="s">
        <v>405</v>
      </c>
      <c r="B27" s="57">
        <v>6238275.7000000002</v>
      </c>
      <c r="C27" s="56">
        <v>840302.62</v>
      </c>
      <c r="D27" s="56">
        <v>1034.1099999999999</v>
      </c>
      <c r="E27" s="56">
        <v>779191.74</v>
      </c>
      <c r="F27" s="121">
        <f t="shared" si="5"/>
        <v>7858804.1700000009</v>
      </c>
      <c r="G27" s="388">
        <v>8</v>
      </c>
      <c r="H27" s="389" t="s">
        <v>148</v>
      </c>
      <c r="I27" s="56">
        <f t="shared" si="6"/>
        <v>982350.52125000011</v>
      </c>
      <c r="J27" s="38"/>
    </row>
    <row r="28" spans="1:10" s="189" customFormat="1" ht="20.25" customHeight="1">
      <c r="A28" s="194" t="s">
        <v>406</v>
      </c>
      <c r="B28" s="57">
        <v>15828386.42</v>
      </c>
      <c r="C28" s="56">
        <v>2132101.1200000001</v>
      </c>
      <c r="D28" s="56">
        <v>2623.84</v>
      </c>
      <c r="E28" s="56">
        <v>1977044.38</v>
      </c>
      <c r="F28" s="121">
        <f t="shared" si="5"/>
        <v>19940155.759999998</v>
      </c>
      <c r="G28" s="388">
        <v>17910</v>
      </c>
      <c r="H28" s="389" t="s">
        <v>149</v>
      </c>
      <c r="I28" s="56">
        <f t="shared" si="6"/>
        <v>1113.3531970965939</v>
      </c>
      <c r="J28" s="38"/>
    </row>
    <row r="29" spans="1:10" s="189" customFormat="1" ht="20.25" customHeight="1">
      <c r="A29" s="194" t="s">
        <v>407</v>
      </c>
      <c r="B29" s="57">
        <v>4084337.58</v>
      </c>
      <c r="C29" s="56">
        <v>550164.78</v>
      </c>
      <c r="D29" s="56">
        <v>677.05</v>
      </c>
      <c r="E29" s="56">
        <v>510154.13</v>
      </c>
      <c r="F29" s="121">
        <f t="shared" si="5"/>
        <v>5145333.54</v>
      </c>
      <c r="G29" s="388">
        <v>1</v>
      </c>
      <c r="H29" s="389" t="s">
        <v>148</v>
      </c>
      <c r="I29" s="56">
        <f t="shared" si="6"/>
        <v>5145333.54</v>
      </c>
      <c r="J29" s="38"/>
    </row>
    <row r="30" spans="1:10" s="189" customFormat="1" ht="20.25" customHeight="1">
      <c r="A30" s="194" t="s">
        <v>408</v>
      </c>
      <c r="B30" s="57">
        <v>5924219.0099999998</v>
      </c>
      <c r="C30" s="56">
        <v>797998.84</v>
      </c>
      <c r="D30" s="56">
        <v>982.05</v>
      </c>
      <c r="E30" s="56">
        <v>739964.49</v>
      </c>
      <c r="F30" s="121">
        <f t="shared" si="5"/>
        <v>7463164.3899999997</v>
      </c>
      <c r="G30" s="388">
        <v>17910</v>
      </c>
      <c r="H30" s="389" t="s">
        <v>149</v>
      </c>
      <c r="I30" s="56">
        <f t="shared" si="6"/>
        <v>416.70376270240087</v>
      </c>
      <c r="J30" s="38"/>
    </row>
    <row r="31" spans="1:10" s="189" customFormat="1" ht="20.25" customHeight="1">
      <c r="A31" s="194" t="s">
        <v>409</v>
      </c>
      <c r="B31" s="56">
        <v>12388167.390000001</v>
      </c>
      <c r="C31" s="56">
        <v>1668699.82</v>
      </c>
      <c r="D31" s="56">
        <v>2053.5700000000002</v>
      </c>
      <c r="E31" s="56">
        <v>1547343.87</v>
      </c>
      <c r="F31" s="58">
        <f t="shared" si="5"/>
        <v>15606264.650000002</v>
      </c>
      <c r="G31" s="388">
        <v>1</v>
      </c>
      <c r="H31" s="389" t="s">
        <v>148</v>
      </c>
      <c r="I31" s="56">
        <f t="shared" si="6"/>
        <v>15606264.650000002</v>
      </c>
      <c r="J31" s="38"/>
    </row>
    <row r="32" spans="1:10" s="189" customFormat="1" ht="20.25" customHeight="1">
      <c r="A32" s="194" t="s">
        <v>410</v>
      </c>
      <c r="B32" s="57">
        <v>28143463.609999999</v>
      </c>
      <c r="C32" s="56">
        <v>3790955.61</v>
      </c>
      <c r="D32" s="56">
        <v>4665.29</v>
      </c>
      <c r="E32" s="56">
        <v>3515258.93</v>
      </c>
      <c r="F32" s="121">
        <f t="shared" si="5"/>
        <v>35454343.439999998</v>
      </c>
      <c r="G32" s="388">
        <v>1</v>
      </c>
      <c r="H32" s="390" t="s">
        <v>148</v>
      </c>
      <c r="I32" s="56">
        <f t="shared" si="6"/>
        <v>35454343.439999998</v>
      </c>
      <c r="J32" s="38"/>
    </row>
    <row r="33" spans="1:10" s="189" customFormat="1" ht="20.25" customHeight="1">
      <c r="A33" s="194" t="s">
        <v>411</v>
      </c>
      <c r="B33" s="57">
        <v>24501757.460000001</v>
      </c>
      <c r="C33" s="56">
        <v>3300413.78</v>
      </c>
      <c r="D33" s="56">
        <v>4061.61</v>
      </c>
      <c r="E33" s="56">
        <v>3060391.67</v>
      </c>
      <c r="F33" s="121">
        <f t="shared" si="5"/>
        <v>30866624.520000003</v>
      </c>
      <c r="G33" s="391">
        <v>1</v>
      </c>
      <c r="H33" s="392" t="s">
        <v>148</v>
      </c>
      <c r="I33" s="56">
        <f t="shared" si="6"/>
        <v>30866624.520000003</v>
      </c>
      <c r="J33" s="38"/>
    </row>
    <row r="34" spans="1:10" s="189" customFormat="1" ht="20.25" customHeight="1" thickBot="1">
      <c r="A34" s="216" t="s">
        <v>412</v>
      </c>
      <c r="B34" s="231">
        <v>9795688.0399999991</v>
      </c>
      <c r="C34" s="59">
        <v>1319490</v>
      </c>
      <c r="D34" s="59">
        <v>1623.83</v>
      </c>
      <c r="E34" s="59">
        <f>1223530.27</f>
        <v>1223530.27</v>
      </c>
      <c r="F34" s="85">
        <f t="shared" si="5"/>
        <v>12340332.139999999</v>
      </c>
      <c r="G34" s="391">
        <v>17910</v>
      </c>
      <c r="H34" s="392" t="s">
        <v>149</v>
      </c>
      <c r="I34" s="59">
        <f t="shared" si="6"/>
        <v>689.01910329424891</v>
      </c>
      <c r="J34" s="38"/>
    </row>
    <row r="35" spans="1:10" s="195" customFormat="1" ht="21" customHeight="1" thickTop="1" thickBot="1">
      <c r="A35" s="232" t="s">
        <v>61</v>
      </c>
      <c r="B35" s="208">
        <f>SUM(B5:B34)</f>
        <v>844940526.51999998</v>
      </c>
      <c r="C35" s="208">
        <f t="shared" ref="C35:E35" si="7">SUM(C5:C34)</f>
        <v>213599466.83000001</v>
      </c>
      <c r="D35" s="208">
        <f>SUM(D5:D34)</f>
        <v>14581679.479999999</v>
      </c>
      <c r="E35" s="208">
        <f t="shared" si="7"/>
        <v>263401777.88000005</v>
      </c>
      <c r="F35" s="208">
        <f>SUM(F5:F34)</f>
        <v>1336523450.7100003</v>
      </c>
      <c r="G35" s="555"/>
      <c r="H35" s="556"/>
      <c r="I35" s="557"/>
      <c r="J35" s="24"/>
    </row>
    <row r="36" spans="1:10" s="200" customFormat="1" ht="21.75" thickTop="1">
      <c r="A36" s="196"/>
      <c r="B36" s="101"/>
      <c r="C36" s="101"/>
      <c r="D36" s="101"/>
      <c r="E36" s="101"/>
      <c r="F36" s="101"/>
      <c r="G36" s="197"/>
      <c r="H36" s="198"/>
      <c r="I36" s="199"/>
      <c r="J36" s="30"/>
    </row>
    <row r="37" spans="1:10" s="200" customFormat="1">
      <c r="A37" s="196"/>
      <c r="B37" s="101"/>
      <c r="C37" s="101"/>
      <c r="D37" s="101"/>
      <c r="E37" s="101"/>
      <c r="F37" s="101"/>
      <c r="G37" s="197"/>
      <c r="H37" s="198"/>
      <c r="I37" s="199"/>
      <c r="J37" s="30"/>
    </row>
    <row r="38" spans="1:10" s="200" customFormat="1">
      <c r="A38" s="196"/>
      <c r="B38" s="101"/>
      <c r="C38" s="101"/>
      <c r="D38" s="101"/>
      <c r="E38" s="101"/>
      <c r="F38" s="101"/>
      <c r="G38" s="197"/>
      <c r="H38" s="198"/>
      <c r="I38" s="199"/>
      <c r="J38" s="30"/>
    </row>
    <row r="39" spans="1:10" s="200" customFormat="1">
      <c r="A39" s="196"/>
      <c r="B39" s="101"/>
      <c r="C39" s="101"/>
      <c r="D39" s="101"/>
      <c r="E39" s="101"/>
      <c r="F39" s="101"/>
      <c r="G39" s="197"/>
      <c r="H39" s="198"/>
      <c r="I39" s="199"/>
      <c r="J39" s="30"/>
    </row>
    <row r="40" spans="1:10" s="200" customFormat="1">
      <c r="A40" s="201"/>
      <c r="B40" s="31"/>
      <c r="C40" s="31"/>
      <c r="D40" s="31"/>
      <c r="E40" s="31"/>
      <c r="F40" s="31"/>
      <c r="G40" s="197"/>
      <c r="H40" s="198"/>
      <c r="I40" s="202"/>
      <c r="J40" s="30"/>
    </row>
    <row r="41" spans="1:10" s="200" customFormat="1">
      <c r="A41" s="196"/>
      <c r="B41" s="101"/>
      <c r="C41" s="101"/>
      <c r="D41" s="101"/>
      <c r="E41" s="101"/>
      <c r="F41" s="101"/>
      <c r="G41" s="197"/>
      <c r="H41" s="198"/>
      <c r="I41" s="199"/>
      <c r="J41" s="30"/>
    </row>
    <row r="42" spans="1:10" s="200" customFormat="1">
      <c r="A42" s="196"/>
      <c r="B42" s="101"/>
      <c r="C42" s="101"/>
      <c r="D42" s="101"/>
      <c r="E42" s="101"/>
      <c r="F42" s="101"/>
      <c r="G42" s="197"/>
      <c r="H42" s="198"/>
      <c r="I42" s="199"/>
      <c r="J42" s="30"/>
    </row>
    <row r="43" spans="1:10" s="200" customFormat="1">
      <c r="A43" s="196"/>
      <c r="B43" s="101"/>
      <c r="C43" s="101"/>
      <c r="D43" s="101"/>
      <c r="E43" s="101"/>
      <c r="F43" s="101"/>
      <c r="G43" s="197"/>
      <c r="H43" s="198"/>
      <c r="I43" s="199"/>
      <c r="J43" s="30"/>
    </row>
    <row r="44" spans="1:10" s="200" customFormat="1">
      <c r="A44" s="196"/>
      <c r="B44" s="101"/>
      <c r="C44" s="101"/>
      <c r="D44" s="101"/>
      <c r="E44" s="101"/>
      <c r="F44" s="101"/>
      <c r="G44" s="197"/>
      <c r="H44" s="198"/>
      <c r="I44" s="199"/>
      <c r="J44" s="30"/>
    </row>
    <row r="45" spans="1:10" s="200" customFormat="1">
      <c r="A45" s="196"/>
      <c r="B45" s="101"/>
      <c r="C45" s="101"/>
      <c r="D45" s="101"/>
      <c r="E45" s="101"/>
      <c r="F45" s="101"/>
      <c r="G45" s="197"/>
      <c r="H45" s="198"/>
      <c r="I45" s="199"/>
      <c r="J45" s="30"/>
    </row>
    <row r="46" spans="1:10" s="200" customFormat="1">
      <c r="A46" s="196"/>
      <c r="B46" s="101"/>
      <c r="C46" s="101"/>
      <c r="D46" s="101"/>
      <c r="E46" s="101"/>
      <c r="F46" s="101"/>
      <c r="G46" s="197"/>
      <c r="H46" s="198"/>
      <c r="I46" s="199"/>
      <c r="J46" s="30"/>
    </row>
    <row r="47" spans="1:10" s="200" customFormat="1">
      <c r="A47" s="196"/>
      <c r="B47" s="101"/>
      <c r="C47" s="101"/>
      <c r="D47" s="101"/>
      <c r="E47" s="101"/>
      <c r="F47" s="101"/>
      <c r="G47" s="197"/>
      <c r="H47" s="198"/>
      <c r="I47" s="199"/>
      <c r="J47" s="30"/>
    </row>
    <row r="48" spans="1:10" s="200" customFormat="1">
      <c r="A48" s="196"/>
      <c r="B48" s="101"/>
      <c r="C48" s="101"/>
      <c r="D48" s="101"/>
      <c r="E48" s="101"/>
      <c r="F48" s="101"/>
      <c r="G48" s="197"/>
      <c r="H48" s="198"/>
      <c r="I48" s="199"/>
      <c r="J48" s="30"/>
    </row>
    <row r="49" spans="1:10" s="200" customFormat="1">
      <c r="A49" s="196"/>
      <c r="B49" s="101"/>
      <c r="C49" s="101"/>
      <c r="D49" s="101"/>
      <c r="E49" s="101"/>
      <c r="F49" s="101"/>
      <c r="G49" s="197"/>
      <c r="H49" s="198"/>
      <c r="I49" s="199"/>
      <c r="J49" s="30"/>
    </row>
    <row r="50" spans="1:10" s="200" customFormat="1">
      <c r="A50" s="196"/>
      <c r="B50" s="101"/>
      <c r="C50" s="101"/>
      <c r="D50" s="101"/>
      <c r="E50" s="101"/>
      <c r="F50" s="101"/>
      <c r="G50" s="197"/>
      <c r="H50" s="198"/>
      <c r="I50" s="199"/>
      <c r="J50" s="30"/>
    </row>
    <row r="51" spans="1:10" s="200" customFormat="1">
      <c r="A51" s="196"/>
      <c r="B51" s="101"/>
      <c r="C51" s="101"/>
      <c r="D51" s="101"/>
      <c r="E51" s="101"/>
      <c r="F51" s="101"/>
      <c r="G51" s="197"/>
      <c r="H51" s="198"/>
      <c r="I51" s="199"/>
      <c r="J51" s="30"/>
    </row>
    <row r="52" spans="1:10" s="380" customFormat="1" ht="29.25" customHeight="1">
      <c r="B52" s="203"/>
      <c r="C52" s="204"/>
      <c r="D52" s="204"/>
      <c r="E52" s="204"/>
      <c r="F52" s="204"/>
      <c r="H52" s="379"/>
    </row>
    <row r="53" spans="1:10" s="380" customFormat="1" ht="51" customHeight="1">
      <c r="A53" s="551"/>
      <c r="B53" s="551"/>
      <c r="C53" s="551"/>
      <c r="D53" s="551"/>
      <c r="E53" s="551"/>
      <c r="F53" s="551"/>
      <c r="G53" s="551"/>
      <c r="H53" s="551"/>
      <c r="I53" s="551"/>
      <c r="J53" s="204"/>
    </row>
  </sheetData>
  <mergeCells count="5">
    <mergeCell ref="A53:I53"/>
    <mergeCell ref="G4:H4"/>
    <mergeCell ref="A1:I1"/>
    <mergeCell ref="A2:I2"/>
    <mergeCell ref="G35:I35"/>
  </mergeCells>
  <phoneticPr fontId="3" type="noConversion"/>
  <printOptions horizontalCentered="1" verticalCentered="1"/>
  <pageMargins left="0.31496062992125984" right="0.19685039370078741" top="0.53" bottom="0.23622047244094491" header="0.31496062992125984" footer="0.15748031496062992"/>
  <pageSetup paperSize="9" scale="70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>
  <dimension ref="A1:J37"/>
  <sheetViews>
    <sheetView topLeftCell="A25" zoomScale="90" zoomScaleNormal="90" workbookViewId="0">
      <selection activeCell="F37" sqref="F37"/>
    </sheetView>
  </sheetViews>
  <sheetFormatPr defaultRowHeight="21.75" customHeight="1"/>
  <cols>
    <col min="1" max="1" width="50.28515625" style="35" customWidth="1"/>
    <col min="2" max="2" width="18.140625" style="36" customWidth="1"/>
    <col min="3" max="6" width="18.140625" style="38" customWidth="1"/>
    <col min="7" max="7" width="13.85546875" style="38" customWidth="1"/>
    <col min="8" max="8" width="11.85546875" style="35" customWidth="1"/>
    <col min="9" max="9" width="15.28515625" style="35" customWidth="1"/>
    <col min="10" max="10" width="18.140625" style="35" customWidth="1"/>
    <col min="11" max="11" width="12.28515625" style="35" bestFit="1" customWidth="1"/>
    <col min="12" max="16384" width="9.140625" style="35"/>
  </cols>
  <sheetData>
    <row r="1" spans="1:10" ht="21.75" customHeight="1">
      <c r="A1" s="560" t="s">
        <v>0</v>
      </c>
      <c r="B1" s="560"/>
      <c r="C1" s="560"/>
      <c r="D1" s="560"/>
      <c r="E1" s="560"/>
      <c r="F1" s="560"/>
      <c r="G1" s="560"/>
      <c r="H1" s="560"/>
      <c r="I1" s="560"/>
    </row>
    <row r="2" spans="1:10" ht="21.75" customHeight="1">
      <c r="A2" s="213" t="s">
        <v>37</v>
      </c>
    </row>
    <row r="3" spans="1:10" ht="21.75" customHeight="1">
      <c r="A3" s="213"/>
    </row>
    <row r="4" spans="1:10" ht="21.75" customHeight="1">
      <c r="A4" s="214" t="s">
        <v>384</v>
      </c>
      <c r="B4" s="205"/>
      <c r="I4" s="122" t="s">
        <v>33</v>
      </c>
    </row>
    <row r="5" spans="1:10" s="374" customFormat="1" ht="21.75" customHeight="1">
      <c r="A5" s="373" t="s">
        <v>16</v>
      </c>
      <c r="B5" s="385" t="s">
        <v>6</v>
      </c>
      <c r="C5" s="385" t="s">
        <v>7</v>
      </c>
      <c r="D5" s="385" t="s">
        <v>10</v>
      </c>
      <c r="E5" s="385" t="s">
        <v>11</v>
      </c>
      <c r="F5" s="385" t="s">
        <v>12</v>
      </c>
      <c r="G5" s="558" t="s">
        <v>13</v>
      </c>
      <c r="H5" s="559"/>
      <c r="I5" s="95" t="s">
        <v>14</v>
      </c>
    </row>
    <row r="6" spans="1:10" ht="21.75" customHeight="1">
      <c r="A6" s="215" t="s">
        <v>17</v>
      </c>
      <c r="B6" s="56">
        <f>+B7+B10</f>
        <v>30916192.690000001</v>
      </c>
      <c r="C6" s="56">
        <f t="shared" ref="C6:F6" si="0">+C7+C10</f>
        <v>37795766.479999997</v>
      </c>
      <c r="D6" s="56">
        <f t="shared" si="0"/>
        <v>6454619.5300000003</v>
      </c>
      <c r="E6" s="56">
        <f t="shared" si="0"/>
        <v>22023495.52</v>
      </c>
      <c r="F6" s="56">
        <f t="shared" si="0"/>
        <v>97190074.219999999</v>
      </c>
      <c r="G6" s="56">
        <f>+G7+G10</f>
        <v>6060.59</v>
      </c>
      <c r="H6" s="34" t="s">
        <v>39</v>
      </c>
      <c r="I6" s="33">
        <f t="shared" ref="I6:I7" si="1">+F6/G6</f>
        <v>16036.404742772567</v>
      </c>
      <c r="J6" s="39">
        <f>+F6*100/F32</f>
        <v>7.2718570084475367</v>
      </c>
    </row>
    <row r="7" spans="1:10" ht="21.75" customHeight="1">
      <c r="A7" s="34" t="s">
        <v>126</v>
      </c>
      <c r="B7" s="56">
        <f>+B8+B9</f>
        <v>30894606.530000001</v>
      </c>
      <c r="C7" s="56">
        <f t="shared" ref="C7:E7" si="2">+C8+C9</f>
        <v>37762100.409999996</v>
      </c>
      <c r="D7" s="56">
        <f t="shared" si="2"/>
        <v>6446650.8300000001</v>
      </c>
      <c r="E7" s="56">
        <f t="shared" si="2"/>
        <v>21994289.640000001</v>
      </c>
      <c r="F7" s="56">
        <f>+F8+F9</f>
        <v>97097647.409999996</v>
      </c>
      <c r="G7" s="56">
        <f>+G8+G9</f>
        <v>6053.26</v>
      </c>
      <c r="H7" s="34" t="s">
        <v>39</v>
      </c>
      <c r="I7" s="33">
        <f t="shared" si="1"/>
        <v>16040.55457885503</v>
      </c>
    </row>
    <row r="8" spans="1:10" ht="21.75" customHeight="1">
      <c r="A8" s="34" t="s">
        <v>27</v>
      </c>
      <c r="B8" s="56">
        <v>19749135.789999999</v>
      </c>
      <c r="C8" s="56">
        <v>30052365.219999999</v>
      </c>
      <c r="D8" s="56">
        <v>5115932.88</v>
      </c>
      <c r="E8" s="56">
        <v>16364609.789999999</v>
      </c>
      <c r="F8" s="56">
        <f t="shared" ref="F8:F31" si="3">SUM(B8:E8)</f>
        <v>71282043.680000007</v>
      </c>
      <c r="G8" s="56">
        <v>4829.2</v>
      </c>
      <c r="H8" s="34" t="s">
        <v>39</v>
      </c>
      <c r="I8" s="33">
        <f>+F8/G8</f>
        <v>14760.631922471634</v>
      </c>
    </row>
    <row r="9" spans="1:10" ht="21.75" customHeight="1">
      <c r="A9" s="34" t="s">
        <v>25</v>
      </c>
      <c r="B9" s="56">
        <v>11145470.74</v>
      </c>
      <c r="C9" s="56">
        <v>7709735.1900000004</v>
      </c>
      <c r="D9" s="56">
        <v>1330717.95</v>
      </c>
      <c r="E9" s="56">
        <v>5629679.8499999996</v>
      </c>
      <c r="F9" s="56">
        <f>SUM(B9:E9)</f>
        <v>25815603.729999997</v>
      </c>
      <c r="G9" s="56">
        <v>1224.06</v>
      </c>
      <c r="H9" s="34" t="s">
        <v>39</v>
      </c>
      <c r="I9" s="33">
        <f t="shared" ref="I9:I15" si="4">+F9/G9</f>
        <v>21090.145687302909</v>
      </c>
    </row>
    <row r="10" spans="1:10" ht="21.75" customHeight="1">
      <c r="A10" s="34" t="s">
        <v>127</v>
      </c>
      <c r="B10" s="56">
        <f>+B11</f>
        <v>21586.16</v>
      </c>
      <c r="C10" s="56">
        <f t="shared" ref="C10:F10" si="5">+C11</f>
        <v>33666.07</v>
      </c>
      <c r="D10" s="56">
        <f t="shared" si="5"/>
        <v>7968.7</v>
      </c>
      <c r="E10" s="56">
        <f t="shared" si="5"/>
        <v>29205.88</v>
      </c>
      <c r="F10" s="56">
        <f t="shared" si="5"/>
        <v>92426.81</v>
      </c>
      <c r="G10" s="56">
        <f>+G11</f>
        <v>7.33</v>
      </c>
      <c r="H10" s="34" t="s">
        <v>39</v>
      </c>
      <c r="I10" s="33">
        <f t="shared" si="4"/>
        <v>12609.387448840382</v>
      </c>
    </row>
    <row r="11" spans="1:10" ht="21.75" customHeight="1">
      <c r="A11" s="34" t="s">
        <v>27</v>
      </c>
      <c r="B11" s="56">
        <v>21586.16</v>
      </c>
      <c r="C11" s="56">
        <v>33666.07</v>
      </c>
      <c r="D11" s="56">
        <v>7968.7</v>
      </c>
      <c r="E11" s="56">
        <v>29205.88</v>
      </c>
      <c r="F11" s="56">
        <f>SUM(B11:E11)</f>
        <v>92426.81</v>
      </c>
      <c r="G11" s="56">
        <v>7.33</v>
      </c>
      <c r="H11" s="34" t="s">
        <v>39</v>
      </c>
      <c r="I11" s="33">
        <f t="shared" si="4"/>
        <v>12609.387448840382</v>
      </c>
    </row>
    <row r="12" spans="1:10" ht="21.75" customHeight="1">
      <c r="A12" s="215" t="s">
        <v>32</v>
      </c>
      <c r="B12" s="56">
        <f>+B13+B15+B22</f>
        <v>160500352.38999999</v>
      </c>
      <c r="C12" s="56">
        <f t="shared" ref="C12:F12" si="6">+C13+C15+C22</f>
        <v>103418590.25999999</v>
      </c>
      <c r="D12" s="56">
        <f t="shared" si="6"/>
        <v>7819110.9399999985</v>
      </c>
      <c r="E12" s="56">
        <f t="shared" si="6"/>
        <v>126741019.53</v>
      </c>
      <c r="F12" s="56">
        <f t="shared" si="6"/>
        <v>398479073.12000006</v>
      </c>
      <c r="G12" s="56">
        <f>+G13+G15+G22</f>
        <v>7381.6500000000005</v>
      </c>
      <c r="H12" s="34" t="s">
        <v>39</v>
      </c>
      <c r="I12" s="33">
        <f t="shared" si="4"/>
        <v>53982.385119858031</v>
      </c>
      <c r="J12" s="39">
        <f>+F12*100/F32</f>
        <v>29.814596437370135</v>
      </c>
    </row>
    <row r="13" spans="1:10" ht="21.75" customHeight="1">
      <c r="A13" s="34" t="s">
        <v>128</v>
      </c>
      <c r="B13" s="56">
        <f>+B14</f>
        <v>14909454.210000001</v>
      </c>
      <c r="C13" s="56">
        <f t="shared" ref="C13:F13" si="7">+C14</f>
        <v>1273898.24</v>
      </c>
      <c r="D13" s="56">
        <f t="shared" si="7"/>
        <v>423765.06</v>
      </c>
      <c r="E13" s="56">
        <f t="shared" si="7"/>
        <v>8035652.8600000003</v>
      </c>
      <c r="F13" s="56">
        <f t="shared" si="7"/>
        <v>24642770.370000001</v>
      </c>
      <c r="G13" s="56">
        <f>+G14</f>
        <v>389.8</v>
      </c>
      <c r="H13" s="34" t="s">
        <v>39</v>
      </c>
      <c r="I13" s="33">
        <f t="shared" si="4"/>
        <v>63219.010697793739</v>
      </c>
    </row>
    <row r="14" spans="1:10" ht="21.75" customHeight="1">
      <c r="A14" s="34" t="s">
        <v>22</v>
      </c>
      <c r="B14" s="56">
        <v>14909454.210000001</v>
      </c>
      <c r="C14" s="56">
        <v>1273898.24</v>
      </c>
      <c r="D14" s="56">
        <v>423765.06</v>
      </c>
      <c r="E14" s="56">
        <v>8035652.8600000003</v>
      </c>
      <c r="F14" s="56">
        <f t="shared" si="3"/>
        <v>24642770.370000001</v>
      </c>
      <c r="G14" s="56">
        <v>389.8</v>
      </c>
      <c r="H14" s="34" t="s">
        <v>39</v>
      </c>
      <c r="I14" s="33">
        <f t="shared" si="4"/>
        <v>63219.010697793739</v>
      </c>
    </row>
    <row r="15" spans="1:10" ht="21.75" customHeight="1">
      <c r="A15" s="34" t="s">
        <v>126</v>
      </c>
      <c r="B15" s="56">
        <f>+B16+B17+B18+B19+B20+B21</f>
        <v>145161453.98999998</v>
      </c>
      <c r="C15" s="56">
        <f t="shared" ref="C15:F15" si="8">+C16+C17+C18+C19+C20+C21</f>
        <v>101763737.19</v>
      </c>
      <c r="D15" s="56">
        <f t="shared" si="8"/>
        <v>7367473.4799999986</v>
      </c>
      <c r="E15" s="56">
        <f t="shared" si="8"/>
        <v>118376952.14</v>
      </c>
      <c r="F15" s="56">
        <f t="shared" si="8"/>
        <v>372669616.80000007</v>
      </c>
      <c r="G15" s="56">
        <f>+G16+G17+G18+G19+G20+G21</f>
        <v>6965.51</v>
      </c>
      <c r="H15" s="34" t="s">
        <v>39</v>
      </c>
      <c r="I15" s="33">
        <f t="shared" si="4"/>
        <v>53502.129320035441</v>
      </c>
    </row>
    <row r="16" spans="1:10" ht="21.75" customHeight="1">
      <c r="A16" s="34" t="s">
        <v>24</v>
      </c>
      <c r="B16" s="56">
        <v>23315054.469999999</v>
      </c>
      <c r="C16" s="56">
        <v>13821270.529999999</v>
      </c>
      <c r="D16" s="56">
        <v>940864.28</v>
      </c>
      <c r="E16" s="56">
        <v>15266554.42</v>
      </c>
      <c r="F16" s="56">
        <f t="shared" si="3"/>
        <v>53343743.700000003</v>
      </c>
      <c r="G16" s="56">
        <v>925.05</v>
      </c>
      <c r="H16" s="34" t="s">
        <v>39</v>
      </c>
      <c r="I16" s="33">
        <f t="shared" ref="I16:I31" si="9">+F16/G16</f>
        <v>57665.795038106051</v>
      </c>
    </row>
    <row r="17" spans="1:10" ht="21.75" customHeight="1">
      <c r="A17" s="34" t="s">
        <v>23</v>
      </c>
      <c r="B17" s="56">
        <v>30369574.16</v>
      </c>
      <c r="C17" s="56">
        <v>24867054.489999998</v>
      </c>
      <c r="D17" s="56">
        <v>1061471.46</v>
      </c>
      <c r="E17" s="56">
        <v>21182343.789999999</v>
      </c>
      <c r="F17" s="56">
        <f t="shared" si="3"/>
        <v>77480443.900000006</v>
      </c>
      <c r="G17" s="56">
        <v>1043.6300000000001</v>
      </c>
      <c r="H17" s="34" t="s">
        <v>39</v>
      </c>
      <c r="I17" s="33">
        <f t="shared" si="9"/>
        <v>74241.296149018322</v>
      </c>
    </row>
    <row r="18" spans="1:10" ht="21.75" customHeight="1">
      <c r="A18" s="34" t="s">
        <v>99</v>
      </c>
      <c r="B18" s="56">
        <v>12703847.66</v>
      </c>
      <c r="C18" s="56">
        <v>8427667.8300000001</v>
      </c>
      <c r="D18" s="56">
        <v>230453.52</v>
      </c>
      <c r="E18" s="56">
        <v>16719933.25</v>
      </c>
      <c r="F18" s="56">
        <f t="shared" si="3"/>
        <v>38081902.260000005</v>
      </c>
      <c r="G18" s="56">
        <v>226.58</v>
      </c>
      <c r="H18" s="34" t="s">
        <v>39</v>
      </c>
      <c r="I18" s="33">
        <f t="shared" si="9"/>
        <v>168072.65539765207</v>
      </c>
    </row>
    <row r="19" spans="1:10" ht="21.75" customHeight="1">
      <c r="A19" s="34" t="s">
        <v>22</v>
      </c>
      <c r="B19" s="56">
        <v>50342230.469999999</v>
      </c>
      <c r="C19" s="56">
        <v>41877911.189999998</v>
      </c>
      <c r="D19" s="56">
        <v>3414130.68</v>
      </c>
      <c r="E19" s="56">
        <v>47607677.509999998</v>
      </c>
      <c r="F19" s="56">
        <f t="shared" si="3"/>
        <v>143241949.84999999</v>
      </c>
      <c r="G19" s="56">
        <v>3187.6</v>
      </c>
      <c r="H19" s="34" t="s">
        <v>39</v>
      </c>
      <c r="I19" s="33">
        <f t="shared" si="9"/>
        <v>44937.241137532939</v>
      </c>
    </row>
    <row r="20" spans="1:10" ht="21.75" customHeight="1">
      <c r="A20" s="34" t="s">
        <v>100</v>
      </c>
      <c r="B20" s="56">
        <v>16849271</v>
      </c>
      <c r="C20" s="56">
        <v>8172418.4000000004</v>
      </c>
      <c r="D20" s="56">
        <v>1030777.52</v>
      </c>
      <c r="E20" s="56">
        <v>13082150.43</v>
      </c>
      <c r="F20" s="56">
        <f t="shared" si="3"/>
        <v>39134617.349999994</v>
      </c>
      <c r="G20" s="56">
        <v>948.16</v>
      </c>
      <c r="H20" s="34" t="s">
        <v>39</v>
      </c>
      <c r="I20" s="33">
        <f t="shared" si="9"/>
        <v>41274.27580788052</v>
      </c>
    </row>
    <row r="21" spans="1:10" ht="21.75" customHeight="1">
      <c r="A21" s="34" t="s">
        <v>26</v>
      </c>
      <c r="B21" s="56">
        <v>11581476.23</v>
      </c>
      <c r="C21" s="56">
        <v>4597414.75</v>
      </c>
      <c r="D21" s="56">
        <v>689776.02</v>
      </c>
      <c r="E21" s="56">
        <v>4518292.74</v>
      </c>
      <c r="F21" s="56">
        <f t="shared" si="3"/>
        <v>21386959.740000002</v>
      </c>
      <c r="G21" s="56">
        <v>634.49</v>
      </c>
      <c r="H21" s="34" t="s">
        <v>39</v>
      </c>
      <c r="I21" s="33">
        <f t="shared" si="9"/>
        <v>33707.323582719982</v>
      </c>
    </row>
    <row r="22" spans="1:10" ht="21.75" customHeight="1">
      <c r="A22" s="34" t="s">
        <v>127</v>
      </c>
      <c r="B22" s="56">
        <f>+B23+B24+B25</f>
        <v>429444.19</v>
      </c>
      <c r="C22" s="56">
        <f t="shared" ref="C22:F22" si="10">+C23+C24+C25</f>
        <v>380954.82999999996</v>
      </c>
      <c r="D22" s="56">
        <f t="shared" si="10"/>
        <v>27872.400000000001</v>
      </c>
      <c r="E22" s="56">
        <f t="shared" si="10"/>
        <v>328414.53000000003</v>
      </c>
      <c r="F22" s="56">
        <f t="shared" si="10"/>
        <v>1166685.9500000002</v>
      </c>
      <c r="G22" s="56">
        <f>+G23+G24+G25</f>
        <v>26.34</v>
      </c>
      <c r="H22" s="34" t="s">
        <v>39</v>
      </c>
      <c r="I22" s="33">
        <f t="shared" si="9"/>
        <v>44293.316249050884</v>
      </c>
    </row>
    <row r="23" spans="1:10" ht="21.75" customHeight="1">
      <c r="A23" s="34" t="s">
        <v>24</v>
      </c>
      <c r="B23" s="56">
        <v>144752.91</v>
      </c>
      <c r="C23" s="56">
        <v>108747.81</v>
      </c>
      <c r="D23" s="56">
        <v>7689.24</v>
      </c>
      <c r="E23" s="56">
        <v>99017.46</v>
      </c>
      <c r="F23" s="56">
        <f t="shared" si="3"/>
        <v>360207.42</v>
      </c>
      <c r="G23" s="56">
        <v>7.56</v>
      </c>
      <c r="H23" s="34" t="s">
        <v>39</v>
      </c>
      <c r="I23" s="33">
        <f t="shared" si="9"/>
        <v>47646.484126984127</v>
      </c>
    </row>
    <row r="24" spans="1:10" ht="21.75" customHeight="1">
      <c r="A24" s="34" t="s">
        <v>23</v>
      </c>
      <c r="B24" s="56">
        <v>118280.85</v>
      </c>
      <c r="C24" s="56">
        <v>86945.19</v>
      </c>
      <c r="D24" s="56">
        <v>3386.93</v>
      </c>
      <c r="E24" s="56">
        <v>49142.65</v>
      </c>
      <c r="F24" s="56">
        <f t="shared" si="3"/>
        <v>257755.62</v>
      </c>
      <c r="G24" s="56">
        <v>3.33</v>
      </c>
      <c r="H24" s="34" t="s">
        <v>39</v>
      </c>
      <c r="I24" s="33">
        <f t="shared" si="9"/>
        <v>77404.090090090089</v>
      </c>
    </row>
    <row r="25" spans="1:10" ht="21.75" customHeight="1">
      <c r="A25" s="34" t="s">
        <v>22</v>
      </c>
      <c r="B25" s="56">
        <v>166410.43</v>
      </c>
      <c r="C25" s="56">
        <v>185261.83</v>
      </c>
      <c r="D25" s="56">
        <v>16796.23</v>
      </c>
      <c r="E25" s="56">
        <v>180254.42</v>
      </c>
      <c r="F25" s="56">
        <f t="shared" si="3"/>
        <v>548722.91</v>
      </c>
      <c r="G25" s="56">
        <v>15.45</v>
      </c>
      <c r="H25" s="34" t="s">
        <v>39</v>
      </c>
      <c r="I25" s="33">
        <f t="shared" si="9"/>
        <v>35516.045954692563</v>
      </c>
    </row>
    <row r="26" spans="1:10" ht="21.75" customHeight="1">
      <c r="A26" s="215" t="s">
        <v>34</v>
      </c>
      <c r="B26" s="56">
        <v>13455228.25</v>
      </c>
      <c r="C26" s="56">
        <v>50000</v>
      </c>
      <c r="D26" s="56">
        <v>0</v>
      </c>
      <c r="E26" s="56">
        <v>2696819.15</v>
      </c>
      <c r="F26" s="56">
        <f t="shared" si="3"/>
        <v>16202047.4</v>
      </c>
      <c r="G26" s="56">
        <v>185</v>
      </c>
      <c r="H26" s="34" t="s">
        <v>20</v>
      </c>
      <c r="I26" s="33">
        <f t="shared" si="9"/>
        <v>87578.634594594594</v>
      </c>
      <c r="J26" s="39">
        <f>+F26*100/F32</f>
        <v>1.2122531326624313</v>
      </c>
    </row>
    <row r="27" spans="1:10" ht="21.75" customHeight="1">
      <c r="A27" s="215" t="s">
        <v>19</v>
      </c>
      <c r="B27" s="56">
        <v>6759555.7999999998</v>
      </c>
      <c r="C27" s="56">
        <v>1385675</v>
      </c>
      <c r="D27" s="56">
        <v>0</v>
      </c>
      <c r="E27" s="56">
        <v>2087400.3</v>
      </c>
      <c r="F27" s="56">
        <f t="shared" si="3"/>
        <v>10232631.1</v>
      </c>
      <c r="G27" s="56">
        <v>113</v>
      </c>
      <c r="H27" s="34" t="s">
        <v>20</v>
      </c>
      <c r="I27" s="33">
        <f t="shared" si="9"/>
        <v>90554.257522123895</v>
      </c>
      <c r="J27" s="39">
        <f>+F27*100/F32</f>
        <v>0.76561552994555615</v>
      </c>
    </row>
    <row r="28" spans="1:10" ht="21.75" customHeight="1">
      <c r="A28" s="215" t="s">
        <v>392</v>
      </c>
      <c r="B28" s="56">
        <v>581251490.71000004</v>
      </c>
      <c r="C28" s="56">
        <v>66425515.100000001</v>
      </c>
      <c r="D28" s="56">
        <v>307949</v>
      </c>
      <c r="E28" s="56">
        <v>87252192.620000005</v>
      </c>
      <c r="F28" s="56">
        <f t="shared" si="3"/>
        <v>735237147.43000007</v>
      </c>
      <c r="G28" s="56">
        <v>1697</v>
      </c>
      <c r="H28" s="34" t="s">
        <v>147</v>
      </c>
      <c r="I28" s="33">
        <f t="shared" si="9"/>
        <v>433257.01086034183</v>
      </c>
      <c r="J28" s="39">
        <f>+F28*100/F32</f>
        <v>55.011166997438067</v>
      </c>
    </row>
    <row r="29" spans="1:10" ht="21.75" customHeight="1">
      <c r="A29" s="393" t="s">
        <v>394</v>
      </c>
      <c r="B29" s="56">
        <v>8339800</v>
      </c>
      <c r="C29" s="56">
        <v>2259920</v>
      </c>
      <c r="D29" s="56">
        <v>0</v>
      </c>
      <c r="E29" s="56">
        <v>4698975.41</v>
      </c>
      <c r="F29" s="56">
        <f t="shared" si="3"/>
        <v>15298695.41</v>
      </c>
      <c r="G29" s="56">
        <v>20</v>
      </c>
      <c r="H29" s="34" t="s">
        <v>20</v>
      </c>
      <c r="I29" s="33">
        <f t="shared" si="9"/>
        <v>764934.77049999998</v>
      </c>
      <c r="J29" s="39"/>
    </row>
    <row r="30" spans="1:10" ht="21.75" customHeight="1">
      <c r="A30" s="393" t="s">
        <v>395</v>
      </c>
      <c r="B30" s="56">
        <v>21720800</v>
      </c>
      <c r="C30" s="56">
        <v>2264000</v>
      </c>
      <c r="D30" s="56">
        <v>0</v>
      </c>
      <c r="E30" s="56">
        <v>10226074.76</v>
      </c>
      <c r="F30" s="56">
        <f t="shared" si="3"/>
        <v>34210874.759999998</v>
      </c>
      <c r="G30" s="56">
        <v>260</v>
      </c>
      <c r="H30" s="34" t="s">
        <v>20</v>
      </c>
      <c r="I30" s="33">
        <f t="shared" si="9"/>
        <v>131580.28753846153</v>
      </c>
      <c r="J30" s="39"/>
    </row>
    <row r="31" spans="1:10" ht="21.75" customHeight="1">
      <c r="A31" s="215" t="s">
        <v>393</v>
      </c>
      <c r="B31" s="56">
        <v>21997106.66</v>
      </c>
      <c r="C31" s="56">
        <v>0</v>
      </c>
      <c r="D31" s="56">
        <v>0</v>
      </c>
      <c r="E31" s="56">
        <v>7675800.6100000003</v>
      </c>
      <c r="F31" s="56">
        <f t="shared" si="3"/>
        <v>29672907.27</v>
      </c>
      <c r="G31" s="56">
        <v>40</v>
      </c>
      <c r="H31" s="34" t="s">
        <v>20</v>
      </c>
      <c r="I31" s="33">
        <f t="shared" si="9"/>
        <v>741822.68174999999</v>
      </c>
      <c r="J31" s="39"/>
    </row>
    <row r="32" spans="1:10" ht="21.75" customHeight="1" thickBot="1">
      <c r="A32" s="244" t="s">
        <v>61</v>
      </c>
      <c r="B32" s="245">
        <f>+B6+B12+B26+B27+B28+B29+B30+B31</f>
        <v>844940526.5</v>
      </c>
      <c r="C32" s="245">
        <f t="shared" ref="C32:F32" si="11">+C6+C12+C26+C27+C28+C29+C30+C31</f>
        <v>213599466.83999997</v>
      </c>
      <c r="D32" s="245">
        <f t="shared" si="11"/>
        <v>14581679.469999999</v>
      </c>
      <c r="E32" s="245">
        <f t="shared" si="11"/>
        <v>263401777.90000004</v>
      </c>
      <c r="F32" s="245">
        <f t="shared" si="11"/>
        <v>1336523450.71</v>
      </c>
      <c r="G32" s="561"/>
      <c r="H32" s="562"/>
      <c r="I32" s="563"/>
    </row>
    <row r="33" spans="3:10" ht="21.75" customHeight="1" thickTop="1"/>
    <row r="34" spans="3:10" ht="21.75" customHeight="1">
      <c r="J34" s="39">
        <f>+J26+J27+J28+J12+J6</f>
        <v>94.075489105863738</v>
      </c>
    </row>
    <row r="37" spans="3:10" ht="21.75" customHeight="1">
      <c r="C37" s="36"/>
      <c r="D37" s="36"/>
      <c r="E37" s="36"/>
      <c r="F37" s="36"/>
    </row>
  </sheetData>
  <mergeCells count="3">
    <mergeCell ref="G5:H5"/>
    <mergeCell ref="A1:I1"/>
    <mergeCell ref="G32:I32"/>
  </mergeCells>
  <phoneticPr fontId="3" type="noConversion"/>
  <printOptions horizontalCentered="1" verticalCentered="1"/>
  <pageMargins left="0.28999999999999998" right="0.33" top="0.36" bottom="0.19" header="0.23" footer="0.16"/>
  <pageSetup paperSize="9" scale="80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>
  <dimension ref="A1:G21"/>
  <sheetViews>
    <sheetView tabSelected="1" topLeftCell="A7" workbookViewId="0">
      <selection activeCell="A20" sqref="A20:E20"/>
    </sheetView>
  </sheetViews>
  <sheetFormatPr defaultRowHeight="21.75" customHeight="1"/>
  <cols>
    <col min="1" max="1" width="5.7109375" style="375" customWidth="1"/>
    <col min="2" max="2" width="37.85546875" style="375" customWidth="1"/>
    <col min="3" max="4" width="21.140625" style="375" customWidth="1"/>
    <col min="5" max="5" width="20.42578125" style="375" customWidth="1"/>
    <col min="6" max="6" width="16.42578125" style="375" bestFit="1" customWidth="1"/>
    <col min="7" max="16384" width="9.140625" style="375"/>
  </cols>
  <sheetData>
    <row r="1" spans="1:6" ht="21.75" customHeight="1">
      <c r="A1" s="546" t="s">
        <v>35</v>
      </c>
      <c r="B1" s="546"/>
      <c r="C1" s="546"/>
      <c r="D1" s="546"/>
      <c r="E1" s="546"/>
    </row>
    <row r="2" spans="1:6" ht="21.75" customHeight="1">
      <c r="A2" s="369"/>
      <c r="B2" s="369"/>
      <c r="C2" s="61"/>
      <c r="D2" s="61"/>
      <c r="E2" s="61"/>
    </row>
    <row r="3" spans="1:6" ht="21.75" customHeight="1">
      <c r="A3" s="544" t="s">
        <v>37</v>
      </c>
      <c r="B3" s="544"/>
      <c r="C3" s="61"/>
      <c r="D3" s="61"/>
      <c r="E3" s="61"/>
    </row>
    <row r="4" spans="1:6" ht="21.75" customHeight="1">
      <c r="A4" s="368"/>
      <c r="B4" s="368"/>
    </row>
    <row r="5" spans="1:6" ht="21.75" customHeight="1">
      <c r="A5" s="548" t="s">
        <v>385</v>
      </c>
      <c r="B5" s="548"/>
      <c r="C5" s="548"/>
      <c r="D5" s="548"/>
      <c r="E5" s="548"/>
    </row>
    <row r="6" spans="1:6" ht="21.75" customHeight="1">
      <c r="E6" s="62"/>
    </row>
    <row r="7" spans="1:6" s="369" customFormat="1" ht="21.75" customHeight="1">
      <c r="A7" s="42" t="s">
        <v>64</v>
      </c>
      <c r="B7" s="42" t="s">
        <v>1</v>
      </c>
      <c r="C7" s="376" t="s">
        <v>339</v>
      </c>
      <c r="D7" s="376" t="s">
        <v>381</v>
      </c>
      <c r="E7" s="42" t="s">
        <v>151</v>
      </c>
    </row>
    <row r="8" spans="1:6" s="233" customFormat="1" ht="21.75" customHeight="1">
      <c r="A8" s="382">
        <v>1</v>
      </c>
      <c r="B8" s="27" t="s">
        <v>2</v>
      </c>
      <c r="C8" s="102">
        <v>1182084800</v>
      </c>
      <c r="D8" s="102">
        <f>+'ตารางที่ 1'!C11</f>
        <v>1098670200</v>
      </c>
      <c r="E8" s="132">
        <f>+(D8-C8)/C8</f>
        <v>-7.0565665001360314E-2</v>
      </c>
      <c r="F8" s="22"/>
    </row>
    <row r="9" spans="1:6" s="233" customFormat="1" ht="21.75" customHeight="1">
      <c r="A9" s="382">
        <v>2</v>
      </c>
      <c r="B9" s="44" t="s">
        <v>106</v>
      </c>
      <c r="C9" s="102">
        <v>469279520</v>
      </c>
      <c r="D9" s="102">
        <f>+'ตารางที่ 1'!C12</f>
        <v>429461700</v>
      </c>
      <c r="E9" s="132">
        <f>+(D9-C9)/C9</f>
        <v>-8.4848833803784995E-2</v>
      </c>
      <c r="F9" s="22"/>
    </row>
    <row r="10" spans="1:6" ht="21.75" customHeight="1">
      <c r="A10" s="43">
        <v>3</v>
      </c>
      <c r="B10" s="46" t="s">
        <v>3</v>
      </c>
      <c r="C10" s="102">
        <v>0</v>
      </c>
      <c r="D10" s="102">
        <f>+'ตารางที่ 1'!C13</f>
        <v>0</v>
      </c>
      <c r="E10" s="132">
        <v>0</v>
      </c>
    </row>
    <row r="11" spans="1:6" ht="21.75" customHeight="1">
      <c r="A11" s="43">
        <v>4</v>
      </c>
      <c r="B11" s="46" t="s">
        <v>63</v>
      </c>
      <c r="C11" s="102">
        <v>0</v>
      </c>
      <c r="D11" s="102">
        <f>+'ตารางที่ 1'!C14</f>
        <v>0</v>
      </c>
      <c r="E11" s="132">
        <v>0</v>
      </c>
      <c r="F11" s="47"/>
    </row>
    <row r="12" spans="1:6" ht="21.75" customHeight="1">
      <c r="A12" s="43">
        <v>5</v>
      </c>
      <c r="B12" s="46" t="s">
        <v>133</v>
      </c>
      <c r="C12" s="102">
        <v>0</v>
      </c>
      <c r="D12" s="102">
        <f>+'ตารางที่ 1'!C15</f>
        <v>0</v>
      </c>
      <c r="E12" s="132">
        <v>0</v>
      </c>
    </row>
    <row r="13" spans="1:6" ht="21.75" customHeight="1">
      <c r="A13" s="43">
        <v>6</v>
      </c>
      <c r="B13" s="46" t="s">
        <v>4</v>
      </c>
      <c r="C13" s="102">
        <f>SUM(C8:C12)</f>
        <v>1651364320</v>
      </c>
      <c r="D13" s="102">
        <f>+'ตารางที่ 1'!C16</f>
        <v>1528131900</v>
      </c>
      <c r="E13" s="132">
        <f t="shared" ref="E13" si="0">+(D13-C13)/C13</f>
        <v>-7.4624611000436297E-2</v>
      </c>
      <c r="F13" s="47"/>
    </row>
    <row r="14" spans="1:6" ht="21.75" customHeight="1">
      <c r="A14" s="43">
        <v>7</v>
      </c>
      <c r="B14" s="46" t="s">
        <v>15</v>
      </c>
      <c r="C14" s="102">
        <v>2910745640.3499999</v>
      </c>
      <c r="D14" s="102">
        <f>+'ตารางที่ 1'!C17</f>
        <v>3002541573.23</v>
      </c>
      <c r="E14" s="132">
        <f>+(D14-C14)/C14</f>
        <v>3.1536913293791692E-2</v>
      </c>
      <c r="F14" s="47"/>
    </row>
    <row r="15" spans="1:6" ht="21.75" customHeight="1">
      <c r="A15" s="64"/>
      <c r="B15" s="52"/>
      <c r="C15" s="63"/>
      <c r="D15" s="63"/>
      <c r="E15" s="65"/>
    </row>
    <row r="16" spans="1:6" ht="21.75" customHeight="1">
      <c r="A16" s="52" t="s">
        <v>66</v>
      </c>
      <c r="B16" s="52"/>
      <c r="C16" s="47"/>
      <c r="D16" s="47"/>
      <c r="E16" s="47"/>
      <c r="F16" s="47"/>
    </row>
    <row r="17" spans="1:7" ht="13.5" customHeight="1">
      <c r="A17" s="547"/>
      <c r="B17" s="547"/>
      <c r="C17" s="547"/>
      <c r="D17" s="370"/>
      <c r="E17" s="66"/>
    </row>
    <row r="18" spans="1:7" ht="21.75" customHeight="1">
      <c r="A18" s="516" t="s">
        <v>3227</v>
      </c>
      <c r="B18" s="516"/>
      <c r="C18" s="509"/>
      <c r="G18" s="494" t="s">
        <v>3220</v>
      </c>
    </row>
    <row r="19" spans="1:7" ht="25.5" customHeight="1">
      <c r="A19" s="547" t="s">
        <v>537</v>
      </c>
      <c r="B19" s="547"/>
      <c r="C19" s="547"/>
      <c r="D19" s="547"/>
      <c r="E19" s="547"/>
      <c r="F19" s="547"/>
    </row>
    <row r="20" spans="1:7" s="494" customFormat="1" ht="25.5" customHeight="1">
      <c r="A20" s="547"/>
      <c r="B20" s="547"/>
      <c r="C20" s="547"/>
      <c r="D20" s="547"/>
      <c r="E20" s="547"/>
      <c r="F20" s="493"/>
    </row>
    <row r="21" spans="1:7" ht="25.5" customHeight="1">
      <c r="A21" s="564"/>
      <c r="B21" s="564"/>
      <c r="C21" s="564"/>
      <c r="D21" s="564"/>
      <c r="E21" s="564"/>
    </row>
  </sheetData>
  <mergeCells count="7">
    <mergeCell ref="A1:E1"/>
    <mergeCell ref="A3:B3"/>
    <mergeCell ref="A21:E21"/>
    <mergeCell ref="A5:E5"/>
    <mergeCell ref="A19:F19"/>
    <mergeCell ref="A17:C17"/>
    <mergeCell ref="A20:E20"/>
  </mergeCells>
  <phoneticPr fontId="3" type="noConversion"/>
  <printOptions horizontalCentered="1" verticalCentered="1"/>
  <pageMargins left="0.75" right="0.67" top="0.51181102362204722" bottom="0.39370078740157483" header="0.47244094488188981" footer="0.51181102362204722"/>
  <pageSetup paperSize="9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>
  <dimension ref="A1:L20"/>
  <sheetViews>
    <sheetView topLeftCell="C1" zoomScale="90" zoomScaleNormal="90" workbookViewId="0">
      <selection activeCell="K14" sqref="K14"/>
    </sheetView>
  </sheetViews>
  <sheetFormatPr defaultColWidth="17.42578125" defaultRowHeight="21"/>
  <cols>
    <col min="1" max="1" width="41.140625" style="1" customWidth="1"/>
    <col min="2" max="2" width="19.28515625" style="1" customWidth="1"/>
    <col min="3" max="3" width="17.42578125" style="1"/>
    <col min="4" max="4" width="16.28515625" style="1" customWidth="1"/>
    <col min="5" max="5" width="19" style="1" customWidth="1"/>
    <col min="6" max="6" width="18.140625" style="1" customWidth="1"/>
    <col min="7" max="7" width="17.42578125" style="1" customWidth="1"/>
    <col min="8" max="8" width="16.42578125" style="1" customWidth="1"/>
    <col min="9" max="9" width="19.42578125" style="1" customWidth="1"/>
    <col min="10" max="10" width="12.28515625" style="1" customWidth="1"/>
    <col min="11" max="16384" width="17.42578125" style="1"/>
  </cols>
  <sheetData>
    <row r="1" spans="1:12" ht="26.25">
      <c r="A1" s="567" t="s">
        <v>35</v>
      </c>
      <c r="B1" s="567"/>
      <c r="C1" s="567"/>
      <c r="D1" s="567"/>
      <c r="E1" s="567"/>
      <c r="F1" s="567"/>
      <c r="G1" s="567"/>
      <c r="H1" s="567"/>
      <c r="I1" s="567"/>
      <c r="J1" s="567"/>
    </row>
    <row r="2" spans="1:12" s="60" customFormat="1" ht="23.25">
      <c r="A2" s="67" t="s">
        <v>36</v>
      </c>
    </row>
    <row r="3" spans="1:12" s="60" customFormat="1" ht="14.25" customHeight="1">
      <c r="A3" s="68"/>
    </row>
    <row r="4" spans="1:12" ht="26.25" customHeight="1">
      <c r="A4" s="145" t="s">
        <v>386</v>
      </c>
    </row>
    <row r="5" spans="1:12" s="55" customFormat="1" ht="22.5" customHeight="1">
      <c r="A5" s="571" t="s">
        <v>5</v>
      </c>
      <c r="B5" s="568" t="s">
        <v>339</v>
      </c>
      <c r="C5" s="568"/>
      <c r="D5" s="568"/>
      <c r="E5" s="569"/>
      <c r="F5" s="572" t="s">
        <v>381</v>
      </c>
      <c r="G5" s="568"/>
      <c r="H5" s="568"/>
      <c r="I5" s="568"/>
      <c r="J5" s="570" t="s">
        <v>150</v>
      </c>
    </row>
    <row r="6" spans="1:12" s="55" customFormat="1" ht="22.5" customHeight="1">
      <c r="A6" s="571"/>
      <c r="B6" s="376" t="s">
        <v>6</v>
      </c>
      <c r="C6" s="376" t="s">
        <v>7</v>
      </c>
      <c r="D6" s="376" t="s">
        <v>21</v>
      </c>
      <c r="E6" s="377" t="s">
        <v>8</v>
      </c>
      <c r="F6" s="378" t="s">
        <v>6</v>
      </c>
      <c r="G6" s="376" t="s">
        <v>7</v>
      </c>
      <c r="H6" s="376" t="s">
        <v>21</v>
      </c>
      <c r="I6" s="376" t="s">
        <v>8</v>
      </c>
      <c r="J6" s="570"/>
      <c r="K6" s="398"/>
    </row>
    <row r="7" spans="1:12" s="233" customFormat="1" ht="22.5" customHeight="1">
      <c r="A7" s="515" t="s">
        <v>62</v>
      </c>
      <c r="B7" s="23">
        <v>554600800.79999995</v>
      </c>
      <c r="C7" s="23">
        <v>68743747.359999985</v>
      </c>
      <c r="D7" s="23">
        <v>11469449.98</v>
      </c>
      <c r="E7" s="227">
        <v>634813998.13999999</v>
      </c>
      <c r="F7" s="28">
        <f>+'ตารางที่ 2'!B8</f>
        <v>555784144.37</v>
      </c>
      <c r="G7" s="23">
        <f>+'ตารางที่ 2'!C8</f>
        <v>64251787.640000001</v>
      </c>
      <c r="H7" s="23">
        <f>+'ตารางที่ 2'!D8</f>
        <v>14581679.48</v>
      </c>
      <c r="I7" s="23">
        <f>SUM(F7:H7)</f>
        <v>634617611.49000001</v>
      </c>
      <c r="J7" s="224">
        <f>(I7-E7)/E7</f>
        <v>-3.0936093182473527E-4</v>
      </c>
      <c r="K7" s="22"/>
      <c r="L7" s="22"/>
    </row>
    <row r="8" spans="1:12" s="233" customFormat="1" ht="22.5" customHeight="1">
      <c r="A8" s="515" t="s">
        <v>109</v>
      </c>
      <c r="B8" s="23">
        <v>14161774.23</v>
      </c>
      <c r="C8" s="23">
        <v>522166</v>
      </c>
      <c r="D8" s="23">
        <v>0</v>
      </c>
      <c r="E8" s="227">
        <v>14683940.23</v>
      </c>
      <c r="F8" s="28">
        <f>+'ตารางที่ 2'!B9</f>
        <v>7437247.4900000002</v>
      </c>
      <c r="G8" s="23">
        <f>+'ตารางที่ 2'!C9</f>
        <v>596544.06000000006</v>
      </c>
      <c r="H8" s="23">
        <f>+'ตารางที่ 2'!D9</f>
        <v>0</v>
      </c>
      <c r="I8" s="23">
        <f t="shared" ref="I8:I12" si="0">SUM(F8:H8)</f>
        <v>8033791.5500000007</v>
      </c>
      <c r="J8" s="224">
        <f t="shared" ref="J8:J14" si="1">(I8-E8)/E8</f>
        <v>-0.45288584506857527</v>
      </c>
      <c r="K8" s="22"/>
      <c r="L8" s="22"/>
    </row>
    <row r="9" spans="1:12" s="233" customFormat="1" ht="22.5" customHeight="1">
      <c r="A9" s="515" t="s">
        <v>110</v>
      </c>
      <c r="B9" s="23">
        <v>7885079.7599999998</v>
      </c>
      <c r="C9" s="23">
        <v>1156276.82</v>
      </c>
      <c r="D9" s="23">
        <v>0</v>
      </c>
      <c r="E9" s="227">
        <v>9041356.5800000001</v>
      </c>
      <c r="F9" s="28">
        <f>+'ตารางที่ 2'!B10</f>
        <v>13150591.01</v>
      </c>
      <c r="G9" s="23">
        <f>+'ตารางที่ 2'!C10</f>
        <v>3203443.11</v>
      </c>
      <c r="H9" s="23">
        <f>+'ตารางที่ 2'!D10</f>
        <v>0</v>
      </c>
      <c r="I9" s="23">
        <f t="shared" si="0"/>
        <v>16354034.119999999</v>
      </c>
      <c r="J9" s="224">
        <f t="shared" si="1"/>
        <v>0.80880313427479034</v>
      </c>
      <c r="K9" s="22"/>
      <c r="L9" s="22"/>
    </row>
    <row r="10" spans="1:12" s="233" customFormat="1" ht="22.5" customHeight="1">
      <c r="A10" s="515" t="s">
        <v>129</v>
      </c>
      <c r="B10" s="23">
        <v>135819320.83000001</v>
      </c>
      <c r="C10" s="23">
        <v>85309341.199999988</v>
      </c>
      <c r="D10" s="23">
        <v>0</v>
      </c>
      <c r="E10" s="227">
        <v>221128662.03</v>
      </c>
      <c r="F10" s="28">
        <f>+'ตารางที่ 2'!B11</f>
        <v>145583370.16999999</v>
      </c>
      <c r="G10" s="23">
        <f>+'ตารางที่ 2'!C11</f>
        <v>86079852.129999995</v>
      </c>
      <c r="H10" s="23">
        <f>+'ตารางที่ 2'!D11</f>
        <v>0</v>
      </c>
      <c r="I10" s="23">
        <f t="shared" si="0"/>
        <v>231663222.29999998</v>
      </c>
      <c r="J10" s="224">
        <f t="shared" si="1"/>
        <v>4.7639958444513096E-2</v>
      </c>
      <c r="K10" s="22"/>
      <c r="L10" s="22"/>
    </row>
    <row r="11" spans="1:12" s="233" customFormat="1" ht="22.5" customHeight="1">
      <c r="A11" s="515" t="s">
        <v>112</v>
      </c>
      <c r="B11" s="23">
        <v>229673746.75</v>
      </c>
      <c r="C11" s="23">
        <v>31057332.849999994</v>
      </c>
      <c r="D11" s="23">
        <v>0</v>
      </c>
      <c r="E11" s="227">
        <v>260731079.59999999</v>
      </c>
      <c r="F11" s="28">
        <f>+'ตารางที่ 2'!B12</f>
        <v>226498983.08000001</v>
      </c>
      <c r="G11" s="23">
        <f>+'ตารางที่ 2'!C12</f>
        <v>36902794.799999997</v>
      </c>
      <c r="H11" s="23">
        <f>+'ตารางที่ 2'!D12</f>
        <v>0</v>
      </c>
      <c r="I11" s="23">
        <f t="shared" si="0"/>
        <v>263401777.88</v>
      </c>
      <c r="J11" s="224">
        <f t="shared" si="1"/>
        <v>1.0243114415424685E-2</v>
      </c>
      <c r="K11" s="22"/>
      <c r="L11" s="22"/>
    </row>
    <row r="12" spans="1:12" s="233" customFormat="1" ht="22.5" customHeight="1">
      <c r="A12" s="515" t="s">
        <v>113</v>
      </c>
      <c r="B12" s="23">
        <v>110789065.62</v>
      </c>
      <c r="C12" s="23">
        <v>26021919.600000001</v>
      </c>
      <c r="D12" s="23">
        <v>0</v>
      </c>
      <c r="E12" s="227">
        <v>136810985.22</v>
      </c>
      <c r="F12" s="28">
        <f>+'ตารางที่ 2'!B13</f>
        <v>77429957</v>
      </c>
      <c r="G12" s="23">
        <f>+'ตารางที่ 2'!C13</f>
        <v>12010527.5</v>
      </c>
      <c r="H12" s="23">
        <f>+'ตารางที่ 2'!D13</f>
        <v>0</v>
      </c>
      <c r="I12" s="23">
        <f t="shared" si="0"/>
        <v>89440484.5</v>
      </c>
      <c r="J12" s="224">
        <f t="shared" si="1"/>
        <v>-0.34624778590568212</v>
      </c>
      <c r="K12" s="22"/>
      <c r="L12" s="22"/>
    </row>
    <row r="13" spans="1:12" s="233" customFormat="1" ht="22.5" customHeight="1" thickBot="1">
      <c r="A13" s="515" t="s">
        <v>114</v>
      </c>
      <c r="B13" s="133">
        <v>49479873.469999999</v>
      </c>
      <c r="C13" s="133">
        <v>37647519.450000003</v>
      </c>
      <c r="D13" s="133">
        <v>0</v>
      </c>
      <c r="E13" s="228">
        <v>87127392.920000002</v>
      </c>
      <c r="F13" s="395">
        <f>+'ตารางที่ 2'!B14</f>
        <v>45555216.479999997</v>
      </c>
      <c r="G13" s="133">
        <f>+'ตารางที่ 2'!C14</f>
        <v>47457312.390000001</v>
      </c>
      <c r="H13" s="133">
        <f>+'ตารางที่ 2'!D14</f>
        <v>0</v>
      </c>
      <c r="I13" s="133">
        <f>SUM(F13:H13)</f>
        <v>93012528.870000005</v>
      </c>
      <c r="J13" s="225">
        <f t="shared" si="1"/>
        <v>6.7546333624417171E-2</v>
      </c>
      <c r="K13" s="22"/>
      <c r="L13" s="22"/>
    </row>
    <row r="14" spans="1:12" s="69" customFormat="1" ht="22.5" customHeight="1" thickTop="1" thickBot="1">
      <c r="A14" s="223" t="s">
        <v>8</v>
      </c>
      <c r="B14" s="217">
        <f t="shared" ref="B14:H14" si="2">SUM(B7:B13)</f>
        <v>1102409661.46</v>
      </c>
      <c r="C14" s="217">
        <f t="shared" si="2"/>
        <v>250458303.27999997</v>
      </c>
      <c r="D14" s="217">
        <f t="shared" si="2"/>
        <v>11469449.98</v>
      </c>
      <c r="E14" s="229">
        <f t="shared" si="2"/>
        <v>1364337414.72</v>
      </c>
      <c r="F14" s="226">
        <f t="shared" si="2"/>
        <v>1071439509.6</v>
      </c>
      <c r="G14" s="217">
        <f t="shared" si="2"/>
        <v>250502261.63</v>
      </c>
      <c r="H14" s="217">
        <f t="shared" si="2"/>
        <v>14581679.48</v>
      </c>
      <c r="I14" s="217">
        <f>SUM(F14:H14)</f>
        <v>1336523450.71</v>
      </c>
      <c r="J14" s="528">
        <f t="shared" si="1"/>
        <v>-2.0386426194804744E-2</v>
      </c>
      <c r="K14" s="396"/>
      <c r="L14" s="396"/>
    </row>
    <row r="15" spans="1:12" s="70" customFormat="1" ht="32.25" customHeight="1" thickTop="1">
      <c r="A15" s="51" t="s">
        <v>3226</v>
      </c>
      <c r="B15" s="63"/>
    </row>
    <row r="16" spans="1:12" s="70" customFormat="1" ht="45.75" customHeight="1">
      <c r="A16" s="565" t="s">
        <v>3221</v>
      </c>
      <c r="B16" s="565"/>
      <c r="C16" s="565"/>
      <c r="D16" s="565"/>
      <c r="E16" s="565"/>
      <c r="F16" s="565"/>
      <c r="G16" s="565"/>
      <c r="H16" s="565"/>
      <c r="I16" s="565"/>
      <c r="J16" s="565"/>
    </row>
    <row r="17" spans="1:10" s="70" customFormat="1" ht="27.75" customHeight="1">
      <c r="A17" s="565" t="s">
        <v>3222</v>
      </c>
      <c r="B17" s="565"/>
      <c r="C17" s="565"/>
      <c r="D17" s="565"/>
      <c r="E17" s="565"/>
      <c r="F17" s="565"/>
      <c r="G17" s="565"/>
      <c r="H17" s="565"/>
      <c r="I17" s="565"/>
      <c r="J17" s="565"/>
    </row>
    <row r="18" spans="1:10" s="70" customFormat="1" ht="27.75" customHeight="1">
      <c r="A18" s="565"/>
      <c r="B18" s="566"/>
      <c r="C18" s="566"/>
      <c r="D18" s="566"/>
      <c r="E18" s="566"/>
      <c r="F18" s="566"/>
      <c r="G18" s="566"/>
      <c r="H18" s="566"/>
      <c r="I18" s="566"/>
      <c r="J18" s="566"/>
    </row>
    <row r="19" spans="1:10">
      <c r="E19" s="1" t="s">
        <v>378</v>
      </c>
    </row>
    <row r="20" spans="1:10">
      <c r="B20" s="54"/>
    </row>
  </sheetData>
  <mergeCells count="8">
    <mergeCell ref="A17:J17"/>
    <mergeCell ref="A18:J18"/>
    <mergeCell ref="A1:J1"/>
    <mergeCell ref="B5:E5"/>
    <mergeCell ref="J5:J6"/>
    <mergeCell ref="A16:J16"/>
    <mergeCell ref="A5:A6"/>
    <mergeCell ref="F5:I5"/>
  </mergeCells>
  <phoneticPr fontId="3" type="noConversion"/>
  <printOptions horizontalCentered="1" verticalCentered="1"/>
  <pageMargins left="0.23622047244094491" right="0.26" top="0.47244094488188981" bottom="0.39370078740157483" header="0.35433070866141736" footer="0.35433070866141736"/>
  <pageSetup paperSize="9" scale="75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>
  <dimension ref="A1:DL62"/>
  <sheetViews>
    <sheetView topLeftCell="F31" zoomScale="80" zoomScaleNormal="80" workbookViewId="0">
      <selection activeCell="I46" sqref="I46"/>
    </sheetView>
  </sheetViews>
  <sheetFormatPr defaultRowHeight="21"/>
  <cols>
    <col min="1" max="1" width="62.28515625" style="233" customWidth="1"/>
    <col min="2" max="2" width="17.7109375" style="30" customWidth="1"/>
    <col min="3" max="3" width="18.28515625" style="30" customWidth="1"/>
    <col min="4" max="4" width="16.85546875" style="30" customWidth="1"/>
    <col min="5" max="5" width="17.7109375" style="30" customWidth="1"/>
    <col min="6" max="6" width="20" style="30" customWidth="1"/>
    <col min="7" max="7" width="16.7109375" style="30" customWidth="1"/>
    <col min="8" max="8" width="19.5703125" style="233" customWidth="1"/>
    <col min="9" max="9" width="17.7109375" style="30" customWidth="1"/>
    <col min="10" max="10" width="18.28515625" style="99" bestFit="1" customWidth="1"/>
    <col min="11" max="11" width="18.5703125" style="99" bestFit="1" customWidth="1"/>
    <col min="12" max="12" width="16.7109375" style="99" customWidth="1"/>
    <col min="13" max="13" width="19.28515625" style="99" customWidth="1"/>
    <col min="14" max="14" width="20.140625" style="99" bestFit="1" customWidth="1"/>
    <col min="15" max="15" width="12.28515625" style="131" bestFit="1" customWidth="1"/>
    <col min="16" max="16" width="20.28515625" style="512" customWidth="1"/>
    <col min="17" max="17" width="18" style="131" bestFit="1" customWidth="1"/>
    <col min="18" max="19" width="12.28515625" style="233" customWidth="1"/>
    <col min="20" max="20" width="14.5703125" style="233" customWidth="1"/>
    <col min="21" max="116" width="9.140625" style="79"/>
    <col min="117" max="16384" width="9.140625" style="233"/>
  </cols>
  <sheetData>
    <row r="1" spans="1:116" s="124" customFormat="1" ht="26.25">
      <c r="A1" s="579" t="s">
        <v>35</v>
      </c>
      <c r="B1" s="579"/>
      <c r="C1" s="579"/>
      <c r="D1" s="579"/>
      <c r="E1" s="579"/>
      <c r="F1" s="579"/>
      <c r="G1" s="579"/>
      <c r="H1" s="579"/>
      <c r="I1" s="579"/>
      <c r="J1" s="579"/>
      <c r="K1" s="579"/>
      <c r="L1" s="579"/>
      <c r="M1" s="579"/>
      <c r="N1" s="579"/>
      <c r="O1" s="579"/>
      <c r="P1" s="579"/>
      <c r="Q1" s="579"/>
      <c r="R1" s="579"/>
      <c r="S1" s="579"/>
      <c r="T1" s="579"/>
      <c r="U1" s="71"/>
      <c r="V1" s="71"/>
      <c r="W1" s="71"/>
      <c r="X1" s="71"/>
      <c r="Y1" s="71"/>
      <c r="Z1" s="71"/>
      <c r="AA1" s="71"/>
      <c r="AB1" s="71"/>
      <c r="AC1" s="71"/>
      <c r="AD1" s="71"/>
      <c r="AE1" s="71"/>
      <c r="AF1" s="71"/>
      <c r="AG1" s="71"/>
      <c r="AH1" s="71"/>
      <c r="AI1" s="71"/>
      <c r="AJ1" s="71"/>
      <c r="AK1" s="71"/>
      <c r="AL1" s="71"/>
      <c r="AM1" s="71"/>
      <c r="AN1" s="71"/>
      <c r="AO1" s="71"/>
      <c r="AP1" s="71"/>
      <c r="AQ1" s="71"/>
      <c r="AR1" s="71"/>
      <c r="AS1" s="71"/>
      <c r="AT1" s="71"/>
      <c r="AU1" s="71"/>
      <c r="AV1" s="71"/>
      <c r="AW1" s="71"/>
      <c r="AX1" s="71"/>
      <c r="AY1" s="71"/>
      <c r="AZ1" s="71"/>
      <c r="BA1" s="71"/>
      <c r="BB1" s="71"/>
      <c r="BC1" s="71"/>
      <c r="BD1" s="71"/>
      <c r="BE1" s="71"/>
      <c r="BF1" s="71"/>
      <c r="BG1" s="71"/>
      <c r="BH1" s="71"/>
      <c r="BI1" s="71"/>
      <c r="BJ1" s="71"/>
      <c r="BK1" s="71"/>
      <c r="BL1" s="71"/>
      <c r="BM1" s="71"/>
      <c r="BN1" s="71"/>
      <c r="BO1" s="71"/>
      <c r="BP1" s="71"/>
      <c r="BQ1" s="71"/>
      <c r="BR1" s="71"/>
      <c r="BS1" s="71"/>
      <c r="BT1" s="71"/>
      <c r="BU1" s="71"/>
      <c r="BV1" s="71"/>
      <c r="BW1" s="71"/>
      <c r="BX1" s="71"/>
      <c r="BY1" s="71"/>
      <c r="BZ1" s="71"/>
      <c r="CA1" s="71"/>
      <c r="CB1" s="71"/>
      <c r="CC1" s="71"/>
      <c r="CD1" s="71"/>
      <c r="CE1" s="71"/>
      <c r="CF1" s="71"/>
      <c r="CG1" s="71"/>
      <c r="CH1" s="71"/>
      <c r="CI1" s="71"/>
      <c r="CJ1" s="71"/>
      <c r="CK1" s="71"/>
      <c r="CL1" s="71"/>
      <c r="CM1" s="71"/>
      <c r="CN1" s="71"/>
      <c r="CO1" s="71"/>
      <c r="CP1" s="71"/>
      <c r="CQ1" s="71"/>
      <c r="CR1" s="71"/>
      <c r="CS1" s="71"/>
      <c r="CT1" s="71"/>
      <c r="CU1" s="71"/>
      <c r="CV1" s="71"/>
      <c r="CW1" s="71"/>
      <c r="CX1" s="71"/>
      <c r="CY1" s="71"/>
      <c r="CZ1" s="71"/>
      <c r="DA1" s="71"/>
      <c r="DB1" s="71"/>
      <c r="DC1" s="71"/>
      <c r="DD1" s="71"/>
      <c r="DE1" s="71"/>
      <c r="DF1" s="71"/>
      <c r="DG1" s="71"/>
      <c r="DH1" s="71"/>
      <c r="DI1" s="71"/>
      <c r="DJ1" s="71"/>
      <c r="DK1" s="71"/>
      <c r="DL1" s="71"/>
    </row>
    <row r="2" spans="1:116" s="124" customFormat="1" ht="26.25">
      <c r="A2" s="72" t="s">
        <v>37</v>
      </c>
      <c r="B2" s="73"/>
      <c r="C2" s="73"/>
      <c r="D2" s="73"/>
      <c r="E2" s="73"/>
      <c r="F2" s="73"/>
      <c r="G2" s="73"/>
      <c r="H2" s="74"/>
      <c r="I2" s="73"/>
      <c r="J2" s="96"/>
      <c r="K2" s="96"/>
      <c r="L2" s="96"/>
      <c r="M2" s="96"/>
      <c r="N2" s="96"/>
      <c r="O2" s="126"/>
      <c r="P2" s="72"/>
      <c r="Q2" s="126"/>
      <c r="U2" s="71"/>
      <c r="V2" s="71"/>
      <c r="W2" s="71"/>
      <c r="X2" s="71"/>
      <c r="Y2" s="71"/>
      <c r="Z2" s="71"/>
      <c r="AA2" s="71"/>
      <c r="AB2" s="71"/>
      <c r="AC2" s="71"/>
      <c r="AD2" s="71"/>
      <c r="AE2" s="71"/>
      <c r="AF2" s="71"/>
      <c r="AG2" s="71"/>
      <c r="AH2" s="71"/>
      <c r="AI2" s="71"/>
      <c r="AJ2" s="71"/>
      <c r="AK2" s="71"/>
      <c r="AL2" s="71"/>
      <c r="AM2" s="71"/>
      <c r="AN2" s="71"/>
      <c r="AO2" s="71"/>
      <c r="AP2" s="71"/>
      <c r="AQ2" s="71"/>
      <c r="AR2" s="71"/>
      <c r="AS2" s="71"/>
      <c r="AT2" s="71"/>
      <c r="AU2" s="71"/>
      <c r="AV2" s="71"/>
      <c r="AW2" s="71"/>
      <c r="AX2" s="71"/>
      <c r="AY2" s="71"/>
      <c r="AZ2" s="71"/>
      <c r="BA2" s="71"/>
      <c r="BB2" s="71"/>
      <c r="BC2" s="71"/>
      <c r="BD2" s="71"/>
      <c r="BE2" s="71"/>
      <c r="BF2" s="71"/>
      <c r="BG2" s="71"/>
      <c r="BH2" s="71"/>
      <c r="BI2" s="71"/>
      <c r="BJ2" s="71"/>
      <c r="BK2" s="71"/>
      <c r="BL2" s="71"/>
      <c r="BM2" s="71"/>
      <c r="BN2" s="71"/>
      <c r="BO2" s="71"/>
      <c r="BP2" s="71"/>
      <c r="BQ2" s="71"/>
      <c r="BR2" s="71"/>
      <c r="BS2" s="71"/>
      <c r="BT2" s="71"/>
      <c r="BU2" s="71"/>
      <c r="BV2" s="71"/>
      <c r="BW2" s="71"/>
      <c r="BX2" s="71"/>
      <c r="BY2" s="71"/>
      <c r="BZ2" s="71"/>
      <c r="CA2" s="71"/>
      <c r="CB2" s="71"/>
      <c r="CC2" s="71"/>
      <c r="CD2" s="71"/>
      <c r="CE2" s="71"/>
      <c r="CF2" s="71"/>
      <c r="CG2" s="71"/>
      <c r="CH2" s="71"/>
      <c r="CI2" s="71"/>
      <c r="CJ2" s="71"/>
      <c r="CK2" s="71"/>
      <c r="CL2" s="71"/>
      <c r="CM2" s="71"/>
      <c r="CN2" s="71"/>
      <c r="CO2" s="71"/>
      <c r="CP2" s="71"/>
      <c r="CQ2" s="71"/>
      <c r="CR2" s="71"/>
      <c r="CS2" s="71"/>
      <c r="CT2" s="71"/>
      <c r="CU2" s="71"/>
      <c r="CV2" s="71"/>
      <c r="CW2" s="71"/>
      <c r="CX2" s="71"/>
      <c r="CY2" s="71"/>
      <c r="CZ2" s="71"/>
      <c r="DA2" s="71"/>
      <c r="DB2" s="71"/>
      <c r="DC2" s="71"/>
      <c r="DD2" s="71"/>
      <c r="DE2" s="71"/>
      <c r="DF2" s="71"/>
      <c r="DG2" s="71"/>
      <c r="DH2" s="71"/>
      <c r="DI2" s="71"/>
      <c r="DJ2" s="71"/>
      <c r="DK2" s="71"/>
      <c r="DL2" s="71"/>
    </row>
    <row r="3" spans="1:116" s="124" customFormat="1" ht="13.5" customHeight="1">
      <c r="A3" s="125"/>
      <c r="B3" s="75"/>
      <c r="C3" s="75"/>
      <c r="D3" s="75"/>
      <c r="E3" s="75"/>
      <c r="F3" s="75"/>
      <c r="G3" s="75"/>
      <c r="I3" s="75"/>
      <c r="J3" s="97"/>
      <c r="K3" s="97"/>
      <c r="L3" s="97"/>
      <c r="M3" s="97"/>
      <c r="N3" s="97"/>
      <c r="O3" s="127"/>
      <c r="P3" s="125"/>
      <c r="Q3" s="127"/>
      <c r="U3" s="71"/>
      <c r="V3" s="71"/>
      <c r="W3" s="71"/>
      <c r="X3" s="71"/>
      <c r="Y3" s="71"/>
      <c r="Z3" s="71"/>
      <c r="AA3" s="71"/>
      <c r="AB3" s="71"/>
      <c r="AC3" s="71"/>
      <c r="AD3" s="71"/>
      <c r="AE3" s="71"/>
      <c r="AF3" s="71"/>
      <c r="AG3" s="71"/>
      <c r="AH3" s="71"/>
      <c r="AI3" s="71"/>
      <c r="AJ3" s="71"/>
      <c r="AK3" s="71"/>
      <c r="AL3" s="71"/>
      <c r="AM3" s="71"/>
      <c r="AN3" s="71"/>
      <c r="AO3" s="71"/>
      <c r="AP3" s="71"/>
      <c r="AQ3" s="71"/>
      <c r="AR3" s="71"/>
      <c r="AS3" s="71"/>
      <c r="AT3" s="71"/>
      <c r="AU3" s="71"/>
      <c r="AV3" s="71"/>
      <c r="AW3" s="71"/>
      <c r="AX3" s="71"/>
      <c r="AY3" s="71"/>
      <c r="AZ3" s="71"/>
      <c r="BA3" s="71"/>
      <c r="BB3" s="71"/>
      <c r="BC3" s="71"/>
      <c r="BD3" s="71"/>
      <c r="BE3" s="71"/>
      <c r="BF3" s="71"/>
      <c r="BG3" s="71"/>
      <c r="BH3" s="71"/>
      <c r="BI3" s="71"/>
      <c r="BJ3" s="71"/>
      <c r="BK3" s="71"/>
      <c r="BL3" s="71"/>
      <c r="BM3" s="71"/>
      <c r="BN3" s="71"/>
      <c r="BO3" s="71"/>
      <c r="BP3" s="71"/>
      <c r="BQ3" s="71"/>
      <c r="BR3" s="71"/>
      <c r="BS3" s="71"/>
      <c r="BT3" s="71"/>
      <c r="BU3" s="71"/>
      <c r="BV3" s="71"/>
      <c r="BW3" s="71"/>
      <c r="BX3" s="71"/>
      <c r="BY3" s="71"/>
      <c r="BZ3" s="71"/>
      <c r="CA3" s="71"/>
      <c r="CB3" s="71"/>
      <c r="CC3" s="71"/>
      <c r="CD3" s="71"/>
      <c r="CE3" s="71"/>
      <c r="CF3" s="71"/>
      <c r="CG3" s="71"/>
      <c r="CH3" s="71"/>
      <c r="CI3" s="71"/>
      <c r="CJ3" s="71"/>
      <c r="CK3" s="71"/>
      <c r="CL3" s="71"/>
      <c r="CM3" s="71"/>
      <c r="CN3" s="71"/>
      <c r="CO3" s="71"/>
      <c r="CP3" s="71"/>
      <c r="CQ3" s="71"/>
      <c r="CR3" s="71"/>
      <c r="CS3" s="71"/>
      <c r="CT3" s="71"/>
      <c r="CU3" s="71"/>
      <c r="CV3" s="71"/>
      <c r="CW3" s="71"/>
      <c r="CX3" s="71"/>
      <c r="CY3" s="71"/>
      <c r="CZ3" s="71"/>
      <c r="DA3" s="71"/>
      <c r="DB3" s="71"/>
      <c r="DC3" s="71"/>
      <c r="DD3" s="71"/>
      <c r="DE3" s="71"/>
      <c r="DF3" s="71"/>
      <c r="DG3" s="71"/>
      <c r="DH3" s="71"/>
      <c r="DI3" s="71"/>
      <c r="DJ3" s="71"/>
      <c r="DK3" s="71"/>
      <c r="DL3" s="71"/>
    </row>
    <row r="4" spans="1:116" s="124" customFormat="1" ht="26.25">
      <c r="A4" s="586" t="s">
        <v>387</v>
      </c>
      <c r="B4" s="586"/>
      <c r="C4" s="586"/>
      <c r="D4" s="586"/>
      <c r="E4" s="76"/>
      <c r="F4" s="77"/>
      <c r="G4" s="77"/>
      <c r="H4" s="78"/>
      <c r="I4" s="77"/>
      <c r="J4" s="98"/>
      <c r="K4" s="98"/>
      <c r="L4" s="98"/>
      <c r="M4" s="98"/>
      <c r="N4" s="98"/>
      <c r="O4" s="128"/>
      <c r="P4" s="129"/>
      <c r="Q4" s="128"/>
      <c r="U4" s="71"/>
      <c r="V4" s="71"/>
      <c r="W4" s="71"/>
      <c r="X4" s="71"/>
      <c r="Y4" s="71"/>
      <c r="Z4" s="71"/>
      <c r="AA4" s="71"/>
      <c r="AB4" s="71"/>
      <c r="AC4" s="71"/>
      <c r="AD4" s="71"/>
      <c r="AE4" s="71"/>
      <c r="AF4" s="71"/>
      <c r="AG4" s="71"/>
      <c r="AH4" s="71"/>
      <c r="AI4" s="71"/>
      <c r="AJ4" s="71"/>
      <c r="AK4" s="71"/>
      <c r="AL4" s="71"/>
      <c r="AM4" s="71"/>
      <c r="AN4" s="71"/>
      <c r="AO4" s="71"/>
      <c r="AP4" s="71"/>
      <c r="AQ4" s="71"/>
      <c r="AR4" s="71"/>
      <c r="AS4" s="71"/>
      <c r="AT4" s="71"/>
      <c r="AU4" s="71"/>
      <c r="AV4" s="71"/>
      <c r="AW4" s="71"/>
      <c r="AX4" s="71"/>
      <c r="AY4" s="71"/>
      <c r="AZ4" s="71"/>
      <c r="BA4" s="71"/>
      <c r="BB4" s="71"/>
      <c r="BC4" s="71"/>
      <c r="BD4" s="71"/>
      <c r="BE4" s="71"/>
      <c r="BF4" s="71"/>
      <c r="BG4" s="71"/>
      <c r="BH4" s="71"/>
      <c r="BI4" s="71"/>
      <c r="BJ4" s="71"/>
      <c r="BK4" s="71"/>
      <c r="BL4" s="71"/>
      <c r="BM4" s="71"/>
      <c r="BN4" s="71"/>
      <c r="BO4" s="71"/>
      <c r="BP4" s="71"/>
      <c r="BQ4" s="71"/>
      <c r="BR4" s="71"/>
      <c r="BS4" s="71"/>
      <c r="BT4" s="71"/>
      <c r="BU4" s="71"/>
      <c r="BV4" s="71"/>
      <c r="BW4" s="71"/>
      <c r="BX4" s="71"/>
      <c r="BY4" s="71"/>
      <c r="BZ4" s="71"/>
      <c r="CA4" s="71"/>
      <c r="CB4" s="71"/>
      <c r="CC4" s="71"/>
      <c r="CD4" s="71"/>
      <c r="CE4" s="71"/>
      <c r="CF4" s="71"/>
      <c r="CG4" s="71"/>
      <c r="CH4" s="71"/>
      <c r="CI4" s="71"/>
      <c r="CJ4" s="71"/>
      <c r="CK4" s="71"/>
      <c r="CL4" s="71"/>
      <c r="CM4" s="71"/>
      <c r="CN4" s="71"/>
      <c r="CO4" s="71"/>
      <c r="CP4" s="71"/>
      <c r="CQ4" s="71"/>
      <c r="CR4" s="71"/>
      <c r="CS4" s="71"/>
      <c r="CT4" s="71"/>
      <c r="CU4" s="71"/>
      <c r="CV4" s="71"/>
      <c r="CW4" s="71"/>
      <c r="CX4" s="71"/>
      <c r="CY4" s="71"/>
      <c r="CZ4" s="71"/>
      <c r="DA4" s="71"/>
      <c r="DB4" s="71"/>
      <c r="DC4" s="71"/>
      <c r="DD4" s="71"/>
      <c r="DE4" s="71"/>
      <c r="DF4" s="71"/>
      <c r="DG4" s="71"/>
      <c r="DH4" s="71"/>
      <c r="DI4" s="71"/>
      <c r="DJ4" s="71"/>
      <c r="DK4" s="71"/>
      <c r="DL4" s="71"/>
    </row>
    <row r="5" spans="1:116" s="27" customFormat="1">
      <c r="A5" s="580" t="s">
        <v>9</v>
      </c>
      <c r="B5" s="552" t="s">
        <v>339</v>
      </c>
      <c r="C5" s="583"/>
      <c r="D5" s="583"/>
      <c r="E5" s="583"/>
      <c r="F5" s="583"/>
      <c r="G5" s="583"/>
      <c r="H5" s="583"/>
      <c r="I5" s="584"/>
      <c r="J5" s="552" t="s">
        <v>381</v>
      </c>
      <c r="K5" s="583"/>
      <c r="L5" s="583"/>
      <c r="M5" s="583"/>
      <c r="N5" s="583"/>
      <c r="O5" s="583"/>
      <c r="P5" s="583"/>
      <c r="Q5" s="584"/>
      <c r="R5" s="580" t="s">
        <v>31</v>
      </c>
      <c r="S5" s="580"/>
      <c r="T5" s="580"/>
      <c r="U5" s="79"/>
      <c r="V5" s="79"/>
      <c r="W5" s="79"/>
      <c r="X5" s="79"/>
      <c r="Y5" s="79"/>
      <c r="Z5" s="79"/>
      <c r="AA5" s="79"/>
      <c r="AB5" s="79"/>
      <c r="AC5" s="79"/>
      <c r="AD5" s="79"/>
      <c r="AE5" s="79"/>
      <c r="AF5" s="79"/>
      <c r="AG5" s="79"/>
      <c r="AH5" s="79"/>
      <c r="AI5" s="79"/>
      <c r="AJ5" s="79"/>
      <c r="AK5" s="79"/>
      <c r="AL5" s="79"/>
      <c r="AM5" s="79"/>
      <c r="AN5" s="79"/>
      <c r="AO5" s="79"/>
      <c r="AP5" s="79"/>
      <c r="AQ5" s="79"/>
      <c r="AR5" s="79"/>
      <c r="AS5" s="79"/>
      <c r="AT5" s="79"/>
      <c r="AU5" s="79"/>
      <c r="AV5" s="79"/>
      <c r="AW5" s="79"/>
      <c r="AX5" s="79"/>
      <c r="AY5" s="79"/>
      <c r="AZ5" s="79"/>
      <c r="BA5" s="79"/>
      <c r="BB5" s="79"/>
      <c r="BC5" s="79"/>
      <c r="BD5" s="79"/>
      <c r="BE5" s="79"/>
      <c r="BF5" s="79"/>
      <c r="BG5" s="79"/>
      <c r="BH5" s="79"/>
      <c r="BI5" s="79"/>
      <c r="BJ5" s="79"/>
      <c r="BK5" s="79"/>
      <c r="BL5" s="79"/>
      <c r="BM5" s="79"/>
      <c r="BN5" s="79"/>
      <c r="BO5" s="79"/>
      <c r="BP5" s="79"/>
      <c r="BQ5" s="79"/>
      <c r="BR5" s="79"/>
      <c r="BS5" s="79"/>
      <c r="BT5" s="79"/>
      <c r="BU5" s="79"/>
      <c r="BV5" s="79"/>
      <c r="BW5" s="79"/>
      <c r="BX5" s="79"/>
      <c r="BY5" s="79"/>
      <c r="BZ5" s="79"/>
      <c r="CA5" s="79"/>
      <c r="CB5" s="79"/>
      <c r="CC5" s="79"/>
      <c r="CD5" s="79"/>
      <c r="CE5" s="79"/>
      <c r="CF5" s="79"/>
      <c r="CG5" s="79"/>
      <c r="CH5" s="79"/>
      <c r="CI5" s="79"/>
      <c r="CJ5" s="79"/>
      <c r="CK5" s="79"/>
      <c r="CL5" s="79"/>
      <c r="CM5" s="79"/>
      <c r="CN5" s="79"/>
      <c r="CO5" s="79"/>
      <c r="CP5" s="79"/>
      <c r="CQ5" s="79"/>
      <c r="CR5" s="79"/>
      <c r="CS5" s="79"/>
      <c r="CT5" s="79"/>
      <c r="CU5" s="79"/>
      <c r="CV5" s="79"/>
      <c r="CW5" s="79"/>
      <c r="CX5" s="79"/>
      <c r="CY5" s="79"/>
      <c r="CZ5" s="79"/>
      <c r="DA5" s="79"/>
      <c r="DB5" s="79"/>
      <c r="DC5" s="79"/>
      <c r="DD5" s="79"/>
      <c r="DE5" s="79"/>
      <c r="DF5" s="79"/>
      <c r="DG5" s="79"/>
      <c r="DH5" s="79"/>
      <c r="DI5" s="79"/>
      <c r="DJ5" s="79"/>
      <c r="DK5" s="79"/>
      <c r="DL5" s="79"/>
    </row>
    <row r="6" spans="1:116" s="510" customFormat="1" ht="42">
      <c r="A6" s="580"/>
      <c r="B6" s="513" t="s">
        <v>6</v>
      </c>
      <c r="C6" s="513" t="s">
        <v>7</v>
      </c>
      <c r="D6" s="513" t="s">
        <v>10</v>
      </c>
      <c r="E6" s="513" t="s">
        <v>11</v>
      </c>
      <c r="F6" s="513" t="s">
        <v>12</v>
      </c>
      <c r="G6" s="585" t="s">
        <v>13</v>
      </c>
      <c r="H6" s="585"/>
      <c r="I6" s="513" t="s">
        <v>14</v>
      </c>
      <c r="J6" s="513" t="s">
        <v>6</v>
      </c>
      <c r="K6" s="513" t="s">
        <v>7</v>
      </c>
      <c r="L6" s="513" t="s">
        <v>10</v>
      </c>
      <c r="M6" s="513" t="s">
        <v>11</v>
      </c>
      <c r="N6" s="513" t="s">
        <v>12</v>
      </c>
      <c r="O6" s="581" t="s">
        <v>13</v>
      </c>
      <c r="P6" s="582"/>
      <c r="Q6" s="513" t="s">
        <v>14</v>
      </c>
      <c r="R6" s="514" t="s">
        <v>30</v>
      </c>
      <c r="S6" s="514" t="s">
        <v>29</v>
      </c>
      <c r="T6" s="514" t="s">
        <v>28</v>
      </c>
      <c r="U6" s="80"/>
      <c r="V6" s="80"/>
      <c r="W6" s="80"/>
      <c r="X6" s="80"/>
      <c r="Y6" s="80"/>
      <c r="Z6" s="80"/>
      <c r="AA6" s="80"/>
      <c r="AB6" s="80"/>
      <c r="AC6" s="80"/>
      <c r="AD6" s="80"/>
      <c r="AE6" s="80"/>
      <c r="AF6" s="80"/>
      <c r="AG6" s="80"/>
      <c r="AH6" s="80"/>
      <c r="AI6" s="80"/>
      <c r="AJ6" s="80"/>
      <c r="AK6" s="80"/>
      <c r="AL6" s="80"/>
      <c r="AM6" s="80"/>
      <c r="AN6" s="80"/>
      <c r="AO6" s="80"/>
      <c r="AP6" s="80"/>
      <c r="AQ6" s="80"/>
      <c r="AR6" s="80"/>
      <c r="AS6" s="80"/>
      <c r="AT6" s="80"/>
      <c r="AU6" s="80"/>
      <c r="AV6" s="80"/>
      <c r="AW6" s="80"/>
      <c r="AX6" s="80"/>
      <c r="AY6" s="80"/>
      <c r="AZ6" s="80"/>
      <c r="BA6" s="80"/>
      <c r="BB6" s="80"/>
      <c r="BC6" s="80"/>
      <c r="BD6" s="80"/>
      <c r="BE6" s="80"/>
      <c r="BF6" s="80"/>
      <c r="BG6" s="80"/>
      <c r="BH6" s="80"/>
      <c r="BI6" s="80"/>
      <c r="BJ6" s="80"/>
      <c r="BK6" s="80"/>
      <c r="BL6" s="80"/>
      <c r="BM6" s="80"/>
      <c r="BN6" s="80"/>
      <c r="BO6" s="80"/>
      <c r="BP6" s="80"/>
      <c r="BQ6" s="80"/>
      <c r="BR6" s="80"/>
      <c r="BS6" s="80"/>
      <c r="BT6" s="80"/>
      <c r="BU6" s="80"/>
      <c r="BV6" s="80"/>
      <c r="BW6" s="80"/>
      <c r="BX6" s="80"/>
      <c r="BY6" s="80"/>
      <c r="BZ6" s="80"/>
      <c r="CA6" s="80"/>
      <c r="CB6" s="80"/>
      <c r="CC6" s="80"/>
      <c r="CD6" s="80"/>
      <c r="CE6" s="80"/>
      <c r="CF6" s="80"/>
      <c r="CG6" s="80"/>
      <c r="CH6" s="80"/>
      <c r="CI6" s="80"/>
      <c r="CJ6" s="80"/>
      <c r="CK6" s="80"/>
      <c r="CL6" s="80"/>
      <c r="CM6" s="80"/>
      <c r="CN6" s="80"/>
      <c r="CO6" s="80"/>
      <c r="CP6" s="80"/>
      <c r="CQ6" s="80"/>
      <c r="CR6" s="80"/>
      <c r="CS6" s="80"/>
      <c r="CT6" s="80"/>
      <c r="CU6" s="80"/>
      <c r="CV6" s="80"/>
      <c r="CW6" s="80"/>
      <c r="CX6" s="80"/>
      <c r="CY6" s="80"/>
      <c r="CZ6" s="80"/>
      <c r="DA6" s="80"/>
      <c r="DB6" s="80"/>
      <c r="DC6" s="80"/>
      <c r="DD6" s="80"/>
      <c r="DE6" s="80"/>
      <c r="DF6" s="80"/>
      <c r="DG6" s="80"/>
      <c r="DH6" s="80"/>
      <c r="DI6" s="80"/>
      <c r="DJ6" s="80"/>
      <c r="DK6" s="80"/>
      <c r="DL6" s="80"/>
    </row>
    <row r="7" spans="1:116" s="27" customFormat="1">
      <c r="A7" s="50" t="s">
        <v>157</v>
      </c>
      <c r="B7" s="45">
        <v>13559829.189999999</v>
      </c>
      <c r="C7" s="45">
        <v>23884932.210000001</v>
      </c>
      <c r="D7" s="45">
        <v>4294551.83</v>
      </c>
      <c r="E7" s="45">
        <v>13637840.960000001</v>
      </c>
      <c r="F7" s="513">
        <v>55377154.189999998</v>
      </c>
      <c r="G7" s="45">
        <v>5023.4399999999996</v>
      </c>
      <c r="H7" s="23" t="s">
        <v>39</v>
      </c>
      <c r="I7" s="45">
        <v>11023.751491010145</v>
      </c>
      <c r="J7" s="45">
        <f>+'ตารางที่ 3'!B5</f>
        <v>16735782.939999999</v>
      </c>
      <c r="K7" s="45">
        <f>+'ตารางที่ 3'!C5</f>
        <v>23061619.809999999</v>
      </c>
      <c r="L7" s="45">
        <f>+'ตารางที่ 3'!D5</f>
        <v>5115932.88</v>
      </c>
      <c r="M7" s="45">
        <f>+'ตารางที่ 3'!E5</f>
        <v>16364609.789999999</v>
      </c>
      <c r="N7" s="45">
        <f>+'ตารางที่ 3'!F5</f>
        <v>61277945.420000002</v>
      </c>
      <c r="O7" s="45">
        <f>+'ตารางที่ 3'!G5</f>
        <v>4829.2</v>
      </c>
      <c r="P7" s="399" t="str">
        <f>+'ตารางที่ 3'!H5</f>
        <v>FTES</v>
      </c>
      <c r="Q7" s="45">
        <f t="shared" ref="Q7:Q20" si="0">+N7/O7</f>
        <v>12689.046927027252</v>
      </c>
      <c r="R7" s="130">
        <f>(N7-F7)/F7</f>
        <v>0.1065564187309858</v>
      </c>
      <c r="S7" s="130">
        <f>(O7-G7)/G7</f>
        <v>-3.8666730368034613E-2</v>
      </c>
      <c r="T7" s="207">
        <f>(Q7-I7)/I7</f>
        <v>0.15106431212415777</v>
      </c>
      <c r="U7" s="79"/>
      <c r="V7" s="79"/>
      <c r="W7" s="79"/>
      <c r="X7" s="79"/>
      <c r="Y7" s="79"/>
      <c r="Z7" s="79"/>
      <c r="AA7" s="79"/>
      <c r="AB7" s="79"/>
      <c r="AC7" s="79"/>
      <c r="AD7" s="79"/>
      <c r="AE7" s="79"/>
      <c r="AF7" s="79"/>
      <c r="AG7" s="79"/>
      <c r="AH7" s="79"/>
      <c r="AI7" s="79"/>
      <c r="AJ7" s="79"/>
      <c r="AK7" s="79"/>
      <c r="AL7" s="79"/>
      <c r="AM7" s="79"/>
      <c r="AN7" s="79"/>
      <c r="AO7" s="79"/>
      <c r="AP7" s="79"/>
      <c r="AQ7" s="79"/>
      <c r="AR7" s="79"/>
      <c r="AS7" s="79"/>
      <c r="AT7" s="79"/>
      <c r="AU7" s="79"/>
      <c r="AV7" s="79"/>
      <c r="AW7" s="79"/>
      <c r="AX7" s="79"/>
      <c r="AY7" s="79"/>
      <c r="AZ7" s="79"/>
      <c r="BA7" s="79"/>
      <c r="BB7" s="79"/>
      <c r="BC7" s="79"/>
      <c r="BD7" s="79"/>
      <c r="BE7" s="79"/>
      <c r="BF7" s="79"/>
      <c r="BG7" s="79"/>
      <c r="BH7" s="79"/>
      <c r="BI7" s="79"/>
      <c r="BJ7" s="79"/>
      <c r="BK7" s="79"/>
      <c r="BL7" s="79"/>
      <c r="BM7" s="79"/>
      <c r="BN7" s="79"/>
      <c r="BO7" s="79"/>
      <c r="BP7" s="79"/>
      <c r="BQ7" s="79"/>
      <c r="BR7" s="79"/>
      <c r="BS7" s="79"/>
      <c r="BT7" s="79"/>
      <c r="BU7" s="79"/>
      <c r="BV7" s="79"/>
      <c r="BW7" s="79"/>
      <c r="BX7" s="79"/>
      <c r="BY7" s="79"/>
      <c r="BZ7" s="79"/>
      <c r="CA7" s="79"/>
      <c r="CB7" s="79"/>
      <c r="CC7" s="79"/>
      <c r="CD7" s="79"/>
      <c r="CE7" s="79"/>
      <c r="CF7" s="79"/>
      <c r="CG7" s="79"/>
      <c r="CH7" s="79"/>
      <c r="CI7" s="79"/>
      <c r="CJ7" s="79"/>
      <c r="CK7" s="79"/>
      <c r="CL7" s="79"/>
      <c r="CM7" s="79"/>
      <c r="CN7" s="79"/>
      <c r="CO7" s="79"/>
      <c r="CP7" s="79"/>
      <c r="CQ7" s="79"/>
      <c r="CR7" s="79"/>
      <c r="CS7" s="79"/>
      <c r="CT7" s="79"/>
      <c r="CU7" s="79"/>
      <c r="CV7" s="79"/>
      <c r="CW7" s="79"/>
      <c r="CX7" s="79"/>
      <c r="CY7" s="79"/>
      <c r="CZ7" s="79"/>
      <c r="DA7" s="79"/>
      <c r="DB7" s="79"/>
      <c r="DC7" s="79"/>
      <c r="DD7" s="79"/>
      <c r="DE7" s="79"/>
      <c r="DF7" s="79"/>
      <c r="DG7" s="79"/>
      <c r="DH7" s="79"/>
      <c r="DI7" s="79"/>
      <c r="DJ7" s="79"/>
      <c r="DK7" s="79"/>
      <c r="DL7" s="79"/>
    </row>
    <row r="8" spans="1:116" s="27" customFormat="1">
      <c r="A8" s="50" t="s">
        <v>158</v>
      </c>
      <c r="B8" s="45">
        <v>49372.53</v>
      </c>
      <c r="C8" s="45">
        <v>77792.240000000005</v>
      </c>
      <c r="D8" s="45">
        <v>14293.97</v>
      </c>
      <c r="E8" s="45">
        <v>68588.210000000006</v>
      </c>
      <c r="F8" s="513">
        <v>210046.95</v>
      </c>
      <c r="G8" s="45">
        <v>16.72</v>
      </c>
      <c r="H8" s="23" t="s">
        <v>39</v>
      </c>
      <c r="I8" s="45">
        <v>12562.616626794261</v>
      </c>
      <c r="J8" s="45">
        <f>+'ตารางที่ 3'!B6</f>
        <v>18292.52</v>
      </c>
      <c r="K8" s="45">
        <f>+'ตารางที่ 3'!C6</f>
        <v>25834.71</v>
      </c>
      <c r="L8" s="45">
        <f>+'ตารางที่ 3'!D6</f>
        <v>7968.7</v>
      </c>
      <c r="M8" s="45">
        <f>+'ตารางที่ 3'!E6</f>
        <v>29205.88</v>
      </c>
      <c r="N8" s="45">
        <f>+'ตารางที่ 3'!F6</f>
        <v>81301.81</v>
      </c>
      <c r="O8" s="45">
        <f>+'ตารางที่ 3'!G6</f>
        <v>7.33</v>
      </c>
      <c r="P8" s="399" t="str">
        <f>+'ตารางที่ 3'!H6</f>
        <v>FTES</v>
      </c>
      <c r="Q8" s="45">
        <f t="shared" si="0"/>
        <v>11091.652114597544</v>
      </c>
      <c r="R8" s="130">
        <f t="shared" ref="R8:R21" si="1">(N8-F8)/F8</f>
        <v>-0.61293506047100421</v>
      </c>
      <c r="S8" s="130">
        <f t="shared" ref="S8:S19" si="2">(O8-G8)/G8</f>
        <v>-0.5616028708133971</v>
      </c>
      <c r="T8" s="130">
        <f t="shared" ref="T8:T21" si="3">(Q8-I8)/I8</f>
        <v>-0.11709061542635635</v>
      </c>
      <c r="U8" s="79"/>
      <c r="V8" s="79"/>
      <c r="W8" s="79"/>
      <c r="X8" s="79"/>
      <c r="Y8" s="79"/>
      <c r="Z8" s="79"/>
      <c r="AA8" s="79"/>
      <c r="AB8" s="79"/>
      <c r="AC8" s="79"/>
      <c r="AD8" s="79"/>
      <c r="AE8" s="79"/>
      <c r="AF8" s="79"/>
      <c r="AG8" s="79"/>
      <c r="AH8" s="79"/>
      <c r="AI8" s="79"/>
      <c r="AJ8" s="79"/>
      <c r="AK8" s="79"/>
      <c r="AL8" s="79"/>
      <c r="AM8" s="79"/>
      <c r="AN8" s="79"/>
      <c r="AO8" s="79"/>
      <c r="AP8" s="79"/>
      <c r="AQ8" s="79"/>
      <c r="AR8" s="79"/>
      <c r="AS8" s="79"/>
      <c r="AT8" s="79"/>
      <c r="AU8" s="79"/>
      <c r="AV8" s="79"/>
      <c r="AW8" s="79"/>
      <c r="AX8" s="79"/>
      <c r="AY8" s="79"/>
      <c r="AZ8" s="79"/>
      <c r="BA8" s="79"/>
      <c r="BB8" s="79"/>
      <c r="BC8" s="79"/>
      <c r="BD8" s="79"/>
      <c r="BE8" s="79"/>
      <c r="BF8" s="79"/>
      <c r="BG8" s="79"/>
      <c r="BH8" s="79"/>
      <c r="BI8" s="79"/>
      <c r="BJ8" s="79"/>
      <c r="BK8" s="79"/>
      <c r="BL8" s="79"/>
      <c r="BM8" s="79"/>
      <c r="BN8" s="79"/>
      <c r="BO8" s="79"/>
      <c r="BP8" s="79"/>
      <c r="BQ8" s="79"/>
      <c r="BR8" s="79"/>
      <c r="BS8" s="79"/>
      <c r="BT8" s="79"/>
      <c r="BU8" s="79"/>
      <c r="BV8" s="79"/>
      <c r="BW8" s="79"/>
      <c r="BX8" s="79"/>
      <c r="BY8" s="79"/>
      <c r="BZ8" s="79"/>
      <c r="CA8" s="79"/>
      <c r="CB8" s="79"/>
      <c r="CC8" s="79"/>
      <c r="CD8" s="79"/>
      <c r="CE8" s="79"/>
      <c r="CF8" s="79"/>
      <c r="CG8" s="79"/>
      <c r="CH8" s="79"/>
      <c r="CI8" s="79"/>
      <c r="CJ8" s="79"/>
      <c r="CK8" s="79"/>
      <c r="CL8" s="79"/>
      <c r="CM8" s="79"/>
      <c r="CN8" s="79"/>
      <c r="CO8" s="79"/>
      <c r="CP8" s="79"/>
      <c r="CQ8" s="79"/>
      <c r="CR8" s="79"/>
      <c r="CS8" s="79"/>
      <c r="CT8" s="79"/>
      <c r="CU8" s="79"/>
      <c r="CV8" s="79"/>
      <c r="CW8" s="79"/>
      <c r="CX8" s="79"/>
      <c r="CY8" s="79"/>
      <c r="CZ8" s="79"/>
      <c r="DA8" s="79"/>
      <c r="DB8" s="79"/>
      <c r="DC8" s="79"/>
      <c r="DD8" s="79"/>
      <c r="DE8" s="79"/>
      <c r="DF8" s="79"/>
      <c r="DG8" s="79"/>
      <c r="DH8" s="79"/>
      <c r="DI8" s="79"/>
      <c r="DJ8" s="79"/>
      <c r="DK8" s="79"/>
      <c r="DL8" s="79"/>
    </row>
    <row r="9" spans="1:116" s="27" customFormat="1">
      <c r="A9" s="50" t="s">
        <v>159</v>
      </c>
      <c r="B9" s="45">
        <v>7532002.4699999997</v>
      </c>
      <c r="C9" s="45">
        <v>10839377.1</v>
      </c>
      <c r="D9" s="45">
        <v>1060917.01</v>
      </c>
      <c r="E9" s="45">
        <v>6375269.25</v>
      </c>
      <c r="F9" s="513">
        <v>25807565.830000002</v>
      </c>
      <c r="G9" s="45">
        <v>1240.98</v>
      </c>
      <c r="H9" s="23" t="s">
        <v>39</v>
      </c>
      <c r="I9" s="45">
        <v>20796.117447501168</v>
      </c>
      <c r="J9" s="45">
        <f>+'ตารางที่ 3'!B7</f>
        <v>9444878.0500000007</v>
      </c>
      <c r="K9" s="45">
        <f>+'ตารางที่ 3'!C7</f>
        <v>5916305.7800000003</v>
      </c>
      <c r="L9" s="45">
        <f>+'ตารางที่ 3'!D7</f>
        <v>1330717.95</v>
      </c>
      <c r="M9" s="45">
        <f>+'ตารางที่ 3'!E7</f>
        <v>5629679.8499999996</v>
      </c>
      <c r="N9" s="45">
        <f>+'ตารางที่ 3'!F7</f>
        <v>22321581.630000003</v>
      </c>
      <c r="O9" s="45">
        <f>+'ตารางที่ 3'!G7</f>
        <v>1224.06</v>
      </c>
      <c r="P9" s="399" t="str">
        <f>+'ตารางที่ 3'!H7</f>
        <v>FTES</v>
      </c>
      <c r="Q9" s="45">
        <f>+N9/O9</f>
        <v>18235.692392529782</v>
      </c>
      <c r="R9" s="130">
        <f t="shared" si="1"/>
        <v>-0.13507605571803744</v>
      </c>
      <c r="S9" s="130">
        <f t="shared" si="2"/>
        <v>-1.3634385727409042E-2</v>
      </c>
      <c r="T9" s="130">
        <f t="shared" si="3"/>
        <v>-0.12312034019980225</v>
      </c>
      <c r="U9" s="79"/>
      <c r="V9" s="79"/>
      <c r="W9" s="79"/>
      <c r="X9" s="79"/>
      <c r="Y9" s="79"/>
      <c r="Z9" s="79"/>
      <c r="AA9" s="79"/>
      <c r="AB9" s="79"/>
      <c r="AC9" s="79"/>
      <c r="AD9" s="79"/>
      <c r="AE9" s="79"/>
      <c r="AF9" s="79"/>
      <c r="AG9" s="79"/>
      <c r="AH9" s="79"/>
      <c r="AI9" s="79"/>
      <c r="AJ9" s="79"/>
      <c r="AK9" s="79"/>
      <c r="AL9" s="79"/>
      <c r="AM9" s="79"/>
      <c r="AN9" s="79"/>
      <c r="AO9" s="79"/>
      <c r="AP9" s="79"/>
      <c r="AQ9" s="79"/>
      <c r="AR9" s="79"/>
      <c r="AS9" s="79"/>
      <c r="AT9" s="79"/>
      <c r="AU9" s="79"/>
      <c r="AV9" s="79"/>
      <c r="AW9" s="79"/>
      <c r="AX9" s="79"/>
      <c r="AY9" s="79"/>
      <c r="AZ9" s="79"/>
      <c r="BA9" s="79"/>
      <c r="BB9" s="79"/>
      <c r="BC9" s="79"/>
      <c r="BD9" s="79"/>
      <c r="BE9" s="79"/>
      <c r="BF9" s="79"/>
      <c r="BG9" s="79"/>
      <c r="BH9" s="79"/>
      <c r="BI9" s="79"/>
      <c r="BJ9" s="79"/>
      <c r="BK9" s="79"/>
      <c r="BL9" s="79"/>
      <c r="BM9" s="79"/>
      <c r="BN9" s="79"/>
      <c r="BO9" s="79"/>
      <c r="BP9" s="79"/>
      <c r="BQ9" s="79"/>
      <c r="BR9" s="79"/>
      <c r="BS9" s="79"/>
      <c r="BT9" s="79"/>
      <c r="BU9" s="79"/>
      <c r="BV9" s="79"/>
      <c r="BW9" s="79"/>
      <c r="BX9" s="79"/>
      <c r="BY9" s="79"/>
      <c r="BZ9" s="79"/>
      <c r="CA9" s="79"/>
      <c r="CB9" s="79"/>
      <c r="CC9" s="79"/>
      <c r="CD9" s="79"/>
      <c r="CE9" s="79"/>
      <c r="CF9" s="79"/>
      <c r="CG9" s="79"/>
      <c r="CH9" s="79"/>
      <c r="CI9" s="79"/>
      <c r="CJ9" s="79"/>
      <c r="CK9" s="79"/>
      <c r="CL9" s="79"/>
      <c r="CM9" s="79"/>
      <c r="CN9" s="79"/>
      <c r="CO9" s="79"/>
      <c r="CP9" s="79"/>
      <c r="CQ9" s="79"/>
      <c r="CR9" s="79"/>
      <c r="CS9" s="79"/>
      <c r="CT9" s="79"/>
      <c r="CU9" s="79"/>
      <c r="CV9" s="79"/>
      <c r="CW9" s="79"/>
      <c r="CX9" s="79"/>
      <c r="CY9" s="79"/>
      <c r="CZ9" s="79"/>
      <c r="DA9" s="79"/>
      <c r="DB9" s="79"/>
      <c r="DC9" s="79"/>
      <c r="DD9" s="79"/>
      <c r="DE9" s="79"/>
      <c r="DF9" s="79"/>
      <c r="DG9" s="79"/>
      <c r="DH9" s="79"/>
      <c r="DI9" s="79"/>
      <c r="DJ9" s="79"/>
      <c r="DK9" s="79"/>
      <c r="DL9" s="79"/>
    </row>
    <row r="10" spans="1:116" s="27" customFormat="1">
      <c r="A10" s="50" t="s">
        <v>115</v>
      </c>
      <c r="B10" s="45">
        <v>5954925.6799999997</v>
      </c>
      <c r="C10" s="45">
        <v>1876662.27</v>
      </c>
      <c r="D10" s="45">
        <v>326410.36</v>
      </c>
      <c r="E10" s="45">
        <v>3921587.65</v>
      </c>
      <c r="F10" s="513">
        <v>12079585.959999999</v>
      </c>
      <c r="G10" s="45">
        <v>381.81</v>
      </c>
      <c r="H10" s="23" t="s">
        <v>39</v>
      </c>
      <c r="I10" s="45">
        <v>31637.688798093292</v>
      </c>
      <c r="J10" s="45">
        <f>+'ตารางที่ 3'!B8</f>
        <v>6539630.3399999999</v>
      </c>
      <c r="K10" s="45">
        <f>+'ตารางที่ 3'!C8</f>
        <v>659440.86</v>
      </c>
      <c r="L10" s="45">
        <f>+'ตารางที่ 3'!D8</f>
        <v>423765.06</v>
      </c>
      <c r="M10" s="45">
        <f>+'ตารางที่ 3'!E8</f>
        <v>3597065.85</v>
      </c>
      <c r="N10" s="45">
        <f>+'ตารางที่ 3'!F8</f>
        <v>11219902.109999999</v>
      </c>
      <c r="O10" s="45">
        <f>+'ตารางที่ 3'!G8</f>
        <v>389.8</v>
      </c>
      <c r="P10" s="399" t="str">
        <f>+'ตารางที่ 3'!H8</f>
        <v>FTES</v>
      </c>
      <c r="Q10" s="45">
        <f t="shared" si="0"/>
        <v>28783.740661877884</v>
      </c>
      <c r="R10" s="130">
        <f t="shared" si="1"/>
        <v>-7.1168320904932719E-2</v>
      </c>
      <c r="S10" s="130">
        <f t="shared" si="2"/>
        <v>2.0926638904167016E-2</v>
      </c>
      <c r="T10" s="130">
        <f t="shared" si="3"/>
        <v>-9.0207225768887594E-2</v>
      </c>
      <c r="U10" s="79"/>
      <c r="V10" s="79"/>
      <c r="W10" s="79"/>
      <c r="X10" s="79"/>
      <c r="Y10" s="79"/>
      <c r="Z10" s="79"/>
      <c r="AA10" s="79"/>
      <c r="AB10" s="79"/>
      <c r="AC10" s="79"/>
      <c r="AD10" s="79"/>
      <c r="AE10" s="79"/>
      <c r="AF10" s="79"/>
      <c r="AG10" s="79"/>
      <c r="AH10" s="79"/>
      <c r="AI10" s="79"/>
      <c r="AJ10" s="79"/>
      <c r="AK10" s="79"/>
      <c r="AL10" s="79"/>
      <c r="AM10" s="79"/>
      <c r="AN10" s="79"/>
      <c r="AO10" s="79"/>
      <c r="AP10" s="79"/>
      <c r="AQ10" s="79"/>
      <c r="AR10" s="79"/>
      <c r="AS10" s="79"/>
      <c r="AT10" s="79"/>
      <c r="AU10" s="79"/>
      <c r="AV10" s="79"/>
      <c r="AW10" s="79"/>
      <c r="AX10" s="79"/>
      <c r="AY10" s="79"/>
      <c r="AZ10" s="79"/>
      <c r="BA10" s="79"/>
      <c r="BB10" s="79"/>
      <c r="BC10" s="79"/>
      <c r="BD10" s="79"/>
      <c r="BE10" s="79"/>
      <c r="BF10" s="79"/>
      <c r="BG10" s="79"/>
      <c r="BH10" s="79"/>
      <c r="BI10" s="79"/>
      <c r="BJ10" s="79"/>
      <c r="BK10" s="79"/>
      <c r="BL10" s="79"/>
      <c r="BM10" s="79"/>
      <c r="BN10" s="79"/>
      <c r="BO10" s="79"/>
      <c r="BP10" s="79"/>
      <c r="BQ10" s="79"/>
      <c r="BR10" s="79"/>
      <c r="BS10" s="79"/>
      <c r="BT10" s="79"/>
      <c r="BU10" s="79"/>
      <c r="BV10" s="79"/>
      <c r="BW10" s="79"/>
      <c r="BX10" s="79"/>
      <c r="BY10" s="79"/>
      <c r="BZ10" s="79"/>
      <c r="CA10" s="79"/>
      <c r="CB10" s="79"/>
      <c r="CC10" s="79"/>
      <c r="CD10" s="79"/>
      <c r="CE10" s="79"/>
      <c r="CF10" s="79"/>
      <c r="CG10" s="79"/>
      <c r="CH10" s="79"/>
      <c r="CI10" s="79"/>
      <c r="CJ10" s="79"/>
      <c r="CK10" s="79"/>
      <c r="CL10" s="79"/>
      <c r="CM10" s="79"/>
      <c r="CN10" s="79"/>
      <c r="CO10" s="79"/>
      <c r="CP10" s="79"/>
      <c r="CQ10" s="79"/>
      <c r="CR10" s="79"/>
      <c r="CS10" s="79"/>
      <c r="CT10" s="79"/>
      <c r="CU10" s="79"/>
      <c r="CV10" s="79"/>
      <c r="CW10" s="79"/>
      <c r="CX10" s="79"/>
      <c r="CY10" s="79"/>
      <c r="CZ10" s="79"/>
      <c r="DA10" s="79"/>
      <c r="DB10" s="79"/>
      <c r="DC10" s="79"/>
      <c r="DD10" s="79"/>
      <c r="DE10" s="79"/>
      <c r="DF10" s="79"/>
      <c r="DG10" s="79"/>
      <c r="DH10" s="79"/>
      <c r="DI10" s="79"/>
      <c r="DJ10" s="79"/>
      <c r="DK10" s="79"/>
      <c r="DL10" s="79"/>
    </row>
    <row r="11" spans="1:116" s="27" customFormat="1">
      <c r="A11" s="34" t="s">
        <v>116</v>
      </c>
      <c r="B11" s="45">
        <v>26521379.43</v>
      </c>
      <c r="C11" s="45">
        <v>21935660.920000002</v>
      </c>
      <c r="D11" s="45">
        <v>2253471.9</v>
      </c>
      <c r="E11" s="45">
        <v>19880704.91</v>
      </c>
      <c r="F11" s="513">
        <v>70591217.159999996</v>
      </c>
      <c r="G11" s="45">
        <v>2635.94</v>
      </c>
      <c r="H11" s="23" t="s">
        <v>39</v>
      </c>
      <c r="I11" s="45">
        <v>26780.282237076713</v>
      </c>
      <c r="J11" s="45">
        <f>+'ตารางที่ 3'!B9</f>
        <v>22081262.890000001</v>
      </c>
      <c r="K11" s="45">
        <f>+'ตารางที่ 3'!C9</f>
        <v>21678345.309999999</v>
      </c>
      <c r="L11" s="45">
        <f>+'ตารางที่ 3'!D9</f>
        <v>3414130.68</v>
      </c>
      <c r="M11" s="45">
        <f>+'ตารางที่ 3'!E9</f>
        <v>21311019.039999999</v>
      </c>
      <c r="N11" s="45">
        <f>+'ตารางที่ 3'!F9</f>
        <v>68484757.920000002</v>
      </c>
      <c r="O11" s="45">
        <f>+'ตารางที่ 3'!G9</f>
        <v>3187.6</v>
      </c>
      <c r="P11" s="399" t="str">
        <f>+'ตารางที่ 3'!H9</f>
        <v>FTES</v>
      </c>
      <c r="Q11" s="45">
        <f t="shared" si="0"/>
        <v>21484.740218346091</v>
      </c>
      <c r="R11" s="130">
        <f t="shared" si="1"/>
        <v>-2.9840245355531349E-2</v>
      </c>
      <c r="S11" s="130">
        <f t="shared" si="2"/>
        <v>0.20928397459729731</v>
      </c>
      <c r="T11" s="130">
        <f t="shared" si="3"/>
        <v>-0.19774033641060962</v>
      </c>
      <c r="U11" s="79"/>
      <c r="V11" s="79"/>
      <c r="W11" s="79"/>
      <c r="X11" s="79"/>
      <c r="Y11" s="79"/>
      <c r="Z11" s="79"/>
      <c r="AA11" s="79"/>
      <c r="AB11" s="79"/>
      <c r="AC11" s="79"/>
      <c r="AD11" s="79"/>
      <c r="AE11" s="79"/>
      <c r="AF11" s="79"/>
      <c r="AG11" s="79"/>
      <c r="AH11" s="79"/>
      <c r="AI11" s="79"/>
      <c r="AJ11" s="79"/>
      <c r="AK11" s="79"/>
      <c r="AL11" s="79"/>
      <c r="AM11" s="79"/>
      <c r="AN11" s="79"/>
      <c r="AO11" s="79"/>
      <c r="AP11" s="79"/>
      <c r="AQ11" s="79"/>
      <c r="AR11" s="79"/>
      <c r="AS11" s="79"/>
      <c r="AT11" s="79"/>
      <c r="AU11" s="79"/>
      <c r="AV11" s="79"/>
      <c r="AW11" s="79"/>
      <c r="AX11" s="79"/>
      <c r="AY11" s="79"/>
      <c r="AZ11" s="79"/>
      <c r="BA11" s="79"/>
      <c r="BB11" s="79"/>
      <c r="BC11" s="79"/>
      <c r="BD11" s="79"/>
      <c r="BE11" s="79"/>
      <c r="BF11" s="79"/>
      <c r="BG11" s="79"/>
      <c r="BH11" s="79"/>
      <c r="BI11" s="79"/>
      <c r="BJ11" s="79"/>
      <c r="BK11" s="79"/>
      <c r="BL11" s="79"/>
      <c r="BM11" s="79"/>
      <c r="BN11" s="79"/>
      <c r="BO11" s="79"/>
      <c r="BP11" s="79"/>
      <c r="BQ11" s="79"/>
      <c r="BR11" s="79"/>
      <c r="BS11" s="79"/>
      <c r="BT11" s="79"/>
      <c r="BU11" s="79"/>
      <c r="BV11" s="79"/>
      <c r="BW11" s="79"/>
      <c r="BX11" s="79"/>
      <c r="BY11" s="79"/>
      <c r="BZ11" s="79"/>
      <c r="CA11" s="79"/>
      <c r="CB11" s="79"/>
      <c r="CC11" s="79"/>
      <c r="CD11" s="79"/>
      <c r="CE11" s="79"/>
      <c r="CF11" s="79"/>
      <c r="CG11" s="79"/>
      <c r="CH11" s="79"/>
      <c r="CI11" s="79"/>
      <c r="CJ11" s="79"/>
      <c r="CK11" s="79"/>
      <c r="CL11" s="79"/>
      <c r="CM11" s="79"/>
      <c r="CN11" s="79"/>
      <c r="CO11" s="79"/>
      <c r="CP11" s="79"/>
      <c r="CQ11" s="79"/>
      <c r="CR11" s="79"/>
      <c r="CS11" s="79"/>
      <c r="CT11" s="79"/>
      <c r="CU11" s="79"/>
      <c r="CV11" s="79"/>
      <c r="CW11" s="79"/>
      <c r="CX11" s="79"/>
      <c r="CY11" s="79"/>
      <c r="CZ11" s="79"/>
      <c r="DA11" s="79"/>
      <c r="DB11" s="79"/>
      <c r="DC11" s="79"/>
      <c r="DD11" s="79"/>
      <c r="DE11" s="79"/>
      <c r="DF11" s="79"/>
      <c r="DG11" s="79"/>
      <c r="DH11" s="79"/>
      <c r="DI11" s="79"/>
      <c r="DJ11" s="79"/>
      <c r="DK11" s="79"/>
      <c r="DL11" s="79"/>
    </row>
    <row r="12" spans="1:116" s="27" customFormat="1">
      <c r="A12" s="50" t="s">
        <v>117</v>
      </c>
      <c r="B12" s="45">
        <v>105504.78</v>
      </c>
      <c r="C12" s="45">
        <v>191628.67</v>
      </c>
      <c r="D12" s="45">
        <v>17756.330000000002</v>
      </c>
      <c r="E12" s="45">
        <v>108834.12</v>
      </c>
      <c r="F12" s="513">
        <v>423723.9</v>
      </c>
      <c r="G12" s="45">
        <v>20.77</v>
      </c>
      <c r="H12" s="23" t="s">
        <v>39</v>
      </c>
      <c r="I12" s="45">
        <v>20400.765527202697</v>
      </c>
      <c r="J12" s="45">
        <f>+'ตารางที่ 3'!B10</f>
        <v>72991.45</v>
      </c>
      <c r="K12" s="45">
        <f>+'ตารางที่ 3'!C10</f>
        <v>95901.87</v>
      </c>
      <c r="L12" s="45">
        <f>+'ตารางที่ 3'!D10</f>
        <v>16796.23</v>
      </c>
      <c r="M12" s="45">
        <f>+'ตารางที่ 3'!E10</f>
        <v>80688.78</v>
      </c>
      <c r="N12" s="45">
        <f>+'ตารางที่ 3'!F10</f>
        <v>266378.33</v>
      </c>
      <c r="O12" s="45">
        <f>+'ตารางที่ 3'!G10</f>
        <v>15.45</v>
      </c>
      <c r="P12" s="399" t="str">
        <f>+'ตารางที่ 3'!H10</f>
        <v>FTES</v>
      </c>
      <c r="Q12" s="45">
        <f t="shared" si="0"/>
        <v>17241.315857605179</v>
      </c>
      <c r="R12" s="130">
        <f t="shared" si="1"/>
        <v>-0.37133985125691515</v>
      </c>
      <c r="S12" s="130">
        <f t="shared" si="2"/>
        <v>-0.25613866153105441</v>
      </c>
      <c r="T12" s="130">
        <f t="shared" si="3"/>
        <v>-0.15486917220751636</v>
      </c>
      <c r="U12" s="79"/>
      <c r="V12" s="79"/>
      <c r="W12" s="79"/>
      <c r="X12" s="79"/>
      <c r="Y12" s="79"/>
      <c r="Z12" s="79"/>
      <c r="AA12" s="79"/>
      <c r="AB12" s="79"/>
      <c r="AC12" s="79"/>
      <c r="AD12" s="79"/>
      <c r="AE12" s="79"/>
      <c r="AF12" s="79"/>
      <c r="AG12" s="79"/>
      <c r="AH12" s="79"/>
      <c r="AI12" s="79"/>
      <c r="AJ12" s="79"/>
      <c r="AK12" s="79"/>
      <c r="AL12" s="79"/>
      <c r="AM12" s="79"/>
      <c r="AN12" s="79"/>
      <c r="AO12" s="79"/>
      <c r="AP12" s="79"/>
      <c r="AQ12" s="79"/>
      <c r="AR12" s="79"/>
      <c r="AS12" s="79"/>
      <c r="AT12" s="79"/>
      <c r="AU12" s="79"/>
      <c r="AV12" s="79"/>
      <c r="AW12" s="79"/>
      <c r="AX12" s="79"/>
      <c r="AY12" s="79"/>
      <c r="AZ12" s="79"/>
      <c r="BA12" s="79"/>
      <c r="BB12" s="79"/>
      <c r="BC12" s="79"/>
      <c r="BD12" s="79"/>
      <c r="BE12" s="79"/>
      <c r="BF12" s="79"/>
      <c r="BG12" s="79"/>
      <c r="BH12" s="79"/>
      <c r="BI12" s="79"/>
      <c r="BJ12" s="79"/>
      <c r="BK12" s="79"/>
      <c r="BL12" s="79"/>
      <c r="BM12" s="79"/>
      <c r="BN12" s="79"/>
      <c r="BO12" s="79"/>
      <c r="BP12" s="79"/>
      <c r="BQ12" s="79"/>
      <c r="BR12" s="79"/>
      <c r="BS12" s="79"/>
      <c r="BT12" s="79"/>
      <c r="BU12" s="79"/>
      <c r="BV12" s="79"/>
      <c r="BW12" s="79"/>
      <c r="BX12" s="79"/>
      <c r="BY12" s="79"/>
      <c r="BZ12" s="79"/>
      <c r="CA12" s="79"/>
      <c r="CB12" s="79"/>
      <c r="CC12" s="79"/>
      <c r="CD12" s="79"/>
      <c r="CE12" s="79"/>
      <c r="CF12" s="79"/>
      <c r="CG12" s="79"/>
      <c r="CH12" s="79"/>
      <c r="CI12" s="79"/>
      <c r="CJ12" s="79"/>
      <c r="CK12" s="79"/>
      <c r="CL12" s="79"/>
      <c r="CM12" s="79"/>
      <c r="CN12" s="79"/>
      <c r="CO12" s="79"/>
      <c r="CP12" s="79"/>
      <c r="CQ12" s="79"/>
      <c r="CR12" s="79"/>
      <c r="CS12" s="79"/>
      <c r="CT12" s="79"/>
      <c r="CU12" s="79"/>
      <c r="CV12" s="79"/>
      <c r="CW12" s="79"/>
      <c r="CX12" s="79"/>
      <c r="CY12" s="79"/>
      <c r="CZ12" s="79"/>
      <c r="DA12" s="79"/>
      <c r="DB12" s="79"/>
      <c r="DC12" s="79"/>
      <c r="DD12" s="79"/>
      <c r="DE12" s="79"/>
      <c r="DF12" s="79"/>
      <c r="DG12" s="79"/>
      <c r="DH12" s="79"/>
      <c r="DI12" s="79"/>
      <c r="DJ12" s="79"/>
      <c r="DK12" s="79"/>
      <c r="DL12" s="79"/>
    </row>
    <row r="13" spans="1:116" s="27" customFormat="1">
      <c r="A13" s="50" t="s">
        <v>118</v>
      </c>
      <c r="B13" s="45">
        <v>12483171.85</v>
      </c>
      <c r="C13" s="45">
        <v>5777306.4500000002</v>
      </c>
      <c r="D13" s="45">
        <v>779636.95</v>
      </c>
      <c r="E13" s="45">
        <v>6094725.7199999997</v>
      </c>
      <c r="F13" s="513">
        <v>25134840.969999999</v>
      </c>
      <c r="G13" s="45">
        <v>911.96</v>
      </c>
      <c r="H13" s="23" t="s">
        <v>39</v>
      </c>
      <c r="I13" s="45">
        <v>27561.341473310229</v>
      </c>
      <c r="J13" s="45">
        <f>+'ตารางที่ 3'!B11</f>
        <v>10226520.41</v>
      </c>
      <c r="K13" s="45">
        <f>+'ตารางที่ 3'!C11</f>
        <v>7154661.4100000001</v>
      </c>
      <c r="L13" s="45">
        <f>+'ตารางที่ 3'!D11</f>
        <v>940864.28</v>
      </c>
      <c r="M13" s="45">
        <f>+'ตารางที่ 3'!E11</f>
        <v>6833894.2199999997</v>
      </c>
      <c r="N13" s="45">
        <f>+'ตารางที่ 3'!F11</f>
        <v>25155940.32</v>
      </c>
      <c r="O13" s="45">
        <f>+'ตารางที่ 3'!G11</f>
        <v>925.05</v>
      </c>
      <c r="P13" s="399" t="str">
        <f>+'ตารางที่ 3'!H11</f>
        <v>FTES</v>
      </c>
      <c r="Q13" s="45">
        <f t="shared" si="0"/>
        <v>27194.141203178209</v>
      </c>
      <c r="R13" s="130">
        <f t="shared" si="1"/>
        <v>8.3944632970564168E-4</v>
      </c>
      <c r="S13" s="130">
        <f t="shared" si="2"/>
        <v>1.4353699723672E-2</v>
      </c>
      <c r="T13" s="130">
        <f t="shared" si="3"/>
        <v>-1.3323018782943062E-2</v>
      </c>
      <c r="U13" s="79"/>
      <c r="V13" s="79"/>
      <c r="W13" s="79"/>
      <c r="X13" s="79"/>
      <c r="Y13" s="79"/>
      <c r="Z13" s="79"/>
      <c r="AA13" s="79"/>
      <c r="AB13" s="79"/>
      <c r="AC13" s="79"/>
      <c r="AD13" s="79"/>
      <c r="AE13" s="79"/>
      <c r="AF13" s="79"/>
      <c r="AG13" s="79"/>
      <c r="AH13" s="79"/>
      <c r="AI13" s="79"/>
      <c r="AJ13" s="79"/>
      <c r="AK13" s="79"/>
      <c r="AL13" s="79"/>
      <c r="AM13" s="79"/>
      <c r="AN13" s="79"/>
      <c r="AO13" s="79"/>
      <c r="AP13" s="79"/>
      <c r="AQ13" s="79"/>
      <c r="AR13" s="79"/>
      <c r="AS13" s="79"/>
      <c r="AT13" s="79"/>
      <c r="AU13" s="79"/>
      <c r="AV13" s="79"/>
      <c r="AW13" s="79"/>
      <c r="AX13" s="79"/>
      <c r="AY13" s="79"/>
      <c r="AZ13" s="79"/>
      <c r="BA13" s="79"/>
      <c r="BB13" s="79"/>
      <c r="BC13" s="79"/>
      <c r="BD13" s="79"/>
      <c r="BE13" s="79"/>
      <c r="BF13" s="79"/>
      <c r="BG13" s="79"/>
      <c r="BH13" s="79"/>
      <c r="BI13" s="79"/>
      <c r="BJ13" s="79"/>
      <c r="BK13" s="79"/>
      <c r="BL13" s="79"/>
      <c r="BM13" s="79"/>
      <c r="BN13" s="79"/>
      <c r="BO13" s="79"/>
      <c r="BP13" s="79"/>
      <c r="BQ13" s="79"/>
      <c r="BR13" s="79"/>
      <c r="BS13" s="79"/>
      <c r="BT13" s="79"/>
      <c r="BU13" s="79"/>
      <c r="BV13" s="79"/>
      <c r="BW13" s="79"/>
      <c r="BX13" s="79"/>
      <c r="BY13" s="79"/>
      <c r="BZ13" s="79"/>
      <c r="CA13" s="79"/>
      <c r="CB13" s="79"/>
      <c r="CC13" s="79"/>
      <c r="CD13" s="79"/>
      <c r="CE13" s="79"/>
      <c r="CF13" s="79"/>
      <c r="CG13" s="79"/>
      <c r="CH13" s="79"/>
      <c r="CI13" s="79"/>
      <c r="CJ13" s="79"/>
      <c r="CK13" s="79"/>
      <c r="CL13" s="79"/>
      <c r="CM13" s="79"/>
      <c r="CN13" s="79"/>
      <c r="CO13" s="79"/>
      <c r="CP13" s="79"/>
      <c r="CQ13" s="79"/>
      <c r="CR13" s="79"/>
      <c r="CS13" s="79"/>
      <c r="CT13" s="79"/>
      <c r="CU13" s="79"/>
      <c r="CV13" s="79"/>
      <c r="CW13" s="79"/>
      <c r="CX13" s="79"/>
      <c r="CY13" s="79"/>
      <c r="CZ13" s="79"/>
      <c r="DA13" s="79"/>
      <c r="DB13" s="79"/>
      <c r="DC13" s="79"/>
      <c r="DD13" s="79"/>
      <c r="DE13" s="79"/>
      <c r="DF13" s="79"/>
      <c r="DG13" s="79"/>
      <c r="DH13" s="79"/>
      <c r="DI13" s="79"/>
      <c r="DJ13" s="79"/>
      <c r="DK13" s="79"/>
      <c r="DL13" s="79"/>
    </row>
    <row r="14" spans="1:116" s="27" customFormat="1">
      <c r="A14" s="50" t="s">
        <v>119</v>
      </c>
      <c r="B14" s="45">
        <v>143473.91</v>
      </c>
      <c r="C14" s="45">
        <v>66061.710000000006</v>
      </c>
      <c r="D14" s="45">
        <v>8882.44</v>
      </c>
      <c r="E14" s="45">
        <v>69727.78</v>
      </c>
      <c r="F14" s="513">
        <v>288145.83999999997</v>
      </c>
      <c r="G14" s="45">
        <v>10.39</v>
      </c>
      <c r="H14" s="23" t="s">
        <v>39</v>
      </c>
      <c r="I14" s="45">
        <v>27732.997112608271</v>
      </c>
      <c r="J14" s="45">
        <f>+'ตารางที่ 3'!B12</f>
        <v>63491.96</v>
      </c>
      <c r="K14" s="45">
        <f>+'ตารางที่ 3'!C12</f>
        <v>56293.94</v>
      </c>
      <c r="L14" s="45">
        <f>+'ตารางที่ 3'!D12</f>
        <v>7689.24</v>
      </c>
      <c r="M14" s="45">
        <f>+'ตารางที่ 3'!E12</f>
        <v>44324.01</v>
      </c>
      <c r="N14" s="45">
        <f>+'ตารางที่ 3'!F12</f>
        <v>171799.15</v>
      </c>
      <c r="O14" s="45">
        <f>+'ตารางที่ 3'!G12</f>
        <v>7.56</v>
      </c>
      <c r="P14" s="399" t="str">
        <f>+'ตารางที่ 3'!H12</f>
        <v>FTES</v>
      </c>
      <c r="Q14" s="45">
        <f t="shared" si="0"/>
        <v>22724.755291005291</v>
      </c>
      <c r="R14" s="130">
        <f t="shared" si="1"/>
        <v>-0.40377709426587588</v>
      </c>
      <c r="S14" s="130">
        <f t="shared" si="2"/>
        <v>-0.27237728585178062</v>
      </c>
      <c r="T14" s="130">
        <f t="shared" si="3"/>
        <v>-0.18058783193418643</v>
      </c>
      <c r="U14" s="79"/>
      <c r="V14" s="79"/>
      <c r="W14" s="79"/>
      <c r="X14" s="79"/>
      <c r="Y14" s="79"/>
      <c r="Z14" s="79"/>
      <c r="AA14" s="79"/>
      <c r="AB14" s="79"/>
      <c r="AC14" s="79"/>
      <c r="AD14" s="79"/>
      <c r="AE14" s="79"/>
      <c r="AF14" s="79"/>
      <c r="AG14" s="79"/>
      <c r="AH14" s="79"/>
      <c r="AI14" s="79"/>
      <c r="AJ14" s="79"/>
      <c r="AK14" s="79"/>
      <c r="AL14" s="79"/>
      <c r="AM14" s="79"/>
      <c r="AN14" s="79"/>
      <c r="AO14" s="79"/>
      <c r="AP14" s="79"/>
      <c r="AQ14" s="79"/>
      <c r="AR14" s="79"/>
      <c r="AS14" s="79"/>
      <c r="AT14" s="79"/>
      <c r="AU14" s="79"/>
      <c r="AV14" s="79"/>
      <c r="AW14" s="79"/>
      <c r="AX14" s="79"/>
      <c r="AY14" s="79"/>
      <c r="AZ14" s="79"/>
      <c r="BA14" s="79"/>
      <c r="BB14" s="79"/>
      <c r="BC14" s="79"/>
      <c r="BD14" s="79"/>
      <c r="BE14" s="79"/>
      <c r="BF14" s="79"/>
      <c r="BG14" s="79"/>
      <c r="BH14" s="79"/>
      <c r="BI14" s="79"/>
      <c r="BJ14" s="79"/>
      <c r="BK14" s="79"/>
      <c r="BL14" s="79"/>
      <c r="BM14" s="79"/>
      <c r="BN14" s="79"/>
      <c r="BO14" s="79"/>
      <c r="BP14" s="79"/>
      <c r="BQ14" s="79"/>
      <c r="BR14" s="79"/>
      <c r="BS14" s="79"/>
      <c r="BT14" s="79"/>
      <c r="BU14" s="79"/>
      <c r="BV14" s="79"/>
      <c r="BW14" s="79"/>
      <c r="BX14" s="79"/>
      <c r="BY14" s="79"/>
      <c r="BZ14" s="79"/>
      <c r="CA14" s="79"/>
      <c r="CB14" s="79"/>
      <c r="CC14" s="79"/>
      <c r="CD14" s="79"/>
      <c r="CE14" s="79"/>
      <c r="CF14" s="79"/>
      <c r="CG14" s="79"/>
      <c r="CH14" s="79"/>
      <c r="CI14" s="79"/>
      <c r="CJ14" s="79"/>
      <c r="CK14" s="79"/>
      <c r="CL14" s="79"/>
      <c r="CM14" s="79"/>
      <c r="CN14" s="79"/>
      <c r="CO14" s="79"/>
      <c r="CP14" s="79"/>
      <c r="CQ14" s="79"/>
      <c r="CR14" s="79"/>
      <c r="CS14" s="79"/>
      <c r="CT14" s="79"/>
      <c r="CU14" s="79"/>
      <c r="CV14" s="79"/>
      <c r="CW14" s="79"/>
      <c r="CX14" s="79"/>
      <c r="CY14" s="79"/>
      <c r="CZ14" s="79"/>
      <c r="DA14" s="79"/>
      <c r="DB14" s="79"/>
      <c r="DC14" s="79"/>
      <c r="DD14" s="79"/>
      <c r="DE14" s="79"/>
      <c r="DF14" s="79"/>
      <c r="DG14" s="79"/>
      <c r="DH14" s="79"/>
      <c r="DI14" s="79"/>
      <c r="DJ14" s="79"/>
      <c r="DK14" s="79"/>
      <c r="DL14" s="79"/>
    </row>
    <row r="15" spans="1:116" s="27" customFormat="1">
      <c r="A15" s="50" t="s">
        <v>120</v>
      </c>
      <c r="B15" s="45">
        <v>10915836.24</v>
      </c>
      <c r="C15" s="45">
        <v>9172922.7899999991</v>
      </c>
      <c r="D15" s="45">
        <v>1192614.75</v>
      </c>
      <c r="E15" s="45">
        <v>3708411.72</v>
      </c>
      <c r="F15" s="513">
        <v>24989785.5</v>
      </c>
      <c r="G15" s="45">
        <v>1395.03</v>
      </c>
      <c r="H15" s="23" t="s">
        <v>39</v>
      </c>
      <c r="I15" s="45">
        <v>17913.43949592482</v>
      </c>
      <c r="J15" s="45">
        <f>+'ตารางที่ 3'!B13</f>
        <v>13320795.369999999</v>
      </c>
      <c r="K15" s="45">
        <f>+'ตารางที่ 3'!C13</f>
        <v>12872575.98</v>
      </c>
      <c r="L15" s="45">
        <f>+'ตารางที่ 3'!D13</f>
        <v>1061471.46</v>
      </c>
      <c r="M15" s="45">
        <f>+'ตารางที่ 3'!E13</f>
        <v>9482028.0199999996</v>
      </c>
      <c r="N15" s="45">
        <f>+'ตารางที่ 3'!F13</f>
        <v>36736870.829999998</v>
      </c>
      <c r="O15" s="45">
        <f>+'ตารางที่ 3'!G13</f>
        <v>1043.6300000000001</v>
      </c>
      <c r="P15" s="399" t="str">
        <f>+'ตารางที่ 3'!H13</f>
        <v>FTES</v>
      </c>
      <c r="Q15" s="45">
        <f t="shared" si="0"/>
        <v>35201.04905953259</v>
      </c>
      <c r="R15" s="130">
        <f t="shared" si="1"/>
        <v>0.47007547663824478</v>
      </c>
      <c r="S15" s="130">
        <f t="shared" si="2"/>
        <v>-0.25189422449696414</v>
      </c>
      <c r="T15" s="130">
        <f t="shared" si="3"/>
        <v>0.96506366449282832</v>
      </c>
      <c r="U15" s="79"/>
      <c r="V15" s="79"/>
      <c r="W15" s="79"/>
      <c r="X15" s="79"/>
      <c r="Y15" s="79"/>
      <c r="Z15" s="79"/>
      <c r="AA15" s="79"/>
      <c r="AB15" s="79"/>
      <c r="AC15" s="79"/>
      <c r="AD15" s="79"/>
      <c r="AE15" s="79"/>
      <c r="AF15" s="79"/>
      <c r="AG15" s="79"/>
      <c r="AH15" s="79"/>
      <c r="AI15" s="79"/>
      <c r="AJ15" s="79"/>
      <c r="AK15" s="79"/>
      <c r="AL15" s="79"/>
      <c r="AM15" s="79"/>
      <c r="AN15" s="79"/>
      <c r="AO15" s="79"/>
      <c r="AP15" s="79"/>
      <c r="AQ15" s="79"/>
      <c r="AR15" s="79"/>
      <c r="AS15" s="79"/>
      <c r="AT15" s="79"/>
      <c r="AU15" s="79"/>
      <c r="AV15" s="79"/>
      <c r="AW15" s="79"/>
      <c r="AX15" s="79"/>
      <c r="AY15" s="79"/>
      <c r="AZ15" s="79"/>
      <c r="BA15" s="79"/>
      <c r="BB15" s="79"/>
      <c r="BC15" s="79"/>
      <c r="BD15" s="79"/>
      <c r="BE15" s="79"/>
      <c r="BF15" s="79"/>
      <c r="BG15" s="79"/>
      <c r="BH15" s="79"/>
      <c r="BI15" s="79"/>
      <c r="BJ15" s="79"/>
      <c r="BK15" s="79"/>
      <c r="BL15" s="79"/>
      <c r="BM15" s="79"/>
      <c r="BN15" s="79"/>
      <c r="BO15" s="79"/>
      <c r="BP15" s="79"/>
      <c r="BQ15" s="79"/>
      <c r="BR15" s="79"/>
      <c r="BS15" s="79"/>
      <c r="BT15" s="79"/>
      <c r="BU15" s="79"/>
      <c r="BV15" s="79"/>
      <c r="BW15" s="79"/>
      <c r="BX15" s="79"/>
      <c r="BY15" s="79"/>
      <c r="BZ15" s="79"/>
      <c r="CA15" s="79"/>
      <c r="CB15" s="79"/>
      <c r="CC15" s="79"/>
      <c r="CD15" s="79"/>
      <c r="CE15" s="79"/>
      <c r="CF15" s="79"/>
      <c r="CG15" s="79"/>
      <c r="CH15" s="79"/>
      <c r="CI15" s="79"/>
      <c r="CJ15" s="79"/>
      <c r="CK15" s="79"/>
      <c r="CL15" s="79"/>
      <c r="CM15" s="79"/>
      <c r="CN15" s="79"/>
      <c r="CO15" s="79"/>
      <c r="CP15" s="79"/>
      <c r="CQ15" s="79"/>
      <c r="CR15" s="79"/>
      <c r="CS15" s="79"/>
      <c r="CT15" s="79"/>
      <c r="CU15" s="79"/>
      <c r="CV15" s="79"/>
      <c r="CW15" s="79"/>
      <c r="CX15" s="79"/>
      <c r="CY15" s="79"/>
      <c r="CZ15" s="79"/>
      <c r="DA15" s="79"/>
      <c r="DB15" s="79"/>
      <c r="DC15" s="79"/>
      <c r="DD15" s="79"/>
      <c r="DE15" s="79"/>
      <c r="DF15" s="79"/>
      <c r="DG15" s="79"/>
      <c r="DH15" s="79"/>
      <c r="DI15" s="79"/>
      <c r="DJ15" s="79"/>
      <c r="DK15" s="79"/>
      <c r="DL15" s="79"/>
    </row>
    <row r="16" spans="1:116" s="27" customFormat="1">
      <c r="A16" s="50" t="s">
        <v>121</v>
      </c>
      <c r="B16" s="45">
        <v>63872.37</v>
      </c>
      <c r="C16" s="45">
        <v>87483.18</v>
      </c>
      <c r="D16" s="45">
        <v>6693.89</v>
      </c>
      <c r="E16" s="45">
        <v>1716.57</v>
      </c>
      <c r="F16" s="513">
        <v>159766.01</v>
      </c>
      <c r="G16" s="45">
        <v>7.83</v>
      </c>
      <c r="H16" s="23" t="s">
        <v>39</v>
      </c>
      <c r="I16" s="45">
        <v>20404.343550447</v>
      </c>
      <c r="J16" s="45">
        <f>+'ตารางที่ 3'!B14</f>
        <v>51880.71</v>
      </c>
      <c r="K16" s="45">
        <f>+'ตารางที่ 3'!C14</f>
        <v>45007.69</v>
      </c>
      <c r="L16" s="45">
        <f>+'ตารางที่ 3'!D14</f>
        <v>3386.93</v>
      </c>
      <c r="M16" s="45">
        <f>+'ตารางที่ 3'!E14</f>
        <v>21998.13</v>
      </c>
      <c r="N16" s="45">
        <f>+'ตารางที่ 3'!F14</f>
        <v>122273.45999999999</v>
      </c>
      <c r="O16" s="45">
        <f>+'ตารางที่ 3'!G14</f>
        <v>3.33</v>
      </c>
      <c r="P16" s="399" t="str">
        <f>+'ตารางที่ 3'!H14</f>
        <v>FTES</v>
      </c>
      <c r="Q16" s="45">
        <f t="shared" si="0"/>
        <v>36718.756756756753</v>
      </c>
      <c r="R16" s="130">
        <f t="shared" si="1"/>
        <v>-0.23467163009203282</v>
      </c>
      <c r="S16" s="130">
        <f t="shared" si="2"/>
        <v>-0.57471264367816088</v>
      </c>
      <c r="T16" s="130">
        <f t="shared" si="3"/>
        <v>0.79955589681062544</v>
      </c>
      <c r="U16" s="79"/>
      <c r="V16" s="79"/>
      <c r="W16" s="79"/>
      <c r="X16" s="79"/>
      <c r="Y16" s="79"/>
      <c r="Z16" s="79"/>
      <c r="AA16" s="79"/>
      <c r="AB16" s="79"/>
      <c r="AC16" s="79"/>
      <c r="AD16" s="79"/>
      <c r="AE16" s="79"/>
      <c r="AF16" s="79"/>
      <c r="AG16" s="79"/>
      <c r="AH16" s="79"/>
      <c r="AI16" s="79"/>
      <c r="AJ16" s="79"/>
      <c r="AK16" s="79"/>
      <c r="AL16" s="79"/>
      <c r="AM16" s="79"/>
      <c r="AN16" s="79"/>
      <c r="AO16" s="79"/>
      <c r="AP16" s="79"/>
      <c r="AQ16" s="79"/>
      <c r="AR16" s="79"/>
      <c r="AS16" s="79"/>
      <c r="AT16" s="79"/>
      <c r="AU16" s="79"/>
      <c r="AV16" s="79"/>
      <c r="AW16" s="79"/>
      <c r="AX16" s="79"/>
      <c r="AY16" s="79"/>
      <c r="AZ16" s="79"/>
      <c r="BA16" s="79"/>
      <c r="BB16" s="79"/>
      <c r="BC16" s="79"/>
      <c r="BD16" s="79"/>
      <c r="BE16" s="79"/>
      <c r="BF16" s="79"/>
      <c r="BG16" s="79"/>
      <c r="BH16" s="79"/>
      <c r="BI16" s="79"/>
      <c r="BJ16" s="79"/>
      <c r="BK16" s="79"/>
      <c r="BL16" s="79"/>
      <c r="BM16" s="79"/>
      <c r="BN16" s="79"/>
      <c r="BO16" s="79"/>
      <c r="BP16" s="79"/>
      <c r="BQ16" s="79"/>
      <c r="BR16" s="79"/>
      <c r="BS16" s="79"/>
      <c r="BT16" s="79"/>
      <c r="BU16" s="79"/>
      <c r="BV16" s="79"/>
      <c r="BW16" s="79"/>
      <c r="BX16" s="79"/>
      <c r="BY16" s="79"/>
      <c r="BZ16" s="79"/>
      <c r="CA16" s="79"/>
      <c r="CB16" s="79"/>
      <c r="CC16" s="79"/>
      <c r="CD16" s="79"/>
      <c r="CE16" s="79"/>
      <c r="CF16" s="79"/>
      <c r="CG16" s="79"/>
      <c r="CH16" s="79"/>
      <c r="CI16" s="79"/>
      <c r="CJ16" s="79"/>
      <c r="CK16" s="79"/>
      <c r="CL16" s="79"/>
      <c r="CM16" s="79"/>
      <c r="CN16" s="79"/>
      <c r="CO16" s="79"/>
      <c r="CP16" s="79"/>
      <c r="CQ16" s="79"/>
      <c r="CR16" s="79"/>
      <c r="CS16" s="79"/>
      <c r="CT16" s="79"/>
      <c r="CU16" s="79"/>
      <c r="CV16" s="79"/>
      <c r="CW16" s="79"/>
      <c r="CX16" s="79"/>
      <c r="CY16" s="79"/>
      <c r="CZ16" s="79"/>
      <c r="DA16" s="79"/>
      <c r="DB16" s="79"/>
      <c r="DC16" s="79"/>
      <c r="DD16" s="79"/>
      <c r="DE16" s="79"/>
      <c r="DF16" s="79"/>
      <c r="DG16" s="79"/>
      <c r="DH16" s="79"/>
      <c r="DI16" s="79"/>
      <c r="DJ16" s="79"/>
      <c r="DK16" s="79"/>
      <c r="DL16" s="79"/>
    </row>
    <row r="17" spans="1:116" s="27" customFormat="1">
      <c r="A17" s="50" t="s">
        <v>122</v>
      </c>
      <c r="B17" s="45">
        <v>3987623.74</v>
      </c>
      <c r="C17" s="45">
        <v>3207007.61</v>
      </c>
      <c r="D17" s="45">
        <v>167082.16</v>
      </c>
      <c r="E17" s="45">
        <v>8038396.7999999998</v>
      </c>
      <c r="F17" s="513">
        <v>15400110.309999999</v>
      </c>
      <c r="G17" s="45">
        <v>195.44</v>
      </c>
      <c r="H17" s="23" t="s">
        <v>39</v>
      </c>
      <c r="I17" s="45">
        <v>78797.126023331963</v>
      </c>
      <c r="J17" s="45">
        <f>+'ตารางที่ 3'!B15</f>
        <v>5572200.46</v>
      </c>
      <c r="K17" s="45">
        <f>+'ตารางที่ 3'!C15</f>
        <v>4362631.47</v>
      </c>
      <c r="L17" s="45">
        <f>+'ตารางที่ 3'!D15</f>
        <v>230453.52</v>
      </c>
      <c r="M17" s="45">
        <f>+'ตารางที่ 3'!E15</f>
        <v>7484482.2199999997</v>
      </c>
      <c r="N17" s="45">
        <f>+'ตารางที่ 3'!F15</f>
        <v>17649767.669999998</v>
      </c>
      <c r="O17" s="45">
        <f>+'ตารางที่ 3'!G15</f>
        <v>226.58</v>
      </c>
      <c r="P17" s="399" t="str">
        <f>+'ตารางที่ 3'!H15</f>
        <v>FTES</v>
      </c>
      <c r="Q17" s="45">
        <f>+N17/O17</f>
        <v>77896.405993468084</v>
      </c>
      <c r="R17" s="130">
        <f t="shared" si="1"/>
        <v>0.14608060037980336</v>
      </c>
      <c r="S17" s="130">
        <f t="shared" si="2"/>
        <v>0.15933278755628333</v>
      </c>
      <c r="T17" s="130">
        <f t="shared" si="3"/>
        <v>-1.1430874136160415E-2</v>
      </c>
      <c r="U17" s="79"/>
      <c r="V17" s="79"/>
      <c r="W17" s="79"/>
      <c r="X17" s="79"/>
      <c r="Y17" s="79"/>
      <c r="Z17" s="79"/>
      <c r="AA17" s="79"/>
      <c r="AB17" s="79"/>
      <c r="AC17" s="79"/>
      <c r="AD17" s="79"/>
      <c r="AE17" s="79"/>
      <c r="AF17" s="79"/>
      <c r="AG17" s="79"/>
      <c r="AH17" s="79"/>
      <c r="AI17" s="79"/>
      <c r="AJ17" s="79"/>
      <c r="AK17" s="79"/>
      <c r="AL17" s="79"/>
      <c r="AM17" s="79"/>
      <c r="AN17" s="79"/>
      <c r="AO17" s="79"/>
      <c r="AP17" s="79"/>
      <c r="AQ17" s="79"/>
      <c r="AR17" s="79"/>
      <c r="AS17" s="79"/>
      <c r="AT17" s="79"/>
      <c r="AU17" s="79"/>
      <c r="AV17" s="79"/>
      <c r="AW17" s="79"/>
      <c r="AX17" s="79"/>
      <c r="AY17" s="79"/>
      <c r="AZ17" s="79"/>
      <c r="BA17" s="79"/>
      <c r="BB17" s="79"/>
      <c r="BC17" s="79"/>
      <c r="BD17" s="79"/>
      <c r="BE17" s="79"/>
      <c r="BF17" s="79"/>
      <c r="BG17" s="79"/>
      <c r="BH17" s="79"/>
      <c r="BI17" s="79"/>
      <c r="BJ17" s="79"/>
      <c r="BK17" s="79"/>
      <c r="BL17" s="79"/>
      <c r="BM17" s="79"/>
      <c r="BN17" s="79"/>
      <c r="BO17" s="79"/>
      <c r="BP17" s="79"/>
      <c r="BQ17" s="79"/>
      <c r="BR17" s="79"/>
      <c r="BS17" s="79"/>
      <c r="BT17" s="79"/>
      <c r="BU17" s="79"/>
      <c r="BV17" s="79"/>
      <c r="BW17" s="79"/>
      <c r="BX17" s="79"/>
      <c r="BY17" s="79"/>
      <c r="BZ17" s="79"/>
      <c r="CA17" s="79"/>
      <c r="CB17" s="79"/>
      <c r="CC17" s="79"/>
      <c r="CD17" s="79"/>
      <c r="CE17" s="79"/>
      <c r="CF17" s="79"/>
      <c r="CG17" s="79"/>
      <c r="CH17" s="79"/>
      <c r="CI17" s="79"/>
      <c r="CJ17" s="79"/>
      <c r="CK17" s="79"/>
      <c r="CL17" s="79"/>
      <c r="CM17" s="79"/>
      <c r="CN17" s="79"/>
      <c r="CO17" s="79"/>
      <c r="CP17" s="79"/>
      <c r="CQ17" s="79"/>
      <c r="CR17" s="79"/>
      <c r="CS17" s="79"/>
      <c r="CT17" s="79"/>
      <c r="CU17" s="79"/>
      <c r="CV17" s="79"/>
      <c r="CW17" s="79"/>
      <c r="CX17" s="79"/>
      <c r="CY17" s="79"/>
      <c r="CZ17" s="79"/>
      <c r="DA17" s="79"/>
      <c r="DB17" s="79"/>
      <c r="DC17" s="79"/>
      <c r="DD17" s="79"/>
      <c r="DE17" s="79"/>
      <c r="DF17" s="79"/>
      <c r="DG17" s="79"/>
      <c r="DH17" s="79"/>
      <c r="DI17" s="79"/>
      <c r="DJ17" s="79"/>
      <c r="DK17" s="79"/>
      <c r="DL17" s="79"/>
    </row>
    <row r="18" spans="1:116" s="27" customFormat="1">
      <c r="A18" s="50" t="s">
        <v>123</v>
      </c>
      <c r="B18" s="45">
        <v>5612423.1699999999</v>
      </c>
      <c r="C18" s="45">
        <v>5621900.7300000004</v>
      </c>
      <c r="D18" s="45">
        <v>803104.03</v>
      </c>
      <c r="E18" s="45">
        <v>5197930.91</v>
      </c>
      <c r="F18" s="513">
        <v>17235358.84</v>
      </c>
      <c r="G18" s="45">
        <v>939.41</v>
      </c>
      <c r="H18" s="23" t="s">
        <v>39</v>
      </c>
      <c r="I18" s="45">
        <v>18347.003800257608</v>
      </c>
      <c r="J18" s="45">
        <f>+'ตารางที่ 3'!B16</f>
        <v>7390478.71</v>
      </c>
      <c r="K18" s="45">
        <f>+'ตารางที่ 3'!C16</f>
        <v>4230500.1100000003</v>
      </c>
      <c r="L18" s="45">
        <f>+'ตารางที่ 3'!D16</f>
        <v>1030777.52</v>
      </c>
      <c r="M18" s="45">
        <f>+'ตารางที่ 3'!E16</f>
        <v>5856071.3700000001</v>
      </c>
      <c r="N18" s="45">
        <f>+'ตารางที่ 3'!F16</f>
        <v>18507827.710000001</v>
      </c>
      <c r="O18" s="45">
        <f>+'ตารางที่ 3'!G16</f>
        <v>948.16</v>
      </c>
      <c r="P18" s="399" t="str">
        <f>+'ตารางที่ 3'!H16</f>
        <v>FTES</v>
      </c>
      <c r="Q18" s="45">
        <f t="shared" si="0"/>
        <v>19519.730541258861</v>
      </c>
      <c r="R18" s="130">
        <f t="shared" si="1"/>
        <v>7.3828974598825411E-2</v>
      </c>
      <c r="S18" s="130">
        <f t="shared" si="2"/>
        <v>9.3143568835758611E-3</v>
      </c>
      <c r="T18" s="130">
        <f t="shared" si="3"/>
        <v>6.3919250999707522E-2</v>
      </c>
      <c r="U18" s="79"/>
      <c r="V18" s="79"/>
      <c r="W18" s="79"/>
      <c r="X18" s="79"/>
      <c r="Y18" s="79"/>
      <c r="Z18" s="79"/>
      <c r="AA18" s="79"/>
      <c r="AB18" s="79"/>
      <c r="AC18" s="79"/>
      <c r="AD18" s="79"/>
      <c r="AE18" s="79"/>
      <c r="AF18" s="79"/>
      <c r="AG18" s="79"/>
      <c r="AH18" s="79"/>
      <c r="AI18" s="79"/>
      <c r="AJ18" s="79"/>
      <c r="AK18" s="79"/>
      <c r="AL18" s="79"/>
      <c r="AM18" s="79"/>
      <c r="AN18" s="79"/>
      <c r="AO18" s="79"/>
      <c r="AP18" s="79"/>
      <c r="AQ18" s="79"/>
      <c r="AR18" s="79"/>
      <c r="AS18" s="79"/>
      <c r="AT18" s="79"/>
      <c r="AU18" s="79"/>
      <c r="AV18" s="79"/>
      <c r="AW18" s="79"/>
      <c r="AX18" s="79"/>
      <c r="AY18" s="79"/>
      <c r="AZ18" s="79"/>
      <c r="BA18" s="79"/>
      <c r="BB18" s="79"/>
      <c r="BC18" s="79"/>
      <c r="BD18" s="79"/>
      <c r="BE18" s="79"/>
      <c r="BF18" s="79"/>
      <c r="BG18" s="79"/>
      <c r="BH18" s="79"/>
      <c r="BI18" s="79"/>
      <c r="BJ18" s="79"/>
      <c r="BK18" s="79"/>
      <c r="BL18" s="79"/>
      <c r="BM18" s="79"/>
      <c r="BN18" s="79"/>
      <c r="BO18" s="79"/>
      <c r="BP18" s="79"/>
      <c r="BQ18" s="79"/>
      <c r="BR18" s="79"/>
      <c r="BS18" s="79"/>
      <c r="BT18" s="79"/>
      <c r="BU18" s="79"/>
      <c r="BV18" s="79"/>
      <c r="BW18" s="79"/>
      <c r="BX18" s="79"/>
      <c r="BY18" s="79"/>
      <c r="BZ18" s="79"/>
      <c r="CA18" s="79"/>
      <c r="CB18" s="79"/>
      <c r="CC18" s="79"/>
      <c r="CD18" s="79"/>
      <c r="CE18" s="79"/>
      <c r="CF18" s="79"/>
      <c r="CG18" s="79"/>
      <c r="CH18" s="79"/>
      <c r="CI18" s="79"/>
      <c r="CJ18" s="79"/>
      <c r="CK18" s="79"/>
      <c r="CL18" s="79"/>
      <c r="CM18" s="79"/>
      <c r="CN18" s="79"/>
      <c r="CO18" s="79"/>
      <c r="CP18" s="79"/>
      <c r="CQ18" s="79"/>
      <c r="CR18" s="79"/>
      <c r="CS18" s="79"/>
      <c r="CT18" s="79"/>
      <c r="CU18" s="79"/>
      <c r="CV18" s="79"/>
      <c r="CW18" s="79"/>
      <c r="CX18" s="79"/>
      <c r="CY18" s="79"/>
      <c r="CZ18" s="79"/>
      <c r="DA18" s="79"/>
      <c r="DB18" s="79"/>
      <c r="DC18" s="79"/>
      <c r="DD18" s="79"/>
      <c r="DE18" s="79"/>
      <c r="DF18" s="79"/>
      <c r="DG18" s="79"/>
      <c r="DH18" s="79"/>
      <c r="DI18" s="79"/>
      <c r="DJ18" s="79"/>
      <c r="DK18" s="79"/>
      <c r="DL18" s="79"/>
    </row>
    <row r="19" spans="1:116" s="27" customFormat="1">
      <c r="A19" s="144" t="s">
        <v>338</v>
      </c>
      <c r="B19" s="45">
        <v>7240246.3799999999</v>
      </c>
      <c r="C19" s="45">
        <v>4684384.8</v>
      </c>
      <c r="D19" s="45">
        <v>544034.36</v>
      </c>
      <c r="E19" s="45">
        <v>3252381.81</v>
      </c>
      <c r="F19" s="513">
        <v>15721047.35</v>
      </c>
      <c r="G19" s="45">
        <v>636.37</v>
      </c>
      <c r="H19" s="23" t="s">
        <v>39</v>
      </c>
      <c r="I19" s="45">
        <v>24704.255936012069</v>
      </c>
      <c r="J19" s="45">
        <f>+'ตารางที่ 3'!B17</f>
        <v>5079902.4800000004</v>
      </c>
      <c r="K19" s="45">
        <f>+'ตารางที่ 3'!C17</f>
        <v>2379878.6</v>
      </c>
      <c r="L19" s="45">
        <f>+'ตารางที่ 3'!D17</f>
        <v>689776.02</v>
      </c>
      <c r="M19" s="45">
        <f>+'ตารางที่ 3'!E17</f>
        <v>2022560.81</v>
      </c>
      <c r="N19" s="45">
        <f>+'ตารางที่ 3'!F17</f>
        <v>10172117.91</v>
      </c>
      <c r="O19" s="45">
        <f>+'ตารางที่ 3'!G17</f>
        <v>634.49</v>
      </c>
      <c r="P19" s="399" t="str">
        <f>+'ตารางที่ 3'!H17</f>
        <v>FTES</v>
      </c>
      <c r="Q19" s="45">
        <f t="shared" si="0"/>
        <v>16031.959384702675</v>
      </c>
      <c r="R19" s="130">
        <f t="shared" si="1"/>
        <v>-0.35296181714000113</v>
      </c>
      <c r="S19" s="130">
        <f t="shared" si="2"/>
        <v>-2.9542561717239898E-3</v>
      </c>
      <c r="T19" s="130">
        <f t="shared" si="3"/>
        <v>-0.35104463675295516</v>
      </c>
      <c r="U19" s="79"/>
      <c r="V19" s="79"/>
      <c r="W19" s="79"/>
      <c r="X19" s="79"/>
      <c r="Y19" s="79"/>
      <c r="Z19" s="79"/>
      <c r="AA19" s="79"/>
      <c r="AB19" s="79"/>
      <c r="AC19" s="79"/>
      <c r="AD19" s="79"/>
      <c r="AE19" s="79"/>
      <c r="AF19" s="79"/>
      <c r="AG19" s="79"/>
      <c r="AH19" s="79"/>
      <c r="AI19" s="79"/>
      <c r="AJ19" s="79"/>
      <c r="AK19" s="79"/>
      <c r="AL19" s="79"/>
      <c r="AM19" s="79"/>
      <c r="AN19" s="79"/>
      <c r="AO19" s="79"/>
      <c r="AP19" s="79"/>
      <c r="AQ19" s="79"/>
      <c r="AR19" s="79"/>
      <c r="AS19" s="79"/>
      <c r="AT19" s="79"/>
      <c r="AU19" s="79"/>
      <c r="AV19" s="79"/>
      <c r="AW19" s="79"/>
      <c r="AX19" s="79"/>
      <c r="AY19" s="79"/>
      <c r="AZ19" s="79"/>
      <c r="BA19" s="79"/>
      <c r="BB19" s="79"/>
      <c r="BC19" s="79"/>
      <c r="BD19" s="79"/>
      <c r="BE19" s="79"/>
      <c r="BF19" s="79"/>
      <c r="BG19" s="79"/>
      <c r="BH19" s="79"/>
      <c r="BI19" s="79"/>
      <c r="BJ19" s="79"/>
      <c r="BK19" s="79"/>
      <c r="BL19" s="79"/>
      <c r="BM19" s="79"/>
      <c r="BN19" s="79"/>
      <c r="BO19" s="79"/>
      <c r="BP19" s="79"/>
      <c r="BQ19" s="79"/>
      <c r="BR19" s="79"/>
      <c r="BS19" s="79"/>
      <c r="BT19" s="79"/>
      <c r="BU19" s="79"/>
      <c r="BV19" s="79"/>
      <c r="BW19" s="79"/>
      <c r="BX19" s="79"/>
      <c r="BY19" s="79"/>
      <c r="BZ19" s="79"/>
      <c r="CA19" s="79"/>
      <c r="CB19" s="79"/>
      <c r="CC19" s="79"/>
      <c r="CD19" s="79"/>
      <c r="CE19" s="79"/>
      <c r="CF19" s="79"/>
      <c r="CG19" s="79"/>
      <c r="CH19" s="79"/>
      <c r="CI19" s="79"/>
      <c r="CJ19" s="79"/>
      <c r="CK19" s="79"/>
      <c r="CL19" s="79"/>
      <c r="CM19" s="79"/>
      <c r="CN19" s="79"/>
      <c r="CO19" s="79"/>
      <c r="CP19" s="79"/>
      <c r="CQ19" s="79"/>
      <c r="CR19" s="79"/>
      <c r="CS19" s="79"/>
      <c r="CT19" s="79"/>
      <c r="CU19" s="79"/>
      <c r="CV19" s="79"/>
      <c r="CW19" s="79"/>
      <c r="CX19" s="79"/>
      <c r="CY19" s="79"/>
      <c r="CZ19" s="79"/>
      <c r="DA19" s="79"/>
      <c r="DB19" s="79"/>
      <c r="DC19" s="79"/>
      <c r="DD19" s="79"/>
      <c r="DE19" s="79"/>
      <c r="DF19" s="79"/>
      <c r="DG19" s="79"/>
      <c r="DH19" s="79"/>
      <c r="DI19" s="79"/>
      <c r="DJ19" s="79"/>
      <c r="DK19" s="79"/>
      <c r="DL19" s="79"/>
    </row>
    <row r="20" spans="1:116" s="27" customFormat="1">
      <c r="A20" s="34" t="s">
        <v>124</v>
      </c>
      <c r="B20" s="45">
        <v>11304988.59</v>
      </c>
      <c r="C20" s="45">
        <v>72300</v>
      </c>
      <c r="D20" s="45">
        <v>0</v>
      </c>
      <c r="E20" s="45">
        <v>5499189.3799999999</v>
      </c>
      <c r="F20" s="513">
        <v>16876477.969999999</v>
      </c>
      <c r="G20" s="45">
        <v>172</v>
      </c>
      <c r="H20" s="27" t="s">
        <v>20</v>
      </c>
      <c r="I20" s="45">
        <v>98119.05796511627</v>
      </c>
      <c r="J20" s="45">
        <f>+'ตารางที่ 3'!B18</f>
        <v>6399968.75</v>
      </c>
      <c r="K20" s="45">
        <f>+'ตารางที่ 3'!C18</f>
        <v>50000</v>
      </c>
      <c r="L20" s="45">
        <f>+'ตารางที่ 3'!D18</f>
        <v>0</v>
      </c>
      <c r="M20" s="45">
        <f>+'ตารางที่ 3'!E18</f>
        <v>2696819.15</v>
      </c>
      <c r="N20" s="45">
        <f>+'ตารางที่ 3'!F18</f>
        <v>9146787.9000000004</v>
      </c>
      <c r="O20" s="240">
        <f>+'ตารางที่ 3'!G18</f>
        <v>185</v>
      </c>
      <c r="P20" s="399" t="s">
        <v>20</v>
      </c>
      <c r="Q20" s="45">
        <f t="shared" si="0"/>
        <v>49442.096756756757</v>
      </c>
      <c r="R20" s="130">
        <f t="shared" si="1"/>
        <v>-0.45801559328554614</v>
      </c>
      <c r="S20" s="130">
        <f t="shared" ref="S20:S21" si="4">(O20-G20)/G20</f>
        <v>7.5581395348837205E-2</v>
      </c>
      <c r="T20" s="130">
        <f t="shared" si="3"/>
        <v>-0.49610098402764291</v>
      </c>
      <c r="U20" s="79"/>
      <c r="V20" s="79"/>
      <c r="W20" s="79"/>
      <c r="X20" s="79"/>
      <c r="Y20" s="79"/>
      <c r="Z20" s="79"/>
      <c r="AA20" s="79"/>
      <c r="AB20" s="79"/>
      <c r="AC20" s="79"/>
      <c r="AD20" s="79"/>
      <c r="AE20" s="79"/>
      <c r="AF20" s="79"/>
      <c r="AG20" s="79"/>
      <c r="AH20" s="79"/>
      <c r="AI20" s="79"/>
      <c r="AJ20" s="79"/>
      <c r="AK20" s="79"/>
      <c r="AL20" s="79"/>
      <c r="AM20" s="79"/>
      <c r="AN20" s="79"/>
      <c r="AO20" s="79"/>
      <c r="AP20" s="79"/>
      <c r="AQ20" s="79"/>
      <c r="AR20" s="79"/>
      <c r="AS20" s="79"/>
      <c r="AT20" s="79"/>
      <c r="AU20" s="79"/>
      <c r="AV20" s="79"/>
      <c r="AW20" s="79"/>
      <c r="AX20" s="79"/>
      <c r="AY20" s="79"/>
      <c r="AZ20" s="79"/>
      <c r="BA20" s="79"/>
      <c r="BB20" s="79"/>
      <c r="BC20" s="79"/>
      <c r="BD20" s="79"/>
      <c r="BE20" s="79"/>
      <c r="BF20" s="79"/>
      <c r="BG20" s="79"/>
      <c r="BH20" s="79"/>
      <c r="BI20" s="79"/>
      <c r="BJ20" s="79"/>
      <c r="BK20" s="79"/>
      <c r="BL20" s="79"/>
      <c r="BM20" s="79"/>
      <c r="BN20" s="79"/>
      <c r="BO20" s="79"/>
      <c r="BP20" s="79"/>
      <c r="BQ20" s="79"/>
      <c r="BR20" s="79"/>
      <c r="BS20" s="79"/>
      <c r="BT20" s="79"/>
      <c r="BU20" s="79"/>
      <c r="BV20" s="79"/>
      <c r="BW20" s="79"/>
      <c r="BX20" s="79"/>
      <c r="BY20" s="79"/>
      <c r="BZ20" s="79"/>
      <c r="CA20" s="79"/>
      <c r="CB20" s="79"/>
      <c r="CC20" s="79"/>
      <c r="CD20" s="79"/>
      <c r="CE20" s="79"/>
      <c r="CF20" s="79"/>
      <c r="CG20" s="79"/>
      <c r="CH20" s="79"/>
      <c r="CI20" s="79"/>
      <c r="CJ20" s="79"/>
      <c r="CK20" s="79"/>
      <c r="CL20" s="79"/>
      <c r="CM20" s="79"/>
      <c r="CN20" s="79"/>
      <c r="CO20" s="79"/>
      <c r="CP20" s="79"/>
      <c r="CQ20" s="79"/>
      <c r="CR20" s="79"/>
      <c r="CS20" s="79"/>
      <c r="CT20" s="79"/>
      <c r="CU20" s="79"/>
      <c r="CV20" s="79"/>
      <c r="CW20" s="79"/>
      <c r="CX20" s="79"/>
      <c r="CY20" s="79"/>
      <c r="CZ20" s="79"/>
      <c r="DA20" s="79"/>
      <c r="DB20" s="79"/>
      <c r="DC20" s="79"/>
      <c r="DD20" s="79"/>
      <c r="DE20" s="79"/>
      <c r="DF20" s="79"/>
      <c r="DG20" s="79"/>
      <c r="DH20" s="79"/>
      <c r="DI20" s="79"/>
      <c r="DJ20" s="79"/>
      <c r="DK20" s="79"/>
      <c r="DL20" s="79"/>
    </row>
    <row r="21" spans="1:116" s="27" customFormat="1">
      <c r="A21" s="34" t="s">
        <v>125</v>
      </c>
      <c r="B21" s="45">
        <v>3907895</v>
      </c>
      <c r="C21" s="45">
        <v>1561626</v>
      </c>
      <c r="D21" s="45">
        <v>0</v>
      </c>
      <c r="E21" s="45">
        <v>2521474.44</v>
      </c>
      <c r="F21" s="513">
        <v>7990995.4399999995</v>
      </c>
      <c r="G21" s="45">
        <v>147</v>
      </c>
      <c r="H21" s="27" t="s">
        <v>20</v>
      </c>
      <c r="I21" s="45">
        <v>54360.51319727891</v>
      </c>
      <c r="J21" s="45">
        <f>+'ตารางที่ 3'!B19</f>
        <v>2454514.7999999998</v>
      </c>
      <c r="K21" s="45">
        <f>+'ตารางที่ 3'!C19</f>
        <v>1385675</v>
      </c>
      <c r="L21" s="45">
        <f>+'ตารางที่ 3'!D19</f>
        <v>0</v>
      </c>
      <c r="M21" s="45">
        <f>+'ตารางที่ 3'!E19</f>
        <v>2087400.3</v>
      </c>
      <c r="N21" s="45">
        <f>+'ตารางที่ 3'!F19</f>
        <v>5927590.0999999996</v>
      </c>
      <c r="O21" s="240">
        <f>+'ตารางที่ 3'!G19</f>
        <v>113</v>
      </c>
      <c r="P21" s="399" t="s">
        <v>20</v>
      </c>
      <c r="Q21" s="45">
        <f>+N21/O21</f>
        <v>52456.549557522121</v>
      </c>
      <c r="R21" s="130">
        <f t="shared" si="1"/>
        <v>-0.25821630802982914</v>
      </c>
      <c r="S21" s="130">
        <f t="shared" si="4"/>
        <v>-0.23129251700680273</v>
      </c>
      <c r="T21" s="130">
        <f t="shared" si="3"/>
        <v>-3.5024754693671542E-2</v>
      </c>
      <c r="U21" s="79"/>
      <c r="V21" s="79"/>
      <c r="W21" s="79"/>
      <c r="X21" s="79"/>
      <c r="Y21" s="79"/>
      <c r="Z21" s="79"/>
      <c r="AA21" s="79"/>
      <c r="AB21" s="79"/>
      <c r="AC21" s="79"/>
      <c r="AD21" s="79"/>
      <c r="AE21" s="79"/>
      <c r="AF21" s="79"/>
      <c r="AG21" s="79"/>
      <c r="AH21" s="79"/>
      <c r="AI21" s="79"/>
      <c r="AJ21" s="79"/>
      <c r="AK21" s="79"/>
      <c r="AL21" s="79"/>
      <c r="AM21" s="79"/>
      <c r="AN21" s="79"/>
      <c r="AO21" s="79"/>
      <c r="AP21" s="79"/>
      <c r="AQ21" s="79"/>
      <c r="AR21" s="79"/>
      <c r="AS21" s="79"/>
      <c r="AT21" s="79"/>
      <c r="AU21" s="79"/>
      <c r="AV21" s="79"/>
      <c r="AW21" s="79"/>
      <c r="AX21" s="79"/>
      <c r="AY21" s="79"/>
      <c r="AZ21" s="79"/>
      <c r="BA21" s="79"/>
      <c r="BB21" s="79"/>
      <c r="BC21" s="79"/>
      <c r="BD21" s="79"/>
      <c r="BE21" s="79"/>
      <c r="BF21" s="79"/>
      <c r="BG21" s="79"/>
      <c r="BH21" s="79"/>
      <c r="BI21" s="79"/>
      <c r="BJ21" s="79"/>
      <c r="BK21" s="79"/>
      <c r="BL21" s="79"/>
      <c r="BM21" s="79"/>
      <c r="BN21" s="79"/>
      <c r="BO21" s="79"/>
      <c r="BP21" s="79"/>
      <c r="BQ21" s="79"/>
      <c r="BR21" s="79"/>
      <c r="BS21" s="79"/>
      <c r="BT21" s="79"/>
      <c r="BU21" s="79"/>
      <c r="BV21" s="79"/>
      <c r="BW21" s="79"/>
      <c r="BX21" s="79"/>
      <c r="BY21" s="79"/>
      <c r="BZ21" s="79"/>
      <c r="CA21" s="79"/>
      <c r="CB21" s="79"/>
      <c r="CC21" s="79"/>
      <c r="CD21" s="79"/>
      <c r="CE21" s="79"/>
      <c r="CF21" s="79"/>
      <c r="CG21" s="79"/>
      <c r="CH21" s="79"/>
      <c r="CI21" s="79"/>
      <c r="CJ21" s="79"/>
      <c r="CK21" s="79"/>
      <c r="CL21" s="79"/>
      <c r="CM21" s="79"/>
      <c r="CN21" s="79"/>
      <c r="CO21" s="79"/>
      <c r="CP21" s="79"/>
      <c r="CQ21" s="79"/>
      <c r="CR21" s="79"/>
      <c r="CS21" s="79"/>
      <c r="CT21" s="79"/>
      <c r="CU21" s="79"/>
      <c r="CV21" s="79"/>
      <c r="CW21" s="79"/>
      <c r="CX21" s="79"/>
      <c r="CY21" s="79"/>
      <c r="CZ21" s="79"/>
      <c r="DA21" s="79"/>
      <c r="DB21" s="79"/>
      <c r="DC21" s="79"/>
      <c r="DD21" s="79"/>
      <c r="DE21" s="79"/>
      <c r="DF21" s="79"/>
      <c r="DG21" s="79"/>
      <c r="DH21" s="79"/>
      <c r="DI21" s="79"/>
      <c r="DJ21" s="79"/>
      <c r="DK21" s="79"/>
      <c r="DL21" s="79"/>
    </row>
    <row r="22" spans="1:116" s="27" customFormat="1">
      <c r="A22" s="50" t="s">
        <v>341</v>
      </c>
      <c r="B22" s="102">
        <v>58439000</v>
      </c>
      <c r="C22" s="102">
        <v>8548616.3599999994</v>
      </c>
      <c r="D22" s="102">
        <v>0</v>
      </c>
      <c r="E22" s="102">
        <v>22752492.530000001</v>
      </c>
      <c r="F22" s="102">
        <v>89740108.890000001</v>
      </c>
      <c r="G22" s="102">
        <v>266</v>
      </c>
      <c r="H22" s="102" t="s">
        <v>20</v>
      </c>
      <c r="I22" s="102">
        <v>337368.83041353384</v>
      </c>
      <c r="J22" s="574" t="s">
        <v>500</v>
      </c>
      <c r="K22" s="575"/>
      <c r="L22" s="575"/>
      <c r="M22" s="575"/>
      <c r="N22" s="575"/>
      <c r="O22" s="575"/>
      <c r="P22" s="575"/>
      <c r="Q22" s="576"/>
      <c r="R22" s="130">
        <f>(N22-F22)/F22</f>
        <v>-1</v>
      </c>
      <c r="S22" s="130">
        <f t="shared" ref="S22:S23" si="5">(O22-G22)/G22</f>
        <v>-1</v>
      </c>
      <c r="T22" s="130">
        <f t="shared" ref="T22:T23" si="6">(Q22-I22)/I22</f>
        <v>-1</v>
      </c>
      <c r="U22" s="79"/>
      <c r="V22" s="79"/>
      <c r="W22" s="79"/>
      <c r="X22" s="79"/>
      <c r="Y22" s="79"/>
      <c r="Z22" s="79"/>
      <c r="AA22" s="79"/>
      <c r="AB22" s="79"/>
      <c r="AC22" s="79"/>
      <c r="AD22" s="79"/>
      <c r="AE22" s="79"/>
      <c r="AF22" s="79"/>
      <c r="AG22" s="79"/>
      <c r="AH22" s="79"/>
      <c r="AI22" s="79"/>
      <c r="AJ22" s="79"/>
      <c r="AK22" s="79"/>
      <c r="AL22" s="79"/>
      <c r="AM22" s="79"/>
      <c r="AN22" s="79"/>
      <c r="AO22" s="79"/>
      <c r="AP22" s="79"/>
      <c r="AQ22" s="79"/>
      <c r="AR22" s="79"/>
      <c r="AS22" s="79"/>
      <c r="AT22" s="79"/>
      <c r="AU22" s="79"/>
      <c r="AV22" s="79"/>
      <c r="AW22" s="79"/>
      <c r="AX22" s="79"/>
      <c r="AY22" s="79"/>
      <c r="AZ22" s="79"/>
      <c r="BA22" s="79"/>
      <c r="BB22" s="79"/>
      <c r="BC22" s="79"/>
      <c r="BD22" s="79"/>
      <c r="BE22" s="79"/>
      <c r="BF22" s="79"/>
      <c r="BG22" s="79"/>
      <c r="BH22" s="79"/>
      <c r="BI22" s="79"/>
      <c r="BJ22" s="79"/>
      <c r="BK22" s="79"/>
      <c r="BL22" s="79"/>
      <c r="BM22" s="79"/>
      <c r="BN22" s="79"/>
      <c r="BO22" s="79"/>
      <c r="BP22" s="79"/>
      <c r="BQ22" s="79"/>
      <c r="BR22" s="79"/>
      <c r="BS22" s="79"/>
      <c r="BT22" s="79"/>
      <c r="BU22" s="79"/>
      <c r="BV22" s="79"/>
      <c r="BW22" s="79"/>
      <c r="BX22" s="79"/>
      <c r="BY22" s="79"/>
      <c r="BZ22" s="79"/>
      <c r="CA22" s="79"/>
      <c r="CB22" s="79"/>
      <c r="CC22" s="79"/>
      <c r="CD22" s="79"/>
      <c r="CE22" s="79"/>
      <c r="CF22" s="79"/>
      <c r="CG22" s="79"/>
      <c r="CH22" s="79"/>
      <c r="CI22" s="79"/>
      <c r="CJ22" s="79"/>
      <c r="CK22" s="79"/>
      <c r="CL22" s="79"/>
      <c r="CM22" s="79"/>
      <c r="CN22" s="79"/>
      <c r="CO22" s="79"/>
      <c r="CP22" s="79"/>
      <c r="CQ22" s="79"/>
      <c r="CR22" s="79"/>
      <c r="CS22" s="79"/>
      <c r="CT22" s="79"/>
      <c r="CU22" s="79"/>
      <c r="CV22" s="79"/>
      <c r="CW22" s="79"/>
      <c r="CX22" s="79"/>
      <c r="CY22" s="79"/>
      <c r="CZ22" s="79"/>
      <c r="DA22" s="79"/>
      <c r="DB22" s="79"/>
      <c r="DC22" s="79"/>
      <c r="DD22" s="79"/>
      <c r="DE22" s="79"/>
      <c r="DF22" s="79"/>
      <c r="DG22" s="79"/>
      <c r="DH22" s="79"/>
      <c r="DI22" s="79"/>
      <c r="DJ22" s="79"/>
      <c r="DK22" s="79"/>
      <c r="DL22" s="79"/>
    </row>
    <row r="23" spans="1:116" s="27" customFormat="1">
      <c r="A23" s="50" t="s">
        <v>413</v>
      </c>
      <c r="B23" s="102">
        <v>123258185.28</v>
      </c>
      <c r="C23" s="102">
        <v>49244308.850000001</v>
      </c>
      <c r="D23" s="102">
        <v>0</v>
      </c>
      <c r="E23" s="102">
        <v>75344586.319999993</v>
      </c>
      <c r="F23" s="102">
        <v>247847080.44999999</v>
      </c>
      <c r="G23" s="102">
        <v>1697</v>
      </c>
      <c r="H23" s="102" t="s">
        <v>147</v>
      </c>
      <c r="I23" s="102">
        <v>146050.13579846788</v>
      </c>
      <c r="J23" s="102">
        <f>+'ตารางที่ 3'!B20</f>
        <v>126949102.78</v>
      </c>
      <c r="K23" s="102">
        <f>+'ตารางที่ 3'!C20</f>
        <v>49603448.020000003</v>
      </c>
      <c r="L23" s="102">
        <f>+'ตารางที่ 3'!D20</f>
        <v>215039</v>
      </c>
      <c r="M23" s="102">
        <f>+'ตารางที่ 3'!E20</f>
        <v>87252192.620000005</v>
      </c>
      <c r="N23" s="102">
        <f>+'ตารางที่ 3'!F20</f>
        <v>264019782.42000002</v>
      </c>
      <c r="O23" s="490">
        <f>+'ตารางที่ 3'!G20</f>
        <v>1676</v>
      </c>
      <c r="P23" s="102" t="str">
        <f>+'ตารางที่ 3'!H20</f>
        <v>จำนวนบุคลากร</v>
      </c>
      <c r="Q23" s="45">
        <f>+N23/O23</f>
        <v>157529.70311455848</v>
      </c>
      <c r="R23" s="130">
        <f>(N23-F23)/F23</f>
        <v>6.5252743508764741E-2</v>
      </c>
      <c r="S23" s="130">
        <f t="shared" si="5"/>
        <v>-1.2374779021803181E-2</v>
      </c>
      <c r="T23" s="130">
        <f t="shared" si="6"/>
        <v>7.8600182419077388E-2</v>
      </c>
      <c r="U23" s="79"/>
      <c r="V23" s="79"/>
      <c r="W23" s="79"/>
      <c r="X23" s="79"/>
      <c r="Y23" s="79"/>
      <c r="Z23" s="79"/>
      <c r="AA23" s="79"/>
      <c r="AB23" s="79"/>
      <c r="AC23" s="79"/>
      <c r="AD23" s="79"/>
      <c r="AE23" s="79"/>
      <c r="AF23" s="79"/>
      <c r="AG23" s="79"/>
      <c r="AH23" s="79"/>
      <c r="AI23" s="79"/>
      <c r="AJ23" s="79"/>
      <c r="AK23" s="79"/>
      <c r="AL23" s="79"/>
      <c r="AM23" s="79"/>
      <c r="AN23" s="79"/>
      <c r="AO23" s="79"/>
      <c r="AP23" s="79"/>
      <c r="AQ23" s="79"/>
      <c r="AR23" s="79"/>
      <c r="AS23" s="79"/>
      <c r="AT23" s="79"/>
      <c r="AU23" s="79"/>
      <c r="AV23" s="79"/>
      <c r="AW23" s="79"/>
      <c r="AX23" s="79"/>
      <c r="AY23" s="79"/>
      <c r="AZ23" s="79"/>
      <c r="BA23" s="79"/>
      <c r="BB23" s="79"/>
      <c r="BC23" s="79"/>
      <c r="BD23" s="79"/>
      <c r="BE23" s="79"/>
      <c r="BF23" s="79"/>
      <c r="BG23" s="79"/>
      <c r="BH23" s="79"/>
      <c r="BI23" s="79"/>
      <c r="BJ23" s="79"/>
      <c r="BK23" s="79"/>
      <c r="BL23" s="79"/>
      <c r="BM23" s="79"/>
      <c r="BN23" s="79"/>
      <c r="BO23" s="79"/>
      <c r="BP23" s="79"/>
      <c r="BQ23" s="79"/>
      <c r="BR23" s="79"/>
      <c r="BS23" s="79"/>
      <c r="BT23" s="79"/>
      <c r="BU23" s="79"/>
      <c r="BV23" s="79"/>
      <c r="BW23" s="79"/>
      <c r="BX23" s="79"/>
      <c r="BY23" s="79"/>
      <c r="BZ23" s="79"/>
      <c r="CA23" s="79"/>
      <c r="CB23" s="79"/>
      <c r="CC23" s="79"/>
      <c r="CD23" s="79"/>
      <c r="CE23" s="79"/>
      <c r="CF23" s="79"/>
      <c r="CG23" s="79"/>
      <c r="CH23" s="79"/>
      <c r="CI23" s="79"/>
      <c r="CJ23" s="79"/>
      <c r="CK23" s="79"/>
      <c r="CL23" s="79"/>
      <c r="CM23" s="79"/>
      <c r="CN23" s="79"/>
      <c r="CO23" s="79"/>
      <c r="CP23" s="79"/>
      <c r="CQ23" s="79"/>
      <c r="CR23" s="79"/>
      <c r="CS23" s="79"/>
      <c r="CT23" s="79"/>
      <c r="CU23" s="79"/>
      <c r="CV23" s="79"/>
      <c r="CW23" s="79"/>
      <c r="CX23" s="79"/>
      <c r="CY23" s="79"/>
      <c r="CZ23" s="79"/>
      <c r="DA23" s="79"/>
      <c r="DB23" s="79"/>
      <c r="DC23" s="79"/>
      <c r="DD23" s="79"/>
      <c r="DE23" s="79"/>
      <c r="DF23" s="79"/>
      <c r="DG23" s="79"/>
      <c r="DH23" s="79"/>
      <c r="DI23" s="79"/>
      <c r="DJ23" s="79"/>
      <c r="DK23" s="79"/>
      <c r="DL23" s="79"/>
    </row>
    <row r="24" spans="1:116" s="27" customFormat="1">
      <c r="A24" s="34" t="s">
        <v>414</v>
      </c>
      <c r="B24" s="102">
        <v>0</v>
      </c>
      <c r="C24" s="102">
        <v>0</v>
      </c>
      <c r="D24" s="102">
        <v>0</v>
      </c>
      <c r="E24" s="102">
        <v>0</v>
      </c>
      <c r="F24" s="102">
        <v>0</v>
      </c>
      <c r="G24" s="102">
        <v>0</v>
      </c>
      <c r="H24" s="102">
        <v>0</v>
      </c>
      <c r="I24" s="102">
        <v>0</v>
      </c>
      <c r="J24" s="102">
        <f>+'ตารางที่ 3'!B21</f>
        <v>8339800</v>
      </c>
      <c r="K24" s="102">
        <f>+'ตารางที่ 3'!C21</f>
        <v>2259920</v>
      </c>
      <c r="L24" s="102">
        <f>+'ตารางที่ 3'!D21</f>
        <v>0</v>
      </c>
      <c r="M24" s="102">
        <f>+'ตารางที่ 3'!E21</f>
        <v>4698975.41</v>
      </c>
      <c r="N24" s="102">
        <f>+'ตารางที่ 3'!F21</f>
        <v>15298695.41</v>
      </c>
      <c r="O24" s="490">
        <f>+'ตารางที่ 3'!G21</f>
        <v>20</v>
      </c>
      <c r="P24" s="102" t="str">
        <f>+'ตารางที่ 3'!H21</f>
        <v>โครงการ</v>
      </c>
      <c r="Q24" s="45">
        <f t="shared" ref="Q24:Q26" si="7">+N24/O24</f>
        <v>764934.77049999998</v>
      </c>
      <c r="R24" s="130">
        <v>1</v>
      </c>
      <c r="S24" s="130">
        <v>1</v>
      </c>
      <c r="T24" s="130">
        <v>1</v>
      </c>
      <c r="U24" s="79"/>
      <c r="V24" s="79"/>
      <c r="W24" s="79"/>
      <c r="X24" s="79"/>
      <c r="Y24" s="79"/>
      <c r="Z24" s="79"/>
      <c r="AA24" s="79"/>
      <c r="AB24" s="79"/>
      <c r="AC24" s="79"/>
      <c r="AD24" s="79"/>
      <c r="AE24" s="79"/>
      <c r="AF24" s="79"/>
      <c r="AG24" s="79"/>
      <c r="AH24" s="79"/>
      <c r="AI24" s="79"/>
      <c r="AJ24" s="79"/>
      <c r="AK24" s="79"/>
      <c r="AL24" s="79"/>
      <c r="AM24" s="79"/>
      <c r="AN24" s="79"/>
      <c r="AO24" s="79"/>
      <c r="AP24" s="79"/>
      <c r="AQ24" s="79"/>
      <c r="AR24" s="79"/>
      <c r="AS24" s="79"/>
      <c r="AT24" s="79"/>
      <c r="AU24" s="79"/>
      <c r="AV24" s="79"/>
      <c r="AW24" s="79"/>
      <c r="AX24" s="79"/>
      <c r="AY24" s="79"/>
      <c r="AZ24" s="79"/>
      <c r="BA24" s="79"/>
      <c r="BB24" s="79"/>
      <c r="BC24" s="79"/>
      <c r="BD24" s="79"/>
      <c r="BE24" s="79"/>
      <c r="BF24" s="79"/>
      <c r="BG24" s="79"/>
      <c r="BH24" s="79"/>
      <c r="BI24" s="79"/>
      <c r="BJ24" s="79"/>
      <c r="BK24" s="79"/>
      <c r="BL24" s="79"/>
      <c r="BM24" s="79"/>
      <c r="BN24" s="79"/>
      <c r="BO24" s="79"/>
      <c r="BP24" s="79"/>
      <c r="BQ24" s="79"/>
      <c r="BR24" s="79"/>
      <c r="BS24" s="79"/>
      <c r="BT24" s="79"/>
      <c r="BU24" s="79"/>
      <c r="BV24" s="79"/>
      <c r="BW24" s="79"/>
      <c r="BX24" s="79"/>
      <c r="BY24" s="79"/>
      <c r="BZ24" s="79"/>
      <c r="CA24" s="79"/>
      <c r="CB24" s="79"/>
      <c r="CC24" s="79"/>
      <c r="CD24" s="79"/>
      <c r="CE24" s="79"/>
      <c r="CF24" s="79"/>
      <c r="CG24" s="79"/>
      <c r="CH24" s="79"/>
      <c r="CI24" s="79"/>
      <c r="CJ24" s="79"/>
      <c r="CK24" s="79"/>
      <c r="CL24" s="79"/>
      <c r="CM24" s="79"/>
      <c r="CN24" s="79"/>
      <c r="CO24" s="79"/>
      <c r="CP24" s="79"/>
      <c r="CQ24" s="79"/>
      <c r="CR24" s="79"/>
      <c r="CS24" s="79"/>
      <c r="CT24" s="79"/>
      <c r="CU24" s="79"/>
      <c r="CV24" s="79"/>
      <c r="CW24" s="79"/>
      <c r="CX24" s="79"/>
      <c r="CY24" s="79"/>
      <c r="CZ24" s="79"/>
      <c r="DA24" s="79"/>
      <c r="DB24" s="79"/>
      <c r="DC24" s="79"/>
      <c r="DD24" s="79"/>
      <c r="DE24" s="79"/>
      <c r="DF24" s="79"/>
      <c r="DG24" s="79"/>
      <c r="DH24" s="79"/>
      <c r="DI24" s="79"/>
      <c r="DJ24" s="79"/>
      <c r="DK24" s="79"/>
      <c r="DL24" s="79"/>
    </row>
    <row r="25" spans="1:116" s="27" customFormat="1" ht="37.5">
      <c r="A25" s="194" t="s">
        <v>415</v>
      </c>
      <c r="B25" s="102">
        <v>0</v>
      </c>
      <c r="C25" s="102">
        <v>0</v>
      </c>
      <c r="D25" s="102">
        <v>0</v>
      </c>
      <c r="E25" s="102">
        <v>0</v>
      </c>
      <c r="F25" s="102">
        <v>0</v>
      </c>
      <c r="G25" s="102">
        <v>0</v>
      </c>
      <c r="H25" s="102">
        <v>0</v>
      </c>
      <c r="I25" s="102">
        <v>0</v>
      </c>
      <c r="J25" s="102">
        <f>+'ตารางที่ 3'!B22</f>
        <v>21720800</v>
      </c>
      <c r="K25" s="102">
        <f>+'ตารางที่ 3'!C22</f>
        <v>2264000</v>
      </c>
      <c r="L25" s="102">
        <f>+'ตารางที่ 3'!D22</f>
        <v>0</v>
      </c>
      <c r="M25" s="102">
        <f>+'ตารางที่ 3'!E22</f>
        <v>10226074.76</v>
      </c>
      <c r="N25" s="102">
        <f>+'ตารางที่ 3'!F22</f>
        <v>34210874.759999998</v>
      </c>
      <c r="O25" s="490">
        <f>+'ตารางที่ 3'!G22</f>
        <v>260</v>
      </c>
      <c r="P25" s="102" t="str">
        <f>+'ตารางที่ 3'!H22</f>
        <v>โครงการ</v>
      </c>
      <c r="Q25" s="45">
        <f t="shared" si="7"/>
        <v>131580.28753846153</v>
      </c>
      <c r="R25" s="130">
        <v>1</v>
      </c>
      <c r="S25" s="130">
        <v>1</v>
      </c>
      <c r="T25" s="130">
        <v>1</v>
      </c>
      <c r="U25" s="79"/>
      <c r="V25" s="79"/>
      <c r="W25" s="79"/>
      <c r="X25" s="79"/>
      <c r="Y25" s="79"/>
      <c r="Z25" s="79"/>
      <c r="AA25" s="79"/>
      <c r="AB25" s="79"/>
      <c r="AC25" s="79"/>
      <c r="AD25" s="79"/>
      <c r="AE25" s="79"/>
      <c r="AF25" s="79"/>
      <c r="AG25" s="79"/>
      <c r="AH25" s="79"/>
      <c r="AI25" s="79"/>
      <c r="AJ25" s="79"/>
      <c r="AK25" s="79"/>
      <c r="AL25" s="79"/>
      <c r="AM25" s="79"/>
      <c r="AN25" s="79"/>
      <c r="AO25" s="79"/>
      <c r="AP25" s="79"/>
      <c r="AQ25" s="79"/>
      <c r="AR25" s="79"/>
      <c r="AS25" s="79"/>
      <c r="AT25" s="79"/>
      <c r="AU25" s="79"/>
      <c r="AV25" s="79"/>
      <c r="AW25" s="79"/>
      <c r="AX25" s="79"/>
      <c r="AY25" s="79"/>
      <c r="AZ25" s="79"/>
      <c r="BA25" s="79"/>
      <c r="BB25" s="79"/>
      <c r="BC25" s="79"/>
      <c r="BD25" s="79"/>
      <c r="BE25" s="79"/>
      <c r="BF25" s="79"/>
      <c r="BG25" s="79"/>
      <c r="BH25" s="79"/>
      <c r="BI25" s="79"/>
      <c r="BJ25" s="79"/>
      <c r="BK25" s="79"/>
      <c r="BL25" s="79"/>
      <c r="BM25" s="79"/>
      <c r="BN25" s="79"/>
      <c r="BO25" s="79"/>
      <c r="BP25" s="79"/>
      <c r="BQ25" s="79"/>
      <c r="BR25" s="79"/>
      <c r="BS25" s="79"/>
      <c r="BT25" s="79"/>
      <c r="BU25" s="79"/>
      <c r="BV25" s="79"/>
      <c r="BW25" s="79"/>
      <c r="BX25" s="79"/>
      <c r="BY25" s="79"/>
      <c r="BZ25" s="79"/>
      <c r="CA25" s="79"/>
      <c r="CB25" s="79"/>
      <c r="CC25" s="79"/>
      <c r="CD25" s="79"/>
      <c r="CE25" s="79"/>
      <c r="CF25" s="79"/>
      <c r="CG25" s="79"/>
      <c r="CH25" s="79"/>
      <c r="CI25" s="79"/>
      <c r="CJ25" s="79"/>
      <c r="CK25" s="79"/>
      <c r="CL25" s="79"/>
      <c r="CM25" s="79"/>
      <c r="CN25" s="79"/>
      <c r="CO25" s="79"/>
      <c r="CP25" s="79"/>
      <c r="CQ25" s="79"/>
      <c r="CR25" s="79"/>
      <c r="CS25" s="79"/>
      <c r="CT25" s="79"/>
      <c r="CU25" s="79"/>
      <c r="CV25" s="79"/>
      <c r="CW25" s="79"/>
      <c r="CX25" s="79"/>
      <c r="CY25" s="79"/>
      <c r="CZ25" s="79"/>
      <c r="DA25" s="79"/>
      <c r="DB25" s="79"/>
      <c r="DC25" s="79"/>
      <c r="DD25" s="79"/>
      <c r="DE25" s="79"/>
      <c r="DF25" s="79"/>
      <c r="DG25" s="79"/>
      <c r="DH25" s="79"/>
      <c r="DI25" s="79"/>
      <c r="DJ25" s="79"/>
      <c r="DK25" s="79"/>
      <c r="DL25" s="79"/>
    </row>
    <row r="26" spans="1:116" s="27" customFormat="1">
      <c r="A26" s="34" t="s">
        <v>416</v>
      </c>
      <c r="B26" s="102">
        <v>0</v>
      </c>
      <c r="C26" s="102">
        <v>0</v>
      </c>
      <c r="D26" s="102">
        <v>0</v>
      </c>
      <c r="E26" s="102">
        <v>0</v>
      </c>
      <c r="F26" s="102">
        <v>0</v>
      </c>
      <c r="G26" s="102">
        <v>0</v>
      </c>
      <c r="H26" s="102">
        <v>0</v>
      </c>
      <c r="I26" s="102">
        <v>0</v>
      </c>
      <c r="J26" s="102">
        <f>+'ตารางที่ 3'!B23</f>
        <v>21997106.66</v>
      </c>
      <c r="K26" s="102">
        <f>+'ตารางที่ 3'!C23</f>
        <v>0</v>
      </c>
      <c r="L26" s="102">
        <f>+'ตารางที่ 3'!D23</f>
        <v>0</v>
      </c>
      <c r="M26" s="102">
        <f>+'ตารางที่ 3'!E23</f>
        <v>7675800.6100000003</v>
      </c>
      <c r="N26" s="102">
        <f>+'ตารางที่ 3'!F23</f>
        <v>29672907.27</v>
      </c>
      <c r="O26" s="490">
        <f>+'ตารางที่ 3'!G23</f>
        <v>40</v>
      </c>
      <c r="P26" s="102" t="str">
        <f>+'ตารางที่ 3'!H23</f>
        <v>โครงการ</v>
      </c>
      <c r="Q26" s="45">
        <f t="shared" si="7"/>
        <v>741822.68174999999</v>
      </c>
      <c r="R26" s="130">
        <v>1</v>
      </c>
      <c r="S26" s="130">
        <v>1</v>
      </c>
      <c r="T26" s="130">
        <v>1</v>
      </c>
      <c r="U26" s="79"/>
      <c r="V26" s="79"/>
      <c r="W26" s="79"/>
      <c r="X26" s="79"/>
      <c r="Y26" s="79"/>
      <c r="Z26" s="79"/>
      <c r="AA26" s="79"/>
      <c r="AB26" s="79"/>
      <c r="AC26" s="79"/>
      <c r="AD26" s="79"/>
      <c r="AE26" s="79"/>
      <c r="AF26" s="79"/>
      <c r="AG26" s="79"/>
      <c r="AH26" s="79"/>
      <c r="AI26" s="79"/>
      <c r="AJ26" s="79"/>
      <c r="AK26" s="79"/>
      <c r="AL26" s="79"/>
      <c r="AM26" s="79"/>
      <c r="AN26" s="79"/>
      <c r="AO26" s="79"/>
      <c r="AP26" s="79"/>
      <c r="AQ26" s="79"/>
      <c r="AR26" s="79"/>
      <c r="AS26" s="79"/>
      <c r="AT26" s="79"/>
      <c r="AU26" s="79"/>
      <c r="AV26" s="79"/>
      <c r="AW26" s="79"/>
      <c r="AX26" s="79"/>
      <c r="AY26" s="79"/>
      <c r="AZ26" s="79"/>
      <c r="BA26" s="79"/>
      <c r="BB26" s="79"/>
      <c r="BC26" s="79"/>
      <c r="BD26" s="79"/>
      <c r="BE26" s="79"/>
      <c r="BF26" s="79"/>
      <c r="BG26" s="79"/>
      <c r="BH26" s="79"/>
      <c r="BI26" s="79"/>
      <c r="BJ26" s="79"/>
      <c r="BK26" s="79"/>
      <c r="BL26" s="79"/>
      <c r="BM26" s="79"/>
      <c r="BN26" s="79"/>
      <c r="BO26" s="79"/>
      <c r="BP26" s="79"/>
      <c r="BQ26" s="79"/>
      <c r="BR26" s="79"/>
      <c r="BS26" s="79"/>
      <c r="BT26" s="79"/>
      <c r="BU26" s="79"/>
      <c r="BV26" s="79"/>
      <c r="BW26" s="79"/>
      <c r="BX26" s="79"/>
      <c r="BY26" s="79"/>
      <c r="BZ26" s="79"/>
      <c r="CA26" s="79"/>
      <c r="CB26" s="79"/>
      <c r="CC26" s="79"/>
      <c r="CD26" s="79"/>
      <c r="CE26" s="79"/>
      <c r="CF26" s="79"/>
      <c r="CG26" s="79"/>
      <c r="CH26" s="79"/>
      <c r="CI26" s="79"/>
      <c r="CJ26" s="79"/>
      <c r="CK26" s="79"/>
      <c r="CL26" s="79"/>
      <c r="CM26" s="79"/>
      <c r="CN26" s="79"/>
      <c r="CO26" s="79"/>
      <c r="CP26" s="79"/>
      <c r="CQ26" s="79"/>
      <c r="CR26" s="79"/>
      <c r="CS26" s="79"/>
      <c r="CT26" s="79"/>
      <c r="CU26" s="79"/>
      <c r="CV26" s="79"/>
      <c r="CW26" s="79"/>
      <c r="CX26" s="79"/>
      <c r="CY26" s="79"/>
      <c r="CZ26" s="79"/>
      <c r="DA26" s="79"/>
      <c r="DB26" s="79"/>
      <c r="DC26" s="79"/>
      <c r="DD26" s="79"/>
      <c r="DE26" s="79"/>
      <c r="DF26" s="79"/>
      <c r="DG26" s="79"/>
      <c r="DH26" s="79"/>
      <c r="DI26" s="79"/>
      <c r="DJ26" s="79"/>
      <c r="DK26" s="79"/>
      <c r="DL26" s="79"/>
    </row>
    <row r="27" spans="1:116" s="27" customFormat="1">
      <c r="A27" s="34" t="s">
        <v>417</v>
      </c>
      <c r="B27" s="45">
        <v>402387801.41000003</v>
      </c>
      <c r="C27" s="45">
        <v>50190537.960000001</v>
      </c>
      <c r="D27" s="45">
        <v>0</v>
      </c>
      <c r="E27" s="45">
        <v>58288863.149999999</v>
      </c>
      <c r="F27" s="513">
        <v>510867202.51999998</v>
      </c>
      <c r="G27" s="240">
        <v>1</v>
      </c>
      <c r="H27" s="102" t="s">
        <v>148</v>
      </c>
      <c r="I27" s="45">
        <v>510867202.51999998</v>
      </c>
      <c r="J27" s="513">
        <f>+'ตารางที่ 3'!B24</f>
        <v>429857013.27999997</v>
      </c>
      <c r="K27" s="513">
        <f>+'ตารางที่ 3'!C24</f>
        <v>57902214.200000003</v>
      </c>
      <c r="L27" s="513">
        <f>+'ตารางที่ 3'!D24</f>
        <v>71256.66</v>
      </c>
      <c r="M27" s="513">
        <f>+'ตารางที่ 3'!E24</f>
        <v>53691284.200000003</v>
      </c>
      <c r="N27" s="513">
        <f>+'ตารางที่ 3'!F24</f>
        <v>541521768.34000003</v>
      </c>
      <c r="O27" s="491">
        <f>+'ตารางที่ 3'!G24</f>
        <v>1</v>
      </c>
      <c r="P27" s="400" t="str">
        <f>+'ตารางที่ 3'!H24</f>
        <v>ด้าน</v>
      </c>
      <c r="Q27" s="45">
        <f>+N27/O27</f>
        <v>541521768.34000003</v>
      </c>
      <c r="R27" s="130">
        <f>(N27-F27)/F27</f>
        <v>6.000495954484366E-2</v>
      </c>
      <c r="S27" s="130">
        <f>(O27-G27)/G27</f>
        <v>0</v>
      </c>
      <c r="T27" s="130">
        <f t="shared" ref="T27:T37" si="8">(Q27-I27)/I27</f>
        <v>6.000495954484366E-2</v>
      </c>
      <c r="U27" s="79"/>
      <c r="V27" s="79"/>
      <c r="W27" s="79"/>
      <c r="X27" s="79"/>
      <c r="Y27" s="79"/>
      <c r="Z27" s="79"/>
      <c r="AA27" s="79"/>
      <c r="AB27" s="79"/>
      <c r="AC27" s="79"/>
      <c r="AD27" s="79"/>
      <c r="AE27" s="79"/>
      <c r="AF27" s="79"/>
      <c r="AG27" s="79"/>
      <c r="AH27" s="79"/>
      <c r="AI27" s="79"/>
      <c r="AJ27" s="79"/>
      <c r="AK27" s="79"/>
      <c r="AL27" s="79"/>
      <c r="AM27" s="79"/>
      <c r="AN27" s="79"/>
      <c r="AO27" s="79"/>
      <c r="AP27" s="79"/>
      <c r="AQ27" s="79"/>
      <c r="AR27" s="79"/>
      <c r="AS27" s="79"/>
      <c r="AT27" s="79"/>
      <c r="AU27" s="79"/>
      <c r="AV27" s="79"/>
      <c r="AW27" s="79"/>
      <c r="AX27" s="79"/>
      <c r="AY27" s="79"/>
      <c r="AZ27" s="79"/>
      <c r="BA27" s="79"/>
      <c r="BB27" s="79"/>
      <c r="BC27" s="79"/>
      <c r="BD27" s="79"/>
      <c r="BE27" s="79"/>
      <c r="BF27" s="79"/>
      <c r="BG27" s="79"/>
      <c r="BH27" s="79"/>
      <c r="BI27" s="79"/>
      <c r="BJ27" s="79"/>
      <c r="BK27" s="79"/>
      <c r="BL27" s="79"/>
      <c r="BM27" s="79"/>
      <c r="BN27" s="79"/>
      <c r="BO27" s="79"/>
      <c r="BP27" s="79"/>
      <c r="BQ27" s="79"/>
      <c r="BR27" s="79"/>
      <c r="BS27" s="79"/>
      <c r="BT27" s="79"/>
      <c r="BU27" s="79"/>
      <c r="BV27" s="79"/>
      <c r="BW27" s="79"/>
      <c r="BX27" s="79"/>
      <c r="BY27" s="79"/>
      <c r="BZ27" s="79"/>
      <c r="CA27" s="79"/>
      <c r="CB27" s="79"/>
      <c r="CC27" s="79"/>
      <c r="CD27" s="79"/>
      <c r="CE27" s="79"/>
      <c r="CF27" s="79"/>
      <c r="CG27" s="79"/>
      <c r="CH27" s="79"/>
      <c r="CI27" s="79"/>
      <c r="CJ27" s="79"/>
      <c r="CK27" s="79"/>
      <c r="CL27" s="79"/>
      <c r="CM27" s="79"/>
      <c r="CN27" s="79"/>
      <c r="CO27" s="79"/>
      <c r="CP27" s="79"/>
      <c r="CQ27" s="79"/>
      <c r="CR27" s="79"/>
      <c r="CS27" s="79"/>
      <c r="CT27" s="79"/>
      <c r="CU27" s="79"/>
      <c r="CV27" s="79"/>
      <c r="CW27" s="79"/>
      <c r="CX27" s="79"/>
      <c r="CY27" s="79"/>
      <c r="CZ27" s="79"/>
      <c r="DA27" s="79"/>
      <c r="DB27" s="79"/>
      <c r="DC27" s="79"/>
      <c r="DD27" s="79"/>
      <c r="DE27" s="79"/>
      <c r="DF27" s="79"/>
      <c r="DG27" s="79"/>
      <c r="DH27" s="79"/>
      <c r="DI27" s="79"/>
      <c r="DJ27" s="79"/>
      <c r="DK27" s="79"/>
      <c r="DL27" s="79"/>
    </row>
    <row r="28" spans="1:116" s="27" customFormat="1">
      <c r="A28" s="147" t="s">
        <v>403</v>
      </c>
      <c r="B28" s="45">
        <v>13908130.789999999</v>
      </c>
      <c r="C28" s="45">
        <v>1734785.61</v>
      </c>
      <c r="D28" s="45">
        <v>0</v>
      </c>
      <c r="E28" s="45">
        <v>2014696.1</v>
      </c>
      <c r="F28" s="513">
        <v>17657612.5</v>
      </c>
      <c r="G28" s="240">
        <v>65397</v>
      </c>
      <c r="H28" s="102" t="s">
        <v>146</v>
      </c>
      <c r="I28" s="45">
        <v>270.00646054100343</v>
      </c>
      <c r="J28" s="513">
        <f>+'ตารางที่ 3'!B25</f>
        <v>14458167.369999999</v>
      </c>
      <c r="K28" s="513">
        <f>+'ตารางที่ 3'!C25</f>
        <v>1947531.1</v>
      </c>
      <c r="L28" s="513">
        <f>+'ตารางที่ 3'!D25</f>
        <v>2396.71</v>
      </c>
      <c r="M28" s="513">
        <f>+'ตารางที่ 3'!E25</f>
        <v>1805897.19</v>
      </c>
      <c r="N28" s="513">
        <f>+'ตารางที่ 3'!F25</f>
        <v>18213992.370000001</v>
      </c>
      <c r="O28" s="492">
        <f>+'ตารางที่ 3'!G25</f>
        <v>65059</v>
      </c>
      <c r="P28" s="400" t="str">
        <f>+'ตารางที่ 3'!H25</f>
        <v>จำนวนเอกสารรายการ</v>
      </c>
      <c r="Q28" s="45">
        <f t="shared" ref="Q28:Q37" si="9">+N28/O28</f>
        <v>279.96114864968723</v>
      </c>
      <c r="R28" s="130">
        <f t="shared" ref="R28:R37" si="10">(N28-F28)/F28</f>
        <v>3.150934872990338E-2</v>
      </c>
      <c r="S28" s="130">
        <f t="shared" ref="S28:S37" si="11">(O28-G28)/G28</f>
        <v>-5.1684328027279541E-3</v>
      </c>
      <c r="T28" s="130">
        <f t="shared" si="8"/>
        <v>3.6868333034468515E-2</v>
      </c>
      <c r="U28" s="79"/>
      <c r="V28" s="79"/>
      <c r="W28" s="79"/>
      <c r="X28" s="79"/>
      <c r="Y28" s="79"/>
      <c r="Z28" s="79"/>
      <c r="AA28" s="79"/>
      <c r="AB28" s="79"/>
      <c r="AC28" s="79"/>
      <c r="AD28" s="79"/>
      <c r="AE28" s="79"/>
      <c r="AF28" s="79"/>
      <c r="AG28" s="79"/>
      <c r="AH28" s="79"/>
      <c r="AI28" s="79"/>
      <c r="AJ28" s="79"/>
      <c r="AK28" s="79"/>
      <c r="AL28" s="79"/>
      <c r="AM28" s="79"/>
      <c r="AN28" s="79"/>
      <c r="AO28" s="79"/>
      <c r="AP28" s="79"/>
      <c r="AQ28" s="79"/>
      <c r="AR28" s="79"/>
      <c r="AS28" s="79"/>
      <c r="AT28" s="79"/>
      <c r="AU28" s="79"/>
      <c r="AV28" s="79"/>
      <c r="AW28" s="79"/>
      <c r="AX28" s="79"/>
      <c r="AY28" s="79"/>
      <c r="AZ28" s="79"/>
      <c r="BA28" s="79"/>
      <c r="BB28" s="79"/>
      <c r="BC28" s="79"/>
      <c r="BD28" s="79"/>
      <c r="BE28" s="79"/>
      <c r="BF28" s="79"/>
      <c r="BG28" s="79"/>
      <c r="BH28" s="79"/>
      <c r="BI28" s="79"/>
      <c r="BJ28" s="79"/>
      <c r="BK28" s="79"/>
      <c r="BL28" s="79"/>
      <c r="BM28" s="79"/>
      <c r="BN28" s="79"/>
      <c r="BO28" s="79"/>
      <c r="BP28" s="79"/>
      <c r="BQ28" s="79"/>
      <c r="BR28" s="79"/>
      <c r="BS28" s="79"/>
      <c r="BT28" s="79"/>
      <c r="BU28" s="79"/>
      <c r="BV28" s="79"/>
      <c r="BW28" s="79"/>
      <c r="BX28" s="79"/>
      <c r="BY28" s="79"/>
      <c r="BZ28" s="79"/>
      <c r="CA28" s="79"/>
      <c r="CB28" s="79"/>
      <c r="CC28" s="79"/>
      <c r="CD28" s="79"/>
      <c r="CE28" s="79"/>
      <c r="CF28" s="79"/>
      <c r="CG28" s="79"/>
      <c r="CH28" s="79"/>
      <c r="CI28" s="79"/>
      <c r="CJ28" s="79"/>
      <c r="CK28" s="79"/>
      <c r="CL28" s="79"/>
      <c r="CM28" s="79"/>
      <c r="CN28" s="79"/>
      <c r="CO28" s="79"/>
      <c r="CP28" s="79"/>
      <c r="CQ28" s="79"/>
      <c r="CR28" s="79"/>
      <c r="CS28" s="79"/>
      <c r="CT28" s="79"/>
      <c r="CU28" s="79"/>
      <c r="CV28" s="79"/>
      <c r="CW28" s="79"/>
      <c r="CX28" s="79"/>
      <c r="CY28" s="79"/>
      <c r="CZ28" s="79"/>
      <c r="DA28" s="79"/>
      <c r="DB28" s="79"/>
      <c r="DC28" s="79"/>
      <c r="DD28" s="79"/>
      <c r="DE28" s="79"/>
      <c r="DF28" s="79"/>
      <c r="DG28" s="79"/>
      <c r="DH28" s="79"/>
      <c r="DI28" s="79"/>
      <c r="DJ28" s="79"/>
      <c r="DK28" s="79"/>
      <c r="DL28" s="79"/>
    </row>
    <row r="29" spans="1:116" s="79" customFormat="1">
      <c r="A29" s="148" t="s">
        <v>404</v>
      </c>
      <c r="B29" s="45">
        <v>8665142.4900000002</v>
      </c>
      <c r="C29" s="45">
        <v>1080818.46</v>
      </c>
      <c r="D29" s="45">
        <v>0</v>
      </c>
      <c r="E29" s="45">
        <v>1255210.28</v>
      </c>
      <c r="F29" s="513">
        <v>11001171.229999999</v>
      </c>
      <c r="G29" s="240">
        <v>1697</v>
      </c>
      <c r="H29" s="102" t="s">
        <v>147</v>
      </c>
      <c r="I29" s="45">
        <v>6482.7172834413659</v>
      </c>
      <c r="J29" s="513">
        <f>+'ตารางที่ 3'!B26</f>
        <v>9261649.3800000008</v>
      </c>
      <c r="K29" s="513">
        <f>+'ตารางที่ 3'!C26</f>
        <v>1247554.3999999999</v>
      </c>
      <c r="L29" s="513">
        <f>+'ตารางที่ 3'!D26</f>
        <v>1535.29</v>
      </c>
      <c r="M29" s="513">
        <f>+'ตารางที่ 3'!E26</f>
        <v>1156826.19</v>
      </c>
      <c r="N29" s="513">
        <f>+'ตารางที่ 3'!F26</f>
        <v>11667565.26</v>
      </c>
      <c r="O29" s="492">
        <f>+'ตารางที่ 3'!G26</f>
        <v>1676</v>
      </c>
      <c r="P29" s="400" t="str">
        <f>+'ตารางที่ 3'!H26</f>
        <v>จำนวนบุคลากร</v>
      </c>
      <c r="Q29" s="45">
        <f t="shared" si="9"/>
        <v>6961.5544510739855</v>
      </c>
      <c r="R29" s="130">
        <f t="shared" si="10"/>
        <v>6.0574825722442764E-2</v>
      </c>
      <c r="S29" s="130">
        <f t="shared" si="11"/>
        <v>-1.2374779021803181E-2</v>
      </c>
      <c r="T29" s="130">
        <f t="shared" si="8"/>
        <v>7.3863651104406611E-2</v>
      </c>
    </row>
    <row r="30" spans="1:116" s="79" customFormat="1">
      <c r="A30" s="148" t="s">
        <v>405</v>
      </c>
      <c r="B30" s="45">
        <v>6037805.4100000001</v>
      </c>
      <c r="C30" s="45">
        <v>753106.09</v>
      </c>
      <c r="D30" s="45">
        <v>0</v>
      </c>
      <c r="E30" s="45">
        <v>874620.98</v>
      </c>
      <c r="F30" s="513">
        <v>7665532.4800000004</v>
      </c>
      <c r="G30" s="240">
        <v>6</v>
      </c>
      <c r="H30" s="102" t="s">
        <v>148</v>
      </c>
      <c r="I30" s="45">
        <v>1277588.7466666668</v>
      </c>
      <c r="J30" s="513">
        <f>+'ตารางที่ 3'!B27</f>
        <v>6238275.7000000002</v>
      </c>
      <c r="K30" s="513">
        <f>+'ตารางที่ 3'!C27</f>
        <v>840302.62</v>
      </c>
      <c r="L30" s="513">
        <f>+'ตารางที่ 3'!D27</f>
        <v>1034.1099999999999</v>
      </c>
      <c r="M30" s="513">
        <f>+'ตารางที่ 3'!E27</f>
        <v>779191.74</v>
      </c>
      <c r="N30" s="513">
        <f>+'ตารางที่ 3'!F27</f>
        <v>7858804.1700000009</v>
      </c>
      <c r="O30" s="492">
        <f>+'ตารางที่ 3'!G27</f>
        <v>8</v>
      </c>
      <c r="P30" s="400" t="str">
        <f>+'ตารางที่ 3'!H27</f>
        <v>ด้าน</v>
      </c>
      <c r="Q30" s="45">
        <f t="shared" si="9"/>
        <v>982350.52125000011</v>
      </c>
      <c r="R30" s="130">
        <f t="shared" si="10"/>
        <v>2.5213080826969558E-2</v>
      </c>
      <c r="S30" s="130">
        <f t="shared" si="11"/>
        <v>0.33333333333333331</v>
      </c>
      <c r="T30" s="130">
        <f t="shared" si="8"/>
        <v>-0.23109018937977288</v>
      </c>
    </row>
    <row r="31" spans="1:116" s="79" customFormat="1">
      <c r="A31" s="148" t="s">
        <v>406</v>
      </c>
      <c r="B31" s="45">
        <v>15498663.92</v>
      </c>
      <c r="C31" s="45">
        <v>1933175.6</v>
      </c>
      <c r="D31" s="45">
        <v>0</v>
      </c>
      <c r="E31" s="45">
        <v>2245096.64</v>
      </c>
      <c r="F31" s="513">
        <v>19676936.16</v>
      </c>
      <c r="G31" s="240">
        <v>18224</v>
      </c>
      <c r="H31" s="102" t="s">
        <v>149</v>
      </c>
      <c r="I31" s="45">
        <v>1079.7265232660229</v>
      </c>
      <c r="J31" s="513">
        <f>+'ตารางที่ 3'!B28</f>
        <v>15828386.42</v>
      </c>
      <c r="K31" s="513">
        <f>+'ตารางที่ 3'!C28</f>
        <v>2132101.1200000001</v>
      </c>
      <c r="L31" s="513">
        <f>+'ตารางที่ 3'!D28</f>
        <v>2623.84</v>
      </c>
      <c r="M31" s="513">
        <f>+'ตารางที่ 3'!E28</f>
        <v>1977044.38</v>
      </c>
      <c r="N31" s="513">
        <f>+'ตารางที่ 3'!F28</f>
        <v>19940155.759999998</v>
      </c>
      <c r="O31" s="492">
        <f>+'ตารางที่ 3'!G28</f>
        <v>17910</v>
      </c>
      <c r="P31" s="400" t="str">
        <f>+'ตารางที่ 3'!H28</f>
        <v>จำนวนนักศึกษา</v>
      </c>
      <c r="Q31" s="45">
        <f t="shared" si="9"/>
        <v>1113.3531970965939</v>
      </c>
      <c r="R31" s="130">
        <f t="shared" si="10"/>
        <v>1.337706225500087E-2</v>
      </c>
      <c r="S31" s="130">
        <f t="shared" si="11"/>
        <v>-1.7230026338893766E-2</v>
      </c>
      <c r="T31" s="130">
        <f t="shared" si="8"/>
        <v>3.1143695283927068E-2</v>
      </c>
    </row>
    <row r="32" spans="1:116" s="79" customFormat="1">
      <c r="A32" s="148" t="s">
        <v>407</v>
      </c>
      <c r="B32" s="45">
        <v>4311536.7300000004</v>
      </c>
      <c r="C32" s="45">
        <v>537785.56000000006</v>
      </c>
      <c r="D32" s="45">
        <v>0</v>
      </c>
      <c r="E32" s="45">
        <v>624558.13</v>
      </c>
      <c r="F32" s="513">
        <v>5473880.4200000009</v>
      </c>
      <c r="G32" s="240">
        <v>1</v>
      </c>
      <c r="H32" s="102" t="s">
        <v>148</v>
      </c>
      <c r="I32" s="45">
        <v>5473880.4200000009</v>
      </c>
      <c r="J32" s="513">
        <f>+'ตารางที่ 3'!B29</f>
        <v>4084337.58</v>
      </c>
      <c r="K32" s="513">
        <f>+'ตารางที่ 3'!C29</f>
        <v>550164.78</v>
      </c>
      <c r="L32" s="513">
        <f>+'ตารางที่ 3'!D29</f>
        <v>677.05</v>
      </c>
      <c r="M32" s="513">
        <f>+'ตารางที่ 3'!E29</f>
        <v>510154.13</v>
      </c>
      <c r="N32" s="513">
        <f>+'ตารางที่ 3'!F29</f>
        <v>5145333.54</v>
      </c>
      <c r="O32" s="492">
        <f>+'ตารางที่ 3'!G29</f>
        <v>1</v>
      </c>
      <c r="P32" s="400" t="str">
        <f>+'ตารางที่ 3'!H29</f>
        <v>ด้าน</v>
      </c>
      <c r="Q32" s="45">
        <f t="shared" si="9"/>
        <v>5145333.54</v>
      </c>
      <c r="R32" s="130">
        <f t="shared" si="10"/>
        <v>-6.0020836187722339E-2</v>
      </c>
      <c r="S32" s="130">
        <f t="shared" si="11"/>
        <v>0</v>
      </c>
      <c r="T32" s="130">
        <f t="shared" si="8"/>
        <v>-6.0020836187722339E-2</v>
      </c>
    </row>
    <row r="33" spans="1:116" s="79" customFormat="1">
      <c r="A33" s="148" t="s">
        <v>408</v>
      </c>
      <c r="B33" s="45">
        <v>9309481.8900000006</v>
      </c>
      <c r="C33" s="45">
        <v>1161188.04</v>
      </c>
      <c r="D33" s="45">
        <v>0</v>
      </c>
      <c r="E33" s="45">
        <v>1348547.63</v>
      </c>
      <c r="F33" s="513">
        <v>11819217.559999999</v>
      </c>
      <c r="G33" s="240">
        <v>18224</v>
      </c>
      <c r="H33" s="102" t="s">
        <v>149</v>
      </c>
      <c r="I33" s="45">
        <v>648.55232440737484</v>
      </c>
      <c r="J33" s="513">
        <f>+'ตารางที่ 3'!B30</f>
        <v>5924219.0099999998</v>
      </c>
      <c r="K33" s="513">
        <f>+'ตารางที่ 3'!C30</f>
        <v>797998.84</v>
      </c>
      <c r="L33" s="513">
        <f>+'ตารางที่ 3'!D30</f>
        <v>982.05</v>
      </c>
      <c r="M33" s="513">
        <f>+'ตารางที่ 3'!E30</f>
        <v>739964.49</v>
      </c>
      <c r="N33" s="513">
        <f>+'ตารางที่ 3'!F30</f>
        <v>7463164.3899999997</v>
      </c>
      <c r="O33" s="492">
        <f>+'ตารางที่ 3'!G30</f>
        <v>17910</v>
      </c>
      <c r="P33" s="400" t="str">
        <f>+'ตารางที่ 3'!H30</f>
        <v>จำนวนนักศึกษา</v>
      </c>
      <c r="Q33" s="45">
        <f t="shared" si="9"/>
        <v>416.70376270240087</v>
      </c>
      <c r="R33" s="130">
        <f t="shared" si="10"/>
        <v>-0.3685568141788228</v>
      </c>
      <c r="S33" s="130">
        <f t="shared" si="11"/>
        <v>-1.7230026338893766E-2</v>
      </c>
      <c r="T33" s="130">
        <f t="shared" si="8"/>
        <v>-0.35748628596286253</v>
      </c>
    </row>
    <row r="34" spans="1:116" s="79" customFormat="1">
      <c r="A34" s="148" t="s">
        <v>409</v>
      </c>
      <c r="B34" s="45">
        <v>66223672.359999999</v>
      </c>
      <c r="C34" s="45">
        <v>8260195.0899999999</v>
      </c>
      <c r="D34" s="45">
        <v>0</v>
      </c>
      <c r="E34" s="45">
        <v>9592991.0500000007</v>
      </c>
      <c r="F34" s="513">
        <v>84076858.5</v>
      </c>
      <c r="G34" s="240">
        <v>1</v>
      </c>
      <c r="H34" s="102" t="s">
        <v>148</v>
      </c>
      <c r="I34" s="45">
        <v>84076858.5</v>
      </c>
      <c r="J34" s="513">
        <f>+'ตารางที่ 3'!B31</f>
        <v>12388167.390000001</v>
      </c>
      <c r="K34" s="513">
        <f>+'ตารางที่ 3'!C31</f>
        <v>1668699.82</v>
      </c>
      <c r="L34" s="513">
        <f>+'ตารางที่ 3'!D31</f>
        <v>2053.5700000000002</v>
      </c>
      <c r="M34" s="513">
        <f>+'ตารางที่ 3'!E31</f>
        <v>1547343.87</v>
      </c>
      <c r="N34" s="513">
        <f>+'ตารางที่ 3'!F31</f>
        <v>15606264.650000002</v>
      </c>
      <c r="O34" s="492">
        <f>+'ตารางที่ 3'!G31</f>
        <v>1</v>
      </c>
      <c r="P34" s="400" t="str">
        <f>+'ตารางที่ 3'!H31</f>
        <v>ด้าน</v>
      </c>
      <c r="Q34" s="45">
        <f t="shared" si="9"/>
        <v>15606264.650000002</v>
      </c>
      <c r="R34" s="130">
        <f t="shared" si="10"/>
        <v>-0.81438097321393133</v>
      </c>
      <c r="S34" s="130">
        <f t="shared" si="11"/>
        <v>0</v>
      </c>
      <c r="T34" s="130">
        <f t="shared" si="8"/>
        <v>-0.81438097321393133</v>
      </c>
    </row>
    <row r="35" spans="1:116" s="79" customFormat="1">
      <c r="A35" s="148" t="s">
        <v>410</v>
      </c>
      <c r="B35" s="45">
        <v>15757370.5</v>
      </c>
      <c r="C35" s="45">
        <v>1965444.53</v>
      </c>
      <c r="D35" s="45">
        <v>0</v>
      </c>
      <c r="E35" s="45">
        <v>2282572.21</v>
      </c>
      <c r="F35" s="513">
        <v>20005387.240000002</v>
      </c>
      <c r="G35" s="240">
        <v>1</v>
      </c>
      <c r="H35" s="102" t="s">
        <v>148</v>
      </c>
      <c r="I35" s="45">
        <v>20005387.240000002</v>
      </c>
      <c r="J35" s="513">
        <f>+'ตารางที่ 3'!B32</f>
        <v>28143463.609999999</v>
      </c>
      <c r="K35" s="513">
        <f>+'ตารางที่ 3'!C32</f>
        <v>3790955.61</v>
      </c>
      <c r="L35" s="513">
        <f>+'ตารางที่ 3'!D32</f>
        <v>4665.29</v>
      </c>
      <c r="M35" s="513">
        <f>+'ตารางที่ 3'!E32</f>
        <v>3515258.93</v>
      </c>
      <c r="N35" s="513">
        <f>+'ตารางที่ 3'!F32</f>
        <v>35454343.439999998</v>
      </c>
      <c r="O35" s="492">
        <f>+'ตารางที่ 3'!G32</f>
        <v>1</v>
      </c>
      <c r="P35" s="400" t="str">
        <f>+'ตารางที่ 3'!H32</f>
        <v>ด้าน</v>
      </c>
      <c r="Q35" s="45">
        <f t="shared" si="9"/>
        <v>35454343.439999998</v>
      </c>
      <c r="R35" s="130">
        <f t="shared" si="10"/>
        <v>0.77223979794354602</v>
      </c>
      <c r="S35" s="130">
        <f t="shared" si="11"/>
        <v>0</v>
      </c>
      <c r="T35" s="130">
        <f>(Q35-I35)/I35</f>
        <v>0.77223979794354602</v>
      </c>
    </row>
    <row r="36" spans="1:116" s="79" customFormat="1">
      <c r="A36" s="148" t="s">
        <v>411</v>
      </c>
      <c r="B36" s="45">
        <v>28681733.09</v>
      </c>
      <c r="C36" s="45">
        <v>3577523</v>
      </c>
      <c r="D36" s="45">
        <v>0</v>
      </c>
      <c r="E36" s="45">
        <v>4154762.17</v>
      </c>
      <c r="F36" s="513">
        <v>36414018.259999998</v>
      </c>
      <c r="G36" s="240">
        <v>1</v>
      </c>
      <c r="H36" s="102" t="s">
        <v>148</v>
      </c>
      <c r="I36" s="45">
        <v>36414018.259999998</v>
      </c>
      <c r="J36" s="513">
        <f>+'ตารางที่ 3'!B33</f>
        <v>24501757.460000001</v>
      </c>
      <c r="K36" s="513">
        <f>+'ตารางที่ 3'!C33</f>
        <v>3300413.78</v>
      </c>
      <c r="L36" s="513">
        <f>+'ตารางที่ 3'!D33</f>
        <v>4061.61</v>
      </c>
      <c r="M36" s="513">
        <f>+'ตารางที่ 3'!E33</f>
        <v>3060391.67</v>
      </c>
      <c r="N36" s="513">
        <f>+'ตารางที่ 3'!F33</f>
        <v>30866624.520000003</v>
      </c>
      <c r="O36" s="492">
        <f>+'ตารางที่ 3'!G33</f>
        <v>1</v>
      </c>
      <c r="P36" s="400" t="str">
        <f>+'ตารางที่ 3'!H33</f>
        <v>ด้าน</v>
      </c>
      <c r="Q36" s="45">
        <f t="shared" si="9"/>
        <v>30866624.520000003</v>
      </c>
      <c r="R36" s="130">
        <f t="shared" si="10"/>
        <v>-0.15234225732494031</v>
      </c>
      <c r="S36" s="130">
        <f t="shared" si="11"/>
        <v>0</v>
      </c>
      <c r="T36" s="130">
        <f t="shared" si="8"/>
        <v>-0.15234225732494031</v>
      </c>
    </row>
    <row r="37" spans="1:116" s="79" customFormat="1" ht="21.75" thickBot="1">
      <c r="A37" s="517" t="s">
        <v>412</v>
      </c>
      <c r="B37" s="403">
        <v>10874845.51</v>
      </c>
      <c r="C37" s="403">
        <v>1356438.6</v>
      </c>
      <c r="D37" s="403">
        <v>0</v>
      </c>
      <c r="E37" s="403">
        <v>1575302.18</v>
      </c>
      <c r="F37" s="401">
        <v>13806586.289999999</v>
      </c>
      <c r="G37" s="518">
        <v>18224</v>
      </c>
      <c r="H37" s="394" t="s">
        <v>149</v>
      </c>
      <c r="I37" s="403">
        <v>757.60460327041255</v>
      </c>
      <c r="J37" s="401">
        <f>+'ตารางที่ 3'!B34</f>
        <v>9795688.0399999991</v>
      </c>
      <c r="K37" s="401">
        <f>+'ตารางที่ 3'!C34</f>
        <v>1319490</v>
      </c>
      <c r="L37" s="401">
        <f>+'ตารางที่ 3'!D34</f>
        <v>1623.83</v>
      </c>
      <c r="M37" s="401">
        <f>+'ตารางที่ 3'!E34</f>
        <v>1223530.27</v>
      </c>
      <c r="N37" s="401">
        <f>+'ตารางที่ 3'!F34</f>
        <v>12340332.139999999</v>
      </c>
      <c r="O37" s="519">
        <f>+'ตารางที่ 3'!G34</f>
        <v>17910</v>
      </c>
      <c r="P37" s="402" t="str">
        <f>+'ตารางที่ 3'!H34</f>
        <v>จำนวนนักศึกษา</v>
      </c>
      <c r="Q37" s="403">
        <f t="shared" si="9"/>
        <v>689.01910329424891</v>
      </c>
      <c r="R37" s="146">
        <f t="shared" si="10"/>
        <v>-0.10619961511137599</v>
      </c>
      <c r="S37" s="146">
        <f t="shared" si="11"/>
        <v>-1.7230026338893766E-2</v>
      </c>
      <c r="T37" s="146">
        <f t="shared" si="8"/>
        <v>-9.0529412941916035E-2</v>
      </c>
    </row>
    <row r="38" spans="1:116" s="79" customFormat="1" ht="24.75" customHeight="1" thickTop="1" thickBot="1">
      <c r="A38" s="53"/>
      <c r="B38" s="520">
        <v>872735914.70999992</v>
      </c>
      <c r="C38" s="520">
        <v>219400970.43000004</v>
      </c>
      <c r="D38" s="520">
        <v>11469449.979999999</v>
      </c>
      <c r="E38" s="520">
        <v>260731079.59999996</v>
      </c>
      <c r="F38" s="405">
        <v>1364337414.72</v>
      </c>
      <c r="G38" s="218"/>
      <c r="H38" s="218"/>
      <c r="I38" s="218"/>
      <c r="J38" s="404">
        <f>SUM(J7:J37)</f>
        <v>844940526.51999998</v>
      </c>
      <c r="K38" s="404">
        <f t="shared" ref="K38:M38" si="12">SUM(K7:K37)</f>
        <v>213599466.83000001</v>
      </c>
      <c r="L38" s="404">
        <f t="shared" si="12"/>
        <v>14581679.479999999</v>
      </c>
      <c r="M38" s="404">
        <f t="shared" si="12"/>
        <v>263401777.88000005</v>
      </c>
      <c r="N38" s="405">
        <f>+'ตารางที่ 3'!F35</f>
        <v>1336523450.7100003</v>
      </c>
      <c r="O38" s="218"/>
      <c r="P38" s="218"/>
      <c r="Q38" s="218"/>
      <c r="R38" s="218"/>
      <c r="S38" s="218"/>
      <c r="T38" s="218"/>
    </row>
    <row r="39" spans="1:116" s="124" customFormat="1" ht="40.5" customHeight="1" thickTop="1">
      <c r="A39" s="78" t="s">
        <v>3228</v>
      </c>
      <c r="G39" s="77"/>
      <c r="H39" s="78"/>
      <c r="I39" s="77"/>
      <c r="J39" s="100"/>
      <c r="K39" s="100"/>
      <c r="L39" s="100"/>
      <c r="M39" s="100"/>
      <c r="N39" s="100"/>
      <c r="O39" s="128"/>
      <c r="P39" s="129"/>
      <c r="Q39" s="128"/>
      <c r="U39" s="71"/>
      <c r="V39" s="71"/>
      <c r="W39" s="71"/>
      <c r="X39" s="71"/>
      <c r="Y39" s="71"/>
      <c r="Z39" s="71"/>
      <c r="AA39" s="71"/>
      <c r="AB39" s="71"/>
      <c r="AC39" s="71"/>
      <c r="AD39" s="71"/>
      <c r="AE39" s="71"/>
      <c r="AF39" s="71"/>
      <c r="AG39" s="71"/>
      <c r="AH39" s="71"/>
      <c r="AI39" s="71"/>
      <c r="AJ39" s="71"/>
      <c r="AK39" s="71"/>
      <c r="AL39" s="71"/>
      <c r="AM39" s="71"/>
      <c r="AN39" s="71"/>
      <c r="AO39" s="71"/>
      <c r="AP39" s="71"/>
      <c r="AQ39" s="71"/>
      <c r="AR39" s="71"/>
      <c r="AS39" s="71"/>
      <c r="AT39" s="71"/>
      <c r="AU39" s="71"/>
      <c r="AV39" s="71"/>
      <c r="AW39" s="71"/>
      <c r="AX39" s="71"/>
      <c r="AY39" s="71"/>
      <c r="AZ39" s="71"/>
      <c r="BA39" s="71"/>
      <c r="BB39" s="71"/>
      <c r="BC39" s="71"/>
      <c r="BD39" s="71"/>
      <c r="BE39" s="71"/>
      <c r="BF39" s="71"/>
      <c r="BG39" s="71"/>
      <c r="BH39" s="71"/>
      <c r="BI39" s="71"/>
      <c r="BJ39" s="71"/>
      <c r="BK39" s="71"/>
      <c r="BL39" s="71"/>
      <c r="BM39" s="71"/>
      <c r="BN39" s="71"/>
      <c r="BO39" s="71"/>
      <c r="BP39" s="71"/>
      <c r="BQ39" s="71"/>
      <c r="BR39" s="71"/>
      <c r="BS39" s="71"/>
      <c r="BT39" s="71"/>
      <c r="BU39" s="71"/>
      <c r="BV39" s="71"/>
      <c r="BW39" s="71"/>
      <c r="BX39" s="71"/>
      <c r="BY39" s="71"/>
      <c r="BZ39" s="71"/>
      <c r="CA39" s="71"/>
      <c r="CB39" s="71"/>
      <c r="CC39" s="71"/>
      <c r="CD39" s="71"/>
      <c r="CE39" s="71"/>
      <c r="CF39" s="71"/>
      <c r="CG39" s="71"/>
      <c r="CH39" s="71"/>
      <c r="CI39" s="71"/>
      <c r="CJ39" s="71"/>
      <c r="CK39" s="71"/>
      <c r="CL39" s="71"/>
      <c r="CM39" s="71"/>
      <c r="CN39" s="71"/>
      <c r="CO39" s="71"/>
      <c r="CP39" s="71"/>
      <c r="CQ39" s="71"/>
      <c r="CR39" s="71"/>
      <c r="CS39" s="71"/>
      <c r="CT39" s="71"/>
      <c r="CU39" s="71"/>
      <c r="CV39" s="71"/>
      <c r="CW39" s="71"/>
      <c r="CX39" s="71"/>
      <c r="CY39" s="71"/>
      <c r="CZ39" s="71"/>
      <c r="DA39" s="71"/>
      <c r="DB39" s="71"/>
      <c r="DC39" s="71"/>
      <c r="DD39" s="71"/>
      <c r="DE39" s="71"/>
      <c r="DF39" s="71"/>
      <c r="DG39" s="71"/>
      <c r="DH39" s="71"/>
      <c r="DI39" s="71"/>
      <c r="DJ39" s="71"/>
      <c r="DK39" s="71"/>
      <c r="DL39" s="71"/>
    </row>
    <row r="40" spans="1:116" s="237" customFormat="1" ht="31.5" customHeight="1">
      <c r="A40" s="587" t="s">
        <v>3223</v>
      </c>
      <c r="B40" s="587"/>
      <c r="C40" s="587"/>
      <c r="D40" s="587"/>
      <c r="E40" s="587"/>
      <c r="F40" s="587"/>
      <c r="G40" s="587"/>
      <c r="H40" s="587"/>
      <c r="I40" s="587"/>
      <c r="J40" s="587"/>
      <c r="K40" s="587"/>
      <c r="L40" s="234"/>
      <c r="M40" s="234"/>
      <c r="N40" s="234"/>
      <c r="O40" s="235"/>
      <c r="P40" s="235"/>
      <c r="Q40" s="235"/>
      <c r="R40" s="235"/>
      <c r="S40" s="235"/>
      <c r="T40" s="235"/>
      <c r="U40" s="236"/>
      <c r="V40" s="236"/>
      <c r="W40" s="236"/>
      <c r="X40" s="236"/>
      <c r="Y40" s="236"/>
      <c r="Z40" s="236"/>
      <c r="AA40" s="236"/>
      <c r="AB40" s="236"/>
      <c r="AC40" s="236"/>
      <c r="AD40" s="236"/>
      <c r="AE40" s="236"/>
      <c r="AF40" s="236"/>
      <c r="AG40" s="236"/>
      <c r="AH40" s="236"/>
      <c r="AI40" s="236"/>
      <c r="AJ40" s="236"/>
      <c r="AK40" s="236"/>
      <c r="AL40" s="236"/>
      <c r="AM40" s="236"/>
      <c r="AN40" s="236"/>
      <c r="AO40" s="236"/>
      <c r="AP40" s="236"/>
      <c r="AQ40" s="236"/>
      <c r="AR40" s="236"/>
      <c r="AS40" s="236"/>
      <c r="AT40" s="236"/>
      <c r="AU40" s="236"/>
      <c r="AV40" s="236"/>
      <c r="AW40" s="236"/>
      <c r="AX40" s="236"/>
      <c r="AY40" s="236"/>
      <c r="AZ40" s="236"/>
      <c r="BA40" s="236"/>
      <c r="BB40" s="236"/>
      <c r="BC40" s="236"/>
      <c r="BD40" s="236"/>
      <c r="BE40" s="236"/>
      <c r="BF40" s="236"/>
      <c r="BG40" s="236"/>
      <c r="BH40" s="236"/>
      <c r="BI40" s="236"/>
      <c r="BJ40" s="236"/>
      <c r="BK40" s="236"/>
      <c r="BL40" s="236"/>
      <c r="BM40" s="236"/>
      <c r="BN40" s="236"/>
      <c r="BO40" s="236"/>
      <c r="BP40" s="236"/>
      <c r="BQ40" s="236"/>
      <c r="BR40" s="236"/>
      <c r="BS40" s="236"/>
      <c r="BT40" s="236"/>
      <c r="BU40" s="236"/>
      <c r="BV40" s="236"/>
      <c r="BW40" s="236"/>
      <c r="BX40" s="236"/>
      <c r="BY40" s="236"/>
      <c r="BZ40" s="236"/>
      <c r="CA40" s="236"/>
      <c r="CB40" s="236"/>
      <c r="CC40" s="236"/>
      <c r="CD40" s="236"/>
      <c r="CE40" s="236"/>
      <c r="CF40" s="236"/>
      <c r="CG40" s="236"/>
      <c r="CH40" s="236"/>
      <c r="CI40" s="236"/>
      <c r="CJ40" s="236"/>
      <c r="CK40" s="236"/>
      <c r="CL40" s="236"/>
      <c r="CM40" s="236"/>
      <c r="CN40" s="236"/>
      <c r="CO40" s="236"/>
      <c r="CP40" s="236"/>
      <c r="CQ40" s="236"/>
      <c r="CR40" s="236"/>
      <c r="CS40" s="236"/>
      <c r="CT40" s="236"/>
      <c r="CU40" s="236"/>
      <c r="CV40" s="236"/>
      <c r="CW40" s="236"/>
      <c r="CX40" s="236"/>
      <c r="CY40" s="236"/>
      <c r="CZ40" s="236"/>
      <c r="DA40" s="236"/>
      <c r="DB40" s="236"/>
      <c r="DC40" s="236"/>
      <c r="DD40" s="236"/>
      <c r="DE40" s="236"/>
      <c r="DF40" s="236"/>
      <c r="DG40" s="236"/>
      <c r="DH40" s="236"/>
      <c r="DI40" s="236"/>
      <c r="DJ40" s="236"/>
      <c r="DK40" s="236"/>
      <c r="DL40" s="236"/>
    </row>
    <row r="41" spans="1:116" s="237" customFormat="1" ht="31.5" customHeight="1">
      <c r="A41" s="588" t="s">
        <v>3224</v>
      </c>
      <c r="B41" s="589"/>
      <c r="C41" s="589"/>
      <c r="D41" s="589"/>
      <c r="E41" s="589"/>
      <c r="F41" s="589"/>
      <c r="G41" s="589"/>
      <c r="H41" s="589"/>
      <c r="I41" s="589"/>
      <c r="J41" s="589"/>
      <c r="K41" s="589"/>
      <c r="L41" s="589"/>
      <c r="M41" s="589"/>
      <c r="N41" s="589"/>
      <c r="O41" s="589"/>
      <c r="P41" s="589"/>
      <c r="Q41" s="589"/>
      <c r="R41" s="589"/>
      <c r="S41" s="589"/>
      <c r="T41" s="589"/>
      <c r="U41" s="236"/>
      <c r="V41" s="236"/>
      <c r="W41" s="236"/>
      <c r="X41" s="236"/>
      <c r="Y41" s="236"/>
      <c r="Z41" s="236"/>
      <c r="AA41" s="236"/>
      <c r="AB41" s="236"/>
      <c r="AC41" s="236"/>
      <c r="AD41" s="236"/>
      <c r="AE41" s="236"/>
      <c r="AF41" s="236"/>
      <c r="AG41" s="236"/>
      <c r="AH41" s="236"/>
      <c r="AI41" s="236"/>
      <c r="AJ41" s="236"/>
      <c r="AK41" s="236"/>
      <c r="AL41" s="236"/>
      <c r="AM41" s="236"/>
      <c r="AN41" s="236"/>
      <c r="AO41" s="236"/>
      <c r="AP41" s="236"/>
      <c r="AQ41" s="236"/>
      <c r="AR41" s="236"/>
      <c r="AS41" s="236"/>
      <c r="AT41" s="236"/>
      <c r="AU41" s="236"/>
      <c r="AV41" s="236"/>
      <c r="AW41" s="236"/>
      <c r="AX41" s="236"/>
      <c r="AY41" s="236"/>
      <c r="AZ41" s="236"/>
      <c r="BA41" s="236"/>
      <c r="BB41" s="236"/>
      <c r="BC41" s="236"/>
      <c r="BD41" s="236"/>
      <c r="BE41" s="236"/>
      <c r="BF41" s="236"/>
      <c r="BG41" s="236"/>
      <c r="BH41" s="236"/>
      <c r="BI41" s="236"/>
      <c r="BJ41" s="236"/>
      <c r="BK41" s="236"/>
      <c r="BL41" s="236"/>
      <c r="BM41" s="236"/>
      <c r="BN41" s="236"/>
      <c r="BO41" s="236"/>
      <c r="BP41" s="236"/>
      <c r="BQ41" s="236"/>
      <c r="BR41" s="236"/>
      <c r="BS41" s="236"/>
      <c r="BT41" s="236"/>
      <c r="BU41" s="236"/>
      <c r="BV41" s="236"/>
      <c r="BW41" s="236"/>
      <c r="BX41" s="236"/>
      <c r="BY41" s="236"/>
      <c r="BZ41" s="236"/>
      <c r="CA41" s="236"/>
      <c r="CB41" s="236"/>
      <c r="CC41" s="236"/>
      <c r="CD41" s="236"/>
      <c r="CE41" s="236"/>
      <c r="CF41" s="236"/>
      <c r="CG41" s="236"/>
      <c r="CH41" s="236"/>
      <c r="CI41" s="236"/>
      <c r="CJ41" s="236"/>
      <c r="CK41" s="236"/>
      <c r="CL41" s="236"/>
      <c r="CM41" s="236"/>
      <c r="CN41" s="236"/>
      <c r="CO41" s="236"/>
      <c r="CP41" s="236"/>
      <c r="CQ41" s="236"/>
      <c r="CR41" s="236"/>
      <c r="CS41" s="236"/>
      <c r="CT41" s="236"/>
      <c r="CU41" s="236"/>
      <c r="CV41" s="236"/>
      <c r="CW41" s="236"/>
      <c r="CX41" s="236"/>
      <c r="CY41" s="236"/>
      <c r="CZ41" s="236"/>
      <c r="DA41" s="236"/>
      <c r="DB41" s="236"/>
      <c r="DC41" s="236"/>
      <c r="DD41" s="236"/>
      <c r="DE41" s="236"/>
      <c r="DF41" s="236"/>
      <c r="DG41" s="236"/>
      <c r="DH41" s="236"/>
      <c r="DI41" s="236"/>
      <c r="DJ41" s="236"/>
      <c r="DK41" s="236"/>
      <c r="DL41" s="236"/>
    </row>
    <row r="42" spans="1:116" s="239" customFormat="1" ht="31.5" customHeight="1">
      <c r="A42" s="573" t="s">
        <v>3225</v>
      </c>
      <c r="B42" s="573"/>
      <c r="C42" s="573"/>
      <c r="D42" s="573"/>
      <c r="E42" s="573"/>
      <c r="F42" s="573"/>
      <c r="G42" s="573"/>
      <c r="H42" s="573"/>
      <c r="I42" s="573"/>
      <c r="J42" s="573"/>
      <c r="K42" s="573"/>
      <c r="L42" s="573"/>
      <c r="M42" s="573"/>
      <c r="N42" s="573"/>
      <c r="O42" s="573"/>
      <c r="P42" s="573"/>
      <c r="Q42" s="573"/>
      <c r="R42" s="573"/>
      <c r="S42" s="573"/>
      <c r="T42" s="573"/>
      <c r="U42" s="238"/>
      <c r="V42" s="238"/>
      <c r="W42" s="238"/>
      <c r="X42" s="238"/>
      <c r="Y42" s="238"/>
      <c r="Z42" s="238"/>
      <c r="AA42" s="238"/>
      <c r="AB42" s="238"/>
      <c r="AC42" s="238"/>
      <c r="AD42" s="238"/>
      <c r="AE42" s="238"/>
      <c r="AF42" s="238"/>
      <c r="AG42" s="238"/>
      <c r="AH42" s="238"/>
      <c r="AI42" s="238"/>
      <c r="AJ42" s="238"/>
      <c r="AK42" s="238"/>
      <c r="AL42" s="238"/>
      <c r="AM42" s="238"/>
      <c r="AN42" s="238"/>
      <c r="AO42" s="238"/>
      <c r="AP42" s="238"/>
      <c r="AQ42" s="238"/>
      <c r="AR42" s="238"/>
      <c r="AS42" s="238"/>
      <c r="AT42" s="238"/>
      <c r="AU42" s="238"/>
      <c r="AV42" s="238"/>
      <c r="AW42" s="238"/>
      <c r="AX42" s="238"/>
      <c r="AY42" s="238"/>
      <c r="AZ42" s="238"/>
      <c r="BA42" s="238"/>
      <c r="BB42" s="238"/>
      <c r="BC42" s="238"/>
      <c r="BD42" s="238"/>
      <c r="BE42" s="238"/>
      <c r="BF42" s="238"/>
      <c r="BG42" s="238"/>
      <c r="BH42" s="238"/>
      <c r="BI42" s="238"/>
      <c r="BJ42" s="238"/>
      <c r="BK42" s="238"/>
      <c r="BL42" s="238"/>
      <c r="BM42" s="238"/>
      <c r="BN42" s="238"/>
      <c r="BO42" s="238"/>
      <c r="BP42" s="238"/>
      <c r="BQ42" s="238"/>
      <c r="BR42" s="238"/>
      <c r="BS42" s="238"/>
      <c r="BT42" s="238"/>
      <c r="BU42" s="238"/>
      <c r="BV42" s="238"/>
      <c r="BW42" s="238"/>
      <c r="BX42" s="238"/>
      <c r="BY42" s="238"/>
      <c r="BZ42" s="238"/>
      <c r="CA42" s="238"/>
      <c r="CB42" s="238"/>
      <c r="CC42" s="238"/>
      <c r="CD42" s="238"/>
      <c r="CE42" s="238"/>
      <c r="CF42" s="238"/>
      <c r="CG42" s="238"/>
      <c r="CH42" s="238"/>
      <c r="CI42" s="238"/>
      <c r="CJ42" s="238"/>
      <c r="CK42" s="238"/>
      <c r="CL42" s="238"/>
      <c r="CM42" s="238"/>
      <c r="CN42" s="238"/>
      <c r="CO42" s="238"/>
      <c r="CP42" s="238"/>
      <c r="CQ42" s="238"/>
      <c r="CR42" s="238"/>
      <c r="CS42" s="238"/>
      <c r="CT42" s="238"/>
      <c r="CU42" s="238"/>
      <c r="CV42" s="238"/>
      <c r="CW42" s="238"/>
      <c r="CX42" s="238"/>
      <c r="CY42" s="238"/>
      <c r="CZ42" s="238"/>
      <c r="DA42" s="238"/>
      <c r="DB42" s="238"/>
      <c r="DC42" s="238"/>
      <c r="DD42" s="238"/>
      <c r="DE42" s="238"/>
      <c r="DF42" s="238"/>
      <c r="DG42" s="238"/>
      <c r="DH42" s="238"/>
      <c r="DI42" s="238"/>
      <c r="DJ42" s="238"/>
      <c r="DK42" s="238"/>
      <c r="DL42" s="238"/>
    </row>
    <row r="43" spans="1:116" s="239" customFormat="1" ht="31.5" customHeight="1">
      <c r="A43" s="573" t="s">
        <v>3233</v>
      </c>
      <c r="B43" s="573"/>
      <c r="C43" s="573"/>
      <c r="D43" s="573"/>
      <c r="E43" s="573"/>
      <c r="F43" s="573"/>
      <c r="G43" s="573"/>
      <c r="H43" s="573"/>
      <c r="I43" s="573"/>
      <c r="J43" s="573"/>
      <c r="K43" s="573"/>
      <c r="L43" s="573"/>
      <c r="M43" s="573"/>
      <c r="N43" s="573"/>
      <c r="O43" s="573"/>
      <c r="P43" s="573"/>
      <c r="Q43" s="573"/>
      <c r="R43" s="573"/>
      <c r="S43" s="573"/>
      <c r="T43" s="573"/>
      <c r="U43" s="238"/>
      <c r="V43" s="238"/>
      <c r="W43" s="238"/>
      <c r="X43" s="238"/>
      <c r="Y43" s="238"/>
      <c r="Z43" s="238"/>
      <c r="AA43" s="238"/>
      <c r="AB43" s="238"/>
      <c r="AC43" s="238"/>
      <c r="AD43" s="238"/>
      <c r="AE43" s="238"/>
      <c r="AF43" s="238"/>
      <c r="AG43" s="238"/>
      <c r="AH43" s="238"/>
      <c r="AI43" s="238"/>
      <c r="AJ43" s="238"/>
      <c r="AK43" s="238"/>
      <c r="AL43" s="238"/>
      <c r="AM43" s="238"/>
      <c r="AN43" s="238"/>
      <c r="AO43" s="238"/>
      <c r="AP43" s="238"/>
      <c r="AQ43" s="238"/>
      <c r="AR43" s="238"/>
      <c r="AS43" s="238"/>
      <c r="AT43" s="238"/>
      <c r="AU43" s="238"/>
      <c r="AV43" s="238"/>
      <c r="AW43" s="238"/>
      <c r="AX43" s="238"/>
      <c r="AY43" s="238"/>
      <c r="AZ43" s="238"/>
      <c r="BA43" s="238"/>
      <c r="BB43" s="238"/>
      <c r="BC43" s="238"/>
      <c r="BD43" s="238"/>
      <c r="BE43" s="238"/>
      <c r="BF43" s="238"/>
      <c r="BG43" s="238"/>
      <c r="BH43" s="238"/>
      <c r="BI43" s="238"/>
      <c r="BJ43" s="238"/>
      <c r="BK43" s="238"/>
      <c r="BL43" s="238"/>
      <c r="BM43" s="238"/>
      <c r="BN43" s="238"/>
      <c r="BO43" s="238"/>
      <c r="BP43" s="238"/>
      <c r="BQ43" s="238"/>
      <c r="BR43" s="238"/>
      <c r="BS43" s="238"/>
      <c r="BT43" s="238"/>
      <c r="BU43" s="238"/>
      <c r="BV43" s="238"/>
      <c r="BW43" s="238"/>
      <c r="BX43" s="238"/>
      <c r="BY43" s="238"/>
      <c r="BZ43" s="238"/>
      <c r="CA43" s="238"/>
      <c r="CB43" s="238"/>
      <c r="CC43" s="238"/>
      <c r="CD43" s="238"/>
      <c r="CE43" s="238"/>
      <c r="CF43" s="238"/>
      <c r="CG43" s="238"/>
      <c r="CH43" s="238"/>
      <c r="CI43" s="238"/>
      <c r="CJ43" s="238"/>
      <c r="CK43" s="238"/>
      <c r="CL43" s="238"/>
      <c r="CM43" s="238"/>
      <c r="CN43" s="238"/>
      <c r="CO43" s="238"/>
      <c r="CP43" s="238"/>
      <c r="CQ43" s="238"/>
      <c r="CR43" s="238"/>
      <c r="CS43" s="238"/>
      <c r="CT43" s="238"/>
      <c r="CU43" s="238"/>
      <c r="CV43" s="238"/>
      <c r="CW43" s="238"/>
      <c r="CX43" s="238"/>
      <c r="CY43" s="238"/>
      <c r="CZ43" s="238"/>
      <c r="DA43" s="238"/>
      <c r="DB43" s="238"/>
      <c r="DC43" s="238"/>
      <c r="DD43" s="238"/>
      <c r="DE43" s="238"/>
      <c r="DF43" s="238"/>
      <c r="DG43" s="238"/>
      <c r="DH43" s="238"/>
      <c r="DI43" s="238"/>
      <c r="DJ43" s="238"/>
      <c r="DK43" s="238"/>
      <c r="DL43" s="238"/>
    </row>
    <row r="44" spans="1:116" s="239" customFormat="1" ht="31.5" customHeight="1">
      <c r="A44" s="521" t="s">
        <v>3234</v>
      </c>
      <c r="B44" s="511"/>
      <c r="C44" s="511"/>
      <c r="D44" s="511"/>
      <c r="E44" s="511"/>
      <c r="F44" s="511"/>
      <c r="G44" s="511"/>
      <c r="H44" s="511"/>
      <c r="I44" s="511"/>
      <c r="J44" s="511"/>
      <c r="K44" s="511"/>
      <c r="L44" s="511"/>
      <c r="M44" s="511"/>
      <c r="N44" s="511"/>
      <c r="O44" s="511"/>
      <c r="P44" s="511"/>
      <c r="Q44" s="511"/>
      <c r="R44" s="511"/>
      <c r="S44" s="511"/>
      <c r="T44" s="511"/>
      <c r="U44" s="238"/>
      <c r="V44" s="238"/>
      <c r="W44" s="238"/>
      <c r="X44" s="238"/>
      <c r="Y44" s="238"/>
      <c r="Z44" s="238"/>
      <c r="AA44" s="238"/>
      <c r="AB44" s="238"/>
      <c r="AC44" s="238"/>
      <c r="AD44" s="238"/>
      <c r="AE44" s="238"/>
      <c r="AF44" s="238"/>
      <c r="AG44" s="238"/>
      <c r="AH44" s="238"/>
      <c r="AI44" s="238"/>
      <c r="AJ44" s="238"/>
      <c r="AK44" s="238"/>
      <c r="AL44" s="238"/>
      <c r="AM44" s="238"/>
      <c r="AN44" s="238"/>
      <c r="AO44" s="238"/>
      <c r="AP44" s="238"/>
      <c r="AQ44" s="238"/>
      <c r="AR44" s="238"/>
      <c r="AS44" s="238"/>
      <c r="AT44" s="238"/>
      <c r="AU44" s="238"/>
      <c r="AV44" s="238"/>
      <c r="AW44" s="238"/>
      <c r="AX44" s="238"/>
      <c r="AY44" s="238"/>
      <c r="AZ44" s="238"/>
      <c r="BA44" s="238"/>
      <c r="BB44" s="238"/>
      <c r="BC44" s="238"/>
      <c r="BD44" s="238"/>
      <c r="BE44" s="238"/>
      <c r="BF44" s="238"/>
      <c r="BG44" s="238"/>
      <c r="BH44" s="238"/>
      <c r="BI44" s="238"/>
      <c r="BJ44" s="238"/>
      <c r="BK44" s="238"/>
      <c r="BL44" s="238"/>
      <c r="BM44" s="238"/>
      <c r="BN44" s="238"/>
      <c r="BO44" s="238"/>
      <c r="BP44" s="238"/>
      <c r="BQ44" s="238"/>
      <c r="BR44" s="238"/>
      <c r="BS44" s="238"/>
      <c r="BT44" s="238"/>
      <c r="BU44" s="238"/>
      <c r="BV44" s="238"/>
      <c r="BW44" s="238"/>
      <c r="BX44" s="238"/>
      <c r="BY44" s="238"/>
      <c r="BZ44" s="238"/>
      <c r="CA44" s="238"/>
      <c r="CB44" s="238"/>
      <c r="CC44" s="238"/>
      <c r="CD44" s="238"/>
      <c r="CE44" s="238"/>
      <c r="CF44" s="238"/>
      <c r="CG44" s="238"/>
      <c r="CH44" s="238"/>
      <c r="CI44" s="238"/>
      <c r="CJ44" s="238"/>
      <c r="CK44" s="238"/>
      <c r="CL44" s="238"/>
      <c r="CM44" s="238"/>
      <c r="CN44" s="238"/>
      <c r="CO44" s="238"/>
      <c r="CP44" s="238"/>
      <c r="CQ44" s="238"/>
      <c r="CR44" s="238"/>
      <c r="CS44" s="238"/>
      <c r="CT44" s="238"/>
      <c r="CU44" s="238"/>
      <c r="CV44" s="238"/>
      <c r="CW44" s="238"/>
      <c r="CX44" s="238"/>
      <c r="CY44" s="238"/>
      <c r="CZ44" s="238"/>
      <c r="DA44" s="238"/>
      <c r="DB44" s="238"/>
      <c r="DC44" s="238"/>
      <c r="DD44" s="238"/>
      <c r="DE44" s="238"/>
      <c r="DF44" s="238"/>
      <c r="DG44" s="238"/>
      <c r="DH44" s="238"/>
      <c r="DI44" s="238"/>
      <c r="DJ44" s="238"/>
      <c r="DK44" s="238"/>
      <c r="DL44" s="238"/>
    </row>
    <row r="45" spans="1:116" s="239" customFormat="1" ht="31.5" customHeight="1">
      <c r="A45" s="521" t="s">
        <v>3235</v>
      </c>
      <c r="B45" s="511"/>
      <c r="C45" s="511"/>
      <c r="D45" s="511"/>
      <c r="E45" s="511"/>
      <c r="F45" s="511"/>
      <c r="G45" s="511"/>
      <c r="H45" s="511"/>
      <c r="I45" s="511"/>
      <c r="J45" s="511"/>
      <c r="K45" s="511"/>
      <c r="L45" s="511"/>
      <c r="M45" s="511"/>
      <c r="N45" s="511"/>
      <c r="O45" s="511"/>
      <c r="P45" s="511"/>
      <c r="Q45" s="511"/>
      <c r="R45" s="511"/>
      <c r="S45" s="511"/>
      <c r="T45" s="511"/>
      <c r="U45" s="238"/>
      <c r="V45" s="238"/>
      <c r="W45" s="238"/>
      <c r="X45" s="238"/>
      <c r="Y45" s="238"/>
      <c r="Z45" s="238"/>
      <c r="AA45" s="238"/>
      <c r="AB45" s="238"/>
      <c r="AC45" s="238"/>
      <c r="AD45" s="238"/>
      <c r="AE45" s="238"/>
      <c r="AF45" s="238"/>
      <c r="AG45" s="238"/>
      <c r="AH45" s="238"/>
      <c r="AI45" s="238"/>
      <c r="AJ45" s="238"/>
      <c r="AK45" s="238"/>
      <c r="AL45" s="238"/>
      <c r="AM45" s="238"/>
      <c r="AN45" s="238"/>
      <c r="AO45" s="238"/>
      <c r="AP45" s="238"/>
      <c r="AQ45" s="238"/>
      <c r="AR45" s="238"/>
      <c r="AS45" s="238"/>
      <c r="AT45" s="238"/>
      <c r="AU45" s="238"/>
      <c r="AV45" s="238"/>
      <c r="AW45" s="238"/>
      <c r="AX45" s="238"/>
      <c r="AY45" s="238"/>
      <c r="AZ45" s="238"/>
      <c r="BA45" s="238"/>
      <c r="BB45" s="238"/>
      <c r="BC45" s="238"/>
      <c r="BD45" s="238"/>
      <c r="BE45" s="238"/>
      <c r="BF45" s="238"/>
      <c r="BG45" s="238"/>
      <c r="BH45" s="238"/>
      <c r="BI45" s="238"/>
      <c r="BJ45" s="238"/>
      <c r="BK45" s="238"/>
      <c r="BL45" s="238"/>
      <c r="BM45" s="238"/>
      <c r="BN45" s="238"/>
      <c r="BO45" s="238"/>
      <c r="BP45" s="238"/>
      <c r="BQ45" s="238"/>
      <c r="BR45" s="238"/>
      <c r="BS45" s="238"/>
      <c r="BT45" s="238"/>
      <c r="BU45" s="238"/>
      <c r="BV45" s="238"/>
      <c r="BW45" s="238"/>
      <c r="BX45" s="238"/>
      <c r="BY45" s="238"/>
      <c r="BZ45" s="238"/>
      <c r="CA45" s="238"/>
      <c r="CB45" s="238"/>
      <c r="CC45" s="238"/>
      <c r="CD45" s="238"/>
      <c r="CE45" s="238"/>
      <c r="CF45" s="238"/>
      <c r="CG45" s="238"/>
      <c r="CH45" s="238"/>
      <c r="CI45" s="238"/>
      <c r="CJ45" s="238"/>
      <c r="CK45" s="238"/>
      <c r="CL45" s="238"/>
      <c r="CM45" s="238"/>
      <c r="CN45" s="238"/>
      <c r="CO45" s="238"/>
      <c r="CP45" s="238"/>
      <c r="CQ45" s="238"/>
      <c r="CR45" s="238"/>
      <c r="CS45" s="238"/>
      <c r="CT45" s="238"/>
      <c r="CU45" s="238"/>
      <c r="CV45" s="238"/>
      <c r="CW45" s="238"/>
      <c r="CX45" s="238"/>
      <c r="CY45" s="238"/>
      <c r="CZ45" s="238"/>
      <c r="DA45" s="238"/>
      <c r="DB45" s="238"/>
      <c r="DC45" s="238"/>
      <c r="DD45" s="238"/>
      <c r="DE45" s="238"/>
      <c r="DF45" s="238"/>
      <c r="DG45" s="238"/>
      <c r="DH45" s="238"/>
      <c r="DI45" s="238"/>
      <c r="DJ45" s="238"/>
      <c r="DK45" s="238"/>
      <c r="DL45" s="238"/>
    </row>
    <row r="46" spans="1:116" s="239" customFormat="1" ht="27.75" customHeight="1">
      <c r="A46" s="511"/>
      <c r="B46" s="511"/>
      <c r="C46" s="511"/>
      <c r="D46" s="511"/>
      <c r="E46" s="511"/>
      <c r="F46" s="511"/>
      <c r="G46" s="511"/>
      <c r="H46" s="511"/>
      <c r="I46" s="511"/>
      <c r="J46" s="511"/>
      <c r="K46" s="511"/>
      <c r="L46" s="511"/>
      <c r="M46" s="511"/>
      <c r="N46" s="511"/>
      <c r="O46" s="511"/>
      <c r="P46" s="511"/>
      <c r="Q46" s="511"/>
      <c r="R46" s="511"/>
      <c r="S46" s="511"/>
      <c r="T46" s="511"/>
      <c r="U46" s="238"/>
      <c r="V46" s="238"/>
      <c r="W46" s="238"/>
      <c r="X46" s="238"/>
      <c r="Y46" s="238"/>
      <c r="Z46" s="238"/>
      <c r="AA46" s="238"/>
      <c r="AB46" s="238"/>
      <c r="AC46" s="238"/>
      <c r="AD46" s="238"/>
      <c r="AE46" s="238"/>
      <c r="AF46" s="238"/>
      <c r="AG46" s="238"/>
      <c r="AH46" s="238"/>
      <c r="AI46" s="238"/>
      <c r="AJ46" s="238"/>
      <c r="AK46" s="238"/>
      <c r="AL46" s="238"/>
      <c r="AM46" s="238"/>
      <c r="AN46" s="238"/>
      <c r="AO46" s="238"/>
      <c r="AP46" s="238"/>
      <c r="AQ46" s="238"/>
      <c r="AR46" s="238"/>
      <c r="AS46" s="238"/>
      <c r="AT46" s="238"/>
      <c r="AU46" s="238"/>
      <c r="AV46" s="238"/>
      <c r="AW46" s="238"/>
      <c r="AX46" s="238"/>
      <c r="AY46" s="238"/>
      <c r="AZ46" s="238"/>
      <c r="BA46" s="238"/>
      <c r="BB46" s="238"/>
      <c r="BC46" s="238"/>
      <c r="BD46" s="238"/>
      <c r="BE46" s="238"/>
      <c r="BF46" s="238"/>
      <c r="BG46" s="238"/>
      <c r="BH46" s="238"/>
      <c r="BI46" s="238"/>
      <c r="BJ46" s="238"/>
      <c r="BK46" s="238"/>
      <c r="BL46" s="238"/>
      <c r="BM46" s="238"/>
      <c r="BN46" s="238"/>
      <c r="BO46" s="238"/>
      <c r="BP46" s="238"/>
      <c r="BQ46" s="238"/>
      <c r="BR46" s="238"/>
      <c r="BS46" s="238"/>
      <c r="BT46" s="238"/>
      <c r="BU46" s="238"/>
      <c r="BV46" s="238"/>
      <c r="BW46" s="238"/>
      <c r="BX46" s="238"/>
      <c r="BY46" s="238"/>
      <c r="BZ46" s="238"/>
      <c r="CA46" s="238"/>
      <c r="CB46" s="238"/>
      <c r="CC46" s="238"/>
      <c r="CD46" s="238"/>
      <c r="CE46" s="238"/>
      <c r="CF46" s="238"/>
      <c r="CG46" s="238"/>
      <c r="CH46" s="238"/>
      <c r="CI46" s="238"/>
      <c r="CJ46" s="238"/>
      <c r="CK46" s="238"/>
      <c r="CL46" s="238"/>
      <c r="CM46" s="238"/>
      <c r="CN46" s="238"/>
      <c r="CO46" s="238"/>
      <c r="CP46" s="238"/>
      <c r="CQ46" s="238"/>
      <c r="CR46" s="238"/>
      <c r="CS46" s="238"/>
      <c r="CT46" s="238"/>
      <c r="CU46" s="238"/>
      <c r="CV46" s="238"/>
      <c r="CW46" s="238"/>
      <c r="CX46" s="238"/>
      <c r="CY46" s="238"/>
      <c r="CZ46" s="238"/>
      <c r="DA46" s="238"/>
      <c r="DB46" s="238"/>
      <c r="DC46" s="238"/>
      <c r="DD46" s="238"/>
      <c r="DE46" s="238"/>
      <c r="DF46" s="238"/>
      <c r="DG46" s="238"/>
      <c r="DH46" s="238"/>
      <c r="DI46" s="238"/>
      <c r="DJ46" s="238"/>
      <c r="DK46" s="238"/>
      <c r="DL46" s="238"/>
    </row>
    <row r="47" spans="1:116" s="239" customFormat="1" ht="27.75" customHeight="1">
      <c r="A47" s="511"/>
      <c r="B47" s="511"/>
      <c r="C47" s="511"/>
      <c r="D47" s="511"/>
      <c r="E47" s="511"/>
      <c r="F47" s="511"/>
      <c r="G47" s="511"/>
      <c r="H47" s="511"/>
      <c r="I47" s="511"/>
      <c r="J47" s="511"/>
      <c r="K47" s="511"/>
      <c r="L47" s="511"/>
      <c r="M47" s="511"/>
      <c r="N47" s="511"/>
      <c r="O47" s="511"/>
      <c r="P47" s="511"/>
      <c r="Q47" s="511"/>
      <c r="R47" s="511"/>
      <c r="S47" s="511"/>
      <c r="T47" s="511"/>
      <c r="U47" s="238"/>
      <c r="V47" s="238"/>
      <c r="W47" s="238"/>
      <c r="X47" s="238"/>
      <c r="Y47" s="238"/>
      <c r="Z47" s="238"/>
      <c r="AA47" s="238"/>
      <c r="AB47" s="238"/>
      <c r="AC47" s="238"/>
      <c r="AD47" s="238"/>
      <c r="AE47" s="238"/>
      <c r="AF47" s="238"/>
      <c r="AG47" s="238"/>
      <c r="AH47" s="238"/>
      <c r="AI47" s="238"/>
      <c r="AJ47" s="238"/>
      <c r="AK47" s="238"/>
      <c r="AL47" s="238"/>
      <c r="AM47" s="238"/>
      <c r="AN47" s="238"/>
      <c r="AO47" s="238"/>
      <c r="AP47" s="238"/>
      <c r="AQ47" s="238"/>
      <c r="AR47" s="238"/>
      <c r="AS47" s="238"/>
      <c r="AT47" s="238"/>
      <c r="AU47" s="238"/>
      <c r="AV47" s="238"/>
      <c r="AW47" s="238"/>
      <c r="AX47" s="238"/>
      <c r="AY47" s="238"/>
      <c r="AZ47" s="238"/>
      <c r="BA47" s="238"/>
      <c r="BB47" s="238"/>
      <c r="BC47" s="238"/>
      <c r="BD47" s="238"/>
      <c r="BE47" s="238"/>
      <c r="BF47" s="238"/>
      <c r="BG47" s="238"/>
      <c r="BH47" s="238"/>
      <c r="BI47" s="238"/>
      <c r="BJ47" s="238"/>
      <c r="BK47" s="238"/>
      <c r="BL47" s="238"/>
      <c r="BM47" s="238"/>
      <c r="BN47" s="238"/>
      <c r="BO47" s="238"/>
      <c r="BP47" s="238"/>
      <c r="BQ47" s="238"/>
      <c r="BR47" s="238"/>
      <c r="BS47" s="238"/>
      <c r="BT47" s="238"/>
      <c r="BU47" s="238"/>
      <c r="BV47" s="238"/>
      <c r="BW47" s="238"/>
      <c r="BX47" s="238"/>
      <c r="BY47" s="238"/>
      <c r="BZ47" s="238"/>
      <c r="CA47" s="238"/>
      <c r="CB47" s="238"/>
      <c r="CC47" s="238"/>
      <c r="CD47" s="238"/>
      <c r="CE47" s="238"/>
      <c r="CF47" s="238"/>
      <c r="CG47" s="238"/>
      <c r="CH47" s="238"/>
      <c r="CI47" s="238"/>
      <c r="CJ47" s="238"/>
      <c r="CK47" s="238"/>
      <c r="CL47" s="238"/>
      <c r="CM47" s="238"/>
      <c r="CN47" s="238"/>
      <c r="CO47" s="238"/>
      <c r="CP47" s="238"/>
      <c r="CQ47" s="238"/>
      <c r="CR47" s="238"/>
      <c r="CS47" s="238"/>
      <c r="CT47" s="238"/>
      <c r="CU47" s="238"/>
      <c r="CV47" s="238"/>
      <c r="CW47" s="238"/>
      <c r="CX47" s="238"/>
      <c r="CY47" s="238"/>
      <c r="CZ47" s="238"/>
      <c r="DA47" s="238"/>
      <c r="DB47" s="238"/>
      <c r="DC47" s="238"/>
      <c r="DD47" s="238"/>
      <c r="DE47" s="238"/>
      <c r="DF47" s="238"/>
      <c r="DG47" s="238"/>
      <c r="DH47" s="238"/>
      <c r="DI47" s="238"/>
      <c r="DJ47" s="238"/>
      <c r="DK47" s="238"/>
      <c r="DL47" s="238"/>
    </row>
    <row r="62" spans="1:4" ht="46.5" customHeight="1">
      <c r="A62" s="577" t="s">
        <v>3219</v>
      </c>
      <c r="B62" s="578"/>
      <c r="C62" s="578"/>
      <c r="D62" s="578"/>
    </row>
  </sheetData>
  <mergeCells count="14">
    <mergeCell ref="A43:T43"/>
    <mergeCell ref="J22:Q22"/>
    <mergeCell ref="A62:D62"/>
    <mergeCell ref="A1:T1"/>
    <mergeCell ref="R5:T5"/>
    <mergeCell ref="O6:P6"/>
    <mergeCell ref="J5:Q5"/>
    <mergeCell ref="A5:A6"/>
    <mergeCell ref="B5:I5"/>
    <mergeCell ref="G6:H6"/>
    <mergeCell ref="A4:D4"/>
    <mergeCell ref="A42:T42"/>
    <mergeCell ref="A40:K40"/>
    <mergeCell ref="A41:T41"/>
  </mergeCells>
  <phoneticPr fontId="3" type="noConversion"/>
  <printOptions horizontalCentered="1" verticalCentered="1"/>
  <pageMargins left="0.15748031496062992" right="0.15748031496062992" top="0.55118110236220474" bottom="0.31496062992125984" header="0.43307086614173229" footer="0.23622047244094491"/>
  <pageSetup paperSize="9" scale="38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dimension ref="A1:V43"/>
  <sheetViews>
    <sheetView topLeftCell="F26" zoomScale="80" zoomScaleNormal="80" workbookViewId="0">
      <selection activeCell="A38" sqref="A38:T38"/>
    </sheetView>
  </sheetViews>
  <sheetFormatPr defaultRowHeight="18.75"/>
  <cols>
    <col min="1" max="1" width="51.5703125" style="35" customWidth="1"/>
    <col min="2" max="2" width="16.140625" style="35" bestFit="1" customWidth="1"/>
    <col min="3" max="3" width="15.5703125" style="35" customWidth="1"/>
    <col min="4" max="4" width="14.28515625" style="35" bestFit="1" customWidth="1"/>
    <col min="5" max="5" width="15.28515625" style="35" bestFit="1" customWidth="1"/>
    <col min="6" max="6" width="16.42578125" style="35" customWidth="1"/>
    <col min="7" max="7" width="9.28515625" style="35" customWidth="1"/>
    <col min="8" max="8" width="14.28515625" style="406" customWidth="1"/>
    <col min="9" max="9" width="13.7109375" style="38" customWidth="1"/>
    <col min="10" max="10" width="15.5703125" style="37" customWidth="1"/>
    <col min="11" max="11" width="16" style="35" customWidth="1"/>
    <col min="12" max="13" width="14.85546875" style="35" customWidth="1"/>
    <col min="14" max="14" width="17.140625" style="35" customWidth="1"/>
    <col min="15" max="15" width="9.5703125" style="38" bestFit="1" customWidth="1"/>
    <col min="16" max="16" width="13.28515625" style="406" bestFit="1" customWidth="1"/>
    <col min="17" max="17" width="14.5703125" style="35" bestFit="1" customWidth="1"/>
    <col min="18" max="18" width="11.85546875" style="407" customWidth="1"/>
    <col min="19" max="19" width="11.140625" style="408" customWidth="1"/>
    <col min="20" max="20" width="12.42578125" style="408" customWidth="1"/>
    <col min="21" max="16384" width="9.140625" style="35"/>
  </cols>
  <sheetData>
    <row r="1" spans="1:20" ht="23.25">
      <c r="A1" s="592" t="s">
        <v>35</v>
      </c>
      <c r="B1" s="592"/>
      <c r="C1" s="592"/>
      <c r="D1" s="592"/>
      <c r="E1" s="592"/>
      <c r="F1" s="592"/>
      <c r="G1" s="592"/>
      <c r="H1" s="592"/>
      <c r="I1" s="592"/>
      <c r="J1" s="592"/>
      <c r="K1" s="592"/>
      <c r="L1" s="592"/>
      <c r="M1" s="592"/>
      <c r="N1" s="592"/>
      <c r="O1" s="592"/>
      <c r="P1" s="592"/>
      <c r="Q1" s="592"/>
      <c r="R1" s="592"/>
      <c r="S1" s="592"/>
      <c r="T1" s="592"/>
    </row>
    <row r="2" spans="1:20" ht="12.75" customHeight="1">
      <c r="A2" s="192"/>
      <c r="B2" s="192"/>
      <c r="C2" s="192"/>
      <c r="D2" s="192"/>
      <c r="E2" s="192"/>
      <c r="F2" s="192"/>
      <c r="G2" s="192"/>
      <c r="I2" s="330"/>
    </row>
    <row r="3" spans="1:20" ht="23.25">
      <c r="A3" s="379" t="s">
        <v>37</v>
      </c>
      <c r="B3" s="379"/>
      <c r="C3" s="379"/>
      <c r="D3" s="406"/>
      <c r="E3" s="406"/>
      <c r="F3" s="406"/>
      <c r="G3" s="406"/>
      <c r="I3" s="409"/>
    </row>
    <row r="4" spans="1:20" ht="13.5" customHeight="1">
      <c r="A4" s="379"/>
      <c r="B4" s="379"/>
      <c r="C4" s="379"/>
      <c r="D4" s="406"/>
      <c r="E4" s="406"/>
      <c r="F4" s="406"/>
      <c r="G4" s="406"/>
      <c r="I4" s="409"/>
    </row>
    <row r="5" spans="1:20" ht="23.25">
      <c r="A5" s="600" t="s">
        <v>388</v>
      </c>
      <c r="B5" s="600"/>
      <c r="C5" s="600"/>
      <c r="D5" s="600"/>
      <c r="E5" s="410"/>
      <c r="F5" s="411"/>
      <c r="G5" s="411"/>
      <c r="H5" s="412"/>
      <c r="I5" s="116"/>
    </row>
    <row r="6" spans="1:20">
      <c r="A6" s="411"/>
      <c r="B6" s="411"/>
      <c r="C6" s="411"/>
      <c r="D6" s="411"/>
      <c r="E6" s="411"/>
      <c r="F6" s="411"/>
      <c r="G6" s="413"/>
      <c r="H6" s="412"/>
      <c r="I6" s="116"/>
    </row>
    <row r="7" spans="1:20" ht="22.5" customHeight="1">
      <c r="A7" s="595" t="s">
        <v>16</v>
      </c>
      <c r="B7" s="558" t="s">
        <v>339</v>
      </c>
      <c r="C7" s="593"/>
      <c r="D7" s="593"/>
      <c r="E7" s="593"/>
      <c r="F7" s="593"/>
      <c r="G7" s="593"/>
      <c r="H7" s="593"/>
      <c r="I7" s="599"/>
      <c r="J7" s="594" t="s">
        <v>381</v>
      </c>
      <c r="K7" s="595"/>
      <c r="L7" s="595"/>
      <c r="M7" s="595"/>
      <c r="N7" s="595"/>
      <c r="O7" s="595"/>
      <c r="P7" s="595"/>
      <c r="Q7" s="596"/>
      <c r="R7" s="593" t="s">
        <v>31</v>
      </c>
      <c r="S7" s="593"/>
      <c r="T7" s="559"/>
    </row>
    <row r="8" spans="1:20" s="192" customFormat="1" ht="48" customHeight="1">
      <c r="A8" s="595"/>
      <c r="B8" s="134" t="s">
        <v>6</v>
      </c>
      <c r="C8" s="134" t="s">
        <v>7</v>
      </c>
      <c r="D8" s="134" t="s">
        <v>10</v>
      </c>
      <c r="E8" s="134" t="s">
        <v>11</v>
      </c>
      <c r="F8" s="134" t="s">
        <v>12</v>
      </c>
      <c r="G8" s="597" t="s">
        <v>13</v>
      </c>
      <c r="H8" s="598"/>
      <c r="I8" s="414" t="s">
        <v>14</v>
      </c>
      <c r="J8" s="415" t="s">
        <v>6</v>
      </c>
      <c r="K8" s="134" t="s">
        <v>7</v>
      </c>
      <c r="L8" s="134" t="s">
        <v>10</v>
      </c>
      <c r="M8" s="134" t="s">
        <v>11</v>
      </c>
      <c r="N8" s="134" t="s">
        <v>12</v>
      </c>
      <c r="O8" s="597" t="s">
        <v>13</v>
      </c>
      <c r="P8" s="598"/>
      <c r="Q8" s="416" t="s">
        <v>14</v>
      </c>
      <c r="R8" s="417" t="s">
        <v>30</v>
      </c>
      <c r="S8" s="418" t="s">
        <v>29</v>
      </c>
      <c r="T8" s="418" t="s">
        <v>28</v>
      </c>
    </row>
    <row r="9" spans="1:20" s="192" customFormat="1" ht="25.5" customHeight="1">
      <c r="A9" s="119" t="s">
        <v>17</v>
      </c>
      <c r="B9" s="117">
        <v>32213767.41</v>
      </c>
      <c r="C9" s="117">
        <v>43791519.359999999</v>
      </c>
      <c r="D9" s="117">
        <v>5369762.8099999996</v>
      </c>
      <c r="E9" s="117">
        <v>20081698.43</v>
      </c>
      <c r="F9" s="117">
        <v>101456748.00999999</v>
      </c>
      <c r="G9" s="419">
        <v>6281.14</v>
      </c>
      <c r="H9" s="191" t="s">
        <v>39</v>
      </c>
      <c r="I9" s="414">
        <v>16152.600962564118</v>
      </c>
      <c r="J9" s="420">
        <f>+'ตารางที่ 4'!B6</f>
        <v>30916192.690000001</v>
      </c>
      <c r="K9" s="40">
        <f>+'ตารางที่ 4'!C6</f>
        <v>37795766.479999997</v>
      </c>
      <c r="L9" s="40">
        <f>+'ตารางที่ 4'!D6</f>
        <v>6454619.5300000003</v>
      </c>
      <c r="M9" s="40">
        <f>+'ตารางที่ 4'!E6</f>
        <v>22023495.52</v>
      </c>
      <c r="N9" s="40">
        <f>+'ตารางที่ 4'!F6</f>
        <v>97190074.219999999</v>
      </c>
      <c r="O9" s="40">
        <f>+'ตารางที่ 4'!G6</f>
        <v>6060.59</v>
      </c>
      <c r="P9" s="191" t="s">
        <v>39</v>
      </c>
      <c r="Q9" s="421">
        <f>+N9/O9</f>
        <v>16036.404742772567</v>
      </c>
      <c r="R9" s="422">
        <f>(N9-F9)/F9</f>
        <v>-4.2054115410632427E-2</v>
      </c>
      <c r="S9" s="422">
        <f>(O9-G9)/G9</f>
        <v>-3.5113052726097521E-2</v>
      </c>
      <c r="T9" s="230">
        <f>(Q9-I9)/I9</f>
        <v>-7.1936538307887177E-3</v>
      </c>
    </row>
    <row r="10" spans="1:20" s="192" customFormat="1" ht="25.5" customHeight="1">
      <c r="A10" s="119" t="s">
        <v>126</v>
      </c>
      <c r="B10" s="117">
        <v>32138536.350000001</v>
      </c>
      <c r="C10" s="117">
        <v>43693633.289999999</v>
      </c>
      <c r="D10" s="117">
        <v>5355468.84</v>
      </c>
      <c r="E10" s="117">
        <v>20013110.210000001</v>
      </c>
      <c r="F10" s="117">
        <v>101200748.69</v>
      </c>
      <c r="G10" s="419">
        <v>6264.42</v>
      </c>
      <c r="H10" s="191" t="s">
        <v>39</v>
      </c>
      <c r="I10" s="414">
        <v>16154.847326647958</v>
      </c>
      <c r="J10" s="420">
        <f>+'ตารางที่ 4'!B7</f>
        <v>30894606.530000001</v>
      </c>
      <c r="K10" s="40">
        <f>+'ตารางที่ 4'!C7</f>
        <v>37762100.409999996</v>
      </c>
      <c r="L10" s="40">
        <f>+'ตารางที่ 4'!D7</f>
        <v>6446650.8300000001</v>
      </c>
      <c r="M10" s="40">
        <f>+'ตารางที่ 4'!E7</f>
        <v>21994289.640000001</v>
      </c>
      <c r="N10" s="40">
        <f>+'ตารางที่ 4'!F7</f>
        <v>97097647.409999996</v>
      </c>
      <c r="O10" s="40">
        <f>+'ตารางที่ 4'!G7</f>
        <v>6053.26</v>
      </c>
      <c r="P10" s="191" t="s">
        <v>39</v>
      </c>
      <c r="Q10" s="421">
        <f t="shared" ref="Q10:Q35" si="0">+N10/O10</f>
        <v>16040.55457885503</v>
      </c>
      <c r="R10" s="422">
        <f>(N10-F10)/F10</f>
        <v>-4.0544179100578559E-2</v>
      </c>
      <c r="S10" s="422">
        <f t="shared" ref="S10:S30" si="1">(O10-G10)/G10</f>
        <v>-3.3707829296247674E-2</v>
      </c>
      <c r="T10" s="230">
        <f t="shared" ref="T10:T30" si="2">(Q10-I10)/I10</f>
        <v>-7.0748268604431952E-3</v>
      </c>
    </row>
    <row r="11" spans="1:20" s="192" customFormat="1" ht="25.5" customHeight="1">
      <c r="A11" s="119" t="s">
        <v>27</v>
      </c>
      <c r="B11" s="26">
        <v>20661698.350000001</v>
      </c>
      <c r="C11" s="26">
        <v>30054434.190000001</v>
      </c>
      <c r="D11" s="26">
        <v>4294551.83</v>
      </c>
      <c r="E11" s="26">
        <v>13637840.960000001</v>
      </c>
      <c r="F11" s="117">
        <v>68648525.330000013</v>
      </c>
      <c r="G11" s="419">
        <v>5023.4399999999996</v>
      </c>
      <c r="H11" s="191" t="s">
        <v>39</v>
      </c>
      <c r="I11" s="414">
        <v>13665.640543133792</v>
      </c>
      <c r="J11" s="420">
        <f>+'ตารางที่ 4'!B8</f>
        <v>19749135.789999999</v>
      </c>
      <c r="K11" s="40">
        <f>+'ตารางที่ 4'!C8</f>
        <v>30052365.219999999</v>
      </c>
      <c r="L11" s="40">
        <f>+'ตารางที่ 4'!D8</f>
        <v>5115932.88</v>
      </c>
      <c r="M11" s="40">
        <f>+'ตารางที่ 4'!E8</f>
        <v>16364609.789999999</v>
      </c>
      <c r="N11" s="40">
        <f>+'ตารางที่ 4'!F8</f>
        <v>71282043.680000007</v>
      </c>
      <c r="O11" s="40">
        <f>+'ตารางที่ 4'!G8</f>
        <v>4829.2</v>
      </c>
      <c r="P11" s="191" t="s">
        <v>39</v>
      </c>
      <c r="Q11" s="421">
        <f t="shared" si="0"/>
        <v>14760.631922471634</v>
      </c>
      <c r="R11" s="422">
        <f>(N11-F11)/F11</f>
        <v>3.8362344090283364E-2</v>
      </c>
      <c r="S11" s="422">
        <f t="shared" si="1"/>
        <v>-3.8666730368034613E-2</v>
      </c>
      <c r="T11" s="230">
        <f t="shared" si="2"/>
        <v>8.012733657684365E-2</v>
      </c>
    </row>
    <row r="12" spans="1:20" s="192" customFormat="1" ht="25.5" customHeight="1">
      <c r="A12" s="119" t="s">
        <v>25</v>
      </c>
      <c r="B12" s="387">
        <v>11476838</v>
      </c>
      <c r="C12" s="387">
        <v>13639199.1</v>
      </c>
      <c r="D12" s="387">
        <v>1060917.01</v>
      </c>
      <c r="E12" s="387">
        <v>6375269.25</v>
      </c>
      <c r="F12" s="117">
        <v>32552223.360000003</v>
      </c>
      <c r="G12" s="419">
        <v>1240.98</v>
      </c>
      <c r="H12" s="191" t="s">
        <v>39</v>
      </c>
      <c r="I12" s="414">
        <v>26231.062031620175</v>
      </c>
      <c r="J12" s="420">
        <f>+'ตารางที่ 4'!B9</f>
        <v>11145470.74</v>
      </c>
      <c r="K12" s="40">
        <f>+'ตารางที่ 4'!C9</f>
        <v>7709735.1900000004</v>
      </c>
      <c r="L12" s="40">
        <f>+'ตารางที่ 4'!D9</f>
        <v>1330717.95</v>
      </c>
      <c r="M12" s="40">
        <f>+'ตารางที่ 4'!E9</f>
        <v>5629679.8499999996</v>
      </c>
      <c r="N12" s="40">
        <f>+'ตารางที่ 4'!F9</f>
        <v>25815603.729999997</v>
      </c>
      <c r="O12" s="40">
        <f>+'ตารางที่ 4'!G9</f>
        <v>1224.06</v>
      </c>
      <c r="P12" s="191" t="s">
        <v>39</v>
      </c>
      <c r="Q12" s="421">
        <f t="shared" si="0"/>
        <v>21090.145687302909</v>
      </c>
      <c r="R12" s="422">
        <f>(N12-F12)/F12</f>
        <v>-0.20694806482183115</v>
      </c>
      <c r="S12" s="422">
        <f t="shared" si="1"/>
        <v>-1.3634385727409042E-2</v>
      </c>
      <c r="T12" s="230">
        <f t="shared" si="2"/>
        <v>-0.19598582543551457</v>
      </c>
    </row>
    <row r="13" spans="1:20" s="192" customFormat="1" ht="25.5" customHeight="1">
      <c r="A13" s="119" t="s">
        <v>127</v>
      </c>
      <c r="B13" s="117">
        <v>75231.06</v>
      </c>
      <c r="C13" s="117">
        <v>97886.07</v>
      </c>
      <c r="D13" s="117">
        <v>14293.97</v>
      </c>
      <c r="E13" s="117">
        <v>68588.22</v>
      </c>
      <c r="F13" s="117">
        <v>255999.32</v>
      </c>
      <c r="G13" s="419">
        <v>16.72</v>
      </c>
      <c r="H13" s="191" t="s">
        <v>39</v>
      </c>
      <c r="I13" s="414">
        <v>15310.964114832537</v>
      </c>
      <c r="J13" s="420">
        <f>+'ตารางที่ 4'!B10</f>
        <v>21586.16</v>
      </c>
      <c r="K13" s="40">
        <f>+'ตารางที่ 4'!C10</f>
        <v>33666.07</v>
      </c>
      <c r="L13" s="40">
        <f>+'ตารางที่ 4'!D10</f>
        <v>7968.7</v>
      </c>
      <c r="M13" s="40">
        <f>+'ตารางที่ 4'!E10</f>
        <v>29205.88</v>
      </c>
      <c r="N13" s="40">
        <f>+'ตารางที่ 4'!F10</f>
        <v>92426.81</v>
      </c>
      <c r="O13" s="40">
        <f>+'ตารางที่ 4'!G10</f>
        <v>7.33</v>
      </c>
      <c r="P13" s="191" t="s">
        <v>39</v>
      </c>
      <c r="Q13" s="421">
        <f t="shared" si="0"/>
        <v>12609.387448840382</v>
      </c>
      <c r="R13" s="422">
        <f>(N13-F13)/F13</f>
        <v>-0.63895681441653829</v>
      </c>
      <c r="S13" s="422">
        <f t="shared" si="1"/>
        <v>-0.5616028708133971</v>
      </c>
      <c r="T13" s="230">
        <f t="shared" si="2"/>
        <v>-0.17644719468547351</v>
      </c>
    </row>
    <row r="14" spans="1:20" s="192" customFormat="1" ht="25.5" customHeight="1">
      <c r="A14" s="119" t="s">
        <v>27</v>
      </c>
      <c r="B14" s="387">
        <v>75231.06</v>
      </c>
      <c r="C14" s="387">
        <v>97886.07</v>
      </c>
      <c r="D14" s="387">
        <v>14293.97</v>
      </c>
      <c r="E14" s="387">
        <v>68588.22</v>
      </c>
      <c r="F14" s="117">
        <v>255999.32</v>
      </c>
      <c r="G14" s="419">
        <v>16.72</v>
      </c>
      <c r="H14" s="191" t="s">
        <v>39</v>
      </c>
      <c r="I14" s="414">
        <v>15310.964114832537</v>
      </c>
      <c r="J14" s="420">
        <f>+'ตารางที่ 4'!B11</f>
        <v>21586.16</v>
      </c>
      <c r="K14" s="40">
        <f>+'ตารางที่ 4'!C11</f>
        <v>33666.07</v>
      </c>
      <c r="L14" s="40">
        <f>+'ตารางที่ 4'!D11</f>
        <v>7968.7</v>
      </c>
      <c r="M14" s="40">
        <f>+'ตารางที่ 4'!E11</f>
        <v>29205.88</v>
      </c>
      <c r="N14" s="40">
        <f>+'ตารางที่ 4'!F11</f>
        <v>92426.81</v>
      </c>
      <c r="O14" s="40">
        <f>+'ตารางที่ 4'!G11</f>
        <v>7.33</v>
      </c>
      <c r="P14" s="191" t="s">
        <v>39</v>
      </c>
      <c r="Q14" s="421">
        <f t="shared" si="0"/>
        <v>12609.387448840382</v>
      </c>
      <c r="R14" s="422">
        <f t="shared" ref="R14:R30" si="3">(N14-F14)/F14</f>
        <v>-0.63895681441653829</v>
      </c>
      <c r="S14" s="422">
        <f t="shared" si="1"/>
        <v>-0.5616028708133971</v>
      </c>
      <c r="T14" s="230">
        <f t="shared" si="2"/>
        <v>-0.17644719468547351</v>
      </c>
    </row>
    <row r="15" spans="1:20" s="192" customFormat="1" ht="25.5" customHeight="1">
      <c r="A15" s="119" t="s">
        <v>32</v>
      </c>
      <c r="B15" s="117">
        <v>186669166.28999999</v>
      </c>
      <c r="C15" s="117">
        <v>88690011.290000007</v>
      </c>
      <c r="D15" s="117">
        <v>6099687.1700000009</v>
      </c>
      <c r="E15" s="117">
        <v>125259283.92</v>
      </c>
      <c r="F15" s="117">
        <v>406718148.67000002</v>
      </c>
      <c r="G15" s="419">
        <v>7134.95</v>
      </c>
      <c r="H15" s="191" t="s">
        <v>39</v>
      </c>
      <c r="I15" s="414">
        <v>57003.643847539228</v>
      </c>
      <c r="J15" s="420">
        <f>+'ตารางที่ 4'!B12</f>
        <v>160500352.38999999</v>
      </c>
      <c r="K15" s="40">
        <f>+'ตารางที่ 4'!C12</f>
        <v>103418590.25999999</v>
      </c>
      <c r="L15" s="40">
        <f>+'ตารางที่ 4'!D12</f>
        <v>7819110.9399999985</v>
      </c>
      <c r="M15" s="40">
        <f>+'ตารางที่ 4'!E12</f>
        <v>126741019.53</v>
      </c>
      <c r="N15" s="40">
        <f>+'ตารางที่ 4'!F12</f>
        <v>398479073.12000006</v>
      </c>
      <c r="O15" s="40">
        <f>+'ตารางที่ 4'!G12</f>
        <v>7381.6500000000005</v>
      </c>
      <c r="P15" s="191" t="s">
        <v>39</v>
      </c>
      <c r="Q15" s="421">
        <f t="shared" si="0"/>
        <v>53982.385119858031</v>
      </c>
      <c r="R15" s="422">
        <f t="shared" si="3"/>
        <v>-2.0257457349622511E-2</v>
      </c>
      <c r="S15" s="422">
        <f t="shared" si="1"/>
        <v>3.4576275937462875E-2</v>
      </c>
      <c r="T15" s="230">
        <f t="shared" si="2"/>
        <v>-5.3001150869614475E-2</v>
      </c>
    </row>
    <row r="16" spans="1:20" s="192" customFormat="1" ht="25.5" customHeight="1">
      <c r="A16" s="119" t="s">
        <v>128</v>
      </c>
      <c r="B16" s="117">
        <v>15221477.34</v>
      </c>
      <c r="C16" s="117">
        <v>3163017.37</v>
      </c>
      <c r="D16" s="117">
        <v>326410.36</v>
      </c>
      <c r="E16" s="117">
        <v>9770680.1999999993</v>
      </c>
      <c r="F16" s="117">
        <v>28481585.27</v>
      </c>
      <c r="G16" s="419">
        <v>381.81</v>
      </c>
      <c r="H16" s="191" t="s">
        <v>39</v>
      </c>
      <c r="I16" s="414">
        <v>74596.226578664777</v>
      </c>
      <c r="J16" s="420">
        <f>+'ตารางที่ 4'!B13</f>
        <v>14909454.210000001</v>
      </c>
      <c r="K16" s="40">
        <f>+'ตารางที่ 4'!C13</f>
        <v>1273898.24</v>
      </c>
      <c r="L16" s="40">
        <f>+'ตารางที่ 4'!D13</f>
        <v>423765.06</v>
      </c>
      <c r="M16" s="40">
        <f>+'ตารางที่ 4'!E13</f>
        <v>8035652.8600000003</v>
      </c>
      <c r="N16" s="40">
        <f>+'ตารางที่ 4'!F13</f>
        <v>24642770.370000001</v>
      </c>
      <c r="O16" s="40">
        <f>+'ตารางที่ 4'!G13</f>
        <v>389.8</v>
      </c>
      <c r="P16" s="191" t="s">
        <v>39</v>
      </c>
      <c r="Q16" s="421">
        <f t="shared" si="0"/>
        <v>63219.010697793739</v>
      </c>
      <c r="R16" s="422">
        <f t="shared" si="3"/>
        <v>-0.13478234668501649</v>
      </c>
      <c r="S16" s="422">
        <f t="shared" si="1"/>
        <v>2.0926638904167016E-2</v>
      </c>
      <c r="T16" s="230">
        <f t="shared" si="2"/>
        <v>-0.15251731089739903</v>
      </c>
    </row>
    <row r="17" spans="1:22" s="192" customFormat="1" ht="25.5" customHeight="1">
      <c r="A17" s="119" t="s">
        <v>22</v>
      </c>
      <c r="B17" s="387">
        <v>15221477.34</v>
      </c>
      <c r="C17" s="387">
        <v>3163017.37</v>
      </c>
      <c r="D17" s="387">
        <v>326410.36</v>
      </c>
      <c r="E17" s="387">
        <v>9770680.1999999993</v>
      </c>
      <c r="F17" s="117">
        <v>28481585.27</v>
      </c>
      <c r="G17" s="419">
        <v>381.81</v>
      </c>
      <c r="H17" s="191" t="s">
        <v>39</v>
      </c>
      <c r="I17" s="414">
        <v>74596.226578664777</v>
      </c>
      <c r="J17" s="420">
        <f>+'ตารางที่ 4'!B14</f>
        <v>14909454.210000001</v>
      </c>
      <c r="K17" s="40">
        <f>+'ตารางที่ 4'!C14</f>
        <v>1273898.24</v>
      </c>
      <c r="L17" s="40">
        <f>+'ตารางที่ 4'!D14</f>
        <v>423765.06</v>
      </c>
      <c r="M17" s="40">
        <f>+'ตารางที่ 4'!E14</f>
        <v>8035652.8600000003</v>
      </c>
      <c r="N17" s="40">
        <f>+'ตารางที่ 4'!F14</f>
        <v>24642770.370000001</v>
      </c>
      <c r="O17" s="40">
        <f>+'ตารางที่ 4'!G14</f>
        <v>389.8</v>
      </c>
      <c r="P17" s="191" t="s">
        <v>39</v>
      </c>
      <c r="Q17" s="421">
        <f t="shared" si="0"/>
        <v>63219.010697793739</v>
      </c>
      <c r="R17" s="422">
        <f t="shared" si="3"/>
        <v>-0.13478234668501649</v>
      </c>
      <c r="S17" s="422">
        <f t="shared" si="1"/>
        <v>2.0926638904167016E-2</v>
      </c>
      <c r="T17" s="230">
        <f t="shared" si="2"/>
        <v>-0.15251731089739903</v>
      </c>
    </row>
    <row r="18" spans="1:22" s="192" customFormat="1" ht="25.5" customHeight="1">
      <c r="A18" s="119" t="s">
        <v>126</v>
      </c>
      <c r="B18" s="117">
        <v>170648005.51999998</v>
      </c>
      <c r="C18" s="117">
        <v>84945221.700000003</v>
      </c>
      <c r="D18" s="117">
        <v>5739944.0500000007</v>
      </c>
      <c r="E18" s="117">
        <v>115023437.84</v>
      </c>
      <c r="F18" s="117">
        <v>376356609.11000001</v>
      </c>
      <c r="G18" s="419">
        <v>6714.15</v>
      </c>
      <c r="H18" s="191" t="s">
        <v>39</v>
      </c>
      <c r="I18" s="414">
        <v>56054.245006441626</v>
      </c>
      <c r="J18" s="420">
        <f>+'ตารางที่ 4'!B15</f>
        <v>145161453.98999998</v>
      </c>
      <c r="K18" s="40">
        <f>+'ตารางที่ 4'!C15</f>
        <v>101763737.19</v>
      </c>
      <c r="L18" s="40">
        <f>+'ตารางที่ 4'!D15</f>
        <v>7367473.4799999986</v>
      </c>
      <c r="M18" s="40">
        <f>+'ตารางที่ 4'!E15</f>
        <v>118376952.14</v>
      </c>
      <c r="N18" s="40">
        <f>+'ตารางที่ 4'!F15</f>
        <v>372669616.80000007</v>
      </c>
      <c r="O18" s="40">
        <f>+'ตารางที่ 4'!G15</f>
        <v>6965.51</v>
      </c>
      <c r="P18" s="191" t="s">
        <v>39</v>
      </c>
      <c r="Q18" s="421">
        <f t="shared" si="0"/>
        <v>53502.129320035441</v>
      </c>
      <c r="R18" s="422">
        <f>(N18-F18)/F18</f>
        <v>-9.796539294789755E-3</v>
      </c>
      <c r="S18" s="422">
        <f t="shared" si="1"/>
        <v>3.7437352457124221E-2</v>
      </c>
      <c r="T18" s="230">
        <f t="shared" si="2"/>
        <v>-4.552939186163156E-2</v>
      </c>
    </row>
    <row r="19" spans="1:22" s="192" customFormat="1" ht="25.5" customHeight="1">
      <c r="A19" s="119" t="s">
        <v>24</v>
      </c>
      <c r="B19" s="387">
        <v>31908428.02</v>
      </c>
      <c r="C19" s="387">
        <v>9737351.7699999996</v>
      </c>
      <c r="D19" s="387">
        <v>779636.85</v>
      </c>
      <c r="E19" s="387">
        <v>15185078.41</v>
      </c>
      <c r="F19" s="117">
        <v>57610495.049999997</v>
      </c>
      <c r="G19" s="419">
        <v>911.96</v>
      </c>
      <c r="H19" s="191" t="s">
        <v>39</v>
      </c>
      <c r="I19" s="414">
        <v>63172.1731764551</v>
      </c>
      <c r="J19" s="420">
        <f>+'ตารางที่ 4'!B16</f>
        <v>23315054.469999999</v>
      </c>
      <c r="K19" s="40">
        <f>+'ตารางที่ 4'!C16</f>
        <v>13821270.529999999</v>
      </c>
      <c r="L19" s="40">
        <f>+'ตารางที่ 4'!D16</f>
        <v>940864.28</v>
      </c>
      <c r="M19" s="40">
        <f>+'ตารางที่ 4'!E16</f>
        <v>15266554.42</v>
      </c>
      <c r="N19" s="40">
        <f>+'ตารางที่ 4'!F16</f>
        <v>53343743.700000003</v>
      </c>
      <c r="O19" s="40">
        <f>+'ตารางที่ 4'!G16</f>
        <v>925.05</v>
      </c>
      <c r="P19" s="191" t="s">
        <v>39</v>
      </c>
      <c r="Q19" s="421">
        <f t="shared" si="0"/>
        <v>57665.795038106051</v>
      </c>
      <c r="R19" s="422">
        <f t="shared" si="3"/>
        <v>-7.4062049741056582E-2</v>
      </c>
      <c r="S19" s="422">
        <f t="shared" si="1"/>
        <v>1.4353699723672E-2</v>
      </c>
      <c r="T19" s="230">
        <f t="shared" si="2"/>
        <v>-8.7164614757963263E-2</v>
      </c>
      <c r="V19" s="330"/>
    </row>
    <row r="20" spans="1:22" s="192" customFormat="1" ht="25.5" customHeight="1">
      <c r="A20" s="119" t="s">
        <v>23</v>
      </c>
      <c r="B20" s="387">
        <v>27902137.32</v>
      </c>
      <c r="C20" s="387">
        <v>15460487.83</v>
      </c>
      <c r="D20" s="387">
        <v>1192614.75</v>
      </c>
      <c r="E20" s="387">
        <v>9239549.9700000007</v>
      </c>
      <c r="F20" s="117">
        <v>53794789.869999997</v>
      </c>
      <c r="G20" s="419">
        <v>1395.03</v>
      </c>
      <c r="H20" s="191" t="s">
        <v>39</v>
      </c>
      <c r="I20" s="414">
        <v>38561.74409869322</v>
      </c>
      <c r="J20" s="420">
        <f>+'ตารางที่ 4'!B17</f>
        <v>30369574.16</v>
      </c>
      <c r="K20" s="40">
        <f>+'ตารางที่ 4'!C17</f>
        <v>24867054.489999998</v>
      </c>
      <c r="L20" s="40">
        <f>+'ตารางที่ 4'!D17</f>
        <v>1061471.46</v>
      </c>
      <c r="M20" s="40">
        <f>+'ตารางที่ 4'!E17</f>
        <v>21182343.789999999</v>
      </c>
      <c r="N20" s="40">
        <f>+'ตารางที่ 4'!F17</f>
        <v>77480443.900000006</v>
      </c>
      <c r="O20" s="40">
        <f>+'ตารางที่ 4'!G17</f>
        <v>1043.6300000000001</v>
      </c>
      <c r="P20" s="191" t="s">
        <v>39</v>
      </c>
      <c r="Q20" s="421">
        <f t="shared" si="0"/>
        <v>74241.296149018322</v>
      </c>
      <c r="R20" s="422">
        <f t="shared" si="3"/>
        <v>0.4402964318150242</v>
      </c>
      <c r="S20" s="422">
        <f t="shared" si="1"/>
        <v>-0.25189422449696414</v>
      </c>
      <c r="T20" s="230">
        <f>(Q20-I20)/I20</f>
        <v>0.92525773624264607</v>
      </c>
    </row>
    <row r="21" spans="1:22" s="192" customFormat="1" ht="25.5" customHeight="1">
      <c r="A21" s="119" t="s">
        <v>99</v>
      </c>
      <c r="B21" s="387">
        <v>10192826.52</v>
      </c>
      <c r="C21" s="387">
        <v>5405245.7699999996</v>
      </c>
      <c r="D21" s="387">
        <v>167082.16</v>
      </c>
      <c r="E21" s="387">
        <v>20027757</v>
      </c>
      <c r="F21" s="117">
        <v>35792911.450000003</v>
      </c>
      <c r="G21" s="419">
        <v>195.44</v>
      </c>
      <c r="H21" s="191" t="s">
        <v>39</v>
      </c>
      <c r="I21" s="414">
        <v>183140.15273229638</v>
      </c>
      <c r="J21" s="420">
        <f>+'ตารางที่ 4'!B18</f>
        <v>12703847.66</v>
      </c>
      <c r="K21" s="40">
        <f>+'ตารางที่ 4'!C18</f>
        <v>8427667.8300000001</v>
      </c>
      <c r="L21" s="40">
        <f>+'ตารางที่ 4'!D18</f>
        <v>230453.52</v>
      </c>
      <c r="M21" s="40">
        <f>+'ตารางที่ 4'!E18</f>
        <v>16719933.25</v>
      </c>
      <c r="N21" s="40">
        <f>+'ตารางที่ 4'!F18</f>
        <v>38081902.260000005</v>
      </c>
      <c r="O21" s="40">
        <f>+'ตารางที่ 4'!G18</f>
        <v>226.58</v>
      </c>
      <c r="P21" s="191" t="s">
        <v>39</v>
      </c>
      <c r="Q21" s="421">
        <f t="shared" si="0"/>
        <v>168072.65539765207</v>
      </c>
      <c r="R21" s="422">
        <f t="shared" si="3"/>
        <v>6.3950953338834979E-2</v>
      </c>
      <c r="S21" s="422">
        <f t="shared" si="1"/>
        <v>0.15933278755628333</v>
      </c>
      <c r="T21" s="230">
        <f t="shared" si="2"/>
        <v>-8.2273041219251927E-2</v>
      </c>
    </row>
    <row r="22" spans="1:22" s="192" customFormat="1" ht="25.5" customHeight="1">
      <c r="A22" s="119" t="s">
        <v>22</v>
      </c>
      <c r="B22" s="387">
        <v>67791706.849999994</v>
      </c>
      <c r="C22" s="387">
        <v>36971424.109999999</v>
      </c>
      <c r="D22" s="387">
        <v>2253471.9</v>
      </c>
      <c r="E22" s="387">
        <v>49517002.259999998</v>
      </c>
      <c r="F22" s="117">
        <v>156533605.12</v>
      </c>
      <c r="G22" s="419">
        <v>2635.94</v>
      </c>
      <c r="H22" s="191" t="s">
        <v>39</v>
      </c>
      <c r="I22" s="414">
        <v>59384.35818721215</v>
      </c>
      <c r="J22" s="420">
        <f>+'ตารางที่ 4'!B19</f>
        <v>50342230.469999999</v>
      </c>
      <c r="K22" s="40">
        <f>+'ตารางที่ 4'!C19</f>
        <v>41877911.189999998</v>
      </c>
      <c r="L22" s="40">
        <f>+'ตารางที่ 4'!D19</f>
        <v>3414130.68</v>
      </c>
      <c r="M22" s="40">
        <f>+'ตารางที่ 4'!E19</f>
        <v>47607677.509999998</v>
      </c>
      <c r="N22" s="40">
        <f>+'ตารางที่ 4'!F19</f>
        <v>143241949.84999999</v>
      </c>
      <c r="O22" s="40">
        <f>+'ตารางที่ 4'!G19</f>
        <v>3187.6</v>
      </c>
      <c r="P22" s="191" t="s">
        <v>39</v>
      </c>
      <c r="Q22" s="421">
        <f t="shared" si="0"/>
        <v>44937.241137532939</v>
      </c>
      <c r="R22" s="422">
        <f t="shared" si="3"/>
        <v>-8.4912471413473897E-2</v>
      </c>
      <c r="S22" s="422">
        <f t="shared" si="1"/>
        <v>0.20928397459729731</v>
      </c>
      <c r="T22" s="230">
        <f t="shared" si="2"/>
        <v>-0.24328152211621037</v>
      </c>
    </row>
    <row r="23" spans="1:22" s="192" customFormat="1" ht="25.5" customHeight="1">
      <c r="A23" s="119" t="s">
        <v>100</v>
      </c>
      <c r="B23" s="387">
        <v>14346001.41</v>
      </c>
      <c r="C23" s="387">
        <v>9475423.4499999993</v>
      </c>
      <c r="D23" s="387">
        <v>803104.03</v>
      </c>
      <c r="E23" s="387">
        <v>12950703.949999999</v>
      </c>
      <c r="F23" s="117">
        <v>37575232.840000004</v>
      </c>
      <c r="G23" s="419">
        <v>939.41</v>
      </c>
      <c r="H23" s="191" t="s">
        <v>39</v>
      </c>
      <c r="I23" s="414">
        <v>39998.757560596547</v>
      </c>
      <c r="J23" s="420">
        <f>+'ตารางที่ 4'!B20</f>
        <v>16849271</v>
      </c>
      <c r="K23" s="40">
        <f>+'ตารางที่ 4'!C20</f>
        <v>8172418.4000000004</v>
      </c>
      <c r="L23" s="40">
        <f>+'ตารางที่ 4'!D20</f>
        <v>1030777.52</v>
      </c>
      <c r="M23" s="40">
        <f>+'ตารางที่ 4'!E20</f>
        <v>13082150.43</v>
      </c>
      <c r="N23" s="40">
        <f>+'ตารางที่ 4'!F20</f>
        <v>39134617.349999994</v>
      </c>
      <c r="O23" s="40">
        <f>+'ตารางที่ 4'!G20</f>
        <v>948.16</v>
      </c>
      <c r="P23" s="191" t="s">
        <v>39</v>
      </c>
      <c r="Q23" s="421">
        <f t="shared" si="0"/>
        <v>41274.27580788052</v>
      </c>
      <c r="R23" s="422">
        <f t="shared" si="3"/>
        <v>4.1500328597830462E-2</v>
      </c>
      <c r="S23" s="422">
        <f t="shared" si="1"/>
        <v>9.3143568835758611E-3</v>
      </c>
      <c r="T23" s="230">
        <f t="shared" si="2"/>
        <v>3.1888946684196708E-2</v>
      </c>
    </row>
    <row r="24" spans="1:22" ht="25.5" customHeight="1">
      <c r="A24" s="119" t="s">
        <v>26</v>
      </c>
      <c r="B24" s="387">
        <v>18506905.399999999</v>
      </c>
      <c r="C24" s="387">
        <v>7895288.7699999996</v>
      </c>
      <c r="D24" s="387">
        <v>544034.36</v>
      </c>
      <c r="E24" s="387">
        <v>8103346.25</v>
      </c>
      <c r="F24" s="117">
        <v>35049574.780000001</v>
      </c>
      <c r="G24" s="419">
        <v>636.37</v>
      </c>
      <c r="H24" s="191" t="s">
        <v>39</v>
      </c>
      <c r="I24" s="414">
        <v>55077.352452189763</v>
      </c>
      <c r="J24" s="420">
        <f>+'ตารางที่ 4'!B21</f>
        <v>11581476.23</v>
      </c>
      <c r="K24" s="40">
        <f>+'ตารางที่ 4'!C21</f>
        <v>4597414.75</v>
      </c>
      <c r="L24" s="40">
        <f>+'ตารางที่ 4'!D21</f>
        <v>689776.02</v>
      </c>
      <c r="M24" s="40">
        <f>+'ตารางที่ 4'!E21</f>
        <v>4518292.74</v>
      </c>
      <c r="N24" s="40">
        <f>+'ตารางที่ 4'!F21</f>
        <v>21386959.740000002</v>
      </c>
      <c r="O24" s="40">
        <f>+'ตารางที่ 4'!G21</f>
        <v>634.49</v>
      </c>
      <c r="P24" s="191" t="s">
        <v>39</v>
      </c>
      <c r="Q24" s="421">
        <f t="shared" si="0"/>
        <v>33707.323582719982</v>
      </c>
      <c r="R24" s="422">
        <f t="shared" si="3"/>
        <v>-0.38980829655588761</v>
      </c>
      <c r="S24" s="422">
        <f t="shared" si="1"/>
        <v>-2.9542561717239898E-3</v>
      </c>
      <c r="T24" s="230">
        <f t="shared" si="2"/>
        <v>-0.38800029264333585</v>
      </c>
    </row>
    <row r="25" spans="1:22" ht="25.5" customHeight="1">
      <c r="A25" s="423" t="s">
        <v>127</v>
      </c>
      <c r="B25" s="424">
        <v>799683.43</v>
      </c>
      <c r="C25" s="424">
        <v>581772.22</v>
      </c>
      <c r="D25" s="424">
        <v>33332.76</v>
      </c>
      <c r="E25" s="424">
        <v>465165.88</v>
      </c>
      <c r="F25" s="117">
        <v>1879954.29</v>
      </c>
      <c r="G25" s="246">
        <v>38.989999999999995</v>
      </c>
      <c r="H25" s="191" t="s">
        <v>39</v>
      </c>
      <c r="I25" s="414">
        <v>48216.319312644278</v>
      </c>
      <c r="J25" s="420">
        <f>+'ตารางที่ 4'!B22</f>
        <v>429444.19</v>
      </c>
      <c r="K25" s="40">
        <f>+'ตารางที่ 4'!C22</f>
        <v>380954.82999999996</v>
      </c>
      <c r="L25" s="40">
        <f>+'ตารางที่ 4'!D22</f>
        <v>27872.400000000001</v>
      </c>
      <c r="M25" s="40">
        <f>+'ตารางที่ 4'!E22</f>
        <v>328414.53000000003</v>
      </c>
      <c r="N25" s="40">
        <f>+'ตารางที่ 4'!F22</f>
        <v>1166685.9500000002</v>
      </c>
      <c r="O25" s="40">
        <f>+'ตารางที่ 4'!G22</f>
        <v>26.34</v>
      </c>
      <c r="P25" s="191" t="s">
        <v>39</v>
      </c>
      <c r="Q25" s="421">
        <f t="shared" si="0"/>
        <v>44293.316249050884</v>
      </c>
      <c r="R25" s="422">
        <f t="shared" si="3"/>
        <v>-0.37940727803546748</v>
      </c>
      <c r="S25" s="422">
        <f t="shared" si="1"/>
        <v>-0.32444216465760445</v>
      </c>
      <c r="T25" s="230">
        <f t="shared" si="2"/>
        <v>-8.1362557729798002E-2</v>
      </c>
    </row>
    <row r="26" spans="1:22" ht="25.5" customHeight="1">
      <c r="A26" s="34" t="s">
        <v>24</v>
      </c>
      <c r="B26" s="387">
        <v>366735.89</v>
      </c>
      <c r="C26" s="387">
        <v>111343.61</v>
      </c>
      <c r="D26" s="387">
        <v>8882.5400000000009</v>
      </c>
      <c r="E26" s="387">
        <v>173727.56</v>
      </c>
      <c r="F26" s="117">
        <v>660689.6</v>
      </c>
      <c r="G26" s="419">
        <v>10.39</v>
      </c>
      <c r="H26" s="191" t="s">
        <v>39</v>
      </c>
      <c r="I26" s="414">
        <v>63588.989412897012</v>
      </c>
      <c r="J26" s="420">
        <f>+'ตารางที่ 4'!B23</f>
        <v>144752.91</v>
      </c>
      <c r="K26" s="40">
        <f>+'ตารางที่ 4'!C23</f>
        <v>108747.81</v>
      </c>
      <c r="L26" s="40">
        <f>+'ตารางที่ 4'!D23</f>
        <v>7689.24</v>
      </c>
      <c r="M26" s="40">
        <f>+'ตารางที่ 4'!E23</f>
        <v>99017.46</v>
      </c>
      <c r="N26" s="40">
        <f>+'ตารางที่ 4'!F23</f>
        <v>360207.42</v>
      </c>
      <c r="O26" s="40">
        <f>+'ตารางที่ 4'!G23</f>
        <v>7.56</v>
      </c>
      <c r="P26" s="191" t="s">
        <v>39</v>
      </c>
      <c r="Q26" s="421">
        <f t="shared" si="0"/>
        <v>47646.484126984127</v>
      </c>
      <c r="R26" s="422">
        <f t="shared" si="3"/>
        <v>-0.45480083234244945</v>
      </c>
      <c r="S26" s="422">
        <f t="shared" si="1"/>
        <v>-0.27237728585178062</v>
      </c>
      <c r="T26" s="230">
        <f t="shared" si="2"/>
        <v>-0.25071172593095892</v>
      </c>
    </row>
    <row r="27" spans="1:22" ht="25.5" customHeight="1">
      <c r="A27" s="34" t="s">
        <v>23</v>
      </c>
      <c r="B27" s="387">
        <v>163265.14000000001</v>
      </c>
      <c r="C27" s="387">
        <v>147448.38</v>
      </c>
      <c r="D27" s="387">
        <v>6693.89</v>
      </c>
      <c r="E27" s="387">
        <v>4276.8599999999997</v>
      </c>
      <c r="F27" s="117">
        <v>321684.27</v>
      </c>
      <c r="G27" s="419">
        <v>7.83</v>
      </c>
      <c r="H27" s="191" t="s">
        <v>39</v>
      </c>
      <c r="I27" s="414">
        <v>41083.559386973182</v>
      </c>
      <c r="J27" s="420">
        <f>+'ตารางที่ 4'!B24</f>
        <v>118280.85</v>
      </c>
      <c r="K27" s="40">
        <f>+'ตารางที่ 4'!C24</f>
        <v>86945.19</v>
      </c>
      <c r="L27" s="40">
        <f>+'ตารางที่ 4'!D24</f>
        <v>3386.93</v>
      </c>
      <c r="M27" s="40">
        <f>+'ตารางที่ 4'!E24</f>
        <v>49142.65</v>
      </c>
      <c r="N27" s="40">
        <f>+'ตารางที่ 4'!F24</f>
        <v>257755.62</v>
      </c>
      <c r="O27" s="40">
        <f>+'ตารางที่ 4'!G24</f>
        <v>3.33</v>
      </c>
      <c r="P27" s="191" t="s">
        <v>39</v>
      </c>
      <c r="Q27" s="421">
        <f t="shared" si="0"/>
        <v>77404.090090090089</v>
      </c>
      <c r="R27" s="422">
        <f t="shared" si="3"/>
        <v>-0.19873104146497439</v>
      </c>
      <c r="S27" s="422">
        <f t="shared" si="1"/>
        <v>-0.57471264367816088</v>
      </c>
      <c r="T27" s="230">
        <f t="shared" si="2"/>
        <v>0.88406484844722244</v>
      </c>
    </row>
    <row r="28" spans="1:22" ht="25.5" customHeight="1">
      <c r="A28" s="34" t="s">
        <v>22</v>
      </c>
      <c r="B28" s="387">
        <v>269682.40000000002</v>
      </c>
      <c r="C28" s="387">
        <v>322980.23</v>
      </c>
      <c r="D28" s="387">
        <v>17756.330000000002</v>
      </c>
      <c r="E28" s="387">
        <v>287161.46000000002</v>
      </c>
      <c r="F28" s="117">
        <v>897580.41999999993</v>
      </c>
      <c r="G28" s="419">
        <v>20.77</v>
      </c>
      <c r="H28" s="191" t="s">
        <v>39</v>
      </c>
      <c r="I28" s="414">
        <v>43215.234472797303</v>
      </c>
      <c r="J28" s="420">
        <f>+'ตารางที่ 4'!B25</f>
        <v>166410.43</v>
      </c>
      <c r="K28" s="40">
        <f>+'ตารางที่ 4'!C25</f>
        <v>185261.83</v>
      </c>
      <c r="L28" s="40">
        <f>+'ตารางที่ 4'!D25</f>
        <v>16796.23</v>
      </c>
      <c r="M28" s="40">
        <f>+'ตารางที่ 4'!E25</f>
        <v>180254.42</v>
      </c>
      <c r="N28" s="40">
        <f>+'ตารางที่ 4'!F25</f>
        <v>548722.91</v>
      </c>
      <c r="O28" s="40">
        <f>+'ตารางที่ 4'!G25</f>
        <v>15.45</v>
      </c>
      <c r="P28" s="191" t="s">
        <v>39</v>
      </c>
      <c r="Q28" s="421">
        <f t="shared" si="0"/>
        <v>35516.045954692563</v>
      </c>
      <c r="R28" s="422">
        <f t="shared" si="3"/>
        <v>-0.38866434942954742</v>
      </c>
      <c r="S28" s="422">
        <f t="shared" si="1"/>
        <v>-0.25613866153105441</v>
      </c>
      <c r="T28" s="230">
        <f t="shared" si="2"/>
        <v>-0.17815912865059541</v>
      </c>
    </row>
    <row r="29" spans="1:22" ht="25.5" customHeight="1">
      <c r="A29" s="34" t="s">
        <v>34</v>
      </c>
      <c r="B29" s="32">
        <v>13268531.59</v>
      </c>
      <c r="C29" s="32">
        <v>72300</v>
      </c>
      <c r="D29" s="32">
        <v>0</v>
      </c>
      <c r="E29" s="32">
        <v>5583269.0300000003</v>
      </c>
      <c r="F29" s="117">
        <v>18924100.620000001</v>
      </c>
      <c r="G29" s="425">
        <v>172</v>
      </c>
      <c r="H29" s="426" t="s">
        <v>20</v>
      </c>
      <c r="I29" s="414">
        <v>110023.84081395349</v>
      </c>
      <c r="J29" s="420">
        <f>+'ตารางที่ 4'!B26</f>
        <v>13455228.25</v>
      </c>
      <c r="K29" s="40">
        <f>+'ตารางที่ 4'!C26</f>
        <v>50000</v>
      </c>
      <c r="L29" s="40">
        <f>+'ตารางที่ 4'!D26</f>
        <v>0</v>
      </c>
      <c r="M29" s="40">
        <f>+'ตารางที่ 4'!E26</f>
        <v>2696819.15</v>
      </c>
      <c r="N29" s="40">
        <f>+'ตารางที่ 4'!F26</f>
        <v>16202047.4</v>
      </c>
      <c r="O29" s="40">
        <f>+'ตารางที่ 4'!G26</f>
        <v>185</v>
      </c>
      <c r="P29" s="389" t="s">
        <v>20</v>
      </c>
      <c r="Q29" s="421">
        <f t="shared" si="0"/>
        <v>87578.634594594594</v>
      </c>
      <c r="R29" s="422">
        <f t="shared" si="3"/>
        <v>-0.14384055943579108</v>
      </c>
      <c r="S29" s="422">
        <f t="shared" si="1"/>
        <v>7.5581395348837205E-2</v>
      </c>
      <c r="T29" s="230">
        <f t="shared" si="2"/>
        <v>-0.20400311471868141</v>
      </c>
    </row>
    <row r="30" spans="1:22" ht="25.5" customHeight="1">
      <c r="A30" s="34" t="s">
        <v>19</v>
      </c>
      <c r="B30" s="32">
        <v>8076603</v>
      </c>
      <c r="C30" s="32">
        <v>1561626</v>
      </c>
      <c r="D30" s="32">
        <v>0</v>
      </c>
      <c r="E30" s="32">
        <v>2567972.27</v>
      </c>
      <c r="F30" s="117">
        <v>12206201.27</v>
      </c>
      <c r="G30" s="425">
        <v>147</v>
      </c>
      <c r="H30" s="426" t="s">
        <v>20</v>
      </c>
      <c r="I30" s="414">
        <v>83035.38278911564</v>
      </c>
      <c r="J30" s="420">
        <f>+'ตารางที่ 4'!B27</f>
        <v>6759555.7999999998</v>
      </c>
      <c r="K30" s="40">
        <f>+'ตารางที่ 4'!C27</f>
        <v>1385675</v>
      </c>
      <c r="L30" s="40">
        <f>+'ตารางที่ 4'!D27</f>
        <v>0</v>
      </c>
      <c r="M30" s="40">
        <f>+'ตารางที่ 4'!E27</f>
        <v>2087400.3</v>
      </c>
      <c r="N30" s="40">
        <f>+'ตารางที่ 4'!F27</f>
        <v>10232631.1</v>
      </c>
      <c r="O30" s="40">
        <f>+'ตารางที่ 4'!G27</f>
        <v>113</v>
      </c>
      <c r="P30" s="389" t="s">
        <v>20</v>
      </c>
      <c r="Q30" s="421">
        <f t="shared" si="0"/>
        <v>90554.257522123895</v>
      </c>
      <c r="R30" s="422">
        <f t="shared" si="3"/>
        <v>-0.16168586166529761</v>
      </c>
      <c r="S30" s="422">
        <f t="shared" si="1"/>
        <v>-0.23129251700680273</v>
      </c>
      <c r="T30" s="230">
        <f t="shared" si="2"/>
        <v>9.0550250753993478E-2</v>
      </c>
    </row>
    <row r="31" spans="1:22" ht="25.5" customHeight="1">
      <c r="A31" s="34" t="s">
        <v>340</v>
      </c>
      <c r="B31" s="32">
        <v>58439000</v>
      </c>
      <c r="C31" s="32">
        <v>8548616.3599999994</v>
      </c>
      <c r="D31" s="32">
        <v>0</v>
      </c>
      <c r="E31" s="32">
        <v>25401001.41</v>
      </c>
      <c r="F31" s="32">
        <v>92388617.769999996</v>
      </c>
      <c r="G31" s="81">
        <v>266</v>
      </c>
      <c r="H31" s="154" t="s">
        <v>20</v>
      </c>
      <c r="I31" s="81">
        <v>347325.63071428571</v>
      </c>
      <c r="J31" s="441"/>
      <c r="K31" s="442"/>
      <c r="L31" s="442"/>
      <c r="M31" s="442"/>
      <c r="N31" s="442"/>
      <c r="O31" s="442"/>
      <c r="P31" s="443"/>
      <c r="Q31" s="444"/>
      <c r="R31" s="422">
        <f t="shared" ref="R31:R32" si="4">(N31-F31)/F31</f>
        <v>-1</v>
      </c>
      <c r="S31" s="422">
        <f t="shared" ref="S31:S32" si="5">(O31-G31)/G31</f>
        <v>-1</v>
      </c>
      <c r="T31" s="230">
        <f t="shared" ref="T31:T32" si="6">(Q31-I31)/I31</f>
        <v>-1</v>
      </c>
    </row>
    <row r="32" spans="1:22" ht="25.5" customHeight="1">
      <c r="A32" s="34" t="s">
        <v>342</v>
      </c>
      <c r="B32" s="32">
        <v>574068846.41999996</v>
      </c>
      <c r="C32" s="32">
        <v>76736897.420000002</v>
      </c>
      <c r="D32" s="32">
        <v>0</v>
      </c>
      <c r="E32" s="32">
        <v>81837854.549999997</v>
      </c>
      <c r="F32" s="32">
        <v>732643598.38999987</v>
      </c>
      <c r="G32" s="81">
        <v>1697</v>
      </c>
      <c r="H32" s="154" t="s">
        <v>147</v>
      </c>
      <c r="I32" s="81">
        <v>431728.69675309362</v>
      </c>
      <c r="J32" s="420">
        <f>+'ตารางที่ 4'!B28</f>
        <v>581251490.71000004</v>
      </c>
      <c r="K32" s="40">
        <f>+'ตารางที่ 4'!C28</f>
        <v>66425515.100000001</v>
      </c>
      <c r="L32" s="40">
        <f>+'ตารางที่ 4'!D28</f>
        <v>307949</v>
      </c>
      <c r="M32" s="40">
        <f>+'ตารางที่ 4'!E28</f>
        <v>87252192.620000005</v>
      </c>
      <c r="N32" s="40">
        <f>+'ตารางที่ 4'!F28</f>
        <v>735237147.43000007</v>
      </c>
      <c r="O32" s="40">
        <f>+'ตารางที่ 4'!G28</f>
        <v>1697</v>
      </c>
      <c r="P32" s="40" t="str">
        <f>+'ตารางที่ 4'!H28</f>
        <v>จำนวนบุคลากร</v>
      </c>
      <c r="Q32" s="421">
        <f t="shared" si="0"/>
        <v>433257.01086034183</v>
      </c>
      <c r="R32" s="422">
        <f t="shared" si="4"/>
        <v>3.5399873085625541E-3</v>
      </c>
      <c r="S32" s="422">
        <f t="shared" si="5"/>
        <v>0</v>
      </c>
      <c r="T32" s="230">
        <f t="shared" si="6"/>
        <v>3.539987308562571E-3</v>
      </c>
    </row>
    <row r="33" spans="1:20" ht="37.5">
      <c r="A33" s="194" t="s">
        <v>396</v>
      </c>
      <c r="B33" s="241"/>
      <c r="C33" s="241"/>
      <c r="D33" s="241"/>
      <c r="E33" s="241"/>
      <c r="F33" s="445"/>
      <c r="G33" s="446"/>
      <c r="H33" s="447"/>
      <c r="I33" s="448"/>
      <c r="J33" s="427">
        <f>+'ตารางที่ 4'!B29</f>
        <v>8339800</v>
      </c>
      <c r="K33" s="427">
        <f>+'ตารางที่ 4'!C29</f>
        <v>2259920</v>
      </c>
      <c r="L33" s="427">
        <f>+'ตารางที่ 4'!D29</f>
        <v>0</v>
      </c>
      <c r="M33" s="427">
        <f>+'ตารางที่ 4'!E29</f>
        <v>4698975.41</v>
      </c>
      <c r="N33" s="427">
        <f>+'ตารางที่ 4'!F29</f>
        <v>15298695.41</v>
      </c>
      <c r="O33" s="427">
        <f>+'ตารางที่ 4'!G29</f>
        <v>20</v>
      </c>
      <c r="P33" s="427" t="str">
        <f>+'ตารางที่ 4'!H29</f>
        <v>โครงการ</v>
      </c>
      <c r="Q33" s="421">
        <f t="shared" si="0"/>
        <v>764934.77049999998</v>
      </c>
      <c r="R33" s="422">
        <v>1</v>
      </c>
      <c r="S33" s="422">
        <v>1</v>
      </c>
      <c r="T33" s="422">
        <v>1</v>
      </c>
    </row>
    <row r="34" spans="1:20" ht="37.5">
      <c r="A34" s="194" t="s">
        <v>397</v>
      </c>
      <c r="B34" s="241"/>
      <c r="C34" s="241"/>
      <c r="D34" s="241"/>
      <c r="E34" s="241"/>
      <c r="F34" s="445"/>
      <c r="G34" s="446"/>
      <c r="H34" s="447"/>
      <c r="I34" s="448"/>
      <c r="J34" s="427">
        <f>+'ตารางที่ 4'!B30</f>
        <v>21720800</v>
      </c>
      <c r="K34" s="427">
        <f>+'ตารางที่ 4'!C30</f>
        <v>2264000</v>
      </c>
      <c r="L34" s="427">
        <f>+'ตารางที่ 4'!D30</f>
        <v>0</v>
      </c>
      <c r="M34" s="427">
        <f>+'ตารางที่ 4'!E30</f>
        <v>10226074.76</v>
      </c>
      <c r="N34" s="427">
        <f>+'ตารางที่ 4'!F30</f>
        <v>34210874.759999998</v>
      </c>
      <c r="O34" s="427">
        <f>+'ตารางที่ 4'!G30</f>
        <v>260</v>
      </c>
      <c r="P34" s="427" t="str">
        <f>+'ตารางที่ 4'!H30</f>
        <v>โครงการ</v>
      </c>
      <c r="Q34" s="421">
        <f t="shared" si="0"/>
        <v>131580.28753846153</v>
      </c>
      <c r="R34" s="422">
        <v>1</v>
      </c>
      <c r="S34" s="422">
        <v>1</v>
      </c>
      <c r="T34" s="422">
        <v>1</v>
      </c>
    </row>
    <row r="35" spans="1:20" ht="19.5" thickBot="1">
      <c r="A35" s="34" t="s">
        <v>398</v>
      </c>
      <c r="B35" s="241"/>
      <c r="C35" s="241"/>
      <c r="D35" s="241"/>
      <c r="E35" s="241"/>
      <c r="F35" s="241"/>
      <c r="G35" s="449"/>
      <c r="H35" s="450"/>
      <c r="I35" s="451"/>
      <c r="J35" s="427">
        <f>+'ตารางที่ 4'!B31</f>
        <v>21997106.66</v>
      </c>
      <c r="K35" s="427">
        <f>+'ตารางที่ 4'!C31</f>
        <v>0</v>
      </c>
      <c r="L35" s="427">
        <f>+'ตารางที่ 4'!D31</f>
        <v>0</v>
      </c>
      <c r="M35" s="427">
        <f>+'ตารางที่ 4'!E31</f>
        <v>7675800.6100000003</v>
      </c>
      <c r="N35" s="427">
        <f>+'ตารางที่ 4'!F31</f>
        <v>29672907.27</v>
      </c>
      <c r="O35" s="427">
        <f>+'ตารางที่ 4'!G31</f>
        <v>40</v>
      </c>
      <c r="P35" s="427" t="str">
        <f>+'ตารางที่ 4'!H31</f>
        <v>โครงการ</v>
      </c>
      <c r="Q35" s="421">
        <f t="shared" si="0"/>
        <v>741822.68174999999</v>
      </c>
      <c r="R35" s="422">
        <v>1</v>
      </c>
      <c r="S35" s="422">
        <v>1</v>
      </c>
      <c r="T35" s="422">
        <v>1</v>
      </c>
    </row>
    <row r="36" spans="1:20" ht="26.25" customHeight="1" thickTop="1" thickBot="1">
      <c r="A36" s="428" t="s">
        <v>61</v>
      </c>
      <c r="B36" s="429">
        <v>872735914.71000004</v>
      </c>
      <c r="C36" s="429">
        <v>219400970.43000001</v>
      </c>
      <c r="D36" s="429">
        <v>11469449.98</v>
      </c>
      <c r="E36" s="429">
        <v>260731079.61000001</v>
      </c>
      <c r="F36" s="429">
        <v>1364337414.73</v>
      </c>
      <c r="G36" s="430"/>
      <c r="H36" s="431"/>
      <c r="I36" s="430"/>
      <c r="J36" s="432">
        <f>+J9+J15+J29+J30+J31+J32+J33+J34+J35</f>
        <v>844940526.5</v>
      </c>
      <c r="K36" s="432">
        <f t="shared" ref="K36:N36" si="7">+K9+K15+K29+K30+K31+K32+K33+K34+K35</f>
        <v>213599466.83999997</v>
      </c>
      <c r="L36" s="432">
        <f t="shared" si="7"/>
        <v>14581679.469999999</v>
      </c>
      <c r="M36" s="432">
        <f t="shared" si="7"/>
        <v>263401777.90000004</v>
      </c>
      <c r="N36" s="432">
        <f t="shared" si="7"/>
        <v>1336523450.71</v>
      </c>
      <c r="O36" s="433"/>
      <c r="P36" s="433"/>
      <c r="Q36" s="434"/>
      <c r="R36" s="435"/>
      <c r="S36" s="433"/>
      <c r="T36" s="433"/>
    </row>
    <row r="37" spans="1:20" s="233" customFormat="1" ht="39.75" customHeight="1" thickTop="1">
      <c r="A37" s="436" t="s">
        <v>3229</v>
      </c>
      <c r="B37" s="413"/>
      <c r="C37" s="413"/>
      <c r="D37" s="413"/>
      <c r="E37" s="413"/>
      <c r="F37" s="413"/>
      <c r="G37" s="123"/>
      <c r="H37" s="437"/>
      <c r="I37" s="438"/>
      <c r="J37" s="79"/>
      <c r="O37" s="30"/>
      <c r="P37" s="383"/>
      <c r="R37" s="131"/>
      <c r="S37" s="122"/>
      <c r="T37" s="122"/>
    </row>
    <row r="38" spans="1:20" s="233" customFormat="1" ht="24.75" customHeight="1">
      <c r="A38" s="591" t="s">
        <v>335</v>
      </c>
      <c r="B38" s="591"/>
      <c r="C38" s="591"/>
      <c r="D38" s="591"/>
      <c r="E38" s="591"/>
      <c r="F38" s="591"/>
      <c r="G38" s="591"/>
      <c r="H38" s="591"/>
      <c r="I38" s="591"/>
      <c r="J38" s="591"/>
      <c r="K38" s="591"/>
      <c r="L38" s="591"/>
      <c r="M38" s="591"/>
      <c r="N38" s="591"/>
      <c r="O38" s="591"/>
      <c r="P38" s="591"/>
      <c r="Q38" s="591"/>
      <c r="R38" s="591"/>
      <c r="S38" s="591"/>
      <c r="T38" s="591"/>
    </row>
    <row r="39" spans="1:20" s="233" customFormat="1" ht="90" customHeight="1">
      <c r="A39" s="591" t="s">
        <v>3232</v>
      </c>
      <c r="B39" s="591"/>
      <c r="C39" s="591"/>
      <c r="D39" s="591"/>
      <c r="E39" s="591"/>
      <c r="F39" s="591"/>
      <c r="G39" s="591"/>
      <c r="H39" s="591"/>
      <c r="I39" s="591"/>
      <c r="J39" s="591"/>
      <c r="K39" s="591"/>
      <c r="L39" s="591"/>
      <c r="M39" s="591"/>
      <c r="N39" s="591"/>
      <c r="O39" s="591"/>
      <c r="P39" s="591"/>
      <c r="Q39" s="591"/>
      <c r="R39" s="591"/>
      <c r="S39" s="591"/>
      <c r="T39" s="591"/>
    </row>
    <row r="40" spans="1:20" s="233" customFormat="1" ht="27.75" customHeight="1">
      <c r="A40" s="590" t="s">
        <v>3230</v>
      </c>
      <c r="B40" s="590"/>
      <c r="C40" s="590"/>
      <c r="D40" s="590"/>
      <c r="E40" s="590"/>
      <c r="F40" s="590"/>
      <c r="G40" s="590"/>
      <c r="H40" s="590"/>
      <c r="I40" s="590"/>
      <c r="J40" s="590"/>
      <c r="K40" s="590"/>
      <c r="L40" s="590"/>
      <c r="M40" s="590"/>
      <c r="N40" s="590"/>
      <c r="O40" s="590"/>
      <c r="P40" s="590"/>
      <c r="Q40" s="590"/>
      <c r="R40" s="590"/>
      <c r="S40" s="590"/>
      <c r="T40" s="590"/>
    </row>
    <row r="41" spans="1:20" s="233" customFormat="1" ht="21">
      <c r="H41" s="383"/>
      <c r="I41" s="30"/>
      <c r="J41" s="79"/>
      <c r="O41" s="30"/>
      <c r="P41" s="383"/>
      <c r="R41" s="131"/>
      <c r="S41" s="122"/>
      <c r="T41" s="122"/>
    </row>
    <row r="42" spans="1:20" s="124" customFormat="1" ht="26.25">
      <c r="C42" s="233"/>
      <c r="D42" s="291"/>
      <c r="E42" s="291"/>
      <c r="H42" s="125"/>
      <c r="I42" s="439"/>
      <c r="J42" s="71"/>
      <c r="O42" s="439"/>
      <c r="P42" s="125"/>
      <c r="R42" s="127"/>
      <c r="S42" s="440"/>
      <c r="T42" s="440"/>
    </row>
    <row r="43" spans="1:20">
      <c r="B43" s="35" t="s">
        <v>378</v>
      </c>
    </row>
  </sheetData>
  <mergeCells count="11">
    <mergeCell ref="A40:T40"/>
    <mergeCell ref="A38:T38"/>
    <mergeCell ref="A39:T39"/>
    <mergeCell ref="A1:T1"/>
    <mergeCell ref="R7:T7"/>
    <mergeCell ref="J7:Q7"/>
    <mergeCell ref="O8:P8"/>
    <mergeCell ref="G8:H8"/>
    <mergeCell ref="B7:I7"/>
    <mergeCell ref="A7:A8"/>
    <mergeCell ref="A5:D5"/>
  </mergeCells>
  <phoneticPr fontId="3" type="noConversion"/>
  <printOptions horizontalCentered="1"/>
  <pageMargins left="0.16" right="0.27559055118110237" top="0.27559055118110237" bottom="0.19685039370078741" header="0.19685039370078741" footer="0.15748031496062992"/>
  <pageSetup paperSize="9" scale="48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>
  <dimension ref="A1:V94"/>
  <sheetViews>
    <sheetView zoomScale="90" zoomScaleNormal="90" workbookViewId="0">
      <selection activeCell="F14" sqref="F14"/>
    </sheetView>
  </sheetViews>
  <sheetFormatPr defaultColWidth="9.140625" defaultRowHeight="17.25" customHeight="1"/>
  <cols>
    <col min="1" max="1" width="7.7109375" style="163" customWidth="1"/>
    <col min="2" max="2" width="7.7109375" style="522" customWidth="1"/>
    <col min="3" max="3" width="36.28515625" style="522" customWidth="1"/>
    <col min="4" max="4" width="12.7109375" style="184" customWidth="1"/>
    <col min="5" max="5" width="12.7109375" style="185" customWidth="1"/>
    <col min="6" max="6" width="19.140625" style="522" customWidth="1"/>
    <col min="7" max="7" width="17.5703125" style="522" customWidth="1"/>
    <col min="8" max="8" width="18.42578125" style="522" bestFit="1" customWidth="1"/>
    <col min="9" max="9" width="16.5703125" style="522" customWidth="1"/>
    <col min="10" max="10" width="19" style="522" customWidth="1"/>
    <col min="11" max="11" width="16.7109375" style="522" customWidth="1"/>
    <col min="12" max="12" width="16" style="522" customWidth="1"/>
    <col min="13" max="13" width="12.7109375" style="522" hidden="1" customWidth="1"/>
    <col min="14" max="14" width="11" style="187" hidden="1" customWidth="1"/>
    <col min="15" max="15" width="11" style="163" hidden="1" customWidth="1"/>
    <col min="16" max="20" width="17.42578125" style="163" hidden="1" customWidth="1"/>
    <col min="21" max="21" width="14.7109375" style="163" hidden="1" customWidth="1"/>
    <col min="22" max="22" width="0.28515625" style="163" hidden="1" customWidth="1"/>
    <col min="23" max="25" width="0" style="163" hidden="1" customWidth="1"/>
    <col min="26" max="26" width="3.140625" style="163" customWidth="1"/>
    <col min="27" max="29" width="13.140625" style="163" customWidth="1"/>
    <col min="30" max="16384" width="9.140625" style="163"/>
  </cols>
  <sheetData>
    <row r="1" spans="1:22" s="155" customFormat="1" ht="17.25" customHeight="1">
      <c r="A1" s="601" t="s">
        <v>389</v>
      </c>
      <c r="B1" s="601"/>
      <c r="C1" s="601"/>
      <c r="D1" s="601"/>
      <c r="E1" s="601"/>
      <c r="F1" s="601"/>
      <c r="G1" s="601"/>
      <c r="H1" s="601"/>
      <c r="I1" s="601"/>
      <c r="J1" s="601"/>
      <c r="K1" s="601"/>
      <c r="L1" s="601"/>
      <c r="M1" s="601"/>
      <c r="N1" s="601"/>
      <c r="O1" s="601"/>
      <c r="P1" s="601"/>
      <c r="Q1" s="601"/>
      <c r="R1" s="601"/>
      <c r="S1" s="601"/>
      <c r="T1" s="601"/>
      <c r="U1" s="601"/>
    </row>
    <row r="2" spans="1:22" s="155" customFormat="1" ht="17.25" customHeight="1">
      <c r="A2" s="602" t="s">
        <v>37</v>
      </c>
      <c r="B2" s="602"/>
      <c r="C2" s="602"/>
      <c r="D2" s="602"/>
      <c r="E2" s="602"/>
      <c r="F2" s="602"/>
      <c r="G2" s="602"/>
      <c r="H2" s="602"/>
      <c r="I2" s="602"/>
      <c r="J2" s="602"/>
      <c r="K2" s="602"/>
      <c r="L2" s="602"/>
      <c r="M2" s="602"/>
      <c r="N2" s="602"/>
      <c r="O2" s="602"/>
      <c r="P2" s="602"/>
      <c r="Q2" s="602"/>
      <c r="R2" s="602"/>
      <c r="S2" s="602"/>
      <c r="T2" s="602"/>
      <c r="U2" s="602"/>
    </row>
    <row r="3" spans="1:22" s="155" customFormat="1" ht="39.75" customHeight="1">
      <c r="A3" s="603" t="s">
        <v>38</v>
      </c>
      <c r="B3" s="603"/>
      <c r="C3" s="603"/>
      <c r="D3" s="367" t="s">
        <v>101</v>
      </c>
      <c r="E3" s="526" t="s">
        <v>493</v>
      </c>
      <c r="F3" s="526" t="s">
        <v>40</v>
      </c>
      <c r="G3" s="526" t="s">
        <v>41</v>
      </c>
      <c r="H3" s="526" t="s">
        <v>10</v>
      </c>
      <c r="I3" s="156" t="s">
        <v>11</v>
      </c>
      <c r="J3" s="526" t="s">
        <v>42</v>
      </c>
      <c r="K3" s="156" t="s">
        <v>145</v>
      </c>
      <c r="L3" s="156" t="s">
        <v>156</v>
      </c>
      <c r="M3" s="526"/>
      <c r="N3" s="156" t="s">
        <v>101</v>
      </c>
      <c r="O3" s="526" t="s">
        <v>331</v>
      </c>
      <c r="P3" s="526" t="s">
        <v>40</v>
      </c>
      <c r="Q3" s="526" t="s">
        <v>41</v>
      </c>
      <c r="R3" s="526" t="s">
        <v>10</v>
      </c>
      <c r="S3" s="156" t="s">
        <v>11</v>
      </c>
      <c r="T3" s="526" t="s">
        <v>42</v>
      </c>
      <c r="U3" s="156" t="s">
        <v>145</v>
      </c>
      <c r="V3" s="156" t="s">
        <v>156</v>
      </c>
    </row>
    <row r="4" spans="1:22" s="155" customFormat="1" ht="17.25" customHeight="1">
      <c r="A4" s="607" t="s">
        <v>128</v>
      </c>
      <c r="B4" s="608"/>
      <c r="C4" s="609"/>
      <c r="D4" s="159">
        <f t="shared" ref="D4:I6" si="0">+D5</f>
        <v>440</v>
      </c>
      <c r="E4" s="157">
        <f>+E5</f>
        <v>389.8</v>
      </c>
      <c r="F4" s="157">
        <f t="shared" ref="F4:I4" si="1">+F5</f>
        <v>14909454.211584922</v>
      </c>
      <c r="G4" s="157">
        <f t="shared" si="1"/>
        <v>1273898.2381434944</v>
      </c>
      <c r="H4" s="157">
        <f t="shared" si="1"/>
        <v>423765.05788406974</v>
      </c>
      <c r="I4" s="157">
        <f t="shared" si="1"/>
        <v>8035652.8558370499</v>
      </c>
      <c r="J4" s="158">
        <f t="shared" ref="J4:J25" si="2">SUM(F4:I4)</f>
        <v>24642770.363449536</v>
      </c>
      <c r="K4" s="157">
        <f>+J4/E4</f>
        <v>63219.010680989057</v>
      </c>
      <c r="L4" s="525">
        <f t="shared" ref="L4:L44" si="3">(F4+G4+H4)/E4</f>
        <v>42604.200891771383</v>
      </c>
      <c r="M4" s="157"/>
      <c r="N4" s="157">
        <f t="shared" ref="N4:T6" si="4">+N5</f>
        <v>521</v>
      </c>
      <c r="O4" s="157">
        <f t="shared" si="4"/>
        <v>425.25</v>
      </c>
      <c r="P4" s="157">
        <f t="shared" si="4"/>
        <v>37075259.409999996</v>
      </c>
      <c r="Q4" s="157">
        <f t="shared" si="4"/>
        <v>3807135.66</v>
      </c>
      <c r="R4" s="157">
        <f t="shared" si="4"/>
        <v>317152.5</v>
      </c>
      <c r="S4" s="157">
        <f t="shared" si="4"/>
        <v>9365488.0800000001</v>
      </c>
      <c r="T4" s="157">
        <f t="shared" si="4"/>
        <v>50565035.649999991</v>
      </c>
      <c r="U4" s="526">
        <f>+T4/O4</f>
        <v>118906.60940623161</v>
      </c>
      <c r="V4" s="526">
        <f>+(P4+Q4+R4)/O4</f>
        <v>96883.12185773073</v>
      </c>
    </row>
    <row r="5" spans="1:22" ht="17.25" customHeight="1">
      <c r="A5" s="605" t="s">
        <v>108</v>
      </c>
      <c r="B5" s="605"/>
      <c r="C5" s="605"/>
      <c r="D5" s="161">
        <f t="shared" si="0"/>
        <v>440</v>
      </c>
      <c r="E5" s="160">
        <f t="shared" si="0"/>
        <v>389.8</v>
      </c>
      <c r="F5" s="160">
        <f t="shared" si="0"/>
        <v>14909454.211584922</v>
      </c>
      <c r="G5" s="160">
        <f t="shared" si="0"/>
        <v>1273898.2381434944</v>
      </c>
      <c r="H5" s="160">
        <f t="shared" si="0"/>
        <v>423765.05788406974</v>
      </c>
      <c r="I5" s="160">
        <f t="shared" si="0"/>
        <v>8035652.8558370499</v>
      </c>
      <c r="J5" s="158">
        <f t="shared" si="2"/>
        <v>24642770.363449536</v>
      </c>
      <c r="K5" s="158">
        <f>+J5/E5</f>
        <v>63219.010680989057</v>
      </c>
      <c r="L5" s="527">
        <f t="shared" si="3"/>
        <v>42604.200891771383</v>
      </c>
      <c r="M5" s="160"/>
      <c r="N5" s="160">
        <f>+N6</f>
        <v>521</v>
      </c>
      <c r="O5" s="160">
        <f t="shared" si="4"/>
        <v>425.25</v>
      </c>
      <c r="P5" s="160">
        <f t="shared" si="4"/>
        <v>37075259.409999996</v>
      </c>
      <c r="Q5" s="160">
        <f t="shared" si="4"/>
        <v>3807135.66</v>
      </c>
      <c r="R5" s="160">
        <f t="shared" si="4"/>
        <v>317152.5</v>
      </c>
      <c r="S5" s="160">
        <f t="shared" si="4"/>
        <v>9365488.0800000001</v>
      </c>
      <c r="T5" s="160">
        <f t="shared" si="4"/>
        <v>50565035.649999991</v>
      </c>
      <c r="U5" s="162">
        <f t="shared" ref="U5:U44" si="5">+T5/O5</f>
        <v>118906.60940623161</v>
      </c>
      <c r="V5" s="162">
        <f t="shared" ref="V5:V44" si="6">+(P5+Q5+R5)/O5</f>
        <v>96883.12185773073</v>
      </c>
    </row>
    <row r="6" spans="1:22" ht="17.25" customHeight="1">
      <c r="A6" s="162"/>
      <c r="B6" s="606" t="s">
        <v>56</v>
      </c>
      <c r="C6" s="606"/>
      <c r="D6" s="161">
        <f t="shared" si="0"/>
        <v>440</v>
      </c>
      <c r="E6" s="160">
        <f>+E7</f>
        <v>389.8</v>
      </c>
      <c r="F6" s="160">
        <f t="shared" ref="F6:I6" si="7">+F7</f>
        <v>14909454.211584922</v>
      </c>
      <c r="G6" s="160">
        <f t="shared" si="7"/>
        <v>1273898.2381434944</v>
      </c>
      <c r="H6" s="160">
        <f t="shared" si="7"/>
        <v>423765.05788406974</v>
      </c>
      <c r="I6" s="160">
        <f t="shared" si="7"/>
        <v>8035652.8558370499</v>
      </c>
      <c r="J6" s="158">
        <f t="shared" si="2"/>
        <v>24642770.363449536</v>
      </c>
      <c r="K6" s="158">
        <f t="shared" ref="K6" si="8">+J6/E6</f>
        <v>63219.010680989057</v>
      </c>
      <c r="L6" s="527">
        <f t="shared" si="3"/>
        <v>42604.200891771383</v>
      </c>
      <c r="M6" s="160"/>
      <c r="N6" s="160">
        <f>+N7</f>
        <v>521</v>
      </c>
      <c r="O6" s="160">
        <f>+O7</f>
        <v>425.25</v>
      </c>
      <c r="P6" s="160">
        <f t="shared" si="4"/>
        <v>37075259.409999996</v>
      </c>
      <c r="Q6" s="160">
        <f t="shared" si="4"/>
        <v>3807135.66</v>
      </c>
      <c r="R6" s="160">
        <f t="shared" si="4"/>
        <v>317152.5</v>
      </c>
      <c r="S6" s="160">
        <f t="shared" si="4"/>
        <v>9365488.0800000001</v>
      </c>
      <c r="T6" s="160">
        <f t="shared" si="4"/>
        <v>50565035.649999991</v>
      </c>
      <c r="U6" s="162">
        <f t="shared" si="5"/>
        <v>118906.60940623161</v>
      </c>
      <c r="V6" s="162">
        <f t="shared" si="6"/>
        <v>96883.12185773073</v>
      </c>
    </row>
    <row r="7" spans="1:22" ht="17.25" customHeight="1">
      <c r="A7" s="162"/>
      <c r="B7" s="162"/>
      <c r="C7" s="527" t="s">
        <v>141</v>
      </c>
      <c r="D7" s="167">
        <v>440</v>
      </c>
      <c r="E7" s="527">
        <v>389.8</v>
      </c>
      <c r="F7" s="527">
        <v>14909454.211584922</v>
      </c>
      <c r="G7" s="527">
        <v>1273898.2381434944</v>
      </c>
      <c r="H7" s="527">
        <v>423765.05788406974</v>
      </c>
      <c r="I7" s="527">
        <v>8035652.8558370499</v>
      </c>
      <c r="J7" s="158">
        <f t="shared" si="2"/>
        <v>24642770.363449536</v>
      </c>
      <c r="K7" s="158">
        <f>+J7/E7</f>
        <v>63219.010680989057</v>
      </c>
      <c r="L7" s="527">
        <f>(F7+G7+H7)/E7</f>
        <v>42604.200891771383</v>
      </c>
      <c r="M7" s="527"/>
      <c r="N7" s="162">
        <v>521</v>
      </c>
      <c r="O7" s="158">
        <v>425.25</v>
      </c>
      <c r="P7" s="158">
        <v>37075259.409999996</v>
      </c>
      <c r="Q7" s="158">
        <v>3807135.66</v>
      </c>
      <c r="R7" s="158">
        <v>317152.5</v>
      </c>
      <c r="S7" s="158">
        <v>9365488.0800000001</v>
      </c>
      <c r="T7" s="162">
        <f>SUM(P7:S7)</f>
        <v>50565035.649999991</v>
      </c>
      <c r="U7" s="162">
        <f t="shared" si="5"/>
        <v>118906.60940623161</v>
      </c>
      <c r="V7" s="162">
        <f t="shared" si="6"/>
        <v>96883.12185773073</v>
      </c>
    </row>
    <row r="8" spans="1:22" s="155" customFormat="1" ht="17.25" customHeight="1">
      <c r="A8" s="607" t="s">
        <v>126</v>
      </c>
      <c r="B8" s="608"/>
      <c r="C8" s="609"/>
      <c r="D8" s="159">
        <f>+D9+D16</f>
        <v>17420</v>
      </c>
      <c r="E8" s="157">
        <f>+E9+E16</f>
        <v>13018.77</v>
      </c>
      <c r="F8" s="157">
        <f t="shared" ref="F8:I8" si="9">+F9+F16</f>
        <v>176056060.52180511</v>
      </c>
      <c r="G8" s="157">
        <f t="shared" si="9"/>
        <v>139525837.59395397</v>
      </c>
      <c r="H8" s="157">
        <f t="shared" si="9"/>
        <v>13814124.315306911</v>
      </c>
      <c r="I8" s="157">
        <f t="shared" si="9"/>
        <v>140371241.77228534</v>
      </c>
      <c r="J8" s="158">
        <f t="shared" si="2"/>
        <v>469767264.20335132</v>
      </c>
      <c r="K8" s="157">
        <f t="shared" ref="K8:K44" si="10">+J8/E8</f>
        <v>36083.843881054148</v>
      </c>
      <c r="L8" s="525">
        <f>(F8+G8+H8)/E8</f>
        <v>25301.623919238606</v>
      </c>
      <c r="M8" s="157"/>
      <c r="N8" s="157" t="e">
        <f>+N9+N16</f>
        <v>#REF!</v>
      </c>
      <c r="O8" s="157" t="e">
        <f t="shared" ref="O8:T8" si="11">+O9+O16</f>
        <v>#REF!</v>
      </c>
      <c r="P8" s="157" t="e">
        <f t="shared" si="11"/>
        <v>#REF!</v>
      </c>
      <c r="Q8" s="157" t="e">
        <f t="shared" si="11"/>
        <v>#REF!</v>
      </c>
      <c r="R8" s="157" t="e">
        <f t="shared" si="11"/>
        <v>#REF!</v>
      </c>
      <c r="S8" s="157" t="e">
        <f t="shared" si="11"/>
        <v>#REF!</v>
      </c>
      <c r="T8" s="157" t="e">
        <f t="shared" si="11"/>
        <v>#REF!</v>
      </c>
      <c r="U8" s="526" t="e">
        <f t="shared" si="5"/>
        <v>#REF!</v>
      </c>
      <c r="V8" s="526" t="e">
        <f t="shared" si="6"/>
        <v>#REF!</v>
      </c>
    </row>
    <row r="9" spans="1:22" s="522" customFormat="1" ht="17.25" customHeight="1">
      <c r="A9" s="605" t="s">
        <v>107</v>
      </c>
      <c r="B9" s="605"/>
      <c r="C9" s="605"/>
      <c r="D9" s="164">
        <f>+D10+D14</f>
        <v>8390</v>
      </c>
      <c r="E9" s="158">
        <f>+E10+E14</f>
        <v>6053.26</v>
      </c>
      <c r="F9" s="158">
        <f>+F10+F14</f>
        <v>30894606.525373019</v>
      </c>
      <c r="G9" s="158">
        <f t="shared" ref="G9:I9" si="12">+G10+G14</f>
        <v>37762100.40574719</v>
      </c>
      <c r="H9" s="158">
        <f t="shared" si="12"/>
        <v>6446650.8335253503</v>
      </c>
      <c r="I9" s="158">
        <f t="shared" si="12"/>
        <v>21994289.639172792</v>
      </c>
      <c r="J9" s="158">
        <f t="shared" si="2"/>
        <v>97097647.403818354</v>
      </c>
      <c r="K9" s="158">
        <f t="shared" si="10"/>
        <v>16040.55457783382</v>
      </c>
      <c r="L9" s="527">
        <f t="shared" si="3"/>
        <v>12407.092668189629</v>
      </c>
      <c r="M9" s="158"/>
      <c r="N9" s="158">
        <f t="shared" ref="N9:T9" si="13">+N10+N14</f>
        <v>8130</v>
      </c>
      <c r="O9" s="158">
        <f t="shared" si="13"/>
        <v>6503.35</v>
      </c>
      <c r="P9" s="158">
        <f t="shared" si="13"/>
        <v>178385325.45999998</v>
      </c>
      <c r="Q9" s="158">
        <f t="shared" si="13"/>
        <v>63255394.899999999</v>
      </c>
      <c r="R9" s="158">
        <f t="shared" si="13"/>
        <v>3940645.21</v>
      </c>
      <c r="S9" s="158">
        <f t="shared" si="13"/>
        <v>33661849.109999999</v>
      </c>
      <c r="T9" s="158">
        <f t="shared" si="13"/>
        <v>279243214.68000001</v>
      </c>
      <c r="U9" s="162">
        <f t="shared" si="5"/>
        <v>42938.364793529487</v>
      </c>
      <c r="V9" s="162">
        <f t="shared" si="6"/>
        <v>37762.286447753846</v>
      </c>
    </row>
    <row r="10" spans="1:22" ht="17.25" customHeight="1">
      <c r="A10" s="165"/>
      <c r="B10" s="604" t="s">
        <v>43</v>
      </c>
      <c r="C10" s="604"/>
      <c r="D10" s="166">
        <f>+D11+D12+D13</f>
        <v>6633</v>
      </c>
      <c r="E10" s="162">
        <f>+E11+E12+E13</f>
        <v>4829.2</v>
      </c>
      <c r="F10" s="162">
        <f>+F11+F12+F13</f>
        <v>19749135.785373021</v>
      </c>
      <c r="G10" s="162">
        <f>+G11+G12+G13</f>
        <v>30052365.215747193</v>
      </c>
      <c r="H10" s="162">
        <f t="shared" ref="H10:I10" si="14">+H11+H12+H13</f>
        <v>5115932.8835253501</v>
      </c>
      <c r="I10" s="162">
        <f t="shared" si="14"/>
        <v>16364609.789172795</v>
      </c>
      <c r="J10" s="158">
        <f t="shared" si="2"/>
        <v>71282043.67381835</v>
      </c>
      <c r="K10" s="158">
        <f t="shared" si="10"/>
        <v>14760.631921191574</v>
      </c>
      <c r="L10" s="527">
        <f t="shared" si="3"/>
        <v>11371.952680494815</v>
      </c>
      <c r="M10" s="162"/>
      <c r="N10" s="162">
        <f>+N11+N12+N13</f>
        <v>6689</v>
      </c>
      <c r="O10" s="162">
        <f t="shared" ref="O10:T10" si="15">+O11+O12+O13</f>
        <v>5262.5700000000006</v>
      </c>
      <c r="P10" s="162">
        <f t="shared" si="15"/>
        <v>125440829.63</v>
      </c>
      <c r="Q10" s="162">
        <f t="shared" si="15"/>
        <v>46916302.269999996</v>
      </c>
      <c r="R10" s="162">
        <f t="shared" si="15"/>
        <v>2926723.25</v>
      </c>
      <c r="S10" s="162">
        <f t="shared" si="15"/>
        <v>21937403.579999998</v>
      </c>
      <c r="T10" s="162">
        <f t="shared" si="15"/>
        <v>197221258.73000002</v>
      </c>
      <c r="U10" s="162">
        <f t="shared" si="5"/>
        <v>37476.225253060766</v>
      </c>
      <c r="V10" s="162">
        <f t="shared" si="6"/>
        <v>33307.652943333764</v>
      </c>
    </row>
    <row r="11" spans="1:22" ht="17.25" customHeight="1">
      <c r="A11" s="158"/>
      <c r="B11" s="527"/>
      <c r="C11" s="158" t="s">
        <v>44</v>
      </c>
      <c r="D11" s="164">
        <v>4034</v>
      </c>
      <c r="E11" s="158">
        <v>2915.16</v>
      </c>
      <c r="F11" s="527">
        <v>8584873.6253730208</v>
      </c>
      <c r="G11" s="527">
        <v>13389084.995747188</v>
      </c>
      <c r="H11" s="527">
        <v>3169171.2435253505</v>
      </c>
      <c r="I11" s="527">
        <v>11615254.509172795</v>
      </c>
      <c r="J11" s="158">
        <f t="shared" si="2"/>
        <v>36758384.373818353</v>
      </c>
      <c r="K11" s="158">
        <f t="shared" si="10"/>
        <v>12609.388292175508</v>
      </c>
      <c r="L11" s="527">
        <f t="shared" si="3"/>
        <v>8624.9570742757023</v>
      </c>
      <c r="M11" s="158"/>
      <c r="N11" s="162">
        <v>2952</v>
      </c>
      <c r="O11" s="158">
        <v>2474.61</v>
      </c>
      <c r="P11" s="158">
        <v>31093773.309999999</v>
      </c>
      <c r="Q11" s="158">
        <v>19489070.57</v>
      </c>
      <c r="R11" s="158">
        <v>2020283</v>
      </c>
      <c r="S11" s="158">
        <v>15578586.619999999</v>
      </c>
      <c r="T11" s="162">
        <f t="shared" ref="T11:T27" si="16">SUM(P11:S11)</f>
        <v>68181713.5</v>
      </c>
      <c r="U11" s="162">
        <f t="shared" si="5"/>
        <v>27552.508678135138</v>
      </c>
      <c r="V11" s="162">
        <f t="shared" si="6"/>
        <v>21257.138248047166</v>
      </c>
    </row>
    <row r="12" spans="1:22" ht="17.25" customHeight="1">
      <c r="A12" s="158"/>
      <c r="B12" s="162"/>
      <c r="C12" s="158" t="s">
        <v>45</v>
      </c>
      <c r="D12" s="164">
        <v>1709</v>
      </c>
      <c r="E12" s="158">
        <v>1211.57</v>
      </c>
      <c r="F12" s="158">
        <v>6615710.5999999996</v>
      </c>
      <c r="G12" s="158">
        <v>5296541.9800000004</v>
      </c>
      <c r="H12" s="158">
        <v>1232282.5</v>
      </c>
      <c r="I12" s="158">
        <v>3678160.99</v>
      </c>
      <c r="J12" s="158">
        <f t="shared" si="2"/>
        <v>16822696.07</v>
      </c>
      <c r="K12" s="158">
        <f t="shared" si="10"/>
        <v>13885.038478998325</v>
      </c>
      <c r="L12" s="527">
        <f t="shared" si="3"/>
        <v>10849.175103378262</v>
      </c>
      <c r="M12" s="158"/>
      <c r="N12" s="162">
        <v>2616</v>
      </c>
      <c r="O12" s="158">
        <v>1925.57</v>
      </c>
      <c r="P12" s="158">
        <v>57427664.310000002</v>
      </c>
      <c r="Q12" s="158">
        <v>20427115.98</v>
      </c>
      <c r="R12" s="158">
        <v>201725.35</v>
      </c>
      <c r="S12" s="158">
        <v>3767956.04</v>
      </c>
      <c r="T12" s="162">
        <f t="shared" si="16"/>
        <v>81824461.680000007</v>
      </c>
      <c r="U12" s="162">
        <f t="shared" si="5"/>
        <v>42493.631329943863</v>
      </c>
      <c r="V12" s="162">
        <f t="shared" si="6"/>
        <v>40536.830985110901</v>
      </c>
    </row>
    <row r="13" spans="1:22" ht="17.25" customHeight="1">
      <c r="A13" s="158"/>
      <c r="B13" s="162"/>
      <c r="C13" s="158" t="s">
        <v>69</v>
      </c>
      <c r="D13" s="164">
        <v>890</v>
      </c>
      <c r="E13" s="158">
        <v>702.47</v>
      </c>
      <c r="F13" s="158">
        <v>4548551.5599999996</v>
      </c>
      <c r="G13" s="158">
        <v>11366738.24</v>
      </c>
      <c r="H13" s="158">
        <v>714479.14</v>
      </c>
      <c r="I13" s="158">
        <v>1071194.29</v>
      </c>
      <c r="J13" s="158">
        <f t="shared" si="2"/>
        <v>17700963.23</v>
      </c>
      <c r="K13" s="158">
        <f t="shared" si="10"/>
        <v>25198.176761996954</v>
      </c>
      <c r="L13" s="527">
        <f t="shared" si="3"/>
        <v>23673.279912309423</v>
      </c>
      <c r="M13" s="158"/>
      <c r="N13" s="162">
        <v>1121</v>
      </c>
      <c r="O13" s="158">
        <v>862.39</v>
      </c>
      <c r="P13" s="158">
        <v>36919392.009999998</v>
      </c>
      <c r="Q13" s="158">
        <v>7000115.7199999997</v>
      </c>
      <c r="R13" s="158">
        <v>704714.9</v>
      </c>
      <c r="S13" s="158">
        <v>2590860.92</v>
      </c>
      <c r="T13" s="162">
        <f t="shared" si="16"/>
        <v>47215083.549999997</v>
      </c>
      <c r="U13" s="162">
        <f t="shared" si="5"/>
        <v>54749.108350050439</v>
      </c>
      <c r="V13" s="162">
        <f t="shared" si="6"/>
        <v>51744.828476675284</v>
      </c>
    </row>
    <row r="14" spans="1:22" ht="17.25" customHeight="1">
      <c r="A14" s="165"/>
      <c r="B14" s="604" t="s">
        <v>48</v>
      </c>
      <c r="C14" s="604"/>
      <c r="D14" s="166">
        <f>+D15</f>
        <v>1757</v>
      </c>
      <c r="E14" s="162">
        <f>+E15</f>
        <v>1224.06</v>
      </c>
      <c r="F14" s="162">
        <f>+F15</f>
        <v>11145470.74</v>
      </c>
      <c r="G14" s="162">
        <f t="shared" ref="G14:I14" si="17">+G15</f>
        <v>7709735.1900000004</v>
      </c>
      <c r="H14" s="162">
        <f t="shared" si="17"/>
        <v>1330717.95</v>
      </c>
      <c r="I14" s="162">
        <f t="shared" si="17"/>
        <v>5629679.8499999996</v>
      </c>
      <c r="J14" s="158">
        <f t="shared" si="2"/>
        <v>25815603.729999997</v>
      </c>
      <c r="K14" s="158">
        <f t="shared" si="10"/>
        <v>21090.145687302909</v>
      </c>
      <c r="L14" s="527">
        <f t="shared" si="3"/>
        <v>16490.95949544957</v>
      </c>
      <c r="M14" s="162"/>
      <c r="N14" s="162">
        <f t="shared" ref="N14:T14" si="18">+N15</f>
        <v>1441</v>
      </c>
      <c r="O14" s="162">
        <f t="shared" si="18"/>
        <v>1240.78</v>
      </c>
      <c r="P14" s="162">
        <f t="shared" si="18"/>
        <v>52944495.829999998</v>
      </c>
      <c r="Q14" s="162">
        <f t="shared" si="18"/>
        <v>16339092.630000001</v>
      </c>
      <c r="R14" s="162">
        <f t="shared" si="18"/>
        <v>1013921.96</v>
      </c>
      <c r="S14" s="162">
        <f t="shared" si="18"/>
        <v>11724445.529999999</v>
      </c>
      <c r="T14" s="162">
        <f t="shared" si="18"/>
        <v>82021955.949999988</v>
      </c>
      <c r="U14" s="162">
        <f t="shared" si="5"/>
        <v>66105.156393558878</v>
      </c>
      <c r="V14" s="162">
        <f t="shared" si="6"/>
        <v>56655.902271152008</v>
      </c>
    </row>
    <row r="15" spans="1:22" ht="17.25" customHeight="1">
      <c r="A15" s="158"/>
      <c r="B15" s="162"/>
      <c r="C15" s="527" t="s">
        <v>49</v>
      </c>
      <c r="D15" s="167">
        <v>1757</v>
      </c>
      <c r="E15" s="527">
        <v>1224.06</v>
      </c>
      <c r="F15" s="527">
        <v>11145470.74</v>
      </c>
      <c r="G15" s="527">
        <v>7709735.1900000004</v>
      </c>
      <c r="H15" s="527">
        <v>1330717.95</v>
      </c>
      <c r="I15" s="527">
        <v>5629679.8499999996</v>
      </c>
      <c r="J15" s="158">
        <f t="shared" si="2"/>
        <v>25815603.729999997</v>
      </c>
      <c r="K15" s="158">
        <f t="shared" si="10"/>
        <v>21090.145687302909</v>
      </c>
      <c r="L15" s="527">
        <f t="shared" si="3"/>
        <v>16490.95949544957</v>
      </c>
      <c r="M15" s="527"/>
      <c r="N15" s="162">
        <v>1441</v>
      </c>
      <c r="O15" s="158">
        <v>1240.78</v>
      </c>
      <c r="P15" s="158">
        <v>52944495.829999998</v>
      </c>
      <c r="Q15" s="158">
        <v>16339092.630000001</v>
      </c>
      <c r="R15" s="158">
        <v>1013921.96</v>
      </c>
      <c r="S15" s="158">
        <v>11724445.529999999</v>
      </c>
      <c r="T15" s="162">
        <f t="shared" si="16"/>
        <v>82021955.949999988</v>
      </c>
      <c r="U15" s="162">
        <f t="shared" si="5"/>
        <v>66105.156393558878</v>
      </c>
      <c r="V15" s="162">
        <f t="shared" si="6"/>
        <v>56655.902271152008</v>
      </c>
    </row>
    <row r="16" spans="1:22" ht="17.25" customHeight="1">
      <c r="A16" s="605" t="s">
        <v>108</v>
      </c>
      <c r="B16" s="605"/>
      <c r="C16" s="605"/>
      <c r="D16" s="164">
        <f>D17+D20+D23+D25+D30+D32</f>
        <v>9030</v>
      </c>
      <c r="E16" s="158">
        <f>E17+E20+E23+E25+E30+E32</f>
        <v>6965.5099999999993</v>
      </c>
      <c r="F16" s="158">
        <f t="shared" ref="F16:I16" si="19">F17+F20+F23+F25+F30+F32</f>
        <v>145161453.9964321</v>
      </c>
      <c r="G16" s="158">
        <f t="shared" si="19"/>
        <v>101763737.18820676</v>
      </c>
      <c r="H16" s="158">
        <f t="shared" si="19"/>
        <v>7367473.4817815609</v>
      </c>
      <c r="I16" s="158">
        <f t="shared" si="19"/>
        <v>118376952.13311253</v>
      </c>
      <c r="J16" s="158">
        <f t="shared" si="2"/>
        <v>372669616.79953295</v>
      </c>
      <c r="K16" s="158">
        <f t="shared" si="10"/>
        <v>53502.129319968386</v>
      </c>
      <c r="L16" s="527">
        <f t="shared" si="3"/>
        <v>36507.400702377927</v>
      </c>
      <c r="M16" s="158"/>
      <c r="N16" s="158" t="e">
        <f t="shared" ref="N16:T16" si="20">+N17+N20+N23+N25+N30+N32</f>
        <v>#REF!</v>
      </c>
      <c r="O16" s="158" t="e">
        <f t="shared" si="20"/>
        <v>#REF!</v>
      </c>
      <c r="P16" s="158" t="e">
        <f t="shared" si="20"/>
        <v>#REF!</v>
      </c>
      <c r="Q16" s="158" t="e">
        <f t="shared" si="20"/>
        <v>#REF!</v>
      </c>
      <c r="R16" s="158" t="e">
        <f t="shared" si="20"/>
        <v>#REF!</v>
      </c>
      <c r="S16" s="158" t="e">
        <f t="shared" si="20"/>
        <v>#REF!</v>
      </c>
      <c r="T16" s="158" t="e">
        <f t="shared" si="20"/>
        <v>#REF!</v>
      </c>
      <c r="U16" s="162" t="e">
        <f t="shared" si="5"/>
        <v>#REF!</v>
      </c>
      <c r="V16" s="162" t="e">
        <f t="shared" si="6"/>
        <v>#REF!</v>
      </c>
    </row>
    <row r="17" spans="1:22" ht="17.25" customHeight="1">
      <c r="A17" s="165"/>
      <c r="B17" s="604" t="s">
        <v>50</v>
      </c>
      <c r="C17" s="604"/>
      <c r="D17" s="166">
        <f>+D18+D19</f>
        <v>1247</v>
      </c>
      <c r="E17" s="162">
        <f>+E18+E19</f>
        <v>925.05</v>
      </c>
      <c r="F17" s="162">
        <f t="shared" ref="F17:I17" si="21">+F18+F19</f>
        <v>23315054.469407469</v>
      </c>
      <c r="G17" s="162">
        <f t="shared" si="21"/>
        <v>13821270.529806213</v>
      </c>
      <c r="H17" s="162">
        <f t="shared" si="21"/>
        <v>940864.27733935474</v>
      </c>
      <c r="I17" s="162">
        <f t="shared" si="21"/>
        <v>15266554.415590035</v>
      </c>
      <c r="J17" s="158">
        <f t="shared" si="2"/>
        <v>53343743.692143068</v>
      </c>
      <c r="K17" s="158">
        <f t="shared" si="10"/>
        <v>57665.795029612527</v>
      </c>
      <c r="L17" s="527">
        <f t="shared" si="3"/>
        <v>41162.303958221761</v>
      </c>
      <c r="M17" s="162"/>
      <c r="N17" s="162">
        <f t="shared" ref="N17:T17" si="22">+N18+N19</f>
        <v>1343</v>
      </c>
      <c r="O17" s="162">
        <f t="shared" si="22"/>
        <v>911.07</v>
      </c>
      <c r="P17" s="162">
        <f t="shared" si="22"/>
        <v>75051815.730000004</v>
      </c>
      <c r="Q17" s="162">
        <f t="shared" si="22"/>
        <v>11489824.619999999</v>
      </c>
      <c r="R17" s="162">
        <f t="shared" si="22"/>
        <v>743106.49</v>
      </c>
      <c r="S17" s="162">
        <f t="shared" si="22"/>
        <v>23134423.18</v>
      </c>
      <c r="T17" s="162">
        <f t="shared" si="22"/>
        <v>110419170.02</v>
      </c>
      <c r="U17" s="162">
        <f t="shared" si="5"/>
        <v>121197.24062915033</v>
      </c>
      <c r="V17" s="162">
        <f t="shared" si="6"/>
        <v>95804.654790521032</v>
      </c>
    </row>
    <row r="18" spans="1:22" ht="17.25" customHeight="1">
      <c r="A18" s="165"/>
      <c r="B18" s="162"/>
      <c r="C18" s="527" t="s">
        <v>51</v>
      </c>
      <c r="D18" s="167">
        <v>109</v>
      </c>
      <c r="E18" s="527">
        <v>73.42</v>
      </c>
      <c r="F18" s="527">
        <v>7008715.6799999997</v>
      </c>
      <c r="G18" s="527">
        <v>1570887.25</v>
      </c>
      <c r="H18" s="527">
        <v>74675.16</v>
      </c>
      <c r="I18" s="527">
        <v>4112289.44</v>
      </c>
      <c r="J18" s="158">
        <f t="shared" si="2"/>
        <v>12766567.529999999</v>
      </c>
      <c r="K18" s="158">
        <f t="shared" si="10"/>
        <v>173884.05788613454</v>
      </c>
      <c r="L18" s="527">
        <f t="shared" si="3"/>
        <v>117873.57790792699</v>
      </c>
      <c r="M18" s="527"/>
      <c r="N18" s="162">
        <v>168</v>
      </c>
      <c r="O18" s="158">
        <v>115.88</v>
      </c>
      <c r="P18" s="158">
        <v>23367531.120000001</v>
      </c>
      <c r="Q18" s="158">
        <v>1042977.61</v>
      </c>
      <c r="R18" s="158">
        <v>94438.43</v>
      </c>
      <c r="S18" s="158">
        <v>5658029.2599999998</v>
      </c>
      <c r="T18" s="162">
        <f t="shared" si="16"/>
        <v>30162976.420000002</v>
      </c>
      <c r="U18" s="162">
        <f t="shared" si="5"/>
        <v>260294.92940973424</v>
      </c>
      <c r="V18" s="162">
        <f t="shared" si="6"/>
        <v>211468.30479806697</v>
      </c>
    </row>
    <row r="19" spans="1:22" ht="17.25" customHeight="1">
      <c r="A19" s="165"/>
      <c r="B19" s="162"/>
      <c r="C19" s="527" t="s">
        <v>52</v>
      </c>
      <c r="D19" s="167">
        <f>240+898</f>
        <v>1138</v>
      </c>
      <c r="E19" s="527">
        <f>190.22+661.41</f>
        <v>851.63</v>
      </c>
      <c r="F19" s="527">
        <v>16306338.789407467</v>
      </c>
      <c r="G19" s="527">
        <v>12250383.279806213</v>
      </c>
      <c r="H19" s="527">
        <v>866189.11733935471</v>
      </c>
      <c r="I19" s="527">
        <v>11154264.975590035</v>
      </c>
      <c r="J19" s="158">
        <f t="shared" si="2"/>
        <v>40577176.162143067</v>
      </c>
      <c r="K19" s="158">
        <f t="shared" si="10"/>
        <v>47646.485166261249</v>
      </c>
      <c r="L19" s="527">
        <f t="shared" si="3"/>
        <v>34548.936963884589</v>
      </c>
      <c r="M19" s="527"/>
      <c r="N19" s="162">
        <v>1175</v>
      </c>
      <c r="O19" s="158">
        <v>795.19</v>
      </c>
      <c r="P19" s="158">
        <v>51684284.609999999</v>
      </c>
      <c r="Q19" s="158">
        <v>10446847.01</v>
      </c>
      <c r="R19" s="158">
        <v>648668.06000000006</v>
      </c>
      <c r="S19" s="158">
        <v>17476393.920000002</v>
      </c>
      <c r="T19" s="162">
        <f t="shared" si="16"/>
        <v>80256193.599999994</v>
      </c>
      <c r="U19" s="162">
        <f t="shared" si="5"/>
        <v>100927.06598423017</v>
      </c>
      <c r="V19" s="162">
        <f t="shared" si="6"/>
        <v>78949.43306631119</v>
      </c>
    </row>
    <row r="20" spans="1:22" ht="17.25" customHeight="1">
      <c r="A20" s="165"/>
      <c r="B20" s="604" t="s">
        <v>53</v>
      </c>
      <c r="C20" s="604"/>
      <c r="D20" s="166">
        <f>+D21+D22</f>
        <v>1428</v>
      </c>
      <c r="E20" s="162">
        <f>+E21+E22</f>
        <v>1043.6299999999999</v>
      </c>
      <c r="F20" s="162">
        <f t="shared" ref="F20:I20" si="23">+F21+F22</f>
        <v>30369574.164519235</v>
      </c>
      <c r="G20" s="162">
        <f t="shared" si="23"/>
        <v>24867054.490426391</v>
      </c>
      <c r="H20" s="162">
        <f t="shared" si="23"/>
        <v>1061471.4616810472</v>
      </c>
      <c r="I20" s="162">
        <f t="shared" si="23"/>
        <v>21182343.791031562</v>
      </c>
      <c r="J20" s="158">
        <f t="shared" si="2"/>
        <v>77480443.907658234</v>
      </c>
      <c r="K20" s="158">
        <f t="shared" si="10"/>
        <v>74241.296156356417</v>
      </c>
      <c r="L20" s="527">
        <f t="shared" si="3"/>
        <v>53944.501515505188</v>
      </c>
      <c r="M20" s="162"/>
      <c r="N20" s="162">
        <f t="shared" ref="N20:T20" si="24">+N21+N22</f>
        <v>2095</v>
      </c>
      <c r="O20" s="162">
        <f t="shared" si="24"/>
        <v>1538.31</v>
      </c>
      <c r="P20" s="162">
        <f t="shared" si="24"/>
        <v>169764142.05000001</v>
      </c>
      <c r="Q20" s="162">
        <f t="shared" si="24"/>
        <v>15280172.189999999</v>
      </c>
      <c r="R20" s="162">
        <f t="shared" si="24"/>
        <v>1249978.7399999998</v>
      </c>
      <c r="S20" s="162">
        <f t="shared" si="24"/>
        <v>31275104.859999999</v>
      </c>
      <c r="T20" s="162">
        <f t="shared" si="24"/>
        <v>217569397.83999997</v>
      </c>
      <c r="U20" s="162">
        <f t="shared" si="5"/>
        <v>141434.03984892511</v>
      </c>
      <c r="V20" s="162">
        <f t="shared" si="6"/>
        <v>121103.21910408177</v>
      </c>
    </row>
    <row r="21" spans="1:22" ht="17.25" customHeight="1">
      <c r="A21" s="165"/>
      <c r="B21" s="162"/>
      <c r="C21" s="527" t="s">
        <v>54</v>
      </c>
      <c r="D21" s="167">
        <f>30+882</f>
        <v>912</v>
      </c>
      <c r="E21" s="527">
        <f>21.17+687.37</f>
        <v>708.54</v>
      </c>
      <c r="F21" s="527">
        <f>1445045.82+17022207.47</f>
        <v>18467253.289999999</v>
      </c>
      <c r="G21" s="527">
        <f>27601.76+16090364.57</f>
        <v>16117966.33</v>
      </c>
      <c r="H21" s="527">
        <f>21531.91+699120.99</f>
        <v>720652.9</v>
      </c>
      <c r="I21" s="527">
        <f>1762957.15+14474278.46</f>
        <v>16237235.610000001</v>
      </c>
      <c r="J21" s="158">
        <f t="shared" si="2"/>
        <v>51543108.129999995</v>
      </c>
      <c r="K21" s="158">
        <f t="shared" si="10"/>
        <v>72745.516315239787</v>
      </c>
      <c r="L21" s="527">
        <f t="shared" si="3"/>
        <v>49829.046377057042</v>
      </c>
      <c r="M21" s="527"/>
      <c r="N21" s="162">
        <v>1055</v>
      </c>
      <c r="O21" s="158">
        <v>756.74</v>
      </c>
      <c r="P21" s="158">
        <f>2419054.45+97655294.77</f>
        <v>100074349.22</v>
      </c>
      <c r="Q21" s="158">
        <f>0+8400965.54</f>
        <v>8400965.5399999991</v>
      </c>
      <c r="R21" s="158">
        <f>22112.48+596268.94</f>
        <v>618381.41999999993</v>
      </c>
      <c r="S21" s="158">
        <f>2841530.5+19441420.47</f>
        <v>22282950.969999999</v>
      </c>
      <c r="T21" s="162">
        <f t="shared" si="16"/>
        <v>131376647.14999999</v>
      </c>
      <c r="U21" s="162">
        <f t="shared" si="5"/>
        <v>173608.69935512857</v>
      </c>
      <c r="V21" s="162">
        <f t="shared" si="6"/>
        <v>144162.71926949811</v>
      </c>
    </row>
    <row r="22" spans="1:22" ht="17.25" customHeight="1">
      <c r="A22" s="165"/>
      <c r="B22" s="162"/>
      <c r="C22" s="527" t="s">
        <v>55</v>
      </c>
      <c r="D22" s="167">
        <v>516</v>
      </c>
      <c r="E22" s="527">
        <v>335.09</v>
      </c>
      <c r="F22" s="527">
        <v>11902320.874519236</v>
      </c>
      <c r="G22" s="527">
        <v>8749088.1604263932</v>
      </c>
      <c r="H22" s="527">
        <v>340818.56168104726</v>
      </c>
      <c r="I22" s="527">
        <v>4945108.1810315587</v>
      </c>
      <c r="J22" s="158">
        <f t="shared" si="2"/>
        <v>25937335.777658235</v>
      </c>
      <c r="K22" s="158">
        <f t="shared" si="10"/>
        <v>77404.087790319725</v>
      </c>
      <c r="L22" s="527">
        <f t="shared" si="3"/>
        <v>62646.535547544474</v>
      </c>
      <c r="M22" s="527"/>
      <c r="N22" s="162">
        <v>1040</v>
      </c>
      <c r="O22" s="158">
        <v>781.57</v>
      </c>
      <c r="P22" s="158">
        <v>69689792.829999998</v>
      </c>
      <c r="Q22" s="158">
        <v>6879206.6500000004</v>
      </c>
      <c r="R22" s="158">
        <v>631597.31999999995</v>
      </c>
      <c r="S22" s="158">
        <v>8992153.8900000006</v>
      </c>
      <c r="T22" s="162">
        <f t="shared" si="16"/>
        <v>86192750.689999998</v>
      </c>
      <c r="U22" s="162">
        <f t="shared" si="5"/>
        <v>110281.5495605</v>
      </c>
      <c r="V22" s="162">
        <f t="shared" si="6"/>
        <v>98776.305129418979</v>
      </c>
    </row>
    <row r="23" spans="1:22" ht="17.25" customHeight="1">
      <c r="A23" s="162"/>
      <c r="B23" s="604" t="s">
        <v>142</v>
      </c>
      <c r="C23" s="604"/>
      <c r="D23" s="166">
        <f>+D24</f>
        <v>234</v>
      </c>
      <c r="E23" s="162">
        <f>+E24</f>
        <v>226.58</v>
      </c>
      <c r="F23" s="162">
        <f t="shared" ref="F23:I23" si="25">+F24</f>
        <v>12703847.66</v>
      </c>
      <c r="G23" s="162">
        <f t="shared" si="25"/>
        <v>8427667.8300000001</v>
      </c>
      <c r="H23" s="162">
        <f t="shared" si="25"/>
        <v>230453.52</v>
      </c>
      <c r="I23" s="162">
        <f t="shared" si="25"/>
        <v>16719933.25</v>
      </c>
      <c r="J23" s="158">
        <f t="shared" si="2"/>
        <v>38081902.260000005</v>
      </c>
      <c r="K23" s="158">
        <f t="shared" si="10"/>
        <v>168072.65539765207</v>
      </c>
      <c r="L23" s="527">
        <f t="shared" si="3"/>
        <v>94280.029172919065</v>
      </c>
      <c r="M23" s="162"/>
      <c r="N23" s="162">
        <f t="shared" ref="N23:T23" si="26">+N24</f>
        <v>226</v>
      </c>
      <c r="O23" s="162">
        <f t="shared" si="26"/>
        <v>227.53</v>
      </c>
      <c r="P23" s="162">
        <f t="shared" si="26"/>
        <v>79909701.299999997</v>
      </c>
      <c r="Q23" s="162">
        <f t="shared" si="26"/>
        <v>7553385.9699999997</v>
      </c>
      <c r="R23" s="162">
        <f t="shared" si="26"/>
        <v>185929.55</v>
      </c>
      <c r="S23" s="162">
        <f t="shared" si="26"/>
        <v>30886645.52</v>
      </c>
      <c r="T23" s="162">
        <f t="shared" si="26"/>
        <v>118535662.33999999</v>
      </c>
      <c r="U23" s="162">
        <f t="shared" si="5"/>
        <v>520967.17944886384</v>
      </c>
      <c r="V23" s="162">
        <f t="shared" si="6"/>
        <v>385219.60541467054</v>
      </c>
    </row>
    <row r="24" spans="1:22" ht="17.25" customHeight="1">
      <c r="A24" s="165"/>
      <c r="B24" s="162"/>
      <c r="C24" s="527" t="s">
        <v>68</v>
      </c>
      <c r="D24" s="167">
        <v>234</v>
      </c>
      <c r="E24" s="527">
        <v>226.58</v>
      </c>
      <c r="F24" s="527">
        <v>12703847.66</v>
      </c>
      <c r="G24" s="527">
        <v>8427667.8300000001</v>
      </c>
      <c r="H24" s="527">
        <v>230453.52</v>
      </c>
      <c r="I24" s="527">
        <v>16719933.25</v>
      </c>
      <c r="J24" s="158">
        <f t="shared" si="2"/>
        <v>38081902.260000005</v>
      </c>
      <c r="K24" s="158">
        <f t="shared" si="10"/>
        <v>168072.65539765207</v>
      </c>
      <c r="L24" s="527">
        <f t="shared" si="3"/>
        <v>94280.029172919065</v>
      </c>
      <c r="M24" s="527"/>
      <c r="N24" s="162">
        <v>226</v>
      </c>
      <c r="O24" s="158">
        <v>227.53</v>
      </c>
      <c r="P24" s="158">
        <v>79909701.299999997</v>
      </c>
      <c r="Q24" s="158">
        <v>7553385.9699999997</v>
      </c>
      <c r="R24" s="158">
        <v>185929.55</v>
      </c>
      <c r="S24" s="158">
        <v>30886645.52</v>
      </c>
      <c r="T24" s="162">
        <f t="shared" si="16"/>
        <v>118535662.33999999</v>
      </c>
      <c r="U24" s="162">
        <f t="shared" si="5"/>
        <v>520967.17944886384</v>
      </c>
      <c r="V24" s="162">
        <f t="shared" si="6"/>
        <v>385219.60541467054</v>
      </c>
    </row>
    <row r="25" spans="1:22" ht="17.25" customHeight="1">
      <c r="A25" s="165"/>
      <c r="B25" s="604" t="s">
        <v>56</v>
      </c>
      <c r="C25" s="604"/>
      <c r="D25" s="166">
        <f>+D26+D27+D28+D29</f>
        <v>4111</v>
      </c>
      <c r="E25" s="162">
        <f>+E26+E27+E28+E29</f>
        <v>3187.6</v>
      </c>
      <c r="F25" s="162">
        <f>+F26+F27+F28+F29</f>
        <v>50342230.472505406</v>
      </c>
      <c r="G25" s="162">
        <f t="shared" ref="G25:I25" si="27">+G26+G27+G28+G29</f>
        <v>41877911.187974147</v>
      </c>
      <c r="H25" s="162">
        <f t="shared" si="27"/>
        <v>3414130.6827611597</v>
      </c>
      <c r="I25" s="162">
        <f t="shared" si="27"/>
        <v>47607677.506490938</v>
      </c>
      <c r="J25" s="158">
        <f t="shared" si="2"/>
        <v>143241949.84973165</v>
      </c>
      <c r="K25" s="158">
        <f t="shared" si="10"/>
        <v>44937.241137448756</v>
      </c>
      <c r="L25" s="527">
        <f t="shared" si="3"/>
        <v>30001.967732225094</v>
      </c>
      <c r="M25" s="162"/>
      <c r="N25" s="162" t="e">
        <f>+N26+#REF!+N27+N28</f>
        <v>#REF!</v>
      </c>
      <c r="O25" s="162" t="e">
        <f>+O26+#REF!+O27+O28</f>
        <v>#REF!</v>
      </c>
      <c r="P25" s="162" t="e">
        <f>+P26+#REF!+P27+P28</f>
        <v>#REF!</v>
      </c>
      <c r="Q25" s="162" t="e">
        <f>+Q26+#REF!+Q27+Q28</f>
        <v>#REF!</v>
      </c>
      <c r="R25" s="162" t="e">
        <f>+R26+#REF!+R27+R28</f>
        <v>#REF!</v>
      </c>
      <c r="S25" s="162" t="e">
        <f>+S26+#REF!+S27+S28</f>
        <v>#REF!</v>
      </c>
      <c r="T25" s="162" t="e">
        <f>+T26+#REF!+T27+T28</f>
        <v>#REF!</v>
      </c>
      <c r="U25" s="162" t="e">
        <f t="shared" si="5"/>
        <v>#REF!</v>
      </c>
      <c r="V25" s="162" t="e">
        <f t="shared" si="6"/>
        <v>#REF!</v>
      </c>
    </row>
    <row r="26" spans="1:22" ht="17.25" customHeight="1">
      <c r="A26" s="158"/>
      <c r="B26" s="162"/>
      <c r="C26" s="527" t="s">
        <v>57</v>
      </c>
      <c r="D26" s="167">
        <v>2989</v>
      </c>
      <c r="E26" s="527">
        <v>2352.6999999999998</v>
      </c>
      <c r="F26" s="527">
        <v>25340699.614090323</v>
      </c>
      <c r="G26" s="527">
        <v>28211360.296117645</v>
      </c>
      <c r="H26" s="527">
        <v>2557701.5406452296</v>
      </c>
      <c r="I26" s="527">
        <v>27448839.382327981</v>
      </c>
      <c r="J26" s="158">
        <f>SUM(F26:I26)</f>
        <v>83558600.833181173</v>
      </c>
      <c r="K26" s="158">
        <f t="shared" si="10"/>
        <v>35516.04574879125</v>
      </c>
      <c r="L26" s="527">
        <f t="shared" si="3"/>
        <v>23849.093148660348</v>
      </c>
      <c r="M26" s="527"/>
      <c r="N26" s="162">
        <v>2493</v>
      </c>
      <c r="O26" s="158">
        <v>2054.65</v>
      </c>
      <c r="P26" s="158">
        <v>76372962.540000007</v>
      </c>
      <c r="Q26" s="158">
        <v>27835413.969999999</v>
      </c>
      <c r="R26" s="158">
        <v>1677854.88</v>
      </c>
      <c r="S26" s="158">
        <v>35704034.799999997</v>
      </c>
      <c r="T26" s="162">
        <f>SUM(P26:S26)</f>
        <v>141590266.19</v>
      </c>
      <c r="U26" s="162">
        <f t="shared" si="5"/>
        <v>68912.109697515392</v>
      </c>
      <c r="V26" s="162">
        <f t="shared" si="6"/>
        <v>51534.923899447589</v>
      </c>
    </row>
    <row r="27" spans="1:22" ht="17.25" customHeight="1">
      <c r="A27" s="158"/>
      <c r="B27" s="162"/>
      <c r="C27" s="527" t="s">
        <v>59</v>
      </c>
      <c r="D27" s="167">
        <v>547</v>
      </c>
      <c r="E27" s="527">
        <v>424.42</v>
      </c>
      <c r="F27" s="527">
        <v>14433954.140000001</v>
      </c>
      <c r="G27" s="527">
        <v>6478051.96</v>
      </c>
      <c r="H27" s="527">
        <v>431675.71</v>
      </c>
      <c r="I27" s="527">
        <v>17016899.989999998</v>
      </c>
      <c r="J27" s="158">
        <f t="shared" ref="J27:J44" si="28">SUM(F27:I27)</f>
        <v>38360581.799999997</v>
      </c>
      <c r="K27" s="158">
        <f t="shared" si="10"/>
        <v>90383.539418500528</v>
      </c>
      <c r="L27" s="527">
        <f t="shared" si="3"/>
        <v>50289.057560906651</v>
      </c>
      <c r="M27" s="527"/>
      <c r="N27" s="162">
        <v>542</v>
      </c>
      <c r="O27" s="158">
        <v>371.34</v>
      </c>
      <c r="P27" s="158">
        <v>86485832.079999998</v>
      </c>
      <c r="Q27" s="158">
        <v>7001349.29</v>
      </c>
      <c r="R27" s="158">
        <v>303446.03999999998</v>
      </c>
      <c r="S27" s="158">
        <v>32939966.719999999</v>
      </c>
      <c r="T27" s="162">
        <f t="shared" si="16"/>
        <v>126730594.13000001</v>
      </c>
      <c r="U27" s="162">
        <f t="shared" si="5"/>
        <v>341279.13537458936</v>
      </c>
      <c r="V27" s="162">
        <f t="shared" si="6"/>
        <v>252573.45669736635</v>
      </c>
    </row>
    <row r="28" spans="1:22" ht="17.25" customHeight="1">
      <c r="A28" s="158"/>
      <c r="B28" s="162"/>
      <c r="C28" s="527" t="s">
        <v>60</v>
      </c>
      <c r="D28" s="167">
        <v>155</v>
      </c>
      <c r="E28" s="527">
        <v>103.6</v>
      </c>
      <c r="F28" s="527">
        <v>3962594.808415079</v>
      </c>
      <c r="G28" s="527">
        <v>338573.26185650582</v>
      </c>
      <c r="H28" s="527">
        <v>112627.14211593027</v>
      </c>
      <c r="I28" s="527">
        <v>2135694.2941629509</v>
      </c>
      <c r="J28" s="158">
        <f t="shared" si="28"/>
        <v>6549489.5065504666</v>
      </c>
      <c r="K28" s="158">
        <f t="shared" si="10"/>
        <v>63219.010680989064</v>
      </c>
      <c r="L28" s="527">
        <f t="shared" si="3"/>
        <v>42604.200891771383</v>
      </c>
      <c r="M28" s="527"/>
      <c r="N28" s="162">
        <v>216</v>
      </c>
      <c r="O28" s="158">
        <v>123.77</v>
      </c>
      <c r="P28" s="158">
        <v>15370932.880000001</v>
      </c>
      <c r="Q28" s="158">
        <v>1578390.22</v>
      </c>
      <c r="R28" s="158">
        <v>131487.41</v>
      </c>
      <c r="S28" s="158">
        <v>3882812.71</v>
      </c>
      <c r="T28" s="162">
        <f>SUM(P28:S28)</f>
        <v>20963623.220000003</v>
      </c>
      <c r="U28" s="162">
        <f t="shared" si="5"/>
        <v>169375.64207804803</v>
      </c>
      <c r="V28" s="162">
        <f t="shared" si="6"/>
        <v>138004.44784681266</v>
      </c>
    </row>
    <row r="29" spans="1:22" ht="17.25" customHeight="1">
      <c r="A29" s="158"/>
      <c r="B29" s="162"/>
      <c r="C29" s="527" t="s">
        <v>334</v>
      </c>
      <c r="D29" s="167">
        <v>420</v>
      </c>
      <c r="E29" s="527">
        <v>306.88</v>
      </c>
      <c r="F29" s="527">
        <v>6604981.9100000001</v>
      </c>
      <c r="G29" s="527">
        <v>6849925.6699999999</v>
      </c>
      <c r="H29" s="527">
        <v>312126.28999999998</v>
      </c>
      <c r="I29" s="527">
        <v>1006243.84</v>
      </c>
      <c r="J29" s="158">
        <f t="shared" si="28"/>
        <v>14773277.709999999</v>
      </c>
      <c r="K29" s="158">
        <f t="shared" si="10"/>
        <v>48140.242798488005</v>
      </c>
      <c r="L29" s="527">
        <f t="shared" si="3"/>
        <v>44861.293893378519</v>
      </c>
      <c r="M29" s="527"/>
      <c r="N29" s="162"/>
      <c r="O29" s="158"/>
      <c r="P29" s="158"/>
      <c r="Q29" s="158"/>
      <c r="R29" s="158"/>
      <c r="S29" s="158"/>
      <c r="T29" s="162"/>
      <c r="U29" s="162"/>
      <c r="V29" s="162"/>
    </row>
    <row r="30" spans="1:22" ht="17.25" customHeight="1">
      <c r="A30" s="158"/>
      <c r="B30" s="168" t="s">
        <v>143</v>
      </c>
      <c r="C30" s="168"/>
      <c r="D30" s="166">
        <f>+D31</f>
        <v>1154</v>
      </c>
      <c r="E30" s="162">
        <f>+E31</f>
        <v>948.16</v>
      </c>
      <c r="F30" s="162">
        <f t="shared" ref="F30:I30" si="29">+F31</f>
        <v>16849271</v>
      </c>
      <c r="G30" s="162">
        <f t="shared" si="29"/>
        <v>8172418.4000000004</v>
      </c>
      <c r="H30" s="162">
        <f t="shared" si="29"/>
        <v>1030777.52</v>
      </c>
      <c r="I30" s="162">
        <f t="shared" si="29"/>
        <v>13082150.43</v>
      </c>
      <c r="J30" s="158">
        <f t="shared" si="28"/>
        <v>39134617.349999994</v>
      </c>
      <c r="K30" s="158">
        <f t="shared" si="10"/>
        <v>41274.27580788052</v>
      </c>
      <c r="L30" s="527">
        <f t="shared" si="3"/>
        <v>27476.867743840699</v>
      </c>
      <c r="M30" s="162"/>
      <c r="N30" s="162">
        <f t="shared" ref="N30:T30" si="30">+N31</f>
        <v>1104</v>
      </c>
      <c r="O30" s="162">
        <f t="shared" si="30"/>
        <v>926.33</v>
      </c>
      <c r="P30" s="162">
        <f t="shared" si="30"/>
        <v>47706787.560000002</v>
      </c>
      <c r="Q30" s="162">
        <f t="shared" si="30"/>
        <v>10001557.83</v>
      </c>
      <c r="R30" s="162">
        <f t="shared" si="30"/>
        <v>756964.43</v>
      </c>
      <c r="S30" s="162">
        <f t="shared" si="30"/>
        <v>16130412.73</v>
      </c>
      <c r="T30" s="162">
        <f t="shared" si="30"/>
        <v>74595722.549999997</v>
      </c>
      <c r="U30" s="162">
        <f t="shared" si="5"/>
        <v>80528.237831010541</v>
      </c>
      <c r="V30" s="162">
        <f t="shared" si="6"/>
        <v>63114.991223430094</v>
      </c>
    </row>
    <row r="31" spans="1:22" ht="17.25" customHeight="1">
      <c r="A31" s="158"/>
      <c r="B31" s="162"/>
      <c r="C31" s="527" t="s">
        <v>58</v>
      </c>
      <c r="D31" s="167">
        <v>1154</v>
      </c>
      <c r="E31" s="527">
        <v>948.16</v>
      </c>
      <c r="F31" s="527">
        <v>16849271</v>
      </c>
      <c r="G31" s="527">
        <v>8172418.4000000004</v>
      </c>
      <c r="H31" s="527">
        <v>1030777.52</v>
      </c>
      <c r="I31" s="527">
        <v>13082150.43</v>
      </c>
      <c r="J31" s="158">
        <f t="shared" si="28"/>
        <v>39134617.349999994</v>
      </c>
      <c r="K31" s="158">
        <f t="shared" si="10"/>
        <v>41274.27580788052</v>
      </c>
      <c r="L31" s="527">
        <f t="shared" si="3"/>
        <v>27476.867743840699</v>
      </c>
      <c r="M31" s="527"/>
      <c r="N31" s="162">
        <v>1104</v>
      </c>
      <c r="O31" s="158">
        <v>926.33</v>
      </c>
      <c r="P31" s="158">
        <v>47706787.560000002</v>
      </c>
      <c r="Q31" s="158">
        <v>10001557.83</v>
      </c>
      <c r="R31" s="158">
        <v>756964.43</v>
      </c>
      <c r="S31" s="158">
        <v>16130412.73</v>
      </c>
      <c r="T31" s="162">
        <f>SUM(P31:S31)</f>
        <v>74595722.549999997</v>
      </c>
      <c r="U31" s="162">
        <f t="shared" si="5"/>
        <v>80528.237831010541</v>
      </c>
      <c r="V31" s="162">
        <f t="shared" si="6"/>
        <v>63114.991223430094</v>
      </c>
    </row>
    <row r="32" spans="1:22" ht="17.25" customHeight="1">
      <c r="A32" s="165"/>
      <c r="B32" s="604" t="s">
        <v>46</v>
      </c>
      <c r="C32" s="604"/>
      <c r="D32" s="166">
        <f>+D33</f>
        <v>856</v>
      </c>
      <c r="E32" s="162">
        <f>+E33</f>
        <v>634.49</v>
      </c>
      <c r="F32" s="162">
        <f t="shared" ref="F32:I32" si="31">+F33</f>
        <v>11581476.23</v>
      </c>
      <c r="G32" s="162">
        <f t="shared" si="31"/>
        <v>4597414.75</v>
      </c>
      <c r="H32" s="162">
        <f t="shared" si="31"/>
        <v>689776.02</v>
      </c>
      <c r="I32" s="162">
        <f t="shared" si="31"/>
        <v>4518292.74</v>
      </c>
      <c r="J32" s="158">
        <f t="shared" si="28"/>
        <v>21386959.740000002</v>
      </c>
      <c r="K32" s="158">
        <f t="shared" si="10"/>
        <v>33707.323582719982</v>
      </c>
      <c r="L32" s="527">
        <f t="shared" si="3"/>
        <v>26586.18260335072</v>
      </c>
      <c r="M32" s="162"/>
      <c r="N32" s="162">
        <f t="shared" ref="N32:T32" si="32">+N33</f>
        <v>822</v>
      </c>
      <c r="O32" s="162">
        <f t="shared" si="32"/>
        <v>669.54</v>
      </c>
      <c r="P32" s="162">
        <f t="shared" si="32"/>
        <v>31683677.359999999</v>
      </c>
      <c r="Q32" s="162">
        <f t="shared" si="32"/>
        <v>8446445.7799999993</v>
      </c>
      <c r="R32" s="162">
        <f t="shared" si="32"/>
        <v>547124.64</v>
      </c>
      <c r="S32" s="162">
        <f t="shared" si="32"/>
        <v>9125654.4600000009</v>
      </c>
      <c r="T32" s="162">
        <f t="shared" si="32"/>
        <v>49802902.240000002</v>
      </c>
      <c r="U32" s="162">
        <f t="shared" si="5"/>
        <v>74383.759357170595</v>
      </c>
      <c r="V32" s="162">
        <f t="shared" si="6"/>
        <v>60754.021835887332</v>
      </c>
    </row>
    <row r="33" spans="1:22" ht="17.25" customHeight="1">
      <c r="A33" s="165"/>
      <c r="B33" s="162"/>
      <c r="C33" s="158" t="s">
        <v>47</v>
      </c>
      <c r="D33" s="164">
        <v>856</v>
      </c>
      <c r="E33" s="158">
        <v>634.49</v>
      </c>
      <c r="F33" s="158">
        <v>11581476.23</v>
      </c>
      <c r="G33" s="158">
        <v>4597414.75</v>
      </c>
      <c r="H33" s="158">
        <v>689776.02</v>
      </c>
      <c r="I33" s="158">
        <v>4518292.74</v>
      </c>
      <c r="J33" s="158">
        <f t="shared" si="28"/>
        <v>21386959.740000002</v>
      </c>
      <c r="K33" s="158">
        <f t="shared" si="10"/>
        <v>33707.323582719982</v>
      </c>
      <c r="L33" s="527">
        <f t="shared" si="3"/>
        <v>26586.18260335072</v>
      </c>
      <c r="M33" s="158"/>
      <c r="N33" s="162">
        <v>822</v>
      </c>
      <c r="O33" s="158">
        <v>669.54</v>
      </c>
      <c r="P33" s="158">
        <v>31683677.359999999</v>
      </c>
      <c r="Q33" s="158">
        <v>8446445.7799999993</v>
      </c>
      <c r="R33" s="158">
        <v>547124.64</v>
      </c>
      <c r="S33" s="158">
        <v>9125654.4600000009</v>
      </c>
      <c r="T33" s="162">
        <f>SUM(P33:S33)</f>
        <v>49802902.240000002</v>
      </c>
      <c r="U33" s="162">
        <f t="shared" si="5"/>
        <v>74383.759357170595</v>
      </c>
      <c r="V33" s="162">
        <f t="shared" si="6"/>
        <v>60754.021835887332</v>
      </c>
    </row>
    <row r="34" spans="1:22" s="169" customFormat="1" ht="17.25" customHeight="1">
      <c r="A34" s="607" t="s">
        <v>127</v>
      </c>
      <c r="B34" s="608"/>
      <c r="C34" s="609"/>
      <c r="D34" s="159">
        <f t="shared" ref="D34" si="33">+D35+D38</f>
        <v>50</v>
      </c>
      <c r="E34" s="157">
        <f>+E35+E38</f>
        <v>33.67</v>
      </c>
      <c r="F34" s="157">
        <f t="shared" ref="F34:I34" si="34">+F35+F38</f>
        <v>451030.34660995379</v>
      </c>
      <c r="G34" s="157">
        <f t="shared" si="34"/>
        <v>414620.90790256124</v>
      </c>
      <c r="H34" s="157">
        <f t="shared" si="34"/>
        <v>35841.096809018913</v>
      </c>
      <c r="I34" s="157">
        <f t="shared" si="34"/>
        <v>357620.41187763715</v>
      </c>
      <c r="J34" s="158">
        <f t="shared" si="28"/>
        <v>1259112.7631991711</v>
      </c>
      <c r="K34" s="157">
        <f t="shared" si="10"/>
        <v>37395.686462701844</v>
      </c>
      <c r="L34" s="525">
        <f t="shared" si="3"/>
        <v>26774.349608599165</v>
      </c>
      <c r="M34" s="157"/>
      <c r="N34" s="157" t="e">
        <f t="shared" ref="N34:T34" si="35">+N35+N38</f>
        <v>#REF!</v>
      </c>
      <c r="O34" s="157" t="e">
        <f t="shared" si="35"/>
        <v>#REF!</v>
      </c>
      <c r="P34" s="157" t="e">
        <f t="shared" si="35"/>
        <v>#REF!</v>
      </c>
      <c r="Q34" s="157" t="e">
        <f t="shared" si="35"/>
        <v>#REF!</v>
      </c>
      <c r="R34" s="157" t="e">
        <f t="shared" si="35"/>
        <v>#REF!</v>
      </c>
      <c r="S34" s="157" t="e">
        <f t="shared" si="35"/>
        <v>#REF!</v>
      </c>
      <c r="T34" s="157" t="e">
        <f t="shared" si="35"/>
        <v>#REF!</v>
      </c>
      <c r="U34" s="526" t="e">
        <f t="shared" si="5"/>
        <v>#REF!</v>
      </c>
      <c r="V34" s="526" t="e">
        <f t="shared" si="6"/>
        <v>#REF!</v>
      </c>
    </row>
    <row r="35" spans="1:22" s="170" customFormat="1" ht="17.25" customHeight="1">
      <c r="A35" s="605" t="s">
        <v>107</v>
      </c>
      <c r="B35" s="605"/>
      <c r="C35" s="605"/>
      <c r="D35" s="164">
        <f t="shared" ref="D35:D36" si="36">+D36</f>
        <v>8</v>
      </c>
      <c r="E35" s="158">
        <f>+E36</f>
        <v>7.33</v>
      </c>
      <c r="F35" s="158">
        <f t="shared" ref="F35:I35" si="37">+F36</f>
        <v>21586.164626979047</v>
      </c>
      <c r="G35" s="158">
        <f t="shared" si="37"/>
        <v>33666.074252811813</v>
      </c>
      <c r="H35" s="158">
        <f t="shared" si="37"/>
        <v>7968.6964746500416</v>
      </c>
      <c r="I35" s="158">
        <f t="shared" si="37"/>
        <v>29205.880827205572</v>
      </c>
      <c r="J35" s="158">
        <f t="shared" si="28"/>
        <v>92426.816181646485</v>
      </c>
      <c r="K35" s="158">
        <f t="shared" si="10"/>
        <v>12609.38829217551</v>
      </c>
      <c r="L35" s="527">
        <f t="shared" si="3"/>
        <v>8624.9570742757041</v>
      </c>
      <c r="M35" s="158"/>
      <c r="N35" s="158">
        <f>+N36</f>
        <v>47</v>
      </c>
      <c r="O35" s="158">
        <f>+O36</f>
        <v>37.06</v>
      </c>
      <c r="P35" s="158">
        <f t="shared" ref="P35:T36" si="38">+P36</f>
        <v>495056.69</v>
      </c>
      <c r="Q35" s="158">
        <f t="shared" si="38"/>
        <v>310293.46999999997</v>
      </c>
      <c r="R35" s="158">
        <f t="shared" si="38"/>
        <v>32165.75</v>
      </c>
      <c r="S35" s="158">
        <f t="shared" si="38"/>
        <v>248033.05</v>
      </c>
      <c r="T35" s="158">
        <f t="shared" si="38"/>
        <v>1085548.96</v>
      </c>
      <c r="U35" s="162">
        <f t="shared" si="5"/>
        <v>29291.661090124122</v>
      </c>
      <c r="V35" s="162">
        <f t="shared" si="6"/>
        <v>22598.918240690768</v>
      </c>
    </row>
    <row r="36" spans="1:22" s="170" customFormat="1" ht="17.25" customHeight="1">
      <c r="A36" s="162"/>
      <c r="B36" s="610" t="s">
        <v>43</v>
      </c>
      <c r="C36" s="611"/>
      <c r="D36" s="166">
        <f t="shared" si="36"/>
        <v>8</v>
      </c>
      <c r="E36" s="162">
        <f>+E37</f>
        <v>7.33</v>
      </c>
      <c r="F36" s="162">
        <f t="shared" ref="F36:I36" si="39">+F37</f>
        <v>21586.164626979047</v>
      </c>
      <c r="G36" s="162">
        <f t="shared" si="39"/>
        <v>33666.074252811813</v>
      </c>
      <c r="H36" s="162">
        <f t="shared" si="39"/>
        <v>7968.6964746500416</v>
      </c>
      <c r="I36" s="162">
        <f t="shared" si="39"/>
        <v>29205.880827205572</v>
      </c>
      <c r="J36" s="158">
        <f t="shared" si="28"/>
        <v>92426.816181646485</v>
      </c>
      <c r="K36" s="158">
        <f t="shared" si="10"/>
        <v>12609.38829217551</v>
      </c>
      <c r="L36" s="527">
        <f t="shared" si="3"/>
        <v>8624.9570742757041</v>
      </c>
      <c r="M36" s="162"/>
      <c r="N36" s="162">
        <f>+N37</f>
        <v>47</v>
      </c>
      <c r="O36" s="162">
        <f>+O37</f>
        <v>37.06</v>
      </c>
      <c r="P36" s="162">
        <f t="shared" si="38"/>
        <v>495056.69</v>
      </c>
      <c r="Q36" s="162">
        <f t="shared" si="38"/>
        <v>310293.46999999997</v>
      </c>
      <c r="R36" s="162">
        <f t="shared" si="38"/>
        <v>32165.75</v>
      </c>
      <c r="S36" s="162">
        <f t="shared" si="38"/>
        <v>248033.05</v>
      </c>
      <c r="T36" s="162">
        <f t="shared" si="38"/>
        <v>1085548.96</v>
      </c>
      <c r="U36" s="162">
        <f t="shared" si="5"/>
        <v>29291.661090124122</v>
      </c>
      <c r="V36" s="162">
        <f t="shared" si="6"/>
        <v>22598.918240690768</v>
      </c>
    </row>
    <row r="37" spans="1:22" s="170" customFormat="1" ht="17.25" customHeight="1">
      <c r="A37" s="162"/>
      <c r="B37" s="527"/>
      <c r="C37" s="158" t="s">
        <v>139</v>
      </c>
      <c r="D37" s="164">
        <v>8</v>
      </c>
      <c r="E37" s="158">
        <v>7.33</v>
      </c>
      <c r="F37" s="527">
        <v>21586.164626979047</v>
      </c>
      <c r="G37" s="527">
        <v>33666.074252811813</v>
      </c>
      <c r="H37" s="527">
        <v>7968.6964746500416</v>
      </c>
      <c r="I37" s="527">
        <v>29205.880827205572</v>
      </c>
      <c r="J37" s="158">
        <f t="shared" si="28"/>
        <v>92426.816181646485</v>
      </c>
      <c r="K37" s="158">
        <f t="shared" si="10"/>
        <v>12609.38829217551</v>
      </c>
      <c r="L37" s="527">
        <f t="shared" si="3"/>
        <v>8624.9570742757041</v>
      </c>
      <c r="M37" s="158"/>
      <c r="N37" s="162">
        <v>47</v>
      </c>
      <c r="O37" s="158">
        <v>37.06</v>
      </c>
      <c r="P37" s="158">
        <v>495056.69</v>
      </c>
      <c r="Q37" s="158">
        <v>310293.46999999997</v>
      </c>
      <c r="R37" s="158">
        <v>32165.75</v>
      </c>
      <c r="S37" s="158">
        <v>248033.05</v>
      </c>
      <c r="T37" s="162">
        <f>SUM(P37:S37)</f>
        <v>1085548.96</v>
      </c>
      <c r="U37" s="162">
        <f t="shared" si="5"/>
        <v>29291.661090124122</v>
      </c>
      <c r="V37" s="162">
        <f t="shared" si="6"/>
        <v>22598.918240690768</v>
      </c>
    </row>
    <row r="38" spans="1:22" s="170" customFormat="1" ht="17.25" customHeight="1">
      <c r="A38" s="605" t="s">
        <v>108</v>
      </c>
      <c r="B38" s="605"/>
      <c r="C38" s="605"/>
      <c r="D38" s="166">
        <f>+D39+D41+D43</f>
        <v>42</v>
      </c>
      <c r="E38" s="162">
        <f>+E39+E41+E43</f>
        <v>26.34</v>
      </c>
      <c r="F38" s="162">
        <f t="shared" ref="F38:I38" si="40">+F39+F41+F43</f>
        <v>429444.18198297475</v>
      </c>
      <c r="G38" s="162">
        <f t="shared" si="40"/>
        <v>380954.8336497494</v>
      </c>
      <c r="H38" s="162">
        <f t="shared" si="40"/>
        <v>27872.400334368875</v>
      </c>
      <c r="I38" s="162">
        <f t="shared" si="40"/>
        <v>328414.5310504316</v>
      </c>
      <c r="J38" s="158">
        <f t="shared" si="28"/>
        <v>1166685.9470175246</v>
      </c>
      <c r="K38" s="158">
        <f t="shared" si="10"/>
        <v>44293.316135820984</v>
      </c>
      <c r="L38" s="527">
        <f t="shared" si="3"/>
        <v>31825.034774756761</v>
      </c>
      <c r="M38" s="162"/>
      <c r="N38" s="162" t="e">
        <f t="shared" ref="N38:T38" si="41">+N39+N42+N44</f>
        <v>#REF!</v>
      </c>
      <c r="O38" s="162" t="e">
        <f t="shared" si="41"/>
        <v>#REF!</v>
      </c>
      <c r="P38" s="162" t="e">
        <f t="shared" si="41"/>
        <v>#REF!</v>
      </c>
      <c r="Q38" s="162" t="e">
        <f t="shared" si="41"/>
        <v>#REF!</v>
      </c>
      <c r="R38" s="162" t="e">
        <f t="shared" si="41"/>
        <v>#REF!</v>
      </c>
      <c r="S38" s="162" t="e">
        <f t="shared" si="41"/>
        <v>#REF!</v>
      </c>
      <c r="T38" s="162" t="e">
        <f t="shared" si="41"/>
        <v>#REF!</v>
      </c>
      <c r="U38" s="162" t="e">
        <f t="shared" si="5"/>
        <v>#REF!</v>
      </c>
      <c r="V38" s="162" t="e">
        <f t="shared" si="6"/>
        <v>#REF!</v>
      </c>
    </row>
    <row r="39" spans="1:22" s="170" customFormat="1" ht="17.25" customHeight="1">
      <c r="A39" s="165"/>
      <c r="B39" s="604" t="s">
        <v>50</v>
      </c>
      <c r="C39" s="604"/>
      <c r="D39" s="166">
        <f>+D40</f>
        <v>13</v>
      </c>
      <c r="E39" s="162">
        <f t="shared" ref="E39:I39" si="42">+E40</f>
        <v>7.56</v>
      </c>
      <c r="F39" s="162">
        <f t="shared" si="42"/>
        <v>144752.91059253484</v>
      </c>
      <c r="G39" s="162">
        <f t="shared" si="42"/>
        <v>108747.81019378718</v>
      </c>
      <c r="H39" s="162">
        <f t="shared" si="42"/>
        <v>7689.2426606454919</v>
      </c>
      <c r="I39" s="162">
        <f t="shared" si="42"/>
        <v>99017.464409967535</v>
      </c>
      <c r="J39" s="158">
        <f t="shared" si="28"/>
        <v>360207.42785693507</v>
      </c>
      <c r="K39" s="158">
        <f t="shared" si="10"/>
        <v>47646.485166261256</v>
      </c>
      <c r="L39" s="527">
        <f t="shared" si="3"/>
        <v>34548.936963884589</v>
      </c>
      <c r="M39" s="162"/>
      <c r="N39" s="162">
        <f t="shared" ref="N39:T39" si="43">+N40+N41</f>
        <v>16</v>
      </c>
      <c r="O39" s="162">
        <f t="shared" si="43"/>
        <v>9.16</v>
      </c>
      <c r="P39" s="162">
        <f t="shared" si="43"/>
        <v>1084209.29</v>
      </c>
      <c r="Q39" s="162">
        <f t="shared" si="43"/>
        <v>131524</v>
      </c>
      <c r="R39" s="162">
        <f t="shared" si="43"/>
        <v>8873.23</v>
      </c>
      <c r="S39" s="162">
        <f t="shared" si="43"/>
        <v>313197.30000000005</v>
      </c>
      <c r="T39" s="162">
        <f t="shared" si="43"/>
        <v>1537803.82</v>
      </c>
      <c r="U39" s="162">
        <f t="shared" si="5"/>
        <v>167882.51310043668</v>
      </c>
      <c r="V39" s="162">
        <f t="shared" si="6"/>
        <v>133690.66812227076</v>
      </c>
    </row>
    <row r="40" spans="1:22" s="170" customFormat="1" ht="17.25" customHeight="1">
      <c r="A40" s="165"/>
      <c r="B40" s="527"/>
      <c r="C40" s="527" t="s">
        <v>140</v>
      </c>
      <c r="D40" s="167">
        <f>10+3</f>
        <v>13</v>
      </c>
      <c r="E40" s="527">
        <f>1.5+6.06</f>
        <v>7.56</v>
      </c>
      <c r="F40" s="527">
        <v>144752.91059253484</v>
      </c>
      <c r="G40" s="527">
        <v>108747.81019378718</v>
      </c>
      <c r="H40" s="527">
        <v>7689.2426606454919</v>
      </c>
      <c r="I40" s="527">
        <v>99017.464409967535</v>
      </c>
      <c r="J40" s="158">
        <f t="shared" si="28"/>
        <v>360207.42785693507</v>
      </c>
      <c r="K40" s="158">
        <f>+J40/E40</f>
        <v>47646.485166261256</v>
      </c>
      <c r="L40" s="527">
        <f t="shared" si="3"/>
        <v>34548.936963884589</v>
      </c>
      <c r="M40" s="527"/>
      <c r="N40" s="162">
        <v>12</v>
      </c>
      <c r="O40" s="158">
        <v>6.72</v>
      </c>
      <c r="P40" s="158">
        <v>527839.5</v>
      </c>
      <c r="Q40" s="158">
        <v>106691.2</v>
      </c>
      <c r="R40" s="158">
        <v>6624.7</v>
      </c>
      <c r="S40" s="158">
        <v>178482.32</v>
      </c>
      <c r="T40" s="162">
        <f>SUM(P40:S40)</f>
        <v>819637.72</v>
      </c>
      <c r="U40" s="162">
        <f t="shared" si="5"/>
        <v>121969.89880952382</v>
      </c>
      <c r="V40" s="162">
        <f t="shared" si="6"/>
        <v>95410.029761904749</v>
      </c>
    </row>
    <row r="41" spans="1:22" s="170" customFormat="1" ht="17.25" customHeight="1">
      <c r="A41" s="165"/>
      <c r="B41" s="524" t="s">
        <v>53</v>
      </c>
      <c r="C41" s="524"/>
      <c r="D41" s="166">
        <f t="shared" ref="D41" si="44">+D42</f>
        <v>6</v>
      </c>
      <c r="E41" s="162">
        <f>+E42</f>
        <v>3.33</v>
      </c>
      <c r="F41" s="162">
        <f t="shared" ref="F41:I41" si="45">+F42</f>
        <v>118280.84548076357</v>
      </c>
      <c r="G41" s="162">
        <f t="shared" si="45"/>
        <v>86945.189573606767</v>
      </c>
      <c r="H41" s="162">
        <f t="shared" si="45"/>
        <v>3386.928318952781</v>
      </c>
      <c r="I41" s="162">
        <f t="shared" si="45"/>
        <v>49142.648968441586</v>
      </c>
      <c r="J41" s="158">
        <f t="shared" si="28"/>
        <v>257755.61234176473</v>
      </c>
      <c r="K41" s="158">
        <f>+J41/E41</f>
        <v>77404.08779031974</v>
      </c>
      <c r="L41" s="527">
        <f t="shared" si="3"/>
        <v>62646.535547544489</v>
      </c>
      <c r="M41" s="527"/>
      <c r="N41" s="162">
        <v>4</v>
      </c>
      <c r="O41" s="158">
        <v>2.44</v>
      </c>
      <c r="P41" s="158">
        <v>556369.79</v>
      </c>
      <c r="Q41" s="158">
        <v>24832.799999999999</v>
      </c>
      <c r="R41" s="158">
        <v>2248.5300000000002</v>
      </c>
      <c r="S41" s="158">
        <v>134714.98000000001</v>
      </c>
      <c r="T41" s="162">
        <f>SUM(P41:S41)</f>
        <v>718166.10000000009</v>
      </c>
      <c r="U41" s="162">
        <f t="shared" si="5"/>
        <v>294330.36885245907</v>
      </c>
      <c r="V41" s="162">
        <f t="shared" si="6"/>
        <v>239119.31147540989</v>
      </c>
    </row>
    <row r="42" spans="1:22" s="170" customFormat="1" ht="17.25" customHeight="1">
      <c r="A42" s="165"/>
      <c r="B42" s="162"/>
      <c r="C42" s="527" t="s">
        <v>55</v>
      </c>
      <c r="D42" s="167">
        <v>6</v>
      </c>
      <c r="E42" s="527">
        <v>3.33</v>
      </c>
      <c r="F42" s="162">
        <v>118280.84548076357</v>
      </c>
      <c r="G42" s="162">
        <v>86945.189573606767</v>
      </c>
      <c r="H42" s="162">
        <v>3386.928318952781</v>
      </c>
      <c r="I42" s="162">
        <v>49142.648968441586</v>
      </c>
      <c r="J42" s="158">
        <f t="shared" si="28"/>
        <v>257755.61234176473</v>
      </c>
      <c r="K42" s="158">
        <f t="shared" si="10"/>
        <v>77404.08779031974</v>
      </c>
      <c r="L42" s="527">
        <f t="shared" si="3"/>
        <v>62646.535547544489</v>
      </c>
      <c r="M42" s="162"/>
      <c r="N42" s="162">
        <f t="shared" ref="N42:T42" si="46">+N43</f>
        <v>14</v>
      </c>
      <c r="O42" s="162">
        <f t="shared" si="46"/>
        <v>4.5</v>
      </c>
      <c r="P42" s="162">
        <f t="shared" si="46"/>
        <v>938131.83</v>
      </c>
      <c r="Q42" s="162">
        <f t="shared" si="46"/>
        <v>92604.7</v>
      </c>
      <c r="R42" s="162">
        <f t="shared" si="46"/>
        <v>8502.27</v>
      </c>
      <c r="S42" s="162">
        <f t="shared" si="46"/>
        <v>121048.23</v>
      </c>
      <c r="T42" s="162">
        <f t="shared" si="46"/>
        <v>1160287.03</v>
      </c>
      <c r="U42" s="162">
        <f t="shared" si="5"/>
        <v>257841.56222222222</v>
      </c>
      <c r="V42" s="162">
        <f t="shared" si="6"/>
        <v>230941.95555555553</v>
      </c>
    </row>
    <row r="43" spans="1:22" s="170" customFormat="1" ht="17.25" customHeight="1">
      <c r="A43" s="165"/>
      <c r="B43" s="524" t="s">
        <v>56</v>
      </c>
      <c r="C43" s="524"/>
      <c r="D43" s="166">
        <f t="shared" ref="D43" si="47">+D44</f>
        <v>23</v>
      </c>
      <c r="E43" s="162">
        <f>+E44</f>
        <v>15.45</v>
      </c>
      <c r="F43" s="162">
        <f t="shared" ref="F43:I43" si="48">+F44</f>
        <v>166410.42590967636</v>
      </c>
      <c r="G43" s="162">
        <f t="shared" si="48"/>
        <v>185261.83388235542</v>
      </c>
      <c r="H43" s="162">
        <f t="shared" si="48"/>
        <v>16796.229354770603</v>
      </c>
      <c r="I43" s="162">
        <f t="shared" si="48"/>
        <v>180254.41767202248</v>
      </c>
      <c r="J43" s="158">
        <f t="shared" si="28"/>
        <v>548722.90681882482</v>
      </c>
      <c r="K43" s="158">
        <f t="shared" si="10"/>
        <v>35516.04574879125</v>
      </c>
      <c r="L43" s="527">
        <f t="shared" si="3"/>
        <v>23849.093148660351</v>
      </c>
      <c r="M43" s="527"/>
      <c r="N43" s="162">
        <v>14</v>
      </c>
      <c r="O43" s="158">
        <v>4.5</v>
      </c>
      <c r="P43" s="158">
        <v>938131.83</v>
      </c>
      <c r="Q43" s="158">
        <v>92604.7</v>
      </c>
      <c r="R43" s="158">
        <v>8502.27</v>
      </c>
      <c r="S43" s="158">
        <v>121048.23</v>
      </c>
      <c r="T43" s="162">
        <f>SUM(P43:S43)</f>
        <v>1160287.03</v>
      </c>
      <c r="U43" s="162">
        <f t="shared" si="5"/>
        <v>257841.56222222222</v>
      </c>
      <c r="V43" s="162">
        <f t="shared" si="6"/>
        <v>230941.95555555553</v>
      </c>
    </row>
    <row r="44" spans="1:22" s="170" customFormat="1" ht="17.25" customHeight="1" thickBot="1">
      <c r="A44" s="165"/>
      <c r="B44" s="172"/>
      <c r="C44" s="173" t="s">
        <v>57</v>
      </c>
      <c r="D44" s="186">
        <v>23</v>
      </c>
      <c r="E44" s="173">
        <v>15.45</v>
      </c>
      <c r="F44" s="162">
        <v>166410.42590967636</v>
      </c>
      <c r="G44" s="162">
        <v>185261.83388235542</v>
      </c>
      <c r="H44" s="162">
        <v>16796.229354770603</v>
      </c>
      <c r="I44" s="162">
        <v>180254.41767202248</v>
      </c>
      <c r="J44" s="158">
        <f t="shared" si="28"/>
        <v>548722.90681882482</v>
      </c>
      <c r="K44" s="158">
        <f t="shared" si="10"/>
        <v>35516.04574879125</v>
      </c>
      <c r="L44" s="527">
        <f t="shared" si="3"/>
        <v>23849.093148660351</v>
      </c>
      <c r="M44" s="162"/>
      <c r="N44" s="162" t="e">
        <f>+#REF!</f>
        <v>#REF!</v>
      </c>
      <c r="O44" s="162" t="e">
        <f>+#REF!</f>
        <v>#REF!</v>
      </c>
      <c r="P44" s="162" t="e">
        <f>+#REF!</f>
        <v>#REF!</v>
      </c>
      <c r="Q44" s="162" t="e">
        <f>+#REF!</f>
        <v>#REF!</v>
      </c>
      <c r="R44" s="162" t="e">
        <f>+#REF!</f>
        <v>#REF!</v>
      </c>
      <c r="S44" s="162" t="e">
        <f>+#REF!</f>
        <v>#REF!</v>
      </c>
      <c r="T44" s="162" t="e">
        <f>+#REF!</f>
        <v>#REF!</v>
      </c>
      <c r="U44" s="162" t="e">
        <f t="shared" si="5"/>
        <v>#REF!</v>
      </c>
      <c r="V44" s="162" t="e">
        <f t="shared" si="6"/>
        <v>#REF!</v>
      </c>
    </row>
    <row r="45" spans="1:22" s="169" customFormat="1" ht="17.25" customHeight="1" thickTop="1" thickBot="1">
      <c r="A45" s="615" t="s">
        <v>144</v>
      </c>
      <c r="B45" s="615"/>
      <c r="C45" s="615"/>
      <c r="D45" s="175">
        <f>+D4+D8+D34</f>
        <v>17910</v>
      </c>
      <c r="E45" s="176">
        <f>+E4+E8+E34</f>
        <v>13442.24</v>
      </c>
      <c r="F45" s="176">
        <f>+F4+F8+F34</f>
        <v>191416545.07999998</v>
      </c>
      <c r="G45" s="176">
        <f t="shared" ref="G45:I45" si="49">+G4+G8+G34</f>
        <v>141214356.74000004</v>
      </c>
      <c r="H45" s="176">
        <f t="shared" si="49"/>
        <v>14273730.469999999</v>
      </c>
      <c r="I45" s="176">
        <f t="shared" si="49"/>
        <v>148764515.04000002</v>
      </c>
      <c r="J45" s="176">
        <f t="shared" ref="J45:K45" si="50">+J4+J8+J34</f>
        <v>495669147.32999998</v>
      </c>
      <c r="K45" s="176">
        <f t="shared" si="50"/>
        <v>136698.54102474506</v>
      </c>
      <c r="L45" s="206">
        <f>(F45+G45+H45)/E45</f>
        <v>25807.055393297553</v>
      </c>
      <c r="M45" s="176"/>
      <c r="N45" s="176" t="e">
        <f t="shared" ref="N45:T45" si="51">+N4+N8+N34</f>
        <v>#REF!</v>
      </c>
      <c r="O45" s="176" t="e">
        <f t="shared" si="51"/>
        <v>#REF!</v>
      </c>
      <c r="P45" s="176" t="e">
        <f t="shared" si="51"/>
        <v>#REF!</v>
      </c>
      <c r="Q45" s="176" t="e">
        <f t="shared" si="51"/>
        <v>#REF!</v>
      </c>
      <c r="R45" s="176" t="e">
        <f t="shared" si="51"/>
        <v>#REF!</v>
      </c>
      <c r="S45" s="176" t="e">
        <f t="shared" si="51"/>
        <v>#REF!</v>
      </c>
      <c r="T45" s="176" t="e">
        <f t="shared" si="51"/>
        <v>#REF!</v>
      </c>
      <c r="U45" s="523"/>
      <c r="V45" s="523"/>
    </row>
    <row r="46" spans="1:22" s="169" customFormat="1" ht="17.25" customHeight="1" thickTop="1">
      <c r="A46" s="177"/>
      <c r="B46" s="177"/>
      <c r="C46" s="177"/>
      <c r="D46" s="178"/>
      <c r="E46" s="179"/>
      <c r="F46" s="177"/>
      <c r="G46" s="177"/>
      <c r="H46" s="177"/>
      <c r="I46" s="177"/>
      <c r="J46" s="177"/>
      <c r="K46" s="177"/>
      <c r="L46" s="177"/>
      <c r="M46" s="177"/>
      <c r="U46" s="177"/>
      <c r="V46" s="177"/>
    </row>
    <row r="47" spans="1:22" s="170" customFormat="1" ht="17.25" customHeight="1">
      <c r="A47" s="612" t="s">
        <v>103</v>
      </c>
      <c r="B47" s="612"/>
      <c r="C47" s="612"/>
      <c r="D47" s="612"/>
      <c r="E47" s="612"/>
      <c r="F47" s="612"/>
      <c r="G47" s="612"/>
      <c r="H47" s="612"/>
      <c r="I47" s="612"/>
      <c r="J47" s="612"/>
      <c r="K47" s="612"/>
      <c r="L47" s="612"/>
      <c r="M47" s="612"/>
      <c r="N47" s="612"/>
      <c r="O47" s="612"/>
      <c r="P47" s="612"/>
      <c r="Q47" s="612"/>
      <c r="R47" s="612"/>
      <c r="S47" s="612"/>
      <c r="T47" s="612"/>
      <c r="U47" s="612"/>
    </row>
    <row r="48" spans="1:22" s="170" customFormat="1" ht="18.75">
      <c r="A48" s="612" t="s">
        <v>104</v>
      </c>
      <c r="B48" s="612"/>
      <c r="C48" s="612"/>
      <c r="D48" s="612"/>
      <c r="E48" s="612"/>
      <c r="F48" s="612"/>
      <c r="G48" s="612"/>
      <c r="H48" s="612"/>
      <c r="I48" s="612"/>
      <c r="J48" s="612"/>
      <c r="K48" s="612"/>
      <c r="L48" s="612"/>
      <c r="M48" s="612"/>
      <c r="N48" s="612"/>
      <c r="O48" s="612"/>
      <c r="P48" s="612"/>
      <c r="Q48" s="612"/>
      <c r="R48" s="612"/>
      <c r="S48" s="612"/>
      <c r="T48" s="612"/>
      <c r="U48" s="612"/>
    </row>
    <row r="49" spans="1:21" ht="18.75">
      <c r="A49" s="613" t="s">
        <v>102</v>
      </c>
      <c r="B49" s="613"/>
      <c r="C49" s="613"/>
      <c r="D49" s="613"/>
      <c r="E49" s="613"/>
      <c r="F49" s="613"/>
      <c r="G49" s="613"/>
      <c r="H49" s="613"/>
      <c r="I49" s="613"/>
      <c r="J49" s="613"/>
      <c r="K49" s="613"/>
      <c r="L49" s="613"/>
      <c r="M49" s="613"/>
      <c r="N49" s="613"/>
      <c r="O49" s="613"/>
      <c r="P49" s="613"/>
      <c r="Q49" s="613"/>
      <c r="R49" s="613"/>
      <c r="S49" s="613"/>
      <c r="T49" s="613"/>
      <c r="U49" s="613"/>
    </row>
    <row r="50" spans="1:21" ht="25.5" customHeight="1">
      <c r="A50" s="614"/>
      <c r="B50" s="614"/>
      <c r="C50" s="614"/>
      <c r="D50" s="614"/>
      <c r="E50" s="614"/>
      <c r="F50" s="614"/>
      <c r="G50" s="614"/>
      <c r="H50" s="614"/>
      <c r="I50" s="614"/>
      <c r="J50" s="614"/>
      <c r="K50" s="614"/>
      <c r="L50" s="614"/>
      <c r="M50" s="614"/>
      <c r="N50" s="614"/>
      <c r="O50" s="614"/>
      <c r="P50" s="614"/>
      <c r="Q50" s="614"/>
      <c r="R50" s="614"/>
      <c r="S50" s="614"/>
      <c r="T50" s="614"/>
      <c r="U50" s="614"/>
    </row>
    <row r="51" spans="1:21" ht="17.25" customHeight="1">
      <c r="C51" s="181"/>
      <c r="D51" s="182"/>
      <c r="E51" s="183"/>
      <c r="F51" s="181"/>
      <c r="G51" s="181"/>
      <c r="H51" s="181"/>
      <c r="I51" s="181"/>
      <c r="J51" s="181"/>
      <c r="K51" s="181"/>
      <c r="L51" s="181"/>
      <c r="M51" s="181"/>
      <c r="N51" s="181"/>
      <c r="O51" s="170"/>
      <c r="P51" s="170"/>
    </row>
    <row r="52" spans="1:21" ht="17.25" customHeight="1">
      <c r="C52" s="181"/>
      <c r="D52" s="182"/>
      <c r="E52" s="183"/>
      <c r="F52" s="181"/>
      <c r="G52" s="181"/>
      <c r="H52" s="181"/>
      <c r="I52" s="181"/>
      <c r="J52" s="181"/>
      <c r="K52" s="181"/>
      <c r="L52" s="181"/>
      <c r="M52" s="181"/>
      <c r="N52" s="181"/>
      <c r="O52" s="170"/>
      <c r="P52" s="170"/>
    </row>
    <row r="53" spans="1:21" ht="17.25" customHeight="1">
      <c r="B53" s="163"/>
      <c r="C53" s="181"/>
      <c r="D53" s="182"/>
      <c r="E53" s="183"/>
      <c r="F53" s="181"/>
      <c r="G53" s="181"/>
      <c r="H53" s="181"/>
      <c r="I53" s="181"/>
      <c r="J53" s="181"/>
      <c r="K53" s="181"/>
      <c r="L53" s="181"/>
      <c r="M53" s="181"/>
      <c r="N53" s="181"/>
      <c r="O53" s="170"/>
      <c r="P53" s="170"/>
    </row>
    <row r="54" spans="1:21" ht="17.25" customHeight="1">
      <c r="B54" s="163"/>
      <c r="C54" s="181"/>
      <c r="D54" s="182"/>
      <c r="E54" s="183"/>
      <c r="F54" s="181"/>
      <c r="G54" s="181"/>
      <c r="H54" s="181"/>
      <c r="I54" s="181"/>
      <c r="J54" s="181"/>
      <c r="K54" s="181"/>
      <c r="L54" s="181"/>
      <c r="M54" s="181"/>
      <c r="N54" s="181"/>
      <c r="O54" s="170"/>
      <c r="P54" s="170"/>
    </row>
    <row r="55" spans="1:21" ht="17.25" customHeight="1">
      <c r="B55" s="163"/>
      <c r="C55" s="181"/>
      <c r="D55" s="182"/>
      <c r="E55" s="183"/>
      <c r="F55" s="181"/>
      <c r="G55" s="181"/>
      <c r="H55" s="181"/>
      <c r="I55" s="181"/>
      <c r="J55" s="181"/>
      <c r="K55" s="181"/>
      <c r="L55" s="181"/>
      <c r="M55" s="181"/>
      <c r="N55" s="181"/>
      <c r="O55" s="170"/>
      <c r="P55" s="170"/>
    </row>
    <row r="56" spans="1:21" ht="17.25" customHeight="1">
      <c r="B56" s="163"/>
      <c r="C56" s="181"/>
      <c r="D56" s="182"/>
      <c r="E56" s="183"/>
      <c r="F56" s="181"/>
      <c r="G56" s="181"/>
      <c r="H56" s="181"/>
      <c r="I56" s="181"/>
      <c r="J56" s="181"/>
      <c r="K56" s="181"/>
      <c r="L56" s="181"/>
      <c r="M56" s="181"/>
      <c r="N56" s="181"/>
      <c r="O56" s="170"/>
      <c r="P56" s="170"/>
    </row>
    <row r="57" spans="1:21" ht="17.25" customHeight="1">
      <c r="B57" s="163"/>
      <c r="C57" s="181"/>
      <c r="D57" s="182"/>
      <c r="E57" s="183"/>
      <c r="F57" s="181"/>
      <c r="G57" s="181"/>
      <c r="H57" s="181"/>
      <c r="I57" s="181"/>
      <c r="J57" s="181"/>
      <c r="K57" s="181"/>
      <c r="L57" s="181"/>
      <c r="M57" s="181"/>
      <c r="N57" s="181"/>
      <c r="O57" s="170"/>
      <c r="P57" s="170"/>
    </row>
    <row r="58" spans="1:21" ht="17.25" customHeight="1">
      <c r="B58" s="163"/>
      <c r="C58" s="181"/>
      <c r="D58" s="182"/>
      <c r="E58" s="183"/>
      <c r="F58" s="181"/>
      <c r="G58" s="181"/>
      <c r="H58" s="181"/>
      <c r="I58" s="181"/>
      <c r="J58" s="181"/>
      <c r="K58" s="181"/>
      <c r="L58" s="181"/>
      <c r="M58" s="181"/>
      <c r="N58" s="181"/>
      <c r="O58" s="170"/>
      <c r="P58" s="170"/>
    </row>
    <row r="59" spans="1:21" ht="17.25" customHeight="1">
      <c r="B59" s="163"/>
      <c r="C59" s="181"/>
      <c r="D59" s="182"/>
      <c r="E59" s="183"/>
      <c r="F59" s="181"/>
      <c r="G59" s="181"/>
      <c r="H59" s="181"/>
      <c r="I59" s="181"/>
      <c r="J59" s="181"/>
      <c r="K59" s="181"/>
      <c r="L59" s="181"/>
      <c r="M59" s="181"/>
      <c r="N59" s="181"/>
      <c r="O59" s="170"/>
      <c r="P59" s="170"/>
    </row>
    <row r="60" spans="1:21" ht="17.25" customHeight="1">
      <c r="B60" s="163"/>
      <c r="C60" s="181"/>
      <c r="D60" s="182"/>
      <c r="E60" s="183"/>
      <c r="F60" s="181"/>
      <c r="G60" s="181"/>
      <c r="H60" s="181"/>
      <c r="I60" s="181"/>
      <c r="J60" s="181"/>
      <c r="K60" s="181"/>
      <c r="L60" s="181"/>
      <c r="M60" s="181"/>
      <c r="N60" s="181"/>
      <c r="O60" s="170"/>
      <c r="P60" s="170"/>
    </row>
    <row r="61" spans="1:21" ht="17.25" customHeight="1">
      <c r="B61" s="163"/>
      <c r="C61" s="181"/>
      <c r="D61" s="182"/>
      <c r="E61" s="183"/>
      <c r="F61" s="181"/>
      <c r="G61" s="181"/>
      <c r="H61" s="181"/>
      <c r="I61" s="181"/>
      <c r="J61" s="181"/>
      <c r="K61" s="181"/>
      <c r="L61" s="181"/>
      <c r="M61" s="181"/>
      <c r="N61" s="181"/>
      <c r="O61" s="170"/>
      <c r="P61" s="170"/>
    </row>
    <row r="62" spans="1:21" ht="17.25" customHeight="1">
      <c r="B62" s="163"/>
      <c r="C62" s="181"/>
      <c r="D62" s="182"/>
      <c r="E62" s="183"/>
      <c r="F62" s="181"/>
      <c r="G62" s="181"/>
      <c r="H62" s="181"/>
      <c r="I62" s="181"/>
      <c r="J62" s="181"/>
      <c r="K62" s="181"/>
      <c r="L62" s="181"/>
      <c r="M62" s="181"/>
      <c r="N62" s="181"/>
      <c r="O62" s="170"/>
      <c r="P62" s="170"/>
    </row>
    <row r="63" spans="1:21" ht="17.25" customHeight="1">
      <c r="B63" s="163"/>
      <c r="C63" s="181"/>
      <c r="D63" s="182"/>
      <c r="E63" s="183"/>
      <c r="F63" s="181"/>
      <c r="G63" s="181"/>
      <c r="H63" s="181"/>
      <c r="I63" s="181"/>
      <c r="J63" s="181"/>
      <c r="K63" s="181"/>
      <c r="L63" s="181"/>
      <c r="M63" s="181"/>
      <c r="N63" s="181"/>
      <c r="O63" s="170"/>
      <c r="P63" s="170"/>
    </row>
    <row r="64" spans="1:21" ht="17.25" customHeight="1">
      <c r="B64" s="163"/>
      <c r="C64" s="181"/>
      <c r="D64" s="182"/>
      <c r="E64" s="183"/>
      <c r="F64" s="181"/>
      <c r="G64" s="181"/>
      <c r="H64" s="181"/>
      <c r="I64" s="181"/>
      <c r="J64" s="181"/>
      <c r="K64" s="181"/>
      <c r="L64" s="181"/>
      <c r="M64" s="181"/>
      <c r="N64" s="181"/>
      <c r="O64" s="170"/>
      <c r="P64" s="170"/>
    </row>
    <row r="65" spans="2:16" ht="17.25" customHeight="1">
      <c r="B65" s="163"/>
      <c r="C65" s="181"/>
      <c r="D65" s="182"/>
      <c r="E65" s="183"/>
      <c r="F65" s="181"/>
      <c r="G65" s="181"/>
      <c r="H65" s="181"/>
      <c r="I65" s="181"/>
      <c r="J65" s="181"/>
      <c r="K65" s="181"/>
      <c r="L65" s="181"/>
      <c r="M65" s="181"/>
      <c r="N65" s="181"/>
      <c r="O65" s="170"/>
      <c r="P65" s="170"/>
    </row>
    <row r="66" spans="2:16" ht="17.25" customHeight="1">
      <c r="B66" s="163"/>
      <c r="C66" s="181"/>
      <c r="D66" s="182"/>
      <c r="E66" s="183"/>
      <c r="F66" s="181"/>
      <c r="G66" s="181"/>
      <c r="H66" s="181"/>
      <c r="I66" s="181"/>
      <c r="J66" s="181"/>
      <c r="K66" s="181"/>
      <c r="L66" s="181"/>
      <c r="M66" s="181"/>
      <c r="N66" s="181"/>
      <c r="O66" s="170"/>
      <c r="P66" s="170"/>
    </row>
    <row r="67" spans="2:16" ht="17.25" customHeight="1">
      <c r="B67" s="163"/>
      <c r="C67" s="181"/>
      <c r="D67" s="182"/>
      <c r="E67" s="183"/>
      <c r="F67" s="181"/>
      <c r="G67" s="181"/>
      <c r="H67" s="181"/>
      <c r="I67" s="181"/>
      <c r="J67" s="181"/>
      <c r="K67" s="181"/>
      <c r="L67" s="181"/>
      <c r="M67" s="181"/>
      <c r="N67" s="181"/>
      <c r="O67" s="170"/>
      <c r="P67" s="170"/>
    </row>
    <row r="68" spans="2:16" ht="17.25" customHeight="1">
      <c r="B68" s="163"/>
      <c r="C68" s="181"/>
      <c r="D68" s="182"/>
      <c r="E68" s="183"/>
      <c r="F68" s="181"/>
      <c r="G68" s="181"/>
      <c r="H68" s="181"/>
      <c r="I68" s="181"/>
      <c r="J68" s="181"/>
      <c r="K68" s="181"/>
      <c r="L68" s="181"/>
      <c r="M68" s="181"/>
      <c r="N68" s="181"/>
      <c r="O68" s="170"/>
      <c r="P68" s="170"/>
    </row>
    <row r="69" spans="2:16" ht="17.25" customHeight="1">
      <c r="B69" s="163"/>
      <c r="C69" s="181"/>
      <c r="D69" s="182"/>
      <c r="E69" s="183"/>
      <c r="F69" s="181"/>
      <c r="G69" s="181"/>
      <c r="H69" s="181"/>
      <c r="I69" s="181"/>
      <c r="J69" s="181"/>
      <c r="K69" s="181"/>
      <c r="L69" s="181"/>
      <c r="M69" s="181"/>
      <c r="N69" s="181"/>
      <c r="O69" s="170"/>
      <c r="P69" s="170"/>
    </row>
    <row r="70" spans="2:16" ht="17.25" customHeight="1">
      <c r="B70" s="163"/>
      <c r="C70" s="181"/>
      <c r="D70" s="182"/>
      <c r="E70" s="183"/>
      <c r="F70" s="181"/>
      <c r="G70" s="181"/>
      <c r="H70" s="181"/>
      <c r="I70" s="181"/>
      <c r="J70" s="181"/>
      <c r="K70" s="181"/>
      <c r="L70" s="181"/>
      <c r="M70" s="181"/>
      <c r="N70" s="181"/>
      <c r="O70" s="170"/>
      <c r="P70" s="170"/>
    </row>
    <row r="71" spans="2:16" ht="17.25" customHeight="1">
      <c r="B71" s="163"/>
      <c r="C71" s="181"/>
      <c r="D71" s="182"/>
      <c r="E71" s="183"/>
      <c r="F71" s="181"/>
      <c r="G71" s="181"/>
      <c r="H71" s="181"/>
      <c r="I71" s="181"/>
      <c r="J71" s="181"/>
      <c r="K71" s="181"/>
      <c r="L71" s="181"/>
      <c r="M71" s="181"/>
      <c r="N71" s="181"/>
      <c r="O71" s="170"/>
      <c r="P71" s="170"/>
    </row>
    <row r="72" spans="2:16" ht="17.25" customHeight="1">
      <c r="B72" s="163"/>
      <c r="C72" s="181"/>
      <c r="D72" s="182"/>
      <c r="E72" s="183"/>
      <c r="F72" s="181"/>
      <c r="G72" s="181"/>
      <c r="H72" s="181"/>
      <c r="I72" s="181"/>
      <c r="J72" s="181"/>
      <c r="K72" s="181"/>
      <c r="L72" s="181"/>
      <c r="M72" s="181"/>
      <c r="N72" s="181"/>
      <c r="O72" s="170"/>
      <c r="P72" s="170"/>
    </row>
    <row r="73" spans="2:16" ht="17.25" customHeight="1">
      <c r="B73" s="163"/>
      <c r="C73" s="181"/>
      <c r="D73" s="182"/>
      <c r="E73" s="183"/>
      <c r="F73" s="181"/>
      <c r="G73" s="181"/>
      <c r="H73" s="181"/>
      <c r="I73" s="181"/>
      <c r="J73" s="181"/>
      <c r="K73" s="181"/>
      <c r="L73" s="181"/>
      <c r="M73" s="181"/>
      <c r="N73" s="181"/>
      <c r="O73" s="170"/>
      <c r="P73" s="170"/>
    </row>
    <row r="74" spans="2:16" ht="17.25" customHeight="1">
      <c r="B74" s="163"/>
      <c r="C74" s="181"/>
      <c r="D74" s="182"/>
      <c r="E74" s="183"/>
      <c r="F74" s="181"/>
      <c r="G74" s="181"/>
      <c r="H74" s="181"/>
      <c r="I74" s="181"/>
      <c r="J74" s="181"/>
      <c r="K74" s="181"/>
      <c r="L74" s="181"/>
      <c r="M74" s="181"/>
      <c r="N74" s="181"/>
      <c r="O74" s="170"/>
      <c r="P74" s="170"/>
    </row>
    <row r="75" spans="2:16" ht="17.25" customHeight="1">
      <c r="B75" s="163"/>
      <c r="C75" s="181"/>
      <c r="D75" s="182"/>
      <c r="E75" s="183"/>
      <c r="F75" s="181"/>
      <c r="G75" s="181"/>
      <c r="H75" s="181"/>
      <c r="I75" s="181"/>
      <c r="J75" s="181"/>
      <c r="K75" s="181"/>
      <c r="L75" s="181"/>
      <c r="M75" s="181"/>
      <c r="N75" s="181"/>
      <c r="O75" s="170"/>
      <c r="P75" s="170"/>
    </row>
    <row r="76" spans="2:16" ht="17.25" customHeight="1">
      <c r="B76" s="163"/>
      <c r="C76" s="181"/>
      <c r="D76" s="182"/>
      <c r="E76" s="183"/>
      <c r="F76" s="181"/>
      <c r="G76" s="181"/>
      <c r="H76" s="181"/>
      <c r="I76" s="181"/>
      <c r="J76" s="181"/>
      <c r="K76" s="181"/>
      <c r="L76" s="181"/>
      <c r="M76" s="181"/>
      <c r="N76" s="181"/>
      <c r="O76" s="170"/>
      <c r="P76" s="170"/>
    </row>
    <row r="77" spans="2:16" ht="17.25" customHeight="1">
      <c r="B77" s="163"/>
      <c r="C77" s="181"/>
      <c r="D77" s="182"/>
      <c r="E77" s="183"/>
      <c r="F77" s="181"/>
      <c r="G77" s="181"/>
      <c r="H77" s="181"/>
      <c r="I77" s="181"/>
      <c r="J77" s="181"/>
      <c r="K77" s="181"/>
      <c r="L77" s="181"/>
      <c r="M77" s="181"/>
      <c r="N77" s="181"/>
      <c r="O77" s="170"/>
      <c r="P77" s="170"/>
    </row>
    <row r="78" spans="2:16" ht="17.25" customHeight="1">
      <c r="B78" s="163"/>
      <c r="C78" s="181"/>
      <c r="D78" s="182"/>
      <c r="E78" s="183"/>
      <c r="F78" s="181"/>
      <c r="G78" s="181"/>
      <c r="H78" s="181"/>
      <c r="I78" s="181"/>
      <c r="J78" s="181"/>
      <c r="K78" s="181"/>
      <c r="L78" s="181"/>
      <c r="M78" s="181"/>
      <c r="N78" s="181"/>
      <c r="O78" s="170"/>
      <c r="P78" s="170"/>
    </row>
    <row r="79" spans="2:16" ht="17.25" customHeight="1">
      <c r="B79" s="163"/>
      <c r="C79" s="181"/>
      <c r="D79" s="182"/>
      <c r="E79" s="183"/>
      <c r="F79" s="181"/>
      <c r="G79" s="181"/>
      <c r="H79" s="181"/>
      <c r="I79" s="181"/>
      <c r="J79" s="181"/>
      <c r="K79" s="181"/>
      <c r="L79" s="181"/>
      <c r="M79" s="181"/>
      <c r="N79" s="181"/>
      <c r="O79" s="170"/>
      <c r="P79" s="170"/>
    </row>
    <row r="80" spans="2:16" ht="17.25" customHeight="1">
      <c r="B80" s="163"/>
      <c r="C80" s="181"/>
      <c r="D80" s="182"/>
      <c r="E80" s="183"/>
      <c r="F80" s="181"/>
      <c r="G80" s="181"/>
      <c r="H80" s="181"/>
      <c r="I80" s="181"/>
      <c r="J80" s="181"/>
      <c r="K80" s="181"/>
      <c r="L80" s="181"/>
      <c r="M80" s="181"/>
      <c r="N80" s="181"/>
      <c r="O80" s="170"/>
      <c r="P80" s="170"/>
    </row>
    <row r="81" spans="2:16" ht="17.25" customHeight="1">
      <c r="B81" s="163"/>
      <c r="C81" s="181"/>
      <c r="D81" s="182"/>
      <c r="E81" s="183"/>
      <c r="F81" s="181"/>
      <c r="G81" s="181"/>
      <c r="H81" s="181"/>
      <c r="I81" s="181"/>
      <c r="J81" s="181"/>
      <c r="K81" s="181"/>
      <c r="L81" s="181"/>
      <c r="M81" s="181"/>
      <c r="N81" s="181"/>
      <c r="O81" s="170"/>
      <c r="P81" s="170"/>
    </row>
    <row r="82" spans="2:16" ht="17.25" customHeight="1">
      <c r="B82" s="163"/>
      <c r="C82" s="181"/>
      <c r="D82" s="182"/>
      <c r="E82" s="183"/>
      <c r="F82" s="181"/>
      <c r="G82" s="181"/>
      <c r="H82" s="181"/>
      <c r="I82" s="181"/>
      <c r="J82" s="181"/>
      <c r="K82" s="181"/>
      <c r="L82" s="181"/>
      <c r="M82" s="181"/>
      <c r="N82" s="181"/>
      <c r="O82" s="170"/>
      <c r="P82" s="170"/>
    </row>
    <row r="83" spans="2:16" ht="17.25" customHeight="1">
      <c r="B83" s="163"/>
      <c r="C83" s="181"/>
      <c r="D83" s="182"/>
      <c r="E83" s="183"/>
      <c r="F83" s="181"/>
      <c r="G83" s="181"/>
      <c r="H83" s="181"/>
      <c r="I83" s="181"/>
      <c r="J83" s="181"/>
      <c r="K83" s="181"/>
      <c r="L83" s="181"/>
      <c r="M83" s="181"/>
      <c r="N83" s="181"/>
      <c r="O83" s="170"/>
      <c r="P83" s="170"/>
    </row>
    <row r="84" spans="2:16" ht="17.25" customHeight="1">
      <c r="B84" s="163"/>
      <c r="C84" s="181"/>
      <c r="D84" s="182"/>
      <c r="E84" s="183"/>
      <c r="F84" s="181"/>
      <c r="G84" s="181"/>
      <c r="H84" s="181"/>
      <c r="I84" s="181"/>
      <c r="J84" s="181"/>
      <c r="K84" s="181"/>
      <c r="L84" s="181"/>
      <c r="M84" s="181"/>
      <c r="N84" s="181"/>
      <c r="O84" s="170"/>
      <c r="P84" s="170"/>
    </row>
    <row r="85" spans="2:16" ht="17.25" customHeight="1">
      <c r="B85" s="163"/>
      <c r="C85" s="181"/>
      <c r="D85" s="182"/>
      <c r="E85" s="183"/>
      <c r="F85" s="181"/>
      <c r="G85" s="181"/>
      <c r="H85" s="181"/>
      <c r="I85" s="181"/>
      <c r="J85" s="181"/>
      <c r="K85" s="181"/>
      <c r="L85" s="181"/>
      <c r="M85" s="181"/>
      <c r="N85" s="181"/>
      <c r="O85" s="170"/>
      <c r="P85" s="170"/>
    </row>
    <row r="86" spans="2:16" ht="17.25" customHeight="1">
      <c r="B86" s="163"/>
      <c r="C86" s="181"/>
      <c r="D86" s="182"/>
      <c r="E86" s="183"/>
      <c r="F86" s="181"/>
      <c r="G86" s="181"/>
      <c r="H86" s="181"/>
      <c r="I86" s="181"/>
      <c r="J86" s="181"/>
      <c r="K86" s="181"/>
      <c r="L86" s="181"/>
      <c r="M86" s="181"/>
      <c r="N86" s="181"/>
      <c r="O86" s="170"/>
      <c r="P86" s="170"/>
    </row>
    <row r="87" spans="2:16" ht="17.25" customHeight="1">
      <c r="B87" s="163"/>
      <c r="C87" s="181"/>
      <c r="D87" s="182"/>
      <c r="E87" s="183"/>
      <c r="F87" s="181"/>
      <c r="G87" s="181"/>
      <c r="H87" s="181"/>
      <c r="I87" s="181"/>
      <c r="J87" s="181"/>
      <c r="K87" s="181"/>
      <c r="L87" s="181"/>
      <c r="M87" s="181"/>
      <c r="N87" s="181"/>
      <c r="O87" s="170"/>
      <c r="P87" s="170"/>
    </row>
    <row r="88" spans="2:16" ht="17.25" customHeight="1">
      <c r="B88" s="163"/>
      <c r="C88" s="181"/>
      <c r="D88" s="182"/>
      <c r="E88" s="183"/>
      <c r="F88" s="181"/>
      <c r="G88" s="181"/>
      <c r="H88" s="181"/>
      <c r="I88" s="181"/>
      <c r="J88" s="181"/>
      <c r="K88" s="181"/>
      <c r="L88" s="181"/>
      <c r="M88" s="181"/>
      <c r="N88" s="181"/>
      <c r="O88" s="170"/>
      <c r="P88" s="170"/>
    </row>
    <row r="89" spans="2:16" ht="17.25" customHeight="1">
      <c r="B89" s="163"/>
      <c r="C89" s="181"/>
      <c r="D89" s="182"/>
      <c r="E89" s="183"/>
      <c r="F89" s="181"/>
      <c r="G89" s="181"/>
      <c r="H89" s="181"/>
      <c r="I89" s="181"/>
      <c r="J89" s="181"/>
      <c r="K89" s="181"/>
      <c r="L89" s="181"/>
      <c r="M89" s="181"/>
      <c r="N89" s="181"/>
      <c r="O89" s="170"/>
      <c r="P89" s="170"/>
    </row>
    <row r="90" spans="2:16" ht="17.25" customHeight="1">
      <c r="B90" s="163"/>
      <c r="C90" s="181"/>
      <c r="D90" s="182"/>
      <c r="E90" s="183"/>
      <c r="F90" s="181"/>
      <c r="G90" s="181"/>
      <c r="H90" s="181"/>
      <c r="I90" s="181"/>
      <c r="J90" s="181"/>
      <c r="K90" s="181"/>
      <c r="L90" s="181"/>
      <c r="M90" s="181"/>
      <c r="N90" s="181"/>
      <c r="O90" s="170"/>
      <c r="P90" s="170"/>
    </row>
    <row r="91" spans="2:16" ht="17.25" customHeight="1">
      <c r="B91" s="163"/>
      <c r="C91" s="181"/>
      <c r="D91" s="182"/>
      <c r="E91" s="183"/>
      <c r="F91" s="181"/>
      <c r="G91" s="181"/>
      <c r="H91" s="181"/>
      <c r="I91" s="181"/>
      <c r="J91" s="181"/>
      <c r="K91" s="181"/>
      <c r="L91" s="181"/>
      <c r="M91" s="181"/>
      <c r="N91" s="181"/>
      <c r="O91" s="170"/>
      <c r="P91" s="170"/>
    </row>
    <row r="92" spans="2:16" ht="17.25" customHeight="1">
      <c r="B92" s="163"/>
      <c r="C92" s="181"/>
      <c r="D92" s="182"/>
      <c r="E92" s="183"/>
      <c r="F92" s="181"/>
      <c r="G92" s="181"/>
      <c r="H92" s="181"/>
      <c r="I92" s="181"/>
      <c r="J92" s="181"/>
      <c r="K92" s="181"/>
      <c r="L92" s="181"/>
      <c r="M92" s="181"/>
      <c r="N92" s="181"/>
      <c r="O92" s="170"/>
      <c r="P92" s="170"/>
    </row>
    <row r="93" spans="2:16" ht="17.25" customHeight="1">
      <c r="B93" s="163"/>
      <c r="C93" s="181"/>
      <c r="D93" s="182"/>
      <c r="E93" s="183"/>
      <c r="F93" s="181"/>
      <c r="G93" s="181"/>
      <c r="H93" s="181"/>
      <c r="I93" s="181"/>
      <c r="J93" s="181"/>
      <c r="K93" s="181"/>
      <c r="L93" s="181"/>
      <c r="M93" s="181"/>
      <c r="N93" s="181"/>
      <c r="O93" s="170"/>
      <c r="P93" s="170"/>
    </row>
    <row r="94" spans="2:16" ht="17.25" customHeight="1">
      <c r="B94" s="163"/>
      <c r="C94" s="181"/>
      <c r="D94" s="182"/>
      <c r="E94" s="183"/>
      <c r="F94" s="181"/>
      <c r="G94" s="181"/>
      <c r="H94" s="181"/>
      <c r="I94" s="181"/>
      <c r="J94" s="181"/>
      <c r="K94" s="181"/>
      <c r="L94" s="181"/>
      <c r="M94" s="181"/>
      <c r="N94" s="181"/>
      <c r="O94" s="170"/>
      <c r="P94" s="170"/>
    </row>
  </sheetData>
  <mergeCells count="26">
    <mergeCell ref="A47:U47"/>
    <mergeCell ref="A48:U48"/>
    <mergeCell ref="A49:U49"/>
    <mergeCell ref="A50:U50"/>
    <mergeCell ref="A45:C45"/>
    <mergeCell ref="B39:C39"/>
    <mergeCell ref="B10:C10"/>
    <mergeCell ref="B32:C32"/>
    <mergeCell ref="B14:C14"/>
    <mergeCell ref="A16:C16"/>
    <mergeCell ref="B17:C17"/>
    <mergeCell ref="A35:C35"/>
    <mergeCell ref="B36:C36"/>
    <mergeCell ref="A1:U1"/>
    <mergeCell ref="A2:U2"/>
    <mergeCell ref="A3:C3"/>
    <mergeCell ref="B25:C25"/>
    <mergeCell ref="A38:C38"/>
    <mergeCell ref="B20:C20"/>
    <mergeCell ref="B23:C23"/>
    <mergeCell ref="A9:C9"/>
    <mergeCell ref="A5:C5"/>
    <mergeCell ref="B6:C6"/>
    <mergeCell ref="A8:C8"/>
    <mergeCell ref="A4:C4"/>
    <mergeCell ref="A34:C34"/>
  </mergeCells>
  <phoneticPr fontId="3" type="noConversion"/>
  <printOptions horizontalCentered="1"/>
  <pageMargins left="0.77" right="0.76" top="0.35" bottom="0.15748031496062992" header="0.23" footer="0.15748031496062992"/>
  <pageSetup paperSize="9" scale="65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แผ่นงาน</vt:lpstr>
      </vt:variant>
      <vt:variant>
        <vt:i4>19</vt:i4>
      </vt:variant>
      <vt:variant>
        <vt:lpstr>ช่วงที่มีชื่อ</vt:lpstr>
      </vt:variant>
      <vt:variant>
        <vt:i4>2</vt:i4>
      </vt:variant>
    </vt:vector>
  </HeadingPairs>
  <TitlesOfParts>
    <vt:vector size="21" baseType="lpstr">
      <vt:lpstr>ตารางที่ 1</vt:lpstr>
      <vt:lpstr>ตารางที่ 2</vt:lpstr>
      <vt:lpstr>ตารางที่ 3</vt:lpstr>
      <vt:lpstr>ตารางที่ 4</vt:lpstr>
      <vt:lpstr>ตารางที่ 5</vt:lpstr>
      <vt:lpstr>ตารางที่ 6</vt:lpstr>
      <vt:lpstr>ตารางที่ 7</vt:lpstr>
      <vt:lpstr>ตารางที่ 8</vt:lpstr>
      <vt:lpstr>ต้นทุนผลผลิตการเรียน61</vt:lpstr>
      <vt:lpstr>ต้นทุนกิจกรรมด้านการเรียน61</vt:lpstr>
      <vt:lpstr>คชจ.หน่วยงาน61</vt:lpstr>
      <vt:lpstr>รอบปันส่วน61</vt:lpstr>
      <vt:lpstr>ปันส่วนต้นทุนกิจกรรมสนับสนุน61</vt:lpstr>
      <vt:lpstr>FTES61</vt:lpstr>
      <vt:lpstr>จำนวนบุคลากร61</vt:lpstr>
      <vt:lpstr>ปันส่วนงบกลางสอ.61</vt:lpstr>
      <vt:lpstr>สรุปโครงการวิชาการปี61</vt:lpstr>
      <vt:lpstr>สรุปโครงการทำนุปี61</vt:lpstr>
      <vt:lpstr>สรูปโครงการเงินรายได้61</vt:lpstr>
      <vt:lpstr>'ตารางที่ 3'!Print_Titles</vt:lpstr>
      <vt:lpstr>รอบปันส่วน61!Print_Titles</vt:lpstr>
    </vt:vector>
  </TitlesOfParts>
  <Company>iLLUSiON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Personal</dc:creator>
  <cp:lastModifiedBy>COM02</cp:lastModifiedBy>
  <cp:lastPrinted>2019-01-30T02:27:09Z</cp:lastPrinted>
  <dcterms:created xsi:type="dcterms:W3CDTF">2010-04-08T10:01:00Z</dcterms:created>
  <dcterms:modified xsi:type="dcterms:W3CDTF">2019-09-04T08:24:21Z</dcterms:modified>
</cp:coreProperties>
</file>