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firstSheet="2" activeTab="6"/>
  </bookViews>
  <sheets>
    <sheet name="คชจ.หน่วยงาน61" sheetId="1" r:id="rId1"/>
    <sheet name="สรุปรวมคชจ." sheetId="2" r:id="rId2"/>
    <sheet name="ปันส่วนหน่วยงานสนับสนุน" sheetId="3" r:id="rId3"/>
    <sheet name="ต้นทุนคณะเฉลี่ย61" sheetId="4" r:id="rId4"/>
    <sheet name="ต้นทุนเฉลี่ยหลักสูตร61" sheetId="5" r:id="rId5"/>
    <sheet name="จำนวนนศ.มากไปน้อย61" sheetId="6" r:id="rId6"/>
    <sheet name="สรุป FTES-61" sheetId="7" r:id="rId7"/>
    <sheet name="FTES61" sheetId="8" r:id="rId8"/>
    <sheet name="Sheet1" sheetId="9" r:id="rId9"/>
  </sheets>
  <definedNames>
    <definedName name="_xlnm._FilterDatabase" localSheetId="5" hidden="1">'จำนวนนศ.มากไปน้อย61'!$A$4:$N$4</definedName>
    <definedName name="_xlnm._FilterDatabase" localSheetId="3" hidden="1">'ต้นทุนคณะเฉลี่ย61'!$A$4:$M$145</definedName>
    <definedName name="_xlnm.Print_Titles" localSheetId="3">'ต้นทุนคณะเฉลี่ย61'!$1:$4</definedName>
    <definedName name="_xlnm.Print_Titles" localSheetId="4">'ต้นทุนเฉลี่ยหลักสูตร61'!$1:$4</definedName>
  </definedNames>
  <calcPr fullCalcOnLoad="1"/>
</workbook>
</file>

<file path=xl/sharedStrings.xml><?xml version="1.0" encoding="utf-8"?>
<sst xmlns="http://schemas.openxmlformats.org/spreadsheetml/2006/main" count="2766" uniqueCount="434">
  <si>
    <t>งปม.</t>
  </si>
  <si>
    <t>นอกงปม.</t>
  </si>
  <si>
    <t>รหัสหน่วยเบิกจ่าย........2017100000 - 2017100005..........</t>
  </si>
  <si>
    <t>ชื่อหน่วยงาน</t>
  </si>
  <si>
    <t>รวมทั้งสิ้น</t>
  </si>
  <si>
    <t>งบกลาง</t>
  </si>
  <si>
    <t xml:space="preserve"> หน่วยงานหลัก </t>
  </si>
  <si>
    <t xml:space="preserve"> 1. คณะวิศวกรรมศาสตร์ (สงขลา) </t>
  </si>
  <si>
    <t xml:space="preserve"> 2. คณะบริหารธุรกิจ (สงขลา) </t>
  </si>
  <si>
    <t xml:space="preserve"> 3.  คณะศิลปศาสตร์ (สงขลา)</t>
  </si>
  <si>
    <t xml:space="preserve"> 4. คณะสถาปัตยกรรมศาสตร์ (สงขลา) </t>
  </si>
  <si>
    <t xml:space="preserve"> 5. คณะครุศาสตร์อุตสาหกรรมและเทคโนโลยี (สงขลา)</t>
  </si>
  <si>
    <t xml:space="preserve"> 6. วิทยาลัยรัตภูมิ (สงขลา) </t>
  </si>
  <si>
    <t xml:space="preserve"> 7. คณะวิทยาศาสตร์และเทคโนโลยี (ทุ่งใหญ่) </t>
  </si>
  <si>
    <t xml:space="preserve"> 7. คณะวิทยาศาสตร์และเทคโนโลยี (ไสใหญ่) </t>
  </si>
  <si>
    <t xml:space="preserve"> 8. คณะเกษตรศาสตร์ (ทุ่งใหญ่) </t>
  </si>
  <si>
    <t xml:space="preserve"> 8. คณะเกษตรศาสตร์ (ไสใหญ่) </t>
  </si>
  <si>
    <t xml:space="preserve"> 9. คณะอุตสาหกรรมเกษตร (ทุ่งใหญ่) </t>
  </si>
  <si>
    <t xml:space="preserve"> 10. คณะสัตวแพทย์ศาสตร์ (ทุ่งใหญ่) </t>
  </si>
  <si>
    <t xml:space="preserve"> 11. คณะเทคโนโลยีการจัดการ (ไสใหญ่) </t>
  </si>
  <si>
    <t xml:space="preserve"> 12. คณะวิทยาศาสตร์และเทคโนโลยีการประมง (ตรัง) </t>
  </si>
  <si>
    <t xml:space="preserve"> 13. วิทยาลัยการโรงแรมและการท่องเที่ยว (ตรัง) </t>
  </si>
  <si>
    <t>รวม</t>
  </si>
  <si>
    <t xml:space="preserve"> หน่วยงานสนับสนุน </t>
  </si>
  <si>
    <t xml:space="preserve"> 2. ส่วนกลางสงขลา  </t>
  </si>
  <si>
    <t xml:space="preserve"> 3. สำนักงานวิทยาเขตนครศรีธรรมราช (ไสใหญ่) </t>
  </si>
  <si>
    <t xml:space="preserve"> 4. สำนักงานวิทยาเขตนครศรีธรรมราช (ทุ่งใหญ่) </t>
  </si>
  <si>
    <t xml:space="preserve"> 5. สำนักงานวิทยาเขตตรัง </t>
  </si>
  <si>
    <t xml:space="preserve"> 6. สถาบันวิจัยและพัฒนา  (ตรัง)</t>
  </si>
  <si>
    <t xml:space="preserve"> 7. สถาบันทรัพยากรธรรมชาติและสิ่งแวดล้อม (ตรัง)</t>
  </si>
  <si>
    <t>1. ฟาร์ม (ทุ่งใหญ่)</t>
  </si>
  <si>
    <t>2. หอพัก (ทุ่งใหญ่)</t>
  </si>
  <si>
    <t>3 โรงพยาบาลสัตว์ (ทุ่งใหญ่)</t>
  </si>
  <si>
    <t>6. หอพัก (ตรัง)</t>
  </si>
  <si>
    <t>รวมทุกหน่วยงาน</t>
  </si>
  <si>
    <t>1.ค่าใช้จ่ายด้านบุคลากร</t>
  </si>
  <si>
    <t>2.ค่าใช้จ่ายด้านการฝึกอบรม</t>
  </si>
  <si>
    <t>3.ค่าใช้จ่ายในการเดินทาง</t>
  </si>
  <si>
    <t>4.ค่าใช้จ่ายเงินอุดหนุน</t>
  </si>
  <si>
    <t>6.ค่าตอบแทน ใช้สอย และวัสดุ</t>
  </si>
  <si>
    <t>7.ค่าเสื่อมราคาและค่าตัดจำหน่าย</t>
  </si>
  <si>
    <t>9.ค่าใช้จ่ายอื่น ๆ</t>
  </si>
  <si>
    <t>(1+2+3+4)</t>
  </si>
  <si>
    <t>(6+7)</t>
  </si>
  <si>
    <t>5.รวมพัฒนา
บุคลากร</t>
  </si>
  <si>
    <t>8.รวมพัฒนา
การเรียนการสอน</t>
  </si>
  <si>
    <t xml:space="preserve"> ชื่อหลักสูตร </t>
  </si>
  <si>
    <t xml:space="preserve"> สาขา </t>
  </si>
  <si>
    <t xml:space="preserve"> คณะ/วิทยาลัย </t>
  </si>
  <si>
    <t xml:space="preserve"> รวมต้นทุน </t>
  </si>
  <si>
    <t xml:space="preserve"> ระดับปวส. </t>
  </si>
  <si>
    <t xml:space="preserve"> ประกาศนียบัตรวิชาชีพชั้นสูง (ปวส.) </t>
  </si>
  <si>
    <t>สาขาวิชาการตลาด</t>
  </si>
  <si>
    <t xml:space="preserve"> วิทยาลัยรัตภูมิ </t>
  </si>
  <si>
    <t>สาขาวิชาการบัญชี</t>
  </si>
  <si>
    <t>สาขาวิชาคอมพิวเตอร์ธุรกิจ</t>
  </si>
  <si>
    <t>สาขาวิชาช่างยนต์</t>
  </si>
  <si>
    <t>ระดับปริญญาตรี</t>
  </si>
  <si>
    <t xml:space="preserve"> หลักสูตรบริหารธุรกิจบัณฑิต </t>
  </si>
  <si>
    <t xml:space="preserve"> คณะบริหารธุรกิจ </t>
  </si>
  <si>
    <t>สาขาวิชาระบบสารสนเทศทางธุรกิจ</t>
  </si>
  <si>
    <t>สาขาวิชาการเงิน</t>
  </si>
  <si>
    <t>หลักสูตรบัญชีบัณฑิต</t>
  </si>
  <si>
    <t xml:space="preserve"> หลักสูตรบัญชีบัณฑิต </t>
  </si>
  <si>
    <t xml:space="preserve"> สาขาวิชาการบัญชี </t>
  </si>
  <si>
    <t xml:space="preserve"> คณะเทคโนโลยีการจัดการ </t>
  </si>
  <si>
    <t xml:space="preserve"> สาขาวิชาระบบสารสนเทศทางธุรกิจ </t>
  </si>
  <si>
    <t xml:space="preserve"> สาขาวิชาธุรกิจอิเล็กทรอนิกส์ </t>
  </si>
  <si>
    <t xml:space="preserve"> สาขาวิชาการจัดการ </t>
  </si>
  <si>
    <t xml:space="preserve"> สาขาวิชาการเงิน </t>
  </si>
  <si>
    <t xml:space="preserve"> สาขาวิชาการจัดการโลจิสติกส์ </t>
  </si>
  <si>
    <t xml:space="preserve"> หลักสูตรศิลปศาสตรบัณฑิต </t>
  </si>
  <si>
    <t xml:space="preserve"> สาขาวิชาการโรงแรมและการท่องเที่ยว </t>
  </si>
  <si>
    <t xml:space="preserve"> วิทยาลัยการโรงแรมและท่องเที่ยว </t>
  </si>
  <si>
    <t xml:space="preserve"> สาขาวิชาการโรงแรม </t>
  </si>
  <si>
    <t xml:space="preserve"> สาขาวิชาภาษาอังกฤษเพื่อสารสื่อสารสากล </t>
  </si>
  <si>
    <t xml:space="preserve"> คณะศิลปศาสตร์ </t>
  </si>
  <si>
    <t xml:space="preserve"> สาขาวิชาภาษาอังกฤษเพื่อการสื่อสารสากล </t>
  </si>
  <si>
    <t xml:space="preserve"> สาขาวิชาธุรกิจคหกรรมศาสตร์ </t>
  </si>
  <si>
    <t xml:space="preserve"> สาขาวิชาการท่องเที่ยว </t>
  </si>
  <si>
    <t xml:space="preserve"> สาขาวิชาอาหารและโภชนาการ </t>
  </si>
  <si>
    <t xml:space="preserve"> หลักสูตรวิทยาศาสตรบัณฑิต </t>
  </si>
  <si>
    <t xml:space="preserve"> คณะอุตสาหกรรมเกษตร </t>
  </si>
  <si>
    <t xml:space="preserve"> สาขาวิชาวิทยาศาสตร์และเทคโนโลยีการอาหาร </t>
  </si>
  <si>
    <t xml:space="preserve"> หลักสูตรคหกรรมศาสตรบัณฑิต </t>
  </si>
  <si>
    <t xml:space="preserve"> สาขาวิชาพืชศาสตร์ </t>
  </si>
  <si>
    <t xml:space="preserve"> คณะเกษตรศาสตร์ </t>
  </si>
  <si>
    <t xml:space="preserve"> สาขาวิชาสัตวศาสตร์ </t>
  </si>
  <si>
    <t xml:space="preserve"> สาขาวิชาประมง </t>
  </si>
  <si>
    <t xml:space="preserve"> สาขาเทคโนโลยีภูมิทัศน์ </t>
  </si>
  <si>
    <t xml:space="preserve"> สาขาวิชาเกษตรกลวิธาน </t>
  </si>
  <si>
    <t xml:space="preserve"> คณะวิทยาศาสตร์และเทคโนโลยี </t>
  </si>
  <si>
    <t xml:space="preserve"> สาขาวิชาเทคโนโลยีการยาง </t>
  </si>
  <si>
    <t xml:space="preserve"> สาขาวิชาเทคโนโลยีน้ำมันปาล์มและโอลิโอเคมี </t>
  </si>
  <si>
    <t xml:space="preserve"> สาขาวิชาชีววิทยาประยุกต์ </t>
  </si>
  <si>
    <t xml:space="preserve"> สาขาวิชาเทคโนโลยีสารสนเทศ </t>
  </si>
  <si>
    <t xml:space="preserve"> หลักสูตรอุตสาหกรรมศาสตรบัณฑิต </t>
  </si>
  <si>
    <t xml:space="preserve"> สาขาวิชาเทคโนโลยีอุตสาหการ </t>
  </si>
  <si>
    <t xml:space="preserve"> สาขาภาษาอังกฤษเพื่อการสื่อสารสากล </t>
  </si>
  <si>
    <t xml:space="preserve"> หลักสูตรการแพทย์แผนไทยบัณฑิต </t>
  </si>
  <si>
    <t xml:space="preserve"> สาขาวิชาการแพทย์แผนไทย </t>
  </si>
  <si>
    <t xml:space="preserve"> คณะวิทยาศาสตร์และเทคโนโลยีการประมง </t>
  </si>
  <si>
    <t xml:space="preserve"> หลักสูตรเทคโนโลยีบัณฑิต </t>
  </si>
  <si>
    <t xml:space="preserve"> หลักสูตรวิศวกรรมศาสตรบัณฑิต </t>
  </si>
  <si>
    <t xml:space="preserve"> สาขาวิชาสัตวแพทยศาสตร์ </t>
  </si>
  <si>
    <t xml:space="preserve"> คณะสัตวแพทย์ศาสตร์ </t>
  </si>
  <si>
    <t xml:space="preserve"> สาขาวิชาวิศวกรรมไฟฟ้า </t>
  </si>
  <si>
    <t xml:space="preserve"> คณะวิศวกรรมศาสตร์ </t>
  </si>
  <si>
    <t xml:space="preserve"> สาขาวิชาวิศวกรรมคอมพิวเตอร์ </t>
  </si>
  <si>
    <t xml:space="preserve"> สาขาวิชาวิศวกรรมอิเล็กทรอนิกส์ </t>
  </si>
  <si>
    <t xml:space="preserve"> สาขาวิชาวิศกรรมเครื่องกล </t>
  </si>
  <si>
    <t xml:space="preserve"> สาขาวิชาวิศวกรรมโทรคมนาคม </t>
  </si>
  <si>
    <t xml:space="preserve"> สาขาวิชาวิศวกรรมอุตสาหการ </t>
  </si>
  <si>
    <t xml:space="preserve"> สาขาวิชาวิศวกรรมโยธา </t>
  </si>
  <si>
    <t xml:space="preserve"> สาขาวิชาวิศวกรรมสำรวจ </t>
  </si>
  <si>
    <t xml:space="preserve"> สาขาวิชาวิศวกรรมเครื่องนุ่งห่ม </t>
  </si>
  <si>
    <t xml:space="preserve"> สาขาวิชาวิศกรรมการผลิต </t>
  </si>
  <si>
    <t xml:space="preserve"> สาขาวิชาเทคโนโลยีเครื่องกล </t>
  </si>
  <si>
    <t xml:space="preserve"> วิทยาลัยเทคโนโลยีอุตสาหกรรมและการจัดการ </t>
  </si>
  <si>
    <t>หลักสูตรวิศวกรรมศาสตรบัณฑิต</t>
  </si>
  <si>
    <t xml:space="preserve"> สาขาวิชาเทคโนโลยีเครื่องจักรกลเกษตร </t>
  </si>
  <si>
    <t xml:space="preserve"> สาขาวิชาเทคโนโลยีคอมพิวเตอร์ </t>
  </si>
  <si>
    <t xml:space="preserve"> คณะครุศาสตร์อุตสาหกรรมและเทคโนโลยี </t>
  </si>
  <si>
    <t xml:space="preserve"> สาขาวิชาวิศวกรรมอิเล็กทรอนิกส์และโทรคมนาคม </t>
  </si>
  <si>
    <t xml:space="preserve"> สาขาวิชาวิศวกรรมแมคคาทรอนิกส์ </t>
  </si>
  <si>
    <t xml:space="preserve"> สาขาวิชาเทคโนโลยีสื่อสารมวลชน </t>
  </si>
  <si>
    <t xml:space="preserve"> คณะสถาปัตยกรรมศาสตร์ </t>
  </si>
  <si>
    <t xml:space="preserve"> สาขาวิชาการผังเมือง </t>
  </si>
  <si>
    <t xml:space="preserve"> หลักสูตรศิลปบัณฑิต </t>
  </si>
  <si>
    <t xml:space="preserve"> สาขาวิชาจิตรกรรม </t>
  </si>
  <si>
    <t xml:space="preserve"> สาขาวิชาการออกแบบแฟชั่นและสิ่งทอ </t>
  </si>
  <si>
    <t xml:space="preserve"> ระดับปริญญาโท </t>
  </si>
  <si>
    <t xml:space="preserve"> หลักสูตรบริหารธุรกิจมหาบัณฑิต </t>
  </si>
  <si>
    <t xml:space="preserve"> สาขาการจัดการธุรกิจขนาดกลางและขนาดย่อม </t>
  </si>
  <si>
    <t xml:space="preserve"> คณะบริหารธุรกิจ  </t>
  </si>
  <si>
    <t xml:space="preserve"> หลักสูตรวิทยาศาสตรมหาบัณฑิต </t>
  </si>
  <si>
    <t xml:space="preserve"> คณะเกษตรศาสตร์  </t>
  </si>
  <si>
    <t xml:space="preserve"> สาขาวิชาเทคโนโลยีการผลิตพืช </t>
  </si>
  <si>
    <t xml:space="preserve"> สาขาวิชาการเพาะเลี้ยงสัตว์น้ำและการจัดการทรัพยากรประมง </t>
  </si>
  <si>
    <t xml:space="preserve"> สาขาเทคโนโลยีเพาะเลี้ยงสัตว์น้ำ </t>
  </si>
  <si>
    <t xml:space="preserve"> หลักสูตรวิศวกรรมศาสตรมหาบัณฑิต </t>
  </si>
  <si>
    <t xml:space="preserve">รับการปันส่วนจากหน่วยงานสนับสนุน (ใช้เกณฑ์ FTES) </t>
  </si>
  <si>
    <t>คชจ.
พัฒนาอาจารย์และบุคลากร</t>
  </si>
  <si>
    <t xml:space="preserve">คชจ.
พัฒนานักศึกษา
</t>
  </si>
  <si>
    <t xml:space="preserve"> สาขาวิชาวิศวกรรมไฟฟ้า</t>
  </si>
  <si>
    <t xml:space="preserve"> สาขาวิชาเทคโนโลยีปิโตรเลียม</t>
  </si>
  <si>
    <t>ค่าใช้จ่ายด้านบุคลากร</t>
  </si>
  <si>
    <t>ค่าใช้จ่ายด้านการฝึกอบรม</t>
  </si>
  <si>
    <t>ค่าใช้จ่ายในการเดินทาง</t>
  </si>
  <si>
    <t>ค่าตอบแทน ใช้สอย และวัสดุ</t>
  </si>
  <si>
    <t>ค่าเสื่อมราคาและค่าตัดจำหน่าย</t>
  </si>
  <si>
    <t>ค่าใช้จ่ายเงินอุดหนุน</t>
  </si>
  <si>
    <t>ค่าใช้จ่ายอื่น ๆ</t>
  </si>
  <si>
    <t>รวมคชจ.</t>
  </si>
  <si>
    <t>ค่าใช้จ่ายที่ไม่เป็นต้นทุนผลผลิตของมหาวิทยาลัยฯ</t>
  </si>
  <si>
    <t xml:space="preserve">รับปันส่วนคชจ.
พัฒนานักศึกษา
</t>
  </si>
  <si>
    <t>คชจ.หลังรับปันส่วนจากหน่วยงานสนับสนุน</t>
  </si>
  <si>
    <t>คชจ.
พัฒนาการเรียน
การสอน</t>
  </si>
  <si>
    <t xml:space="preserve">รับปันส่วนคชจ.
พัฒนาการเรียน
การสอน
</t>
  </si>
  <si>
    <t xml:space="preserve">รับปันส่วนคชจ.
พัฒนาอาจารย์และ
บุคลากร
</t>
  </si>
  <si>
    <t>สาขาวิชาช่างไฟฟ้า</t>
  </si>
  <si>
    <t>สาขาวิชาเทคโนโลยีเครื่องจักรกลเกษตร</t>
  </si>
  <si>
    <t>สาขาวิชการจัดการประมงธุรกิจสัตว์น้ำ</t>
  </si>
  <si>
    <t>สาขาวิชาเทคโนโลยีคอมพิวเตอร์</t>
  </si>
  <si>
    <t>สาขาวิชาเทคโนโลยีสารสนเทศ</t>
  </si>
  <si>
    <t>สาขาวิศวกรรมไฟฟ้า</t>
  </si>
  <si>
    <t>สาขาวิศวกรรมโยธา</t>
  </si>
  <si>
    <t>ค่าใช้จ่าย
พัฒนานักศึกษา</t>
  </si>
  <si>
    <t>ต้นทุนเฉลี่ยคณะบริหารธุรกิจ</t>
  </si>
  <si>
    <t xml:space="preserve">ต้นทุนเฉลี่ยวิทยาลัยรัตภูมิ </t>
  </si>
  <si>
    <t xml:space="preserve">ต้นทุนเฉลี่ยคณะเทคโนโลยีการจัดการ </t>
  </si>
  <si>
    <t>ต้นทุนเฉลี่ยวิทยาลัยการโรงแรมและท่องเที่ยว</t>
  </si>
  <si>
    <t>ต้นทุนเฉลี่ยคณะศิลปศาสตร์</t>
  </si>
  <si>
    <t>ต้นทุนเฉลี่ยคณะอุตสาหกรรมเกษตร</t>
  </si>
  <si>
    <t>ต้นทุนเฉลี่ยคณะเกษตรศาสตร์</t>
  </si>
  <si>
    <t>ต้นทุนเฉลี่ยคณะวิทยาศาสตร์และเทคโนโลยี</t>
  </si>
  <si>
    <t>ต้นทุนเฉลี่ยคณะวิศวกรรมศาสตร์และเทคโนโลยี</t>
  </si>
  <si>
    <t>ต้นทุนเฉลี่ยคณะสัตวแพทย์ศาสตร์</t>
  </si>
  <si>
    <t>ต้นทุนเฉลี่ยคณะวิศวกรรมศาสตร์</t>
  </si>
  <si>
    <t>ต้นทุนเฉลี่ยวิทยาลัยเทคโนโลยีอุตสาหกรรมและการจัดการ</t>
  </si>
  <si>
    <t>ต้นทุนเฉลี่ยคณะครุศาสตร์อุตสาหกรรมและเทคโนโลยี</t>
  </si>
  <si>
    <t>ต้นทุนเฉลี่ยคณะสถาปัตยกรรมศาสตร์</t>
  </si>
  <si>
    <t xml:space="preserve">สาขาวิชาการบัญชี </t>
  </si>
  <si>
    <t xml:space="preserve">สาขาวิชาการตลาด </t>
  </si>
  <si>
    <t xml:space="preserve"> หลักสูตรสถาปัตยกรรมศาสตรบัณฑิต</t>
  </si>
  <si>
    <t xml:space="preserve"> สาขาวิชาสถาปัตยกรรม</t>
  </si>
  <si>
    <t>คิดเป็นร้อยละ</t>
  </si>
  <si>
    <t>ต้นทุนพัฒนา
นักศึกษา  
(นศ.(คน)/ปี)</t>
  </si>
  <si>
    <t>รวมสัดส่วนค่าใช้จ่าย</t>
  </si>
  <si>
    <t xml:space="preserve"> ต้นทุนต่อหลักสูตร สาขา (นศ.(คน)/ปี)</t>
  </si>
  <si>
    <t>ต้นทุนพัฒนา
อาจารย์บุคลากร
(นศ.(คน)/ปี)</t>
  </si>
  <si>
    <t>ต้นทุนพัฒนา
การเรียนการสอน
(นศ.(คน)/ปี)</t>
  </si>
  <si>
    <t>ต้นทุนพัฒนานักศึกษา  
(นศ.(คน)/ปี)</t>
  </si>
  <si>
    <t>มหาวิทยาลัยเทคโนโลยีราชมงคลศรีวิชัย  (คชจ.ก่อนรับการปันส่วน)</t>
  </si>
  <si>
    <t>ต้นทุนเฉลี่ยวิทยาลัยรัตภูมิ ระดับปวส.</t>
  </si>
  <si>
    <t xml:space="preserve"> หลักสูตรสัตวแพทยศาสตร์บัณฑิต </t>
  </si>
  <si>
    <t xml:space="preserve">มหาวิทยาลัยเทคโนโลยีราชมงคลศรีวิชัย </t>
  </si>
  <si>
    <t>4. ศูนย์ฝึกวิชาชีพ  (วิทยาลัยฯ ตรัง)</t>
  </si>
  <si>
    <t>5. ฟาร์ม (คณะวิทย์ฯ ตรัง)</t>
  </si>
  <si>
    <t>สาขาวิชาวิศวกรรมคอมพิวเตอร์</t>
  </si>
  <si>
    <t>สาขาวิชาวิศวกรรมเครื่องจักรกลเกษตร</t>
  </si>
  <si>
    <t>สาขาวิชาการจัดการ-การจัดการทรัพยากรมนุษย์</t>
  </si>
  <si>
    <t>สาขาวิชาการจัดการ-การจัดการทั่วไป</t>
  </si>
  <si>
    <t>สาขาวิชาการจัดการ-การจัดการสำนักงานอิเล็กทรอนิกส์</t>
  </si>
  <si>
    <t>สาขาวิชาการจัดการ-การจัดการอุตสาหกรรม</t>
  </si>
  <si>
    <t xml:space="preserve"> สาขาวิชาการจัดการการตลาด</t>
  </si>
  <si>
    <t xml:space="preserve"> สาขาวิชาการจัดการการเป็นผู้ประกอบการ</t>
  </si>
  <si>
    <t xml:space="preserve"> สาขาวิชาการจัดการเทคโนโลยีสารสนเทศ</t>
  </si>
  <si>
    <t xml:space="preserve"> สาขาวิชาพัฒนาการเกษตรและธุรกิจเกษตร </t>
  </si>
  <si>
    <t xml:space="preserve"> สาขาภาษาอังกฤษเพื่อการสื่อสาร</t>
  </si>
  <si>
    <t>สาขาวิชาเทคโนโลยียางและพอลิเมอร์</t>
  </si>
  <si>
    <t>สาขาวิชาการจัดการทรัพยากรและสิ่งแวดล้อม</t>
  </si>
  <si>
    <t>สาขาวิชาการจัดการสิ่งแวดล้อมท้องถิ่น-การจัดการสิ่งแวดล้อม</t>
  </si>
  <si>
    <t>สาขาวิชาการจัดการสิ่งแวดล้อมท้องถิ่น-ทรัพยากรและสิ่งแวดล้อม</t>
  </si>
  <si>
    <t>สาขาวิชาวิทยาศาสตร์ทางทะเล-ชีววิทยาทางทะเล</t>
  </si>
  <si>
    <t>สาขาวิชาวิทยาศาสตร์สิ่งแวดล้อม-วิทยาศาสตร์สิ่งแวดล้อม</t>
  </si>
  <si>
    <t>สาขาวิชาวิทยาศาสตร์และเทคโนโลยีสิ่งแวดล้อม</t>
  </si>
  <si>
    <t>สาขาวิชาเทคโนโลยีสารสนเทศ-เทคโนโลยีสารสนเทศ</t>
  </si>
  <si>
    <t>สาขาวิชาการจัดการทรัพยากและสิ่งแวดล้อม</t>
  </si>
  <si>
    <t xml:space="preserve">สาขาวิชาเพาะเลี้ยงสัตว์น้ำ </t>
  </si>
  <si>
    <t xml:space="preserve">สาขาวิชาอุตสาหกรรมอาหาร </t>
  </si>
  <si>
    <t xml:space="preserve"> สาขาวิชาทัศนศิลป์</t>
  </si>
  <si>
    <t>หลักสูตรวิทยาศาสตรบัณฑิต</t>
  </si>
  <si>
    <t xml:space="preserve"> หลักสูตรครุศาสตร์อุตสาหกรรมบัณฑิต</t>
  </si>
  <si>
    <t>ภาพรวมสัดส่วนค่าใช้จ่ายทั้งมหาวิทยาลัยฯ</t>
  </si>
  <si>
    <t>***เนื่องจากมหาวิทยาลัยเทคโนโลยีราชมงคลศรีวิชัย มีการคำนวณต้นทุนต่อหน่วยผลผลิตตามรูปแบบกรมบัญชีกลาง จึงใช้วิธีการปันส่วนตามค่า FTES เพื่อใช้คำนวณต้นทุนต่อหน่วยหลักสูตร</t>
  </si>
  <si>
    <t>สาขาวิชาอุตสาหกรรมอาหารและบริการ</t>
  </si>
  <si>
    <t>10.รวมพัฒนา
นักศึกษา</t>
  </si>
  <si>
    <t>(9)</t>
  </si>
  <si>
    <t>(5+8+10)</t>
  </si>
  <si>
    <t>รหัสหน่วยเบิกจ่าย.............................(2017100000 - 2017100005)</t>
  </si>
  <si>
    <t xml:space="preserve"> </t>
  </si>
  <si>
    <t xml:space="preserve"> 14. คณะวิศวกรรมศาสตร์และเทคโนโลยี (ตรัง)</t>
  </si>
  <si>
    <t xml:space="preserve"> 15. วิทยาลัยเทคโนโลยีอุตสาหกรรมและการจัดการ (ขนอม) </t>
  </si>
  <si>
    <t xml:space="preserve"> 1. สำนักงานอธิการบดีและหน่วยงานในหน่วยเบิก00</t>
  </si>
  <si>
    <t>8. ฟาร์ม (ไสใหญ่)</t>
  </si>
  <si>
    <t>9. หอพัก (ไสใหญ่)</t>
  </si>
  <si>
    <t>10. โครงการฝึกทักษะวิชาชีพนักศึกษา (ไสใหญ่)</t>
  </si>
  <si>
    <t>11. หอพัก (ขนอม)</t>
  </si>
  <si>
    <t>**ค่าใช้จ่ายของงานฟาร์ม โรงพยาบาลสัตว์ หรือศูนย์ฝึกวิชาชีพ ที่เป็นต้นทุนผลผลิตด้านการเรียนการสอนของมหาวิทยาลัยฯ ให้รวมอยู่ในคณะ /วิทยาลัยที่มีการเบิกจ่าย</t>
  </si>
  <si>
    <t xml:space="preserve">**ส่วนค่าใช้จ่ายใดที่ไม่ใช่ต้นทุนผลผลิตด้านการเรียนการสอน ให้แยกค่าใช้จ่ายแสดงไว้ในส่วนของค่าใช้จ่ายที่ไม่เป็นต้นทุนผลผลิตของมหาวิทยาลัยฯ </t>
  </si>
  <si>
    <t xml:space="preserve">      ขอรับรองว่าข้อมูลดังกล่าวได้รับการตรวจสอบและมีความถูกต้องครบถ้วนเรียบร้อยแล้ว</t>
  </si>
  <si>
    <t>ตำแหน่ง.....................................</t>
  </si>
  <si>
    <t>5.รวมค่าใช้จ่ายเพื่อพัฒนาอาจารย์(1+2+3+4)</t>
  </si>
  <si>
    <t>8.รวมค่าใช้จ่ายเพื่อพัฒนาการเรียนการสอน(6+7)</t>
  </si>
  <si>
    <t>10.รวมค่าใช้จ่ายเพื่อพัฒนานักศึกษา</t>
  </si>
  <si>
    <t>รวมทั้งสิ้น
(5+8+10)</t>
  </si>
  <si>
    <t>สรุปค่า FTES แยกตามผลผลิต (คณะที่นักศึกษาสังกัด)</t>
  </si>
  <si>
    <t>ข้อมูล ณ วันที่ 30-10-2018</t>
  </si>
  <si>
    <t>วิทยาศาสตร์และเทคโนโลยี</t>
  </si>
  <si>
    <t>ลำดับ</t>
  </si>
  <si>
    <t>คณะ/สาขา ที่ นศ.สังกัด</t>
  </si>
  <si>
    <t>ปีการศึกษา 2561</t>
  </si>
  <si>
    <t>ปีงบประมาณ 2561</t>
  </si>
  <si>
    <t>ปวส.</t>
  </si>
  <si>
    <t>ปริญญาตรี</t>
  </si>
  <si>
    <t>ปริญญาโท</t>
  </si>
  <si>
    <t>ภาคปกติ</t>
  </si>
  <si>
    <t>ภาคสมทบ</t>
  </si>
  <si>
    <t>จำนวน นศ.</t>
  </si>
  <si>
    <t>ค่า FTES</t>
  </si>
  <si>
    <t>การแพทย์แผนไทย</t>
  </si>
  <si>
    <t>ชีววิทยาประยุกต์</t>
  </si>
  <si>
    <t>นักศึกษาลงทะเบียนข้ามวิทยาเขต</t>
  </si>
  <si>
    <t>ภาษาอังกฤษเพื่อการสื่อสาร</t>
  </si>
  <si>
    <t>ภาษาอังกฤษเพื่อการสื่อสารสากล</t>
  </si>
  <si>
    <t>เคมีอุตสาหกรรม</t>
  </si>
  <si>
    <t>เทคโนโลยีการยาง</t>
  </si>
  <si>
    <t>เทคโนโลยีน้ำมันปาล์มและโอลิโอเคมี</t>
  </si>
  <si>
    <t>เทคโนโลยียางและพอลิเมอร์</t>
  </si>
  <si>
    <t>เทคโนโลยีสารสนเทศ</t>
  </si>
  <si>
    <t>เทคโนโลยีอุตสาหการ</t>
  </si>
  <si>
    <t>เกษตรศาสตร์</t>
  </si>
  <si>
    <t>การเพาะเลี้ยงสัตว์น้ำและการจัดการทรัพยากรประมง</t>
  </si>
  <si>
    <t>ประมง</t>
  </si>
  <si>
    <t>พัฒนาการเกษตรและธุรกิจเกษตร</t>
  </si>
  <si>
    <t>พืชศาสตร์</t>
  </si>
  <si>
    <t>สัตวศาสตร์</t>
  </si>
  <si>
    <t>เกษตรกลวิธาน</t>
  </si>
  <si>
    <t>เทคโนโลยีการผลิตพืช</t>
  </si>
  <si>
    <t>เทคโนโลยีภูมิทัศน์</t>
  </si>
  <si>
    <t>เทคโนโลยีเครื่องจักรกลเกษตร</t>
  </si>
  <si>
    <t>เทคโนโลยีการจัดการ</t>
  </si>
  <si>
    <t>การจัดการ</t>
  </si>
  <si>
    <t>การจัดการการตลาด</t>
  </si>
  <si>
    <t>การจัดการการเป็นผู้ประกอบการ</t>
  </si>
  <si>
    <t>การจัดการเทคโนโลยีสารสนเทศ</t>
  </si>
  <si>
    <t>การจัดการโลจิสติกส์</t>
  </si>
  <si>
    <t>การตลาด</t>
  </si>
  <si>
    <t>การบัญชี</t>
  </si>
  <si>
    <t>การเงิน</t>
  </si>
  <si>
    <t>ธุรกิจอิเล็กทรอนิกส์</t>
  </si>
  <si>
    <t>ระบบสารสนเทศทางธุรกิจ</t>
  </si>
  <si>
    <t>สัตวแพทยศาสตร์</t>
  </si>
  <si>
    <t>อุตสาหกรรมเกษตร (วิทยาเขตนครศรีธรรมราช ทุ่งใหญ่)</t>
  </si>
  <si>
    <t>การจัดการอุตสาหกรรมอาหารและบริการ</t>
  </si>
  <si>
    <t>วิทยาศาสตร์และเทคโนโลยีการอาหาร</t>
  </si>
  <si>
    <t>อาหารและโภชนาการ</t>
  </si>
  <si>
    <t>เกษตรศาสตร์ (วิทยาเขตนครศรีธรรมราช ทุ่งใหญ่)</t>
  </si>
  <si>
    <t>วิทยาลัยเทคโนโลยีอุตสาหกรรมและการจัดการ</t>
  </si>
  <si>
    <t>การโรงแรมและการท่องเที่ยว</t>
  </si>
  <si>
    <t>วิศวกรรมโยธา</t>
  </si>
  <si>
    <t>วิศวกรรมไฟฟ้า</t>
  </si>
  <si>
    <t>คณะวิทยาศาสตร์และเทคโนโลยีการประมง</t>
  </si>
  <si>
    <t>การจัดการชายฝั่งแบบบูรณาการ</t>
  </si>
  <si>
    <t>การจัดการทรัพยากรและสิ่งแวดล้อม</t>
  </si>
  <si>
    <t>การจัดการประมงและธุรกิจสัตว์น้ำ</t>
  </si>
  <si>
    <t>การจัดการสิ่งแวดล้อมท้องถิ่น แขนงการจัดการสิ่งเเวดล้อม</t>
  </si>
  <si>
    <t>การจัดการสิ่งแวดล้อมท้องถิ่น แขนงทรัพยากรและสิ่งแวดล้อม</t>
  </si>
  <si>
    <t>วิทยาศาสตร์ทางทะเล</t>
  </si>
  <si>
    <t>วิทยาศาสตร์ทางทะเล แขนงการจัดการทรัพยากรและการท่องเที่ยวทางทะเล</t>
  </si>
  <si>
    <t>วิทยาศาสตร์ทางทะเล แขนงชีววิทยาทางทะเล</t>
  </si>
  <si>
    <t>วิทยาศาสตร์สิ่งแวดล้อม แขนงวิทยาศาสตร์สิ่งเเวดล้อม</t>
  </si>
  <si>
    <t>วิทยาศาสตร์และเทคโนโลยีสิ่งแวดล้อม</t>
  </si>
  <si>
    <t>วิศวกรรมอิเล็กทรอนิกส์</t>
  </si>
  <si>
    <t>อุตสาหกรรมอาหาร</t>
  </si>
  <si>
    <t>เทคโนโลยีการจัดการสิ่งแวดล้อม</t>
  </si>
  <si>
    <t>เทคโนโลยีการเพาะเลี้ยงสัตว์น้ำ</t>
  </si>
  <si>
    <t>เทคโนโลยีคอมพิวเตอร์</t>
  </si>
  <si>
    <t>เทคโนโลยีสารสนเทศ- เทคโนโลยีสารสนเทศ</t>
  </si>
  <si>
    <t>เทคโนโลยีอุตสาหกรรม แขนงเทคโนโลยีโยธา</t>
  </si>
  <si>
    <t>เพาะเลี้ยงสัตว์น้ำ</t>
  </si>
  <si>
    <t>คณะวิศวกรรมศาสตร์และเทคโนโลยี</t>
  </si>
  <si>
    <t>วิศวกรรมก่อสร้าง</t>
  </si>
  <si>
    <t>วิศวกรรมสารสนเทศและการสื่อสาร</t>
  </si>
  <si>
    <t>เทคโนโลยีสารสนเทศ แขนงเทคโนโลยีมัลติมีเดีย</t>
  </si>
  <si>
    <t>เทคโนโลยีสารสนเทศ แขนงเทคโนโลยีสารสนเทศ</t>
  </si>
  <si>
    <t>เทคโนโลยีอุตสาหกรรม แขนงเทคโนโลยีไฟฟ้า</t>
  </si>
  <si>
    <t>วิทยาลัยการโรงแรมและการท่องเที่ยว</t>
  </si>
  <si>
    <t>การโรงแรม</t>
  </si>
  <si>
    <t>ครุศาสตร์อุตสาหกรรมและเทคโนโลยี</t>
  </si>
  <si>
    <t>วิศวกรรมอิเล็กทรอนิกส์และโทรคมนาคม</t>
  </si>
  <si>
    <t>วิศวกรรมอุตสาหการ</t>
  </si>
  <si>
    <t>วิศวกรรมแมคคาทรอนิกส์</t>
  </si>
  <si>
    <t>เทคโนโลยีปิโตรเลียม</t>
  </si>
  <si>
    <t>เทคโนโลยีสื่อสารมวลชน</t>
  </si>
  <si>
    <t>บริหารธุรกิจ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</si>
  <si>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</si>
  <si>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</si>
  <si>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การจัดการ-การจัดการสำนักงานอิเล็กทรอนิกส์</t>
  </si>
  <si>
    <t>การจัดการ-การจัดการอุตสาหกรรม</t>
  </si>
  <si>
    <t>การจัดการธุรกิจขนาดกลางและขนาดย่อม</t>
  </si>
  <si>
    <t>วิศวกรรมศาสตร์</t>
  </si>
  <si>
    <t>วิศวกรรมการผลิต</t>
  </si>
  <si>
    <t>วิศวกรรมคอมพิวเตอร์</t>
  </si>
  <si>
    <t>วิศวกรรมสำรวจ</t>
  </si>
  <si>
    <t>วิศวกรรมเครื่องกล</t>
  </si>
  <si>
    <t>วิศวกรรมเครื่องกลเรือ</t>
  </si>
  <si>
    <t>วิศวกรรมเครื่องนุ่งห่ม</t>
  </si>
  <si>
    <t>วิศวกรรมโทรคมนาคม</t>
  </si>
  <si>
    <t>เทคโนโลยีเครื่องกล</t>
  </si>
  <si>
    <t>ศิลปศาสตร์</t>
  </si>
  <si>
    <t>การท่องเที่ยว</t>
  </si>
  <si>
    <t>ธุรกิจคหกรรมศาสตร์</t>
  </si>
  <si>
    <t>สถาปัตยกรรมศาสตร์</t>
  </si>
  <si>
    <t>การผังเมือง</t>
  </si>
  <si>
    <t>การออกแบบแฟชั่นและสิ่งทอ</t>
  </si>
  <si>
    <t>จิตรกรรม</t>
  </si>
  <si>
    <t>ทัศนศิลป์</t>
  </si>
  <si>
    <t>สถาปัตยกรรม</t>
  </si>
  <si>
    <t>วิทยาลัยรัตภูมิ</t>
  </si>
  <si>
    <t>วิศวกรรมเครื่องจักรกลเกษตร</t>
  </si>
  <si>
    <t>คอมพิวเตอร์ธุรกิจ</t>
  </si>
  <si>
    <t>ช่างยนต์</t>
  </si>
  <si>
    <t>ช่างไฟฟ้า</t>
  </si>
  <si>
    <t xml:space="preserve"> คณะวิทยาศาสตร์และเทคโนโลยีการประมง
</t>
  </si>
  <si>
    <t>สาขาวิชาวิทยาศาสตร์ทางทะเล</t>
  </si>
  <si>
    <t>วิศวกรรมศาสตร์และเทคโนโลยี</t>
  </si>
  <si>
    <t xml:space="preserve"> สาขาวิชาวิศวกรรมก่อสร้าง</t>
  </si>
  <si>
    <t>สาขาวิชาวิศวกรรมสารสนเทศและการสื่อสาร</t>
  </si>
  <si>
    <t>สาขาวิชาวิศวกรรมไฟฟ้า</t>
  </si>
  <si>
    <t>สาขาวิชาเทคโนโลยีสารสนเทศ-เทคโนโลยีโยธา</t>
  </si>
  <si>
    <t xml:space="preserve"> สาขาวิชาวิศกรรมเครื่องกลเรือ</t>
  </si>
  <si>
    <t>สาขาวิชาการจัดการ</t>
  </si>
  <si>
    <t>ต้นทุนเฉลี่ยคณะบริหารธุรกิจ-ระดับปริญญาโท</t>
  </si>
  <si>
    <t>ต้นทุนเฉลี่ยคณะเกษตรศาสตร์-ระดับปริญญาโท</t>
  </si>
  <si>
    <t>ต้นทุนเฉลี่ยคณะวิทยาศาสตร์และเทคโนโลยีการประมง-ระดับปริญญาโท</t>
  </si>
  <si>
    <t>ต้นทุนเฉลี่ยคณะวิศวกรรมศาสตร์-ระดับปริญญาโท</t>
  </si>
  <si>
    <t xml:space="preserve"> ต้นทุน
ต่อหลักสูตร สาขา 
(นศ.(คน)/ปี)</t>
  </si>
  <si>
    <t>ที่</t>
  </si>
  <si>
    <t xml:space="preserve">  สัดส่วนค่าใช้จ่ายเพื่อพัฒนานักศึกษา อาจารย์ บุคลากร การจัดการเรียนการสอน </t>
  </si>
  <si>
    <t>ค่าใช้จ่ายพัฒนาอาจารย์บุคลากร</t>
  </si>
  <si>
    <t>ค่าใช้จ่ายพัฒนา
การเรียนการสอน</t>
  </si>
  <si>
    <t xml:space="preserve"> วิศวกรรมศาสตร์และเทคโนโลยี</t>
  </si>
  <si>
    <t xml:space="preserve"> คณะวิศวกรรมศาสตร์</t>
  </si>
  <si>
    <t xml:space="preserve"> สาขาวิชาการจัดการ-การจัดการสำนักงานอิเล็กทรอนิกส์</t>
  </si>
  <si>
    <t xml:space="preserve"> สาขาวิชาการจัดการ-การจัดการทรัพยากรมนุษย์</t>
  </si>
  <si>
    <t xml:space="preserve"> สาขาวิชาการจัดการ-การจัดการอุตสาหกรรม</t>
  </si>
  <si>
    <t xml:space="preserve"> สาขาวิชาการเงิน</t>
  </si>
  <si>
    <t xml:space="preserve"> สาขาวิชาเทคโนโลยีเครื่องจักรกลเกษตร</t>
  </si>
  <si>
    <t xml:space="preserve"> สาขาวิชาช่างยนต์</t>
  </si>
  <si>
    <t xml:space="preserve"> สาขาวิชาเพาะเลี้ยงสัตว์น้ำ </t>
  </si>
  <si>
    <t xml:space="preserve"> สาขาวิชาการจัดการ</t>
  </si>
  <si>
    <t xml:space="preserve"> สาขาวิชาเทคโนโลยีคอมพิวเตอร์</t>
  </si>
  <si>
    <t xml:space="preserve"> สาขาวิชาการบัญชี</t>
  </si>
  <si>
    <t xml:space="preserve"> สาขาวิชาเทคโนโลยีสารสนเทศ</t>
  </si>
  <si>
    <t>นศ.ปีงปม.2561</t>
  </si>
  <si>
    <t>FTES ปีงปม.2561</t>
  </si>
  <si>
    <t>FTES 
ปีงปม.61</t>
  </si>
  <si>
    <t>สาขาวิชาเทคโนโลยีอุตสาหกรรม-เทคโนโลยีโยธา</t>
  </si>
  <si>
    <t>สาขาวิชาวิทยาศาสตร์ทางทะเล-การจัดการทรัพยากรและการท่องเที่ยวทางทะเล</t>
  </si>
  <si>
    <t>สาขาวิชาวิศวกรรมอิเล็กทรอนิกส์</t>
  </si>
  <si>
    <t>สาขาวิชาเทคโนโลยีอุตสาหกรรม-เทคโนโลยีโฟฟ้า</t>
  </si>
  <si>
    <t>ค่าใช้จ่าย
พัฒนาอาจารย์
บุคลากร</t>
  </si>
  <si>
    <t>ค่าใช้จ่าย
พัฒนาการเรียน
การสอน</t>
  </si>
  <si>
    <t>ค่าใช้จ่าย
พัฒนา
นักศึกษา</t>
  </si>
  <si>
    <t>สาขาวิชาเคมีอุตสาหกรรม</t>
  </si>
  <si>
    <t xml:space="preserve"> สาขาวิชาภาษาอังกฤษเพื่อการสื่อสาร</t>
  </si>
  <si>
    <t>สาขาวิชาวิศวกรรมก่อสร้าง</t>
  </si>
  <si>
    <t xml:space="preserve">สาขาวิชาระบบสารสนเทศทางธุรกิจ </t>
  </si>
  <si>
    <t>สาขาวิชาวิศวกรรมโยธา</t>
  </si>
  <si>
    <t xml:space="preserve"> สาขาวิชาเทคโนโลยีภูมิทัศน์ </t>
  </si>
  <si>
    <t>สาขาวิชาการจัดการประมงธุรกิจสัตว์น้ำ</t>
  </si>
  <si>
    <t xml:space="preserve">สาขาวิชาการโรงแรมและการท่องเที่ยว </t>
  </si>
  <si>
    <t xml:space="preserve">สาขาวิชาเทคโนโลยีเครื่องจักรกลเกษตร </t>
  </si>
  <si>
    <t xml:space="preserve">สาขาวิชาเทคโนโลยีคอมพิวเตอร์ </t>
  </si>
  <si>
    <t xml:space="preserve"> สาขาวิชาการจัดการธุรกิจขนาดกลางและขนาดย่อม </t>
  </si>
  <si>
    <t xml:space="preserve">สาขาวิชาเทคโนโลยีเพาะเลี้ยงสัตว์น้ำ </t>
  </si>
  <si>
    <t xml:space="preserve">สาขาวิชาวิศวกรรมโยธา </t>
  </si>
  <si>
    <t xml:space="preserve"> ต้นทุนต่อ
หลักสูตรสาขา
 (นศ.(คน)/ปี)</t>
  </si>
  <si>
    <t xml:space="preserve"> หลักสูตรบัญชีบัณฑิต</t>
  </si>
  <si>
    <t xml:space="preserve"> ต้นทุนหลักสูตรเฉลี่ย  สัดส่วนค่าใช้จ่ายเพื่อพัฒนานักศึกษา อาจารย์ บุคลากร การจัดการเรียนการสอน </t>
  </si>
  <si>
    <t xml:space="preserve"> มหาวิทยาลัยเทคโนโลยีราชมงคลศรีวิชัย  </t>
  </si>
  <si>
    <t xml:space="preserve">รายละเอียดแสดงค่าใช้จ่ายของหน่วยงาน  แยกตามประเภทค่าใช้จ่ายและแหล่งของเงิน ปีงบประมาณ พ.ศ.2561                                 </t>
  </si>
  <si>
    <t>รายละเอียดแสดงค่าใช้จ่ายของหน่วยงาน  แยกตามประเภทค่าใช้จ่ายและแหล่งของเงิน ปีงบประมาณ พ.ศ.2561</t>
  </si>
  <si>
    <t xml:space="preserve">        รหัสหน่วยเบิกจ่าย  2017100000 - 2017100005</t>
  </si>
  <si>
    <t>รายละเอียดแสดงค่าใช้จ่ายของหน่วยงาน เพื่อจัดทำต้นทุนต่อหน่วยหลักสูตร ปีงบประมาณ พ.ศ.2561</t>
  </si>
  <si>
    <t xml:space="preserve">มหาวิทยาลัยเทคโนโลยีราชมงคลศรีวิชัย  </t>
  </si>
  <si>
    <t xml:space="preserve"> จำนวน นศ. 
ปี 61</t>
  </si>
  <si>
    <t xml:space="preserve"> FTES 
ปี 61 </t>
  </si>
  <si>
    <r>
      <rPr>
        <b/>
        <sz val="16"/>
        <color indexed="10"/>
        <rFont val="TH SarabunPSK"/>
        <family val="2"/>
      </rPr>
      <t>เรียงจากจำนวนนักศึกษามากไปน้อย</t>
    </r>
    <r>
      <rPr>
        <b/>
        <sz val="16"/>
        <color indexed="8"/>
        <rFont val="TH SarabunPSK"/>
        <family val="2"/>
      </rPr>
      <t xml:space="preserve">  มหาวิทยาลัยเทคโนโลยีราชมงคลศรีวิชัย  </t>
    </r>
  </si>
  <si>
    <t xml:space="preserve"> ต้นทุนคณะเฉลี่ย  สัดส่วนค่าใช้จ่ายเพื่อพัฒนานักศึกษา อาจารย์ บุคลากร การจัดการเรียนการสอน  </t>
  </si>
  <si>
    <t xml:space="preserve"> 3. คณะศิลปศาสตร์ (สงขลา)</t>
  </si>
  <si>
    <t xml:space="preserve"> จำนวนนศ. 
ปี 61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</si>
</sst>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0.00_ ;\-#,##0.00\ "/>
    <numFmt numFmtId="200" formatCode="_-* #,##0.0000_-;\-* #,##0.000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20"/>
      <name val="TH SarabunPSK"/>
      <family val="2"/>
    </font>
    <font>
      <u val="single"/>
      <sz val="20"/>
      <name val="TH SarabunPSK"/>
      <family val="2"/>
    </font>
    <font>
      <u val="single"/>
      <sz val="16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C00000"/>
      </right>
      <top style="thin">
        <color rgb="FF000000"/>
      </top>
      <bottom/>
    </border>
    <border>
      <left style="thick">
        <color rgb="FFFF0000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6" fillId="33" borderId="10" xfId="36" applyFont="1" applyFill="1" applyBorder="1" applyAlignment="1">
      <alignment vertical="center"/>
    </xf>
    <xf numFmtId="43" fontId="2" fillId="33" borderId="0" xfId="36" applyFont="1" applyFill="1" applyAlignment="1">
      <alignment horizontal="center" vertical="center"/>
    </xf>
    <xf numFmtId="43" fontId="2" fillId="33" borderId="0" xfId="36" applyFont="1" applyFill="1" applyBorder="1" applyAlignment="1">
      <alignment vertical="center"/>
    </xf>
    <xf numFmtId="43" fontId="2" fillId="33" borderId="0" xfId="36" applyFont="1" applyFill="1" applyAlignment="1">
      <alignment vertical="center"/>
    </xf>
    <xf numFmtId="43" fontId="5" fillId="33" borderId="0" xfId="36" applyFont="1" applyFill="1" applyBorder="1" applyAlignment="1">
      <alignment vertical="center"/>
    </xf>
    <xf numFmtId="43" fontId="6" fillId="33" borderId="0" xfId="36" applyFont="1" applyFill="1" applyBorder="1" applyAlignment="1">
      <alignment vertical="center"/>
    </xf>
    <xf numFmtId="43" fontId="7" fillId="33" borderId="10" xfId="36" applyFont="1" applyFill="1" applyBorder="1" applyAlignment="1">
      <alignment vertical="center"/>
    </xf>
    <xf numFmtId="43" fontId="2" fillId="33" borderId="10" xfId="36" applyFont="1" applyFill="1" applyBorder="1" applyAlignment="1">
      <alignment horizontal="left" vertical="center"/>
    </xf>
    <xf numFmtId="43" fontId="6" fillId="33" borderId="11" xfId="36" applyFont="1" applyFill="1" applyBorder="1" applyAlignment="1">
      <alignment vertical="center"/>
    </xf>
    <xf numFmtId="43" fontId="5" fillId="33" borderId="12" xfId="36" applyFont="1" applyFill="1" applyBorder="1" applyAlignment="1">
      <alignment vertical="center"/>
    </xf>
    <xf numFmtId="43" fontId="6" fillId="33" borderId="13" xfId="36" applyFont="1" applyFill="1" applyBorder="1" applyAlignment="1">
      <alignment vertical="center"/>
    </xf>
    <xf numFmtId="43" fontId="6" fillId="33" borderId="10" xfId="36" applyFont="1" applyFill="1" applyBorder="1" applyAlignment="1">
      <alignment horizontal="center" vertical="center"/>
    </xf>
    <xf numFmtId="43" fontId="6" fillId="33" borderId="10" xfId="36" applyFont="1" applyFill="1" applyBorder="1" applyAlignment="1">
      <alignment horizontal="center" vertical="center" wrapText="1"/>
    </xf>
    <xf numFmtId="43" fontId="6" fillId="33" borderId="10" xfId="36" applyFont="1" applyFill="1" applyBorder="1" applyAlignment="1">
      <alignment horizontal="left" vertical="center"/>
    </xf>
    <xf numFmtId="43" fontId="6" fillId="33" borderId="10" xfId="36" applyFont="1" applyFill="1" applyBorder="1" applyAlignment="1">
      <alignment horizontal="right" vertical="center"/>
    </xf>
    <xf numFmtId="43" fontId="6" fillId="33" borderId="11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right" vertical="center"/>
    </xf>
    <xf numFmtId="43" fontId="5" fillId="33" borderId="14" xfId="36" applyFont="1" applyFill="1" applyBorder="1" applyAlignment="1">
      <alignment horizontal="center" vertical="center"/>
    </xf>
    <xf numFmtId="43" fontId="5" fillId="33" borderId="15" xfId="36" applyFont="1" applyFill="1" applyBorder="1" applyAlignment="1">
      <alignment horizontal="center" vertical="center"/>
    </xf>
    <xf numFmtId="43" fontId="6" fillId="33" borderId="0" xfId="36" applyFont="1" applyFill="1" applyAlignment="1">
      <alignment vertical="center"/>
    </xf>
    <xf numFmtId="43" fontId="6" fillId="33" borderId="0" xfId="36" applyFont="1" applyFill="1" applyAlignment="1">
      <alignment horizontal="center" vertical="center"/>
    </xf>
    <xf numFmtId="43" fontId="6" fillId="33" borderId="16" xfId="36" applyFont="1" applyFill="1" applyBorder="1" applyAlignment="1">
      <alignment horizontal="center" vertical="center" wrapText="1"/>
    </xf>
    <xf numFmtId="43" fontId="6" fillId="33" borderId="16" xfId="36" applyFont="1" applyFill="1" applyBorder="1" applyAlignment="1">
      <alignment vertical="center"/>
    </xf>
    <xf numFmtId="43" fontId="5" fillId="33" borderId="17" xfId="36" applyFont="1" applyFill="1" applyBorder="1" applyAlignment="1">
      <alignment horizontal="center" vertical="center"/>
    </xf>
    <xf numFmtId="43" fontId="6" fillId="33" borderId="17" xfId="36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3" fontId="4" fillId="33" borderId="0" xfId="36" applyFont="1" applyFill="1" applyBorder="1" applyAlignment="1">
      <alignment horizontal="center" vertical="center"/>
    </xf>
    <xf numFmtId="43" fontId="4" fillId="33" borderId="0" xfId="36" applyFont="1" applyFill="1" applyBorder="1" applyAlignment="1">
      <alignment vertical="center"/>
    </xf>
    <xf numFmtId="43" fontId="2" fillId="33" borderId="0" xfId="36" applyFont="1" applyFill="1" applyBorder="1" applyAlignment="1">
      <alignment horizontal="center" vertical="center"/>
    </xf>
    <xf numFmtId="43" fontId="3" fillId="33" borderId="0" xfId="36" applyFont="1" applyFill="1" applyBorder="1" applyAlignment="1">
      <alignment vertical="center"/>
    </xf>
    <xf numFmtId="43" fontId="8" fillId="33" borderId="0" xfId="36" applyFont="1" applyFill="1" applyBorder="1" applyAlignment="1">
      <alignment vertical="center"/>
    </xf>
    <xf numFmtId="43" fontId="10" fillId="33" borderId="0" xfId="36" applyFont="1" applyFill="1" applyBorder="1" applyAlignment="1">
      <alignment vertical="center"/>
    </xf>
    <xf numFmtId="43" fontId="9" fillId="33" borderId="0" xfId="36" applyFont="1" applyFill="1" applyBorder="1" applyAlignment="1">
      <alignment vertical="center"/>
    </xf>
    <xf numFmtId="0" fontId="53" fillId="0" borderId="10" xfId="0" applyFont="1" applyBorder="1" applyAlignment="1">
      <alignment horizontal="left"/>
    </xf>
    <xf numFmtId="43" fontId="6" fillId="33" borderId="0" xfId="36" applyFont="1" applyFill="1" applyBorder="1" applyAlignment="1">
      <alignment horizontal="left" vertical="center"/>
    </xf>
    <xf numFmtId="43" fontId="2" fillId="33" borderId="11" xfId="36" applyFont="1" applyFill="1" applyBorder="1" applyAlignment="1">
      <alignment horizontal="left" vertical="center"/>
    </xf>
    <xf numFmtId="43" fontId="6" fillId="33" borderId="13" xfId="36" applyFont="1" applyFill="1" applyBorder="1" applyAlignment="1">
      <alignment horizontal="center" vertical="center"/>
    </xf>
    <xf numFmtId="43" fontId="11" fillId="33" borderId="10" xfId="36" applyFont="1" applyFill="1" applyBorder="1" applyAlignment="1">
      <alignment horizontal="left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0" xfId="36" applyFont="1" applyFill="1" applyBorder="1" applyAlignment="1">
      <alignment horizontal="center" vertical="center"/>
    </xf>
    <xf numFmtId="43" fontId="6" fillId="33" borderId="0" xfId="36" applyFont="1" applyFill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13" fillId="33" borderId="0" xfId="36" applyFont="1" applyFill="1" applyAlignment="1">
      <alignment horizontal="center" vertical="center"/>
    </xf>
    <xf numFmtId="43" fontId="13" fillId="33" borderId="0" xfId="36" applyFont="1" applyFill="1" applyAlignment="1">
      <alignment vertical="center"/>
    </xf>
    <xf numFmtId="43" fontId="6" fillId="33" borderId="18" xfId="36" applyFont="1" applyFill="1" applyBorder="1" applyAlignment="1">
      <alignment horizontal="center" vertical="center"/>
    </xf>
    <xf numFmtId="43" fontId="6" fillId="33" borderId="18" xfId="36" applyFont="1" applyFill="1" applyBorder="1" applyAlignment="1">
      <alignment horizontal="center" vertical="center" wrapText="1"/>
    </xf>
    <xf numFmtId="43" fontId="5" fillId="33" borderId="19" xfId="36" applyFont="1" applyFill="1" applyBorder="1" applyAlignment="1">
      <alignment horizontal="center" vertical="center"/>
    </xf>
    <xf numFmtId="43" fontId="6" fillId="33" borderId="20" xfId="36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3" fontId="12" fillId="33" borderId="10" xfId="36" applyFont="1" applyFill="1" applyBorder="1" applyAlignment="1">
      <alignment horizontal="center" vertical="center" wrapText="1"/>
    </xf>
    <xf numFmtId="43" fontId="6" fillId="33" borderId="10" xfId="36" applyFont="1" applyFill="1" applyBorder="1" applyAlignment="1">
      <alignment/>
    </xf>
    <xf numFmtId="43" fontId="6" fillId="33" borderId="0" xfId="36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43" fontId="6" fillId="33" borderId="21" xfId="36" applyFont="1" applyFill="1" applyBorder="1" applyAlignment="1">
      <alignment horizontal="center" vertical="center"/>
    </xf>
    <xf numFmtId="43" fontId="15" fillId="33" borderId="15" xfId="36" applyFont="1" applyFill="1" applyBorder="1" applyAlignment="1">
      <alignment vertical="center"/>
    </xf>
    <xf numFmtId="0" fontId="55" fillId="33" borderId="0" xfId="0" applyFont="1" applyFill="1" applyAlignment="1">
      <alignment/>
    </xf>
    <xf numFmtId="43" fontId="55" fillId="33" borderId="0" xfId="36" applyFont="1" applyFill="1" applyAlignment="1">
      <alignment/>
    </xf>
    <xf numFmtId="43" fontId="11" fillId="33" borderId="10" xfId="36" applyFont="1" applyFill="1" applyBorder="1" applyAlignment="1">
      <alignment vertical="center"/>
    </xf>
    <xf numFmtId="43" fontId="11" fillId="33" borderId="13" xfId="36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94" fontId="6" fillId="33" borderId="0" xfId="0" applyNumberFormat="1" applyFont="1" applyFill="1" applyBorder="1" applyAlignment="1">
      <alignment vertical="center"/>
    </xf>
    <xf numFmtId="43" fontId="5" fillId="34" borderId="19" xfId="36" applyFont="1" applyFill="1" applyBorder="1" applyAlignment="1">
      <alignment horizontal="center" vertical="center" wrapText="1"/>
    </xf>
    <xf numFmtId="43" fontId="2" fillId="33" borderId="0" xfId="36" applyFont="1" applyFill="1" applyBorder="1" applyAlignment="1">
      <alignment horizontal="left" vertical="center"/>
    </xf>
    <xf numFmtId="43" fontId="6" fillId="33" borderId="11" xfId="36" applyFont="1" applyFill="1" applyBorder="1" applyAlignment="1">
      <alignment horizontal="left" vertical="center"/>
    </xf>
    <xf numFmtId="43" fontId="5" fillId="35" borderId="14" xfId="36" applyFont="1" applyFill="1" applyBorder="1" applyAlignment="1">
      <alignment horizontal="center" vertical="center"/>
    </xf>
    <xf numFmtId="43" fontId="6" fillId="35" borderId="0" xfId="36" applyFont="1" applyFill="1" applyBorder="1" applyAlignment="1">
      <alignment vertical="center"/>
    </xf>
    <xf numFmtId="43" fontId="5" fillId="35" borderId="0" xfId="36" applyFont="1" applyFill="1" applyBorder="1" applyAlignment="1">
      <alignment vertical="center"/>
    </xf>
    <xf numFmtId="43" fontId="5" fillId="35" borderId="12" xfId="36" applyFont="1" applyFill="1" applyBorder="1" applyAlignment="1">
      <alignment vertical="center"/>
    </xf>
    <xf numFmtId="43" fontId="5" fillId="35" borderId="22" xfId="36" applyFont="1" applyFill="1" applyBorder="1" applyAlignment="1">
      <alignment horizontal="center" vertical="center"/>
    </xf>
    <xf numFmtId="43" fontId="6" fillId="0" borderId="10" xfId="36" applyFont="1" applyFill="1" applyBorder="1" applyAlignment="1">
      <alignment horizontal="left" vertical="center"/>
    </xf>
    <xf numFmtId="43" fontId="6" fillId="0" borderId="11" xfId="36" applyFont="1" applyFill="1" applyBorder="1" applyAlignment="1">
      <alignment horizontal="left" vertical="center"/>
    </xf>
    <xf numFmtId="43" fontId="5" fillId="35" borderId="15" xfId="36" applyFont="1" applyFill="1" applyBorder="1" applyAlignment="1">
      <alignment horizontal="center" vertical="center"/>
    </xf>
    <xf numFmtId="43" fontId="6" fillId="33" borderId="23" xfId="36" applyFont="1" applyFill="1" applyBorder="1" applyAlignment="1">
      <alignment horizontal="left" vertical="center"/>
    </xf>
    <xf numFmtId="43" fontId="5" fillId="33" borderId="0" xfId="36" applyFont="1" applyFill="1" applyBorder="1" applyAlignment="1">
      <alignment horizontal="center"/>
    </xf>
    <xf numFmtId="43" fontId="6" fillId="33" borderId="0" xfId="36" applyFont="1" applyFill="1" applyBorder="1" applyAlignment="1">
      <alignment/>
    </xf>
    <xf numFmtId="43" fontId="5" fillId="33" borderId="0" xfId="36" applyFont="1" applyFill="1" applyBorder="1" applyAlignment="1">
      <alignment/>
    </xf>
    <xf numFmtId="43" fontId="5" fillId="36" borderId="15" xfId="36" applyFont="1" applyFill="1" applyBorder="1" applyAlignment="1">
      <alignment horizontal="center" vertical="center"/>
    </xf>
    <xf numFmtId="43" fontId="5" fillId="36" borderId="0" xfId="36" applyFont="1" applyFill="1" applyBorder="1" applyAlignment="1">
      <alignment vertical="center"/>
    </xf>
    <xf numFmtId="43" fontId="6" fillId="33" borderId="14" xfId="36" applyFont="1" applyFill="1" applyBorder="1" applyAlignment="1">
      <alignment vertical="center"/>
    </xf>
    <xf numFmtId="43" fontId="11" fillId="33" borderId="13" xfId="36" applyFont="1" applyFill="1" applyBorder="1" applyAlignment="1">
      <alignment horizontal="left" vertical="center"/>
    </xf>
    <xf numFmtId="43" fontId="5" fillId="35" borderId="21" xfId="36" applyFont="1" applyFill="1" applyBorder="1" applyAlignment="1">
      <alignment horizontal="center" vertical="center"/>
    </xf>
    <xf numFmtId="43" fontId="6" fillId="33" borderId="21" xfId="36" applyFont="1" applyFill="1" applyBorder="1" applyAlignment="1">
      <alignment vertical="center"/>
    </xf>
    <xf numFmtId="43" fontId="6" fillId="36" borderId="15" xfId="36" applyFont="1" applyFill="1" applyBorder="1" applyAlignment="1">
      <alignment vertical="center"/>
    </xf>
    <xf numFmtId="43" fontId="6" fillId="33" borderId="24" xfId="36" applyFont="1" applyFill="1" applyBorder="1" applyAlignment="1">
      <alignment vertical="center"/>
    </xf>
    <xf numFmtId="43" fontId="6" fillId="33" borderId="25" xfId="36" applyFont="1" applyFill="1" applyBorder="1" applyAlignment="1">
      <alignment vertical="center"/>
    </xf>
    <xf numFmtId="43" fontId="6" fillId="33" borderId="15" xfId="36" applyFont="1" applyFill="1" applyBorder="1" applyAlignment="1">
      <alignment horizontal="center" vertical="center"/>
    </xf>
    <xf numFmtId="43" fontId="6" fillId="33" borderId="26" xfId="36" applyFont="1" applyFill="1" applyBorder="1" applyAlignment="1">
      <alignment horizontal="center" vertical="center"/>
    </xf>
    <xf numFmtId="43" fontId="53" fillId="33" borderId="10" xfId="36" applyFont="1" applyFill="1" applyBorder="1" applyAlignment="1">
      <alignment/>
    </xf>
    <xf numFmtId="0" fontId="53" fillId="33" borderId="0" xfId="0" applyFont="1" applyFill="1" applyAlignment="1">
      <alignment/>
    </xf>
    <xf numFmtId="43" fontId="4" fillId="33" borderId="27" xfId="36" applyFont="1" applyFill="1" applyBorder="1" applyAlignment="1">
      <alignment horizontal="center" vertical="center"/>
    </xf>
    <xf numFmtId="43" fontId="53" fillId="33" borderId="0" xfId="36" applyFont="1" applyFill="1" applyAlignment="1">
      <alignment/>
    </xf>
    <xf numFmtId="0" fontId="53" fillId="0" borderId="28" xfId="0" applyFont="1" applyBorder="1" applyAlignment="1">
      <alignment horizontal="right" wrapText="1"/>
    </xf>
    <xf numFmtId="0" fontId="53" fillId="0" borderId="29" xfId="0" applyFont="1" applyBorder="1" applyAlignment="1">
      <alignment horizontal="right" wrapText="1"/>
    </xf>
    <xf numFmtId="0" fontId="53" fillId="0" borderId="30" xfId="0" applyFont="1" applyBorder="1" applyAlignment="1">
      <alignment horizontal="right" wrapText="1"/>
    </xf>
    <xf numFmtId="0" fontId="53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wrapText="1"/>
    </xf>
    <xf numFmtId="0" fontId="2" fillId="0" borderId="28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5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3" fontId="2" fillId="0" borderId="0" xfId="36" applyFont="1" applyAlignment="1">
      <alignment/>
    </xf>
    <xf numFmtId="43" fontId="2" fillId="0" borderId="0" xfId="0" applyNumberFormat="1" applyFont="1" applyAlignment="1">
      <alignment/>
    </xf>
    <xf numFmtId="0" fontId="53" fillId="0" borderId="32" xfId="0" applyFont="1" applyBorder="1" applyAlignment="1">
      <alignment/>
    </xf>
    <xf numFmtId="43" fontId="53" fillId="0" borderId="0" xfId="36" applyFont="1" applyAlignment="1">
      <alignment/>
    </xf>
    <xf numFmtId="43" fontId="53" fillId="0" borderId="32" xfId="36" applyFont="1" applyBorder="1" applyAlignment="1">
      <alignment/>
    </xf>
    <xf numFmtId="43" fontId="53" fillId="33" borderId="11" xfId="36" applyFont="1" applyFill="1" applyBorder="1" applyAlignment="1">
      <alignment/>
    </xf>
    <xf numFmtId="43" fontId="53" fillId="33" borderId="14" xfId="36" applyFont="1" applyFill="1" applyBorder="1" applyAlignment="1">
      <alignment/>
    </xf>
    <xf numFmtId="43" fontId="6" fillId="33" borderId="19" xfId="36" applyFont="1" applyFill="1" applyBorder="1" applyAlignment="1">
      <alignment vertical="center"/>
    </xf>
    <xf numFmtId="43" fontId="6" fillId="33" borderId="20" xfId="36" applyFont="1" applyFill="1" applyBorder="1" applyAlignment="1">
      <alignment vertical="center"/>
    </xf>
    <xf numFmtId="43" fontId="5" fillId="33" borderId="16" xfId="36" applyFont="1" applyFill="1" applyBorder="1" applyAlignment="1">
      <alignment vertical="center"/>
    </xf>
    <xf numFmtId="43" fontId="6" fillId="33" borderId="23" xfId="36" applyFont="1" applyFill="1" applyBorder="1" applyAlignment="1">
      <alignment vertical="center"/>
    </xf>
    <xf numFmtId="43" fontId="6" fillId="33" borderId="13" xfId="36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43" fontId="5" fillId="33" borderId="0" xfId="36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43" fontId="53" fillId="0" borderId="10" xfId="36" applyFont="1" applyBorder="1" applyAlignment="1">
      <alignment horizontal="center" vertical="center" wrapText="1"/>
    </xf>
    <xf numFmtId="43" fontId="53" fillId="0" borderId="10" xfId="36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43" fontId="53" fillId="0" borderId="10" xfId="36" applyFont="1" applyBorder="1" applyAlignment="1">
      <alignment/>
    </xf>
    <xf numFmtId="194" fontId="53" fillId="0" borderId="10" xfId="36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43" fontId="5" fillId="33" borderId="10" xfId="36" applyFont="1" applyFill="1" applyBorder="1" applyAlignment="1">
      <alignment horizontal="center" vertical="center"/>
    </xf>
    <xf numFmtId="43" fontId="6" fillId="33" borderId="0" xfId="36" applyFont="1" applyFill="1" applyBorder="1" applyAlignment="1">
      <alignment horizontal="left"/>
    </xf>
    <xf numFmtId="43" fontId="5" fillId="34" borderId="10" xfId="36" applyFont="1" applyFill="1" applyBorder="1" applyAlignment="1">
      <alignment horizontal="center" vertical="center" wrapText="1"/>
    </xf>
    <xf numFmtId="43" fontId="2" fillId="33" borderId="0" xfId="36" applyFont="1" applyFill="1" applyBorder="1" applyAlignment="1">
      <alignment horizontal="left" vertical="center"/>
    </xf>
    <xf numFmtId="43" fontId="5" fillId="33" borderId="0" xfId="36" applyFont="1" applyFill="1" applyAlignment="1">
      <alignment horizontal="center" vertical="center"/>
    </xf>
    <xf numFmtId="43" fontId="55" fillId="33" borderId="0" xfId="36" applyFont="1" applyFill="1" applyBorder="1" applyAlignment="1">
      <alignment/>
    </xf>
    <xf numFmtId="0" fontId="53" fillId="35" borderId="10" xfId="0" applyFont="1" applyFill="1" applyBorder="1" applyAlignment="1">
      <alignment horizontal="center" vertical="center" wrapText="1"/>
    </xf>
    <xf numFmtId="43" fontId="6" fillId="33" borderId="14" xfId="36" applyFont="1" applyFill="1" applyBorder="1" applyAlignment="1">
      <alignment horizontal="center" vertical="center"/>
    </xf>
    <xf numFmtId="43" fontId="5" fillId="33" borderId="21" xfId="36" applyFont="1" applyFill="1" applyBorder="1" applyAlignment="1">
      <alignment horizontal="center" vertical="center"/>
    </xf>
    <xf numFmtId="43" fontId="6" fillId="36" borderId="15" xfId="36" applyFont="1" applyFill="1" applyBorder="1" applyAlignment="1">
      <alignment horizontal="center" vertical="center"/>
    </xf>
    <xf numFmtId="43" fontId="6" fillId="33" borderId="24" xfId="36" applyFont="1" applyFill="1" applyBorder="1" applyAlignment="1">
      <alignment horizontal="center" vertical="center"/>
    </xf>
    <xf numFmtId="43" fontId="6" fillId="33" borderId="25" xfId="36" applyFont="1" applyFill="1" applyBorder="1" applyAlignment="1">
      <alignment horizontal="center" vertical="center"/>
    </xf>
    <xf numFmtId="43" fontId="55" fillId="33" borderId="0" xfId="36" applyFont="1" applyFill="1" applyAlignment="1">
      <alignment horizontal="center" vertical="center"/>
    </xf>
    <xf numFmtId="43" fontId="53" fillId="33" borderId="10" xfId="36" applyFont="1" applyFill="1" applyBorder="1" applyAlignment="1">
      <alignment horizontal="center"/>
    </xf>
    <xf numFmtId="43" fontId="2" fillId="33" borderId="16" xfId="36" applyFont="1" applyFill="1" applyBorder="1" applyAlignment="1">
      <alignment horizontal="center" vertical="center"/>
    </xf>
    <xf numFmtId="43" fontId="6" fillId="33" borderId="33" xfId="36" applyFont="1" applyFill="1" applyBorder="1" applyAlignment="1">
      <alignment vertical="center"/>
    </xf>
    <xf numFmtId="43" fontId="5" fillId="33" borderId="33" xfId="36" applyFont="1" applyFill="1" applyBorder="1" applyAlignment="1">
      <alignment vertical="center"/>
    </xf>
    <xf numFmtId="43" fontId="5" fillId="33" borderId="0" xfId="36" applyFont="1" applyFill="1" applyAlignment="1">
      <alignment/>
    </xf>
    <xf numFmtId="43" fontId="5" fillId="33" borderId="0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43" fontId="5" fillId="33" borderId="10" xfId="36" applyFont="1" applyFill="1" applyBorder="1" applyAlignment="1">
      <alignment horizontal="center" vertical="center"/>
    </xf>
    <xf numFmtId="43" fontId="5" fillId="33" borderId="10" xfId="36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wrapText="1"/>
    </xf>
    <xf numFmtId="0" fontId="53" fillId="12" borderId="0" xfId="0" applyFont="1" applyFill="1" applyAlignment="1">
      <alignment/>
    </xf>
    <xf numFmtId="43" fontId="53" fillId="0" borderId="0" xfId="36" applyFont="1" applyAlignment="1">
      <alignment horizontal="center" vertical="center"/>
    </xf>
    <xf numFmtId="43" fontId="54" fillId="0" borderId="0" xfId="36" applyFont="1" applyAlignment="1">
      <alignment/>
    </xf>
    <xf numFmtId="43" fontId="53" fillId="12" borderId="0" xfId="36" applyFont="1" applyFill="1" applyAlignment="1">
      <alignment/>
    </xf>
    <xf numFmtId="43" fontId="53" fillId="0" borderId="10" xfId="36" applyFont="1" applyBorder="1" applyAlignment="1">
      <alignment horizontal="left"/>
    </xf>
    <xf numFmtId="43" fontId="5" fillId="33" borderId="10" xfId="36" applyFont="1" applyFill="1" applyBorder="1" applyAlignment="1">
      <alignment horizontal="center" vertical="center" wrapText="1"/>
    </xf>
    <xf numFmtId="43" fontId="54" fillId="36" borderId="10" xfId="36" applyFont="1" applyFill="1" applyBorder="1" applyAlignment="1">
      <alignment horizontal="center"/>
    </xf>
    <xf numFmtId="43" fontId="53" fillId="36" borderId="10" xfId="36" applyFont="1" applyFill="1" applyBorder="1" applyAlignment="1">
      <alignment horizontal="left"/>
    </xf>
    <xf numFmtId="43" fontId="53" fillId="36" borderId="10" xfId="36" applyFont="1" applyFill="1" applyBorder="1" applyAlignment="1">
      <alignment/>
    </xf>
    <xf numFmtId="43" fontId="53" fillId="33" borderId="16" xfId="36" applyFont="1" applyFill="1" applyBorder="1" applyAlignment="1">
      <alignment/>
    </xf>
    <xf numFmtId="43" fontId="53" fillId="33" borderId="34" xfId="36" applyFont="1" applyFill="1" applyBorder="1" applyAlignment="1">
      <alignment/>
    </xf>
    <xf numFmtId="43" fontId="53" fillId="33" borderId="27" xfId="36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43" fontId="6" fillId="33" borderId="11" xfId="36" applyFont="1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3" fontId="5" fillId="33" borderId="15" xfId="36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43" fontId="6" fillId="33" borderId="13" xfId="36" applyFont="1" applyFill="1" applyBorder="1" applyAlignment="1">
      <alignment horizontal="left" vertical="center"/>
    </xf>
    <xf numFmtId="43" fontId="6" fillId="33" borderId="15" xfId="36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43" fontId="6" fillId="33" borderId="35" xfId="36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43" fontId="6" fillId="33" borderId="35" xfId="36" applyFont="1" applyFill="1" applyBorder="1" applyAlignment="1">
      <alignment vertical="center"/>
    </xf>
    <xf numFmtId="43" fontId="6" fillId="33" borderId="35" xfId="36" applyFont="1" applyFill="1" applyBorder="1" applyAlignment="1">
      <alignment/>
    </xf>
    <xf numFmtId="43" fontId="54" fillId="0" borderId="10" xfId="36" applyFont="1" applyBorder="1" applyAlignment="1">
      <alignment horizontal="left"/>
    </xf>
    <xf numFmtId="43" fontId="54" fillId="33" borderId="10" xfId="36" applyFont="1" applyFill="1" applyBorder="1" applyAlignment="1">
      <alignment/>
    </xf>
    <xf numFmtId="43" fontId="54" fillId="0" borderId="10" xfId="36" applyFont="1" applyBorder="1" applyAlignment="1">
      <alignment/>
    </xf>
    <xf numFmtId="43" fontId="54" fillId="0" borderId="10" xfId="36" applyNumberFormat="1" applyFont="1" applyBorder="1" applyAlignment="1">
      <alignment/>
    </xf>
    <xf numFmtId="43" fontId="54" fillId="12" borderId="10" xfId="36" applyFont="1" applyFill="1" applyBorder="1" applyAlignment="1">
      <alignment horizontal="left"/>
    </xf>
    <xf numFmtId="43" fontId="53" fillId="12" borderId="10" xfId="36" applyFont="1" applyFill="1" applyBorder="1" applyAlignment="1">
      <alignment horizontal="left"/>
    </xf>
    <xf numFmtId="43" fontId="53" fillId="12" borderId="10" xfId="36" applyFont="1" applyFill="1" applyBorder="1" applyAlignment="1">
      <alignment/>
    </xf>
    <xf numFmtId="43" fontId="54" fillId="36" borderId="10" xfId="36" applyFont="1" applyFill="1" applyBorder="1" applyAlignment="1">
      <alignment horizontal="left"/>
    </xf>
    <xf numFmtId="43" fontId="54" fillId="36" borderId="10" xfId="36" applyFont="1" applyFill="1" applyBorder="1" applyAlignment="1">
      <alignment/>
    </xf>
    <xf numFmtId="43" fontId="5" fillId="33" borderId="10" xfId="36" applyFont="1" applyFill="1" applyBorder="1" applyAlignment="1">
      <alignment horizontal="center" vertical="center"/>
    </xf>
    <xf numFmtId="43" fontId="5" fillId="33" borderId="10" xfId="36" applyFont="1" applyFill="1" applyBorder="1" applyAlignment="1">
      <alignment horizontal="center" vertical="center" wrapText="1"/>
    </xf>
    <xf numFmtId="43" fontId="6" fillId="33" borderId="0" xfId="36" applyFont="1" applyFill="1" applyBorder="1" applyAlignment="1">
      <alignment horizontal="left"/>
    </xf>
    <xf numFmtId="43" fontId="3" fillId="33" borderId="0" xfId="36" applyFont="1" applyFill="1" applyAlignment="1">
      <alignment horizontal="center" vertical="center"/>
    </xf>
    <xf numFmtId="43" fontId="3" fillId="0" borderId="12" xfId="36" applyFont="1" applyFill="1" applyBorder="1" applyAlignment="1">
      <alignment horizontal="center" vertical="center"/>
    </xf>
    <xf numFmtId="43" fontId="3" fillId="33" borderId="12" xfId="36" applyFont="1" applyFill="1" applyBorder="1" applyAlignment="1">
      <alignment horizontal="right" vertical="center"/>
    </xf>
    <xf numFmtId="43" fontId="5" fillId="34" borderId="17" xfId="36" applyFont="1" applyFill="1" applyBorder="1" applyAlignment="1">
      <alignment horizontal="center" vertical="center"/>
    </xf>
    <xf numFmtId="43" fontId="5" fillId="34" borderId="18" xfId="36" applyFont="1" applyFill="1" applyBorder="1" applyAlignment="1">
      <alignment horizontal="center" vertical="center"/>
    </xf>
    <xf numFmtId="43" fontId="5" fillId="34" borderId="19" xfId="36" applyFont="1" applyFill="1" applyBorder="1" applyAlignment="1">
      <alignment horizontal="center" vertical="center"/>
    </xf>
    <xf numFmtId="43" fontId="5" fillId="34" borderId="10" xfId="36" applyFont="1" applyFill="1" applyBorder="1" applyAlignment="1">
      <alignment horizontal="center" vertical="center"/>
    </xf>
    <xf numFmtId="43" fontId="5" fillId="34" borderId="10" xfId="36" applyFont="1" applyFill="1" applyBorder="1" applyAlignment="1">
      <alignment horizontal="center" vertical="center" wrapText="1"/>
    </xf>
    <xf numFmtId="43" fontId="4" fillId="33" borderId="0" xfId="36" applyFont="1" applyFill="1" applyAlignment="1">
      <alignment horizontal="center" vertical="center"/>
    </xf>
    <xf numFmtId="43" fontId="2" fillId="33" borderId="0" xfId="36" applyFont="1" applyFill="1" applyBorder="1" applyAlignment="1">
      <alignment horizontal="left" vertical="center"/>
    </xf>
    <xf numFmtId="43" fontId="3" fillId="0" borderId="12" xfId="36" applyFont="1" applyFill="1" applyBorder="1" applyAlignment="1">
      <alignment horizontal="left" vertical="center"/>
    </xf>
    <xf numFmtId="43" fontId="3" fillId="33" borderId="0" xfId="36" applyFont="1" applyFill="1" applyBorder="1" applyAlignment="1">
      <alignment horizontal="right" vertical="center"/>
    </xf>
    <xf numFmtId="43" fontId="14" fillId="33" borderId="36" xfId="36" applyFont="1" applyFill="1" applyBorder="1" applyAlignment="1">
      <alignment horizontal="center" vertical="center"/>
    </xf>
    <xf numFmtId="43" fontId="5" fillId="33" borderId="0" xfId="36" applyFont="1" applyFill="1" applyAlignment="1">
      <alignment horizontal="center" vertical="center"/>
    </xf>
    <xf numFmtId="43" fontId="5" fillId="33" borderId="12" xfId="36" applyFont="1" applyFill="1" applyBorder="1" applyAlignment="1">
      <alignment horizontal="center" vertical="center"/>
    </xf>
    <xf numFmtId="43" fontId="5" fillId="33" borderId="16" xfId="36" applyFont="1" applyFill="1" applyBorder="1" applyAlignment="1">
      <alignment horizontal="center" vertical="center"/>
    </xf>
    <xf numFmtId="43" fontId="5" fillId="33" borderId="37" xfId="36" applyFont="1" applyFill="1" applyBorder="1" applyAlignment="1">
      <alignment horizontal="center" vertical="center"/>
    </xf>
    <xf numFmtId="43" fontId="5" fillId="33" borderId="18" xfId="36" applyFont="1" applyFill="1" applyBorder="1" applyAlignment="1">
      <alignment horizontal="center" vertical="center"/>
    </xf>
    <xf numFmtId="43" fontId="5" fillId="33" borderId="38" xfId="36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4" fillId="38" borderId="39" xfId="0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/>
    </xf>
    <xf numFmtId="0" fontId="14" fillId="38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29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29" xfId="0" applyFont="1" applyBorder="1" applyAlignment="1">
      <alignment horizontal="right" wrapText="1"/>
    </xf>
    <xf numFmtId="0" fontId="53" fillId="0" borderId="45" xfId="0" applyFont="1" applyBorder="1" applyAlignment="1">
      <alignment horizontal="right" wrapText="1"/>
    </xf>
    <xf numFmtId="0" fontId="53" fillId="0" borderId="46" xfId="0" applyFont="1" applyBorder="1" applyAlignment="1">
      <alignment horizontal="center" wrapText="1"/>
    </xf>
    <xf numFmtId="0" fontId="53" fillId="0" borderId="29" xfId="0" applyFont="1" applyBorder="1" applyAlignment="1">
      <alignment horizontal="left" wrapText="1"/>
    </xf>
    <xf numFmtId="0" fontId="53" fillId="0" borderId="46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47" xfId="0" applyFont="1" applyBorder="1" applyAlignment="1">
      <alignment wrapText="1"/>
    </xf>
    <xf numFmtId="0" fontId="53" fillId="0" borderId="48" xfId="0" applyFont="1" applyBorder="1" applyAlignment="1">
      <alignment wrapText="1"/>
    </xf>
    <xf numFmtId="0" fontId="53" fillId="0" borderId="49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0" fontId="53" fillId="0" borderId="46" xfId="0" applyFont="1" applyBorder="1" applyAlignment="1">
      <alignment wrapText="1"/>
    </xf>
    <xf numFmtId="0" fontId="53" fillId="0" borderId="45" xfId="0" applyFont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zoomScalePageLayoutView="0" workbookViewId="0" topLeftCell="A34">
      <selection activeCell="I51" sqref="I50:I51"/>
    </sheetView>
  </sheetViews>
  <sheetFormatPr defaultColWidth="9.140625" defaultRowHeight="15"/>
  <cols>
    <col min="1" max="1" width="40.57421875" style="5" customWidth="1"/>
    <col min="2" max="2" width="12.7109375" style="22" bestFit="1" customWidth="1"/>
    <col min="3" max="3" width="12.140625" style="22" bestFit="1" customWidth="1"/>
    <col min="4" max="4" width="12.00390625" style="22" bestFit="1" customWidth="1"/>
    <col min="5" max="5" width="11.140625" style="22" bestFit="1" customWidth="1"/>
    <col min="6" max="6" width="9.57421875" style="22" bestFit="1" customWidth="1"/>
    <col min="7" max="7" width="6.8515625" style="22" bestFit="1" customWidth="1"/>
    <col min="8" max="8" width="11.7109375" style="22" bestFit="1" customWidth="1"/>
    <col min="9" max="9" width="11.00390625" style="22" bestFit="1" customWidth="1"/>
    <col min="10" max="10" width="6.8515625" style="22" bestFit="1" customWidth="1"/>
    <col min="11" max="11" width="12.7109375" style="22" bestFit="1" customWidth="1"/>
    <col min="12" max="12" width="12.57421875" style="22" bestFit="1" customWidth="1"/>
    <col min="13" max="13" width="10.421875" style="22" customWidth="1"/>
    <col min="14" max="14" width="13.140625" style="22" bestFit="1" customWidth="1"/>
    <col min="15" max="15" width="11.8515625" style="22" bestFit="1" customWidth="1"/>
    <col min="16" max="16" width="6.8515625" style="22" bestFit="1" customWidth="1"/>
    <col min="17" max="17" width="12.00390625" style="22" bestFit="1" customWidth="1"/>
    <col min="18" max="18" width="12.28125" style="22" customWidth="1"/>
    <col min="19" max="19" width="6.8515625" style="22" bestFit="1" customWidth="1"/>
    <col min="20" max="20" width="12.57421875" style="22" customWidth="1"/>
    <col min="21" max="21" width="11.8515625" style="22" bestFit="1" customWidth="1"/>
    <col min="22" max="22" width="6.8515625" style="22" bestFit="1" customWidth="1"/>
    <col min="23" max="23" width="14.140625" style="21" bestFit="1" customWidth="1"/>
    <col min="24" max="24" width="13.00390625" style="21" bestFit="1" customWidth="1"/>
    <col min="25" max="25" width="12.00390625" style="21" bestFit="1" customWidth="1"/>
    <col min="26" max="26" width="14.28125" style="21" bestFit="1" customWidth="1"/>
    <col min="27" max="16384" width="9.00390625" style="4" customWidth="1"/>
  </cols>
  <sheetData>
    <row r="1" spans="1:26" ht="23.25">
      <c r="A1" s="204" t="s">
        <v>423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23.25">
      <c r="A2" s="204" t="s">
        <v>196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1:26" ht="23.25">
      <c r="A3" s="205" t="s">
        <v>230</v>
      </c>
      <c r="B3" s="205"/>
      <c r="C3" s="205"/>
      <c r="D3" s="205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6" customFormat="1" ht="18.75">
      <c r="A4" s="201" t="s">
        <v>3</v>
      </c>
      <c r="B4" s="201" t="s">
        <v>146</v>
      </c>
      <c r="C4" s="201"/>
      <c r="D4" s="201"/>
      <c r="E4" s="201" t="s">
        <v>147</v>
      </c>
      <c r="F4" s="201"/>
      <c r="G4" s="201"/>
      <c r="H4" s="201" t="s">
        <v>148</v>
      </c>
      <c r="I4" s="201"/>
      <c r="J4" s="201"/>
      <c r="K4" s="201" t="s">
        <v>149</v>
      </c>
      <c r="L4" s="201"/>
      <c r="M4" s="201"/>
      <c r="N4" s="201" t="s">
        <v>150</v>
      </c>
      <c r="O4" s="201"/>
      <c r="P4" s="201"/>
      <c r="Q4" s="201" t="s">
        <v>151</v>
      </c>
      <c r="R4" s="201"/>
      <c r="S4" s="201"/>
      <c r="T4" s="201" t="s">
        <v>152</v>
      </c>
      <c r="U4" s="201"/>
      <c r="V4" s="201"/>
      <c r="W4" s="201" t="s">
        <v>153</v>
      </c>
      <c r="X4" s="201"/>
      <c r="Y4" s="201"/>
      <c r="Z4" s="202" t="s">
        <v>4</v>
      </c>
    </row>
    <row r="5" spans="1:26" s="7" customFormat="1" ht="18.75">
      <c r="A5" s="201"/>
      <c r="B5" s="13" t="s">
        <v>0</v>
      </c>
      <c r="C5" s="13" t="s">
        <v>1</v>
      </c>
      <c r="D5" s="13" t="s">
        <v>5</v>
      </c>
      <c r="E5" s="13" t="s">
        <v>0</v>
      </c>
      <c r="F5" s="13" t="s">
        <v>1</v>
      </c>
      <c r="G5" s="13" t="s">
        <v>5</v>
      </c>
      <c r="H5" s="13" t="s">
        <v>0</v>
      </c>
      <c r="I5" s="13" t="s">
        <v>1</v>
      </c>
      <c r="J5" s="13" t="s">
        <v>5</v>
      </c>
      <c r="K5" s="13" t="s">
        <v>0</v>
      </c>
      <c r="L5" s="13" t="s">
        <v>1</v>
      </c>
      <c r="M5" s="13" t="s">
        <v>5</v>
      </c>
      <c r="N5" s="13" t="s">
        <v>0</v>
      </c>
      <c r="O5" s="13" t="s">
        <v>1</v>
      </c>
      <c r="P5" s="13" t="s">
        <v>5</v>
      </c>
      <c r="Q5" s="13" t="s">
        <v>0</v>
      </c>
      <c r="R5" s="13" t="s">
        <v>1</v>
      </c>
      <c r="S5" s="13" t="s">
        <v>5</v>
      </c>
      <c r="T5" s="13" t="s">
        <v>0</v>
      </c>
      <c r="U5" s="13" t="s">
        <v>1</v>
      </c>
      <c r="V5" s="13" t="s">
        <v>5</v>
      </c>
      <c r="W5" s="13" t="s">
        <v>0</v>
      </c>
      <c r="X5" s="13" t="s">
        <v>1</v>
      </c>
      <c r="Y5" s="13" t="s">
        <v>5</v>
      </c>
      <c r="Z5" s="201"/>
    </row>
    <row r="6" spans="1:26" s="7" customFormat="1" ht="18.75">
      <c r="A6" s="60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X6" s="2"/>
      <c r="Y6" s="2"/>
      <c r="Z6" s="2"/>
    </row>
    <row r="7" spans="1:26" s="7" customFormat="1" ht="18.75">
      <c r="A7" s="15" t="s">
        <v>7</v>
      </c>
      <c r="B7" s="13">
        <v>12870720</v>
      </c>
      <c r="C7" s="13">
        <v>4307516.83</v>
      </c>
      <c r="D7" s="13">
        <v>165862.85</v>
      </c>
      <c r="E7" s="13">
        <v>144047.5</v>
      </c>
      <c r="F7" s="13"/>
      <c r="G7" s="13"/>
      <c r="H7" s="13">
        <v>61355</v>
      </c>
      <c r="I7" s="13"/>
      <c r="J7" s="13"/>
      <c r="K7" s="13">
        <v>5898017.62</v>
      </c>
      <c r="L7" s="13">
        <v>10189071.72</v>
      </c>
      <c r="M7" s="13"/>
      <c r="N7" s="13">
        <v>27129321.7</v>
      </c>
      <c r="O7" s="13">
        <v>2257167.53</v>
      </c>
      <c r="P7" s="13"/>
      <c r="Q7" s="13">
        <v>8026800</v>
      </c>
      <c r="R7" s="13"/>
      <c r="S7" s="13"/>
      <c r="T7" s="13">
        <v>2455718.78</v>
      </c>
      <c r="U7" s="13">
        <v>2956844</v>
      </c>
      <c r="V7" s="13"/>
      <c r="W7" s="2">
        <f>+B7+E7+H7+K7+N7+Q7+T7</f>
        <v>56585980.6</v>
      </c>
      <c r="X7" s="2">
        <f>+C7+F7+I7+L7+O7+R7+U7</f>
        <v>19710600.08</v>
      </c>
      <c r="Y7" s="2">
        <f>+D7+G7+J7+M7+P7+S7+V7</f>
        <v>165862.85</v>
      </c>
      <c r="Z7" s="2">
        <f>+W7+X7+Y7</f>
        <v>76462443.53</v>
      </c>
    </row>
    <row r="8" spans="1:26" s="7" customFormat="1" ht="18.75">
      <c r="A8" s="15" t="s">
        <v>8</v>
      </c>
      <c r="B8" s="13">
        <v>6739440</v>
      </c>
      <c r="C8" s="13">
        <v>5081019.6</v>
      </c>
      <c r="D8" s="13">
        <v>204688.26</v>
      </c>
      <c r="E8" s="13">
        <v>691453.61</v>
      </c>
      <c r="F8" s="13"/>
      <c r="G8" s="13"/>
      <c r="H8" s="13">
        <v>29087.6</v>
      </c>
      <c r="I8" s="13"/>
      <c r="J8" s="13"/>
      <c r="K8" s="13">
        <v>5389605.61</v>
      </c>
      <c r="L8" s="13">
        <v>7684151.12</v>
      </c>
      <c r="M8" s="13"/>
      <c r="N8" s="13">
        <v>19016865.15</v>
      </c>
      <c r="O8" s="13">
        <v>1914870.5</v>
      </c>
      <c r="P8" s="13"/>
      <c r="Q8" s="13">
        <v>490000</v>
      </c>
      <c r="R8" s="13"/>
      <c r="S8" s="13"/>
      <c r="T8" s="13">
        <v>664800.9</v>
      </c>
      <c r="U8" s="13">
        <v>2441039</v>
      </c>
      <c r="V8" s="13"/>
      <c r="W8" s="2">
        <f aca="true" t="shared" si="0" ref="W8:Y23">+B8+E8+H8+K8+N8+Q8+T8</f>
        <v>33021252.869999997</v>
      </c>
      <c r="X8" s="2">
        <f t="shared" si="0"/>
        <v>17121080.22</v>
      </c>
      <c r="Y8" s="2">
        <f t="shared" si="0"/>
        <v>204688.26</v>
      </c>
      <c r="Z8" s="2">
        <f aca="true" t="shared" si="1" ref="Z8:Z23">+W8+X8+Y8</f>
        <v>50347021.349999994</v>
      </c>
    </row>
    <row r="9" spans="1:26" s="7" customFormat="1" ht="18.75">
      <c r="A9" s="15" t="s">
        <v>9</v>
      </c>
      <c r="B9" s="13">
        <v>12550440</v>
      </c>
      <c r="C9" s="13">
        <v>4694140.82</v>
      </c>
      <c r="D9" s="13">
        <v>85731.93</v>
      </c>
      <c r="E9" s="13">
        <v>533756.53</v>
      </c>
      <c r="F9" s="13"/>
      <c r="G9" s="13"/>
      <c r="H9" s="13">
        <v>234398</v>
      </c>
      <c r="I9" s="13"/>
      <c r="J9" s="13"/>
      <c r="K9" s="13">
        <v>6460967.96</v>
      </c>
      <c r="L9" s="13">
        <v>3944222.11</v>
      </c>
      <c r="M9" s="13"/>
      <c r="N9" s="13">
        <v>11389587.64</v>
      </c>
      <c r="O9" s="13">
        <v>1710896.09</v>
      </c>
      <c r="P9" s="13"/>
      <c r="Q9" s="13">
        <v>791800</v>
      </c>
      <c r="R9" s="13"/>
      <c r="S9" s="13"/>
      <c r="T9" s="13">
        <v>1533401.55</v>
      </c>
      <c r="U9" s="13">
        <v>1809164.25</v>
      </c>
      <c r="V9" s="13"/>
      <c r="W9" s="2">
        <f t="shared" si="0"/>
        <v>33494351.68</v>
      </c>
      <c r="X9" s="2">
        <f t="shared" si="0"/>
        <v>12158423.27</v>
      </c>
      <c r="Y9" s="2">
        <f t="shared" si="0"/>
        <v>85731.93</v>
      </c>
      <c r="Z9" s="2">
        <f t="shared" si="1"/>
        <v>45738506.88</v>
      </c>
    </row>
    <row r="10" spans="1:26" s="7" customFormat="1" ht="18.75">
      <c r="A10" s="15" t="s">
        <v>10</v>
      </c>
      <c r="B10" s="13">
        <v>6257040</v>
      </c>
      <c r="C10" s="13">
        <v>1772676</v>
      </c>
      <c r="D10" s="13">
        <v>44439.04</v>
      </c>
      <c r="E10" s="13">
        <v>255270</v>
      </c>
      <c r="F10" s="13"/>
      <c r="G10" s="13"/>
      <c r="H10" s="13">
        <v>163557</v>
      </c>
      <c r="I10" s="13"/>
      <c r="J10" s="13"/>
      <c r="K10" s="13">
        <v>2881387.67</v>
      </c>
      <c r="L10" s="13">
        <v>1516326</v>
      </c>
      <c r="M10" s="13"/>
      <c r="N10" s="13">
        <v>6007505.1</v>
      </c>
      <c r="O10" s="13">
        <v>379923.01</v>
      </c>
      <c r="P10" s="13"/>
      <c r="Q10" s="13">
        <v>0</v>
      </c>
      <c r="R10" s="13"/>
      <c r="S10" s="13"/>
      <c r="T10" s="13">
        <v>4304163.32</v>
      </c>
      <c r="U10" s="13">
        <v>444000</v>
      </c>
      <c r="V10" s="13"/>
      <c r="W10" s="2">
        <f t="shared" si="0"/>
        <v>19868923.09</v>
      </c>
      <c r="X10" s="2">
        <f t="shared" si="0"/>
        <v>4112925.01</v>
      </c>
      <c r="Y10" s="2">
        <f t="shared" si="0"/>
        <v>44439.04</v>
      </c>
      <c r="Z10" s="2">
        <f t="shared" si="1"/>
        <v>24026287.14</v>
      </c>
    </row>
    <row r="11" spans="1:26" s="7" customFormat="1" ht="18.75">
      <c r="A11" s="15" t="s">
        <v>11</v>
      </c>
      <c r="B11" s="13">
        <v>6225000</v>
      </c>
      <c r="C11" s="13">
        <v>3540693.36</v>
      </c>
      <c r="D11" s="13">
        <v>66408.17</v>
      </c>
      <c r="E11" s="13">
        <v>208907</v>
      </c>
      <c r="F11" s="13"/>
      <c r="G11" s="13"/>
      <c r="H11" s="13">
        <v>252130</v>
      </c>
      <c r="I11" s="13"/>
      <c r="J11" s="13"/>
      <c r="K11" s="13">
        <v>3531711.35</v>
      </c>
      <c r="L11" s="13">
        <v>2796769.56</v>
      </c>
      <c r="M11" s="13"/>
      <c r="N11" s="13">
        <v>12724242.17</v>
      </c>
      <c r="O11" s="13">
        <v>1079094.7</v>
      </c>
      <c r="P11" s="13"/>
      <c r="Q11" s="13">
        <v>1257300</v>
      </c>
      <c r="R11" s="13"/>
      <c r="S11" s="13"/>
      <c r="T11" s="13">
        <v>2102230.02</v>
      </c>
      <c r="U11" s="13">
        <v>620720</v>
      </c>
      <c r="V11" s="13"/>
      <c r="W11" s="2">
        <f t="shared" si="0"/>
        <v>26301520.54</v>
      </c>
      <c r="X11" s="2">
        <f t="shared" si="0"/>
        <v>8037277.62</v>
      </c>
      <c r="Y11" s="2">
        <f>+D11+G11+J11+M11+P11+S11+V11</f>
        <v>66408.17</v>
      </c>
      <c r="Z11" s="2">
        <f t="shared" si="1"/>
        <v>34405206.33</v>
      </c>
    </row>
    <row r="12" spans="1:26" s="7" customFormat="1" ht="18.75">
      <c r="A12" s="15" t="s">
        <v>12</v>
      </c>
      <c r="B12" s="13">
        <v>6000000</v>
      </c>
      <c r="C12" s="13">
        <v>2123543.7</v>
      </c>
      <c r="D12" s="13">
        <v>34557.24</v>
      </c>
      <c r="E12" s="13">
        <v>145885</v>
      </c>
      <c r="F12" s="13"/>
      <c r="G12" s="13"/>
      <c r="H12" s="13">
        <v>37277</v>
      </c>
      <c r="I12" s="13"/>
      <c r="J12" s="13" t="s">
        <v>231</v>
      </c>
      <c r="K12" s="13">
        <v>4530122.8</v>
      </c>
      <c r="L12" s="13">
        <v>267395.01</v>
      </c>
      <c r="M12" s="13"/>
      <c r="N12" s="13">
        <v>10724009.9</v>
      </c>
      <c r="O12" s="13">
        <v>1191147.65</v>
      </c>
      <c r="P12" s="13"/>
      <c r="Q12" s="13">
        <v>1875700</v>
      </c>
      <c r="R12" s="13"/>
      <c r="S12" s="13"/>
      <c r="T12" s="13">
        <v>1975385.8</v>
      </c>
      <c r="U12" s="13">
        <v>509695</v>
      </c>
      <c r="V12" s="13"/>
      <c r="W12" s="2">
        <f t="shared" si="0"/>
        <v>25288380.500000004</v>
      </c>
      <c r="X12" s="2">
        <f t="shared" si="0"/>
        <v>4091781.36</v>
      </c>
      <c r="Y12" s="2">
        <v>34557.24</v>
      </c>
      <c r="Z12" s="2">
        <f t="shared" si="1"/>
        <v>29414719.1</v>
      </c>
    </row>
    <row r="13" spans="1:26" s="7" customFormat="1" ht="18.75">
      <c r="A13" s="15" t="s">
        <v>13</v>
      </c>
      <c r="B13" s="13"/>
      <c r="C13" s="13"/>
      <c r="D13" s="13"/>
      <c r="E13" s="13">
        <v>20000</v>
      </c>
      <c r="F13" s="13"/>
      <c r="G13" s="13"/>
      <c r="H13" s="13">
        <v>114117.2</v>
      </c>
      <c r="I13" s="13"/>
      <c r="J13" s="13"/>
      <c r="K13" s="13">
        <v>499713.21</v>
      </c>
      <c r="L13" s="13">
        <v>3068.21</v>
      </c>
      <c r="M13" s="2"/>
      <c r="N13" s="13">
        <f>1000335.58+505000</f>
        <v>1505335.58</v>
      </c>
      <c r="O13" s="13">
        <f>238621.23+7866.67</f>
        <v>246487.90000000002</v>
      </c>
      <c r="P13" s="13"/>
      <c r="Q13" s="16">
        <v>685600</v>
      </c>
      <c r="R13" s="16">
        <v>105000</v>
      </c>
      <c r="S13" s="13"/>
      <c r="T13" s="13"/>
      <c r="U13" s="13">
        <v>11220</v>
      </c>
      <c r="V13" s="13"/>
      <c r="W13" s="2">
        <f t="shared" si="0"/>
        <v>2824765.99</v>
      </c>
      <c r="X13" s="2">
        <f t="shared" si="0"/>
        <v>365776.11</v>
      </c>
      <c r="Y13" s="2">
        <f t="shared" si="0"/>
        <v>0</v>
      </c>
      <c r="Z13" s="2">
        <f t="shared" si="1"/>
        <v>3190542.1</v>
      </c>
    </row>
    <row r="14" spans="1:27" s="7" customFormat="1" ht="21">
      <c r="A14" s="9" t="s">
        <v>14</v>
      </c>
      <c r="B14" s="13">
        <v>1134492</v>
      </c>
      <c r="C14" s="13">
        <v>2956633.36</v>
      </c>
      <c r="D14" s="13"/>
      <c r="E14" s="13">
        <v>282448</v>
      </c>
      <c r="F14" s="13">
        <v>169536</v>
      </c>
      <c r="G14" s="13"/>
      <c r="H14" s="13">
        <v>2897641.43</v>
      </c>
      <c r="I14" s="13">
        <v>288802.6</v>
      </c>
      <c r="J14" s="13"/>
      <c r="K14" s="13">
        <v>2995681.6</v>
      </c>
      <c r="L14" s="13">
        <f>7164174.25-184017+255565</f>
        <v>7235722.25</v>
      </c>
      <c r="M14" s="13"/>
      <c r="N14" s="7">
        <v>13994747.13</v>
      </c>
      <c r="O14" s="13">
        <v>1753038.31</v>
      </c>
      <c r="P14" s="13"/>
      <c r="Q14" s="16">
        <v>17165115.34</v>
      </c>
      <c r="R14" s="16">
        <v>949758</v>
      </c>
      <c r="S14" s="13"/>
      <c r="T14" s="13">
        <v>1844677.6</v>
      </c>
      <c r="U14" s="13">
        <v>470682</v>
      </c>
      <c r="V14" s="13"/>
      <c r="W14" s="2">
        <f t="shared" si="0"/>
        <v>40314803.1</v>
      </c>
      <c r="X14" s="2">
        <f t="shared" si="0"/>
        <v>13824172.520000001</v>
      </c>
      <c r="Y14" s="2">
        <f t="shared" si="0"/>
        <v>0</v>
      </c>
      <c r="Z14" s="2">
        <f>+W14+X14+Y14</f>
        <v>54138975.620000005</v>
      </c>
      <c r="AA14" s="4"/>
    </row>
    <row r="15" spans="1:26" s="7" customFormat="1" ht="18.75">
      <c r="A15" s="15" t="s">
        <v>15</v>
      </c>
      <c r="B15" s="13">
        <v>8389564.74</v>
      </c>
      <c r="C15" s="13">
        <v>506745.19</v>
      </c>
      <c r="D15" s="13"/>
      <c r="E15" s="13">
        <v>24600</v>
      </c>
      <c r="F15" s="13">
        <v>108780</v>
      </c>
      <c r="G15" s="13"/>
      <c r="H15" s="13">
        <v>425271.28</v>
      </c>
      <c r="I15" s="13">
        <v>32974</v>
      </c>
      <c r="J15" s="13"/>
      <c r="K15" s="13">
        <v>3613300.13</v>
      </c>
      <c r="L15" s="13">
        <f>41304.96+326200</f>
        <v>367504.96</v>
      </c>
      <c r="M15" s="13"/>
      <c r="N15" s="13">
        <f>2637208.95+10000+6126749.73</f>
        <v>8773958.68</v>
      </c>
      <c r="O15" s="13">
        <f>238515.18+640588.44+1683.34</f>
        <v>880786.9599999998</v>
      </c>
      <c r="P15" s="13"/>
      <c r="Q15" s="16">
        <v>1615400</v>
      </c>
      <c r="R15" s="16">
        <f>96000+41110</f>
        <v>137110</v>
      </c>
      <c r="S15" s="13"/>
      <c r="T15" s="13"/>
      <c r="U15" s="13">
        <f>1220880+17450+82220+89744.54+20000</f>
        <v>1430294.54</v>
      </c>
      <c r="V15" s="13"/>
      <c r="W15" s="2">
        <f t="shared" si="0"/>
        <v>22842094.83</v>
      </c>
      <c r="X15" s="2">
        <f t="shared" si="0"/>
        <v>3464195.65</v>
      </c>
      <c r="Y15" s="2">
        <f t="shared" si="0"/>
        <v>0</v>
      </c>
      <c r="Z15" s="2">
        <f t="shared" si="1"/>
        <v>26306290.479999997</v>
      </c>
    </row>
    <row r="16" spans="1:26" ht="21">
      <c r="A16" s="9" t="s">
        <v>16</v>
      </c>
      <c r="B16" s="2"/>
      <c r="C16" s="2">
        <v>2247041.88</v>
      </c>
      <c r="D16" s="13"/>
      <c r="E16" s="2">
        <v>112560</v>
      </c>
      <c r="F16" s="2">
        <v>7514</v>
      </c>
      <c r="G16" s="13"/>
      <c r="H16" s="2">
        <v>452350</v>
      </c>
      <c r="I16" s="2">
        <v>816928.6</v>
      </c>
      <c r="J16" s="13"/>
      <c r="K16" s="2">
        <v>1774954.68</v>
      </c>
      <c r="L16" s="2">
        <v>3096142.29</v>
      </c>
      <c r="M16" s="13"/>
      <c r="N16" s="13">
        <v>3298411.11</v>
      </c>
      <c r="O16" s="2">
        <v>1355642.81</v>
      </c>
      <c r="P16" s="13"/>
      <c r="Q16" s="2">
        <v>12063500</v>
      </c>
      <c r="R16" s="2">
        <v>663160</v>
      </c>
      <c r="S16" s="13"/>
      <c r="T16" s="2">
        <v>1106790</v>
      </c>
      <c r="U16" s="2">
        <v>601200</v>
      </c>
      <c r="V16" s="13"/>
      <c r="W16" s="2">
        <f t="shared" si="0"/>
        <v>18808565.79</v>
      </c>
      <c r="X16" s="2">
        <f t="shared" si="0"/>
        <v>8787629.58</v>
      </c>
      <c r="Y16" s="2">
        <f t="shared" si="0"/>
        <v>0</v>
      </c>
      <c r="Z16" s="2">
        <f t="shared" si="1"/>
        <v>27596195.369999997</v>
      </c>
    </row>
    <row r="17" spans="1:26" s="7" customFormat="1" ht="18.75">
      <c r="A17" s="15" t="s">
        <v>17</v>
      </c>
      <c r="B17" s="13">
        <v>2490398.87</v>
      </c>
      <c r="C17" s="13">
        <v>432721.16</v>
      </c>
      <c r="D17" s="13"/>
      <c r="E17" s="13">
        <v>946874.74</v>
      </c>
      <c r="F17" s="13">
        <v>22840</v>
      </c>
      <c r="G17" s="13"/>
      <c r="H17" s="13">
        <v>340563.99</v>
      </c>
      <c r="I17" s="13"/>
      <c r="J17" s="13"/>
      <c r="K17" s="13">
        <v>2140085.29</v>
      </c>
      <c r="L17" s="13">
        <v>184025</v>
      </c>
      <c r="M17" s="13"/>
      <c r="N17" s="13">
        <f>1362647.82+2611764.2</f>
        <v>3974412.0200000005</v>
      </c>
      <c r="O17" s="13">
        <f>32190.47+66857.37</f>
        <v>99047.84</v>
      </c>
      <c r="P17" s="13"/>
      <c r="Q17" s="16">
        <v>1291300</v>
      </c>
      <c r="R17" s="16">
        <f>135000+26350</f>
        <v>161350</v>
      </c>
      <c r="S17" s="13"/>
      <c r="T17" s="13"/>
      <c r="U17" s="13">
        <f>525153.96+14150+52700</f>
        <v>592003.96</v>
      </c>
      <c r="V17" s="13"/>
      <c r="W17" s="2">
        <f t="shared" si="0"/>
        <v>11183634.91</v>
      </c>
      <c r="X17" s="2">
        <f t="shared" si="0"/>
        <v>1491987.96</v>
      </c>
      <c r="Y17" s="2">
        <f t="shared" si="0"/>
        <v>0</v>
      </c>
      <c r="Z17" s="2">
        <f t="shared" si="1"/>
        <v>12675622.870000001</v>
      </c>
    </row>
    <row r="18" spans="1:26" s="7" customFormat="1" ht="18.75">
      <c r="A18" s="15" t="s">
        <v>18</v>
      </c>
      <c r="B18" s="13">
        <v>9725636.51</v>
      </c>
      <c r="C18" s="13">
        <v>3131759.66</v>
      </c>
      <c r="D18" s="13"/>
      <c r="E18" s="13">
        <v>996190</v>
      </c>
      <c r="F18" s="13">
        <v>6400</v>
      </c>
      <c r="G18" s="13"/>
      <c r="H18" s="13">
        <v>514609</v>
      </c>
      <c r="I18" s="13">
        <f>57354+48792</f>
        <v>106146</v>
      </c>
      <c r="J18" s="13"/>
      <c r="K18" s="13">
        <v>4374390.46</v>
      </c>
      <c r="L18" s="13">
        <f>228561.67+648159.54</f>
        <v>876721.2100000001</v>
      </c>
      <c r="M18" s="13"/>
      <c r="N18" s="13">
        <f>10363819.21+6219440.43</f>
        <v>16583259.64</v>
      </c>
      <c r="O18" s="13">
        <f>2439880.68+203766.67</f>
        <v>2643647.35</v>
      </c>
      <c r="P18" s="13"/>
      <c r="Q18" s="16">
        <v>1953000</v>
      </c>
      <c r="R18" s="16">
        <f>427000+98220</f>
        <v>525220</v>
      </c>
      <c r="S18" s="13"/>
      <c r="T18" s="13"/>
      <c r="U18" s="13">
        <f>2917460+196440+197644.26</f>
        <v>3311544.26</v>
      </c>
      <c r="V18" s="13"/>
      <c r="W18" s="2">
        <f t="shared" si="0"/>
        <v>34147085.61</v>
      </c>
      <c r="X18" s="2">
        <f t="shared" si="0"/>
        <v>10601438.48</v>
      </c>
      <c r="Y18" s="2">
        <f t="shared" si="0"/>
        <v>0</v>
      </c>
      <c r="Z18" s="2">
        <f t="shared" si="1"/>
        <v>44748524.09</v>
      </c>
    </row>
    <row r="19" spans="1:27" s="7" customFormat="1" ht="21">
      <c r="A19" s="15" t="s">
        <v>19</v>
      </c>
      <c r="B19" s="13">
        <v>8532520</v>
      </c>
      <c r="C19" s="13">
        <v>6616219.55</v>
      </c>
      <c r="D19" s="13"/>
      <c r="E19" s="13">
        <v>119678</v>
      </c>
      <c r="F19" s="13">
        <v>17160.06</v>
      </c>
      <c r="G19" s="13"/>
      <c r="H19" s="13">
        <v>632783.72</v>
      </c>
      <c r="I19" s="13">
        <v>461375.46</v>
      </c>
      <c r="J19" s="13"/>
      <c r="K19" s="13">
        <v>3941412.81</v>
      </c>
      <c r="L19" s="13">
        <f>2657947.74+33600+317100</f>
        <v>3008647.74</v>
      </c>
      <c r="M19" s="13"/>
      <c r="N19" s="13">
        <v>8335709.06</v>
      </c>
      <c r="O19" s="13">
        <v>2913514.84</v>
      </c>
      <c r="P19" s="13"/>
      <c r="Q19" s="16">
        <f>348422+1911000+845500</f>
        <v>3104922</v>
      </c>
      <c r="R19" s="16">
        <v>1149170</v>
      </c>
      <c r="S19" s="13"/>
      <c r="T19" s="13">
        <v>962401</v>
      </c>
      <c r="U19" s="13">
        <v>1030540.23</v>
      </c>
      <c r="V19" s="13"/>
      <c r="W19" s="2">
        <f t="shared" si="0"/>
        <v>25629426.59</v>
      </c>
      <c r="X19" s="2">
        <f t="shared" si="0"/>
        <v>15196627.879999999</v>
      </c>
      <c r="Y19" s="2">
        <f t="shared" si="0"/>
        <v>0</v>
      </c>
      <c r="Z19" s="2">
        <f t="shared" si="1"/>
        <v>40826054.47</v>
      </c>
      <c r="AA19" s="4"/>
    </row>
    <row r="20" spans="1:26" s="7" customFormat="1" ht="18.75">
      <c r="A20" s="15" t="s">
        <v>20</v>
      </c>
      <c r="B20" s="13">
        <v>10209315.32</v>
      </c>
      <c r="C20" s="13">
        <v>1792081.06</v>
      </c>
      <c r="D20" s="13">
        <v>160162</v>
      </c>
      <c r="E20" s="2">
        <v>229700</v>
      </c>
      <c r="F20" s="2"/>
      <c r="G20" s="13"/>
      <c r="H20" s="13">
        <v>651639.88</v>
      </c>
      <c r="I20" s="13">
        <v>35845</v>
      </c>
      <c r="J20" s="13"/>
      <c r="K20" s="13">
        <v>4612023.16</v>
      </c>
      <c r="L20" s="13">
        <v>965919.27</v>
      </c>
      <c r="M20" s="13"/>
      <c r="N20" s="13">
        <v>7025542.89</v>
      </c>
      <c r="O20" s="13">
        <v>596958.51</v>
      </c>
      <c r="P20" s="13"/>
      <c r="Q20" s="13">
        <v>10822500</v>
      </c>
      <c r="R20" s="13">
        <v>1258860</v>
      </c>
      <c r="S20" s="13"/>
      <c r="T20" s="16"/>
      <c r="U20" s="16">
        <v>2994600</v>
      </c>
      <c r="V20" s="13"/>
      <c r="W20" s="2">
        <f t="shared" si="0"/>
        <v>33550721.25</v>
      </c>
      <c r="X20" s="2">
        <f t="shared" si="0"/>
        <v>7644263.84</v>
      </c>
      <c r="Y20" s="2">
        <f t="shared" si="0"/>
        <v>160162</v>
      </c>
      <c r="Z20" s="2">
        <f t="shared" si="1"/>
        <v>41355147.09</v>
      </c>
    </row>
    <row r="21" spans="1:26" s="7" customFormat="1" ht="18.75">
      <c r="A21" s="15" t="s">
        <v>21</v>
      </c>
      <c r="B21" s="13">
        <v>6782744.74</v>
      </c>
      <c r="C21" s="13">
        <v>2403602.73</v>
      </c>
      <c r="D21" s="13">
        <v>14032</v>
      </c>
      <c r="E21" s="13">
        <v>16670</v>
      </c>
      <c r="F21" s="13"/>
      <c r="G21" s="13"/>
      <c r="H21" s="13">
        <v>1106875.97</v>
      </c>
      <c r="I21" s="13">
        <v>241022.34</v>
      </c>
      <c r="J21" s="13"/>
      <c r="K21" s="13">
        <v>2912485.75</v>
      </c>
      <c r="L21" s="13">
        <v>2870928.79</v>
      </c>
      <c r="M21" s="13"/>
      <c r="N21" s="13">
        <v>1662378.77</v>
      </c>
      <c r="O21" s="13">
        <v>348226.84</v>
      </c>
      <c r="P21" s="13"/>
      <c r="Q21" s="16">
        <v>920000</v>
      </c>
      <c r="R21" s="16">
        <v>1530660</v>
      </c>
      <c r="S21" s="13"/>
      <c r="T21" s="13"/>
      <c r="U21" s="13">
        <v>4822010</v>
      </c>
      <c r="V21" s="13"/>
      <c r="W21" s="2">
        <f t="shared" si="0"/>
        <v>13401155.23</v>
      </c>
      <c r="X21" s="2">
        <f t="shared" si="0"/>
        <v>12216450.7</v>
      </c>
      <c r="Y21" s="2">
        <f t="shared" si="0"/>
        <v>14032</v>
      </c>
      <c r="Z21" s="2">
        <f t="shared" si="1"/>
        <v>25631637.93</v>
      </c>
    </row>
    <row r="22" spans="1:26" s="7" customFormat="1" ht="18.75">
      <c r="A22" s="71" t="s">
        <v>232</v>
      </c>
      <c r="B22" s="17">
        <v>3010894.26</v>
      </c>
      <c r="C22" s="17">
        <v>1684475.66</v>
      </c>
      <c r="D22" s="13">
        <v>40845</v>
      </c>
      <c r="E22" s="13"/>
      <c r="F22" s="13"/>
      <c r="G22" s="13"/>
      <c r="H22" s="13">
        <v>444086</v>
      </c>
      <c r="I22" s="13">
        <v>104148</v>
      </c>
      <c r="J22" s="13"/>
      <c r="K22" s="17">
        <v>2604213.34</v>
      </c>
      <c r="L22" s="17">
        <v>911626.03</v>
      </c>
      <c r="M22" s="13"/>
      <c r="N22" s="17">
        <v>950612.76</v>
      </c>
      <c r="O22" s="17"/>
      <c r="P22" s="13"/>
      <c r="Q22" s="18">
        <v>2072200</v>
      </c>
      <c r="R22" s="18">
        <v>673390</v>
      </c>
      <c r="S22" s="13"/>
      <c r="T22" s="17"/>
      <c r="U22" s="17">
        <v>2092540</v>
      </c>
      <c r="V22" s="13"/>
      <c r="W22" s="2">
        <f t="shared" si="0"/>
        <v>9082006.36</v>
      </c>
      <c r="X22" s="2">
        <f t="shared" si="0"/>
        <v>5466179.6899999995</v>
      </c>
      <c r="Y22" s="2">
        <f t="shared" si="0"/>
        <v>40845</v>
      </c>
      <c r="Z22" s="2">
        <f t="shared" si="1"/>
        <v>14589031.049999999</v>
      </c>
    </row>
    <row r="23" spans="1:26" s="7" customFormat="1" ht="19.5" thickBot="1">
      <c r="A23" s="71" t="s">
        <v>233</v>
      </c>
      <c r="B23" s="17">
        <v>1961200</v>
      </c>
      <c r="C23" s="17">
        <v>2650709</v>
      </c>
      <c r="D23" s="13"/>
      <c r="E23" s="13"/>
      <c r="F23" s="13"/>
      <c r="G23" s="13"/>
      <c r="H23" s="13"/>
      <c r="I23" s="13"/>
      <c r="J23" s="13"/>
      <c r="K23" s="18">
        <v>4375594.55</v>
      </c>
      <c r="L23" s="18">
        <v>2382493.43</v>
      </c>
      <c r="M23" s="13"/>
      <c r="N23" s="18">
        <v>19394063.7</v>
      </c>
      <c r="O23" s="18">
        <v>1534476.97</v>
      </c>
      <c r="P23" s="13"/>
      <c r="Q23" s="18">
        <v>11745016.66</v>
      </c>
      <c r="R23" s="18">
        <v>532110</v>
      </c>
      <c r="S23" s="13"/>
      <c r="T23" s="17">
        <v>2483316.5</v>
      </c>
      <c r="U23" s="17">
        <v>477238</v>
      </c>
      <c r="V23" s="13"/>
      <c r="W23" s="2">
        <f t="shared" si="0"/>
        <v>39959191.41</v>
      </c>
      <c r="X23" s="2">
        <f t="shared" si="0"/>
        <v>7577027.399999999</v>
      </c>
      <c r="Y23" s="2">
        <f t="shared" si="0"/>
        <v>0</v>
      </c>
      <c r="Z23" s="2">
        <f t="shared" si="1"/>
        <v>47536218.809999995</v>
      </c>
    </row>
    <row r="24" spans="1:40" s="75" customFormat="1" ht="19.5" thickBot="1">
      <c r="A24" s="72" t="s">
        <v>22</v>
      </c>
      <c r="B24" s="72">
        <f>SUM(B7:B23)</f>
        <v>102879406.44</v>
      </c>
      <c r="C24" s="72">
        <f aca="true" t="shared" si="2" ref="C24:Z24">SUM(C7:C23)</f>
        <v>45941579.559999995</v>
      </c>
      <c r="D24" s="72">
        <f t="shared" si="2"/>
        <v>816726.49</v>
      </c>
      <c r="E24" s="72">
        <f t="shared" si="2"/>
        <v>4728040.38</v>
      </c>
      <c r="F24" s="72">
        <f t="shared" si="2"/>
        <v>332230.06</v>
      </c>
      <c r="G24" s="72">
        <f t="shared" si="2"/>
        <v>0</v>
      </c>
      <c r="H24" s="72">
        <f t="shared" si="2"/>
        <v>8357743.069999999</v>
      </c>
      <c r="I24" s="72">
        <f t="shared" si="2"/>
        <v>2087242</v>
      </c>
      <c r="J24" s="72">
        <f t="shared" si="2"/>
        <v>0</v>
      </c>
      <c r="K24" s="72">
        <f t="shared" si="2"/>
        <v>62535667.99000001</v>
      </c>
      <c r="L24" s="72">
        <f t="shared" si="2"/>
        <v>48300734.70000001</v>
      </c>
      <c r="M24" s="72">
        <f t="shared" si="2"/>
        <v>0</v>
      </c>
      <c r="N24" s="72">
        <f t="shared" si="2"/>
        <v>172489962.99999997</v>
      </c>
      <c r="O24" s="72">
        <f t="shared" si="2"/>
        <v>20904927.810000002</v>
      </c>
      <c r="P24" s="72">
        <f t="shared" si="2"/>
        <v>0</v>
      </c>
      <c r="Q24" s="72">
        <f t="shared" si="2"/>
        <v>75880154</v>
      </c>
      <c r="R24" s="72">
        <f t="shared" si="2"/>
        <v>7685788</v>
      </c>
      <c r="S24" s="72">
        <f t="shared" si="2"/>
        <v>0</v>
      </c>
      <c r="T24" s="72">
        <f t="shared" si="2"/>
        <v>19432885.47</v>
      </c>
      <c r="U24" s="72">
        <f t="shared" si="2"/>
        <v>26615335.240000002</v>
      </c>
      <c r="V24" s="72">
        <f t="shared" si="2"/>
        <v>0</v>
      </c>
      <c r="W24" s="72">
        <f t="shared" si="2"/>
        <v>446303860.35</v>
      </c>
      <c r="X24" s="72">
        <f t="shared" si="2"/>
        <v>151867837.36999997</v>
      </c>
      <c r="Y24" s="72">
        <f t="shared" si="2"/>
        <v>816726.49</v>
      </c>
      <c r="Z24" s="72">
        <f t="shared" si="2"/>
        <v>598988424.21</v>
      </c>
      <c r="AA24" s="73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26" s="7" customFormat="1" ht="18.75">
      <c r="A25" s="61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"/>
      <c r="X25" s="2"/>
      <c r="Y25" s="2"/>
      <c r="Z25" s="12"/>
    </row>
    <row r="26" spans="1:26" s="7" customFormat="1" ht="18.75">
      <c r="A26" s="2" t="s">
        <v>234</v>
      </c>
      <c r="B26" s="13">
        <v>440888361.93</v>
      </c>
      <c r="C26" s="13">
        <v>3365818.65</v>
      </c>
      <c r="D26" s="7">
        <f>1509653.51+12162389.48</f>
        <v>13672042.99</v>
      </c>
      <c r="E26" s="13">
        <f>20314+1859947.34</f>
        <v>1880261.34</v>
      </c>
      <c r="F26" s="13"/>
      <c r="G26" s="13"/>
      <c r="H26" s="13">
        <f>115744+1640661.43</f>
        <v>1756405.43</v>
      </c>
      <c r="I26" s="13"/>
      <c r="J26" s="13"/>
      <c r="K26" s="13">
        <f>4000516.13+45381646.62</f>
        <v>49382162.75</v>
      </c>
      <c r="L26" s="13">
        <f>1398290+1981669.1+1311570+22289409.05+1410454.51</f>
        <v>28391392.66</v>
      </c>
      <c r="M26" s="13"/>
      <c r="N26" s="13">
        <v>14346538.35</v>
      </c>
      <c r="O26" s="13">
        <v>7057330.33</v>
      </c>
      <c r="P26" s="13"/>
      <c r="Q26" s="13"/>
      <c r="R26" s="13">
        <f>148882+243760+1649117.5+1802980+290000</f>
        <v>4134739.5</v>
      </c>
      <c r="S26" s="13"/>
      <c r="T26" s="13">
        <f>267790+6977035.5+14015004.9+2913969</f>
        <v>24173799.4</v>
      </c>
      <c r="U26" s="13">
        <v>4064954.15</v>
      </c>
      <c r="V26" s="13"/>
      <c r="W26" s="2">
        <f>+B26+E26+H26+K26+N26+Q26+T26</f>
        <v>532427529.2</v>
      </c>
      <c r="X26" s="2">
        <f>+C26+F26+I26+L26+O26+R26+U26</f>
        <v>47014235.29</v>
      </c>
      <c r="Y26" s="2">
        <f>+D26+G26+J26+M26+P26+S26+V26</f>
        <v>13672042.99</v>
      </c>
      <c r="Z26" s="2">
        <f>+W26+X26+Y26</f>
        <v>593113807.48</v>
      </c>
    </row>
    <row r="27" spans="1:26" s="7" customFormat="1" ht="18.75">
      <c r="A27" s="2" t="s">
        <v>24</v>
      </c>
      <c r="B27" s="13">
        <v>0</v>
      </c>
      <c r="C27" s="13">
        <v>1687900</v>
      </c>
      <c r="D27" s="13"/>
      <c r="E27" s="13"/>
      <c r="F27" s="13"/>
      <c r="G27" s="13"/>
      <c r="H27" s="13"/>
      <c r="I27" s="13"/>
      <c r="J27" s="13"/>
      <c r="K27" s="13">
        <v>10645503.93</v>
      </c>
      <c r="L27" s="13">
        <v>3487508</v>
      </c>
      <c r="M27" s="13"/>
      <c r="N27" s="13"/>
      <c r="O27" s="13"/>
      <c r="P27" s="13"/>
      <c r="Q27" s="13"/>
      <c r="R27" s="13"/>
      <c r="S27" s="13"/>
      <c r="T27" s="13"/>
      <c r="U27" s="13">
        <v>1963723</v>
      </c>
      <c r="V27" s="13"/>
      <c r="W27" s="2">
        <f>+B27+E27+H27+K27+N27+Q27+T27</f>
        <v>10645503.93</v>
      </c>
      <c r="X27" s="2">
        <f aca="true" t="shared" si="3" ref="X27:Y32">+C27+F27+I27+L27+O27+R27+U27</f>
        <v>7139131</v>
      </c>
      <c r="Y27" s="2">
        <f t="shared" si="3"/>
        <v>0</v>
      </c>
      <c r="Z27" s="2">
        <f aca="true" t="shared" si="4" ref="Z27:Z32">+W27+X27+Y27</f>
        <v>17784634.93</v>
      </c>
    </row>
    <row r="28" spans="1:26" s="7" customFormat="1" ht="18.75">
      <c r="A28" s="2" t="s">
        <v>25</v>
      </c>
      <c r="B28" s="13">
        <v>222780</v>
      </c>
      <c r="C28" s="13">
        <v>4260720.44</v>
      </c>
      <c r="D28" s="13"/>
      <c r="E28" s="13">
        <v>25680</v>
      </c>
      <c r="F28" s="13">
        <v>28585</v>
      </c>
      <c r="G28" s="13"/>
      <c r="H28" s="13">
        <v>1406249</v>
      </c>
      <c r="I28" s="13">
        <v>818191.07</v>
      </c>
      <c r="J28" s="13"/>
      <c r="K28" s="13">
        <v>1526243</v>
      </c>
      <c r="L28" s="13">
        <v>3489891.05</v>
      </c>
      <c r="M28" s="13"/>
      <c r="N28" s="13">
        <v>8596386.24</v>
      </c>
      <c r="O28" s="13">
        <v>4508079.65</v>
      </c>
      <c r="P28" s="13"/>
      <c r="Q28" s="13">
        <v>1523440</v>
      </c>
      <c r="R28" s="13">
        <v>122000</v>
      </c>
      <c r="S28" s="13"/>
      <c r="T28" s="13">
        <v>1943531.61</v>
      </c>
      <c r="U28" s="13">
        <v>338000</v>
      </c>
      <c r="V28" s="13"/>
      <c r="W28" s="2">
        <f>+B28+E28+H28+K28+N28+Q28+T28</f>
        <v>15244309.85</v>
      </c>
      <c r="X28" s="2">
        <f>+C28+F28+I28+L28+O28+R28+U28</f>
        <v>13565467.21</v>
      </c>
      <c r="Y28" s="2">
        <f>+D28+G28+J28+M28+P28+S28+V28</f>
        <v>0</v>
      </c>
      <c r="Z28" s="2">
        <f>+W28+X28+Y28</f>
        <v>28809777.060000002</v>
      </c>
    </row>
    <row r="29" spans="1:26" s="7" customFormat="1" ht="18.75">
      <c r="A29" s="2" t="s">
        <v>26</v>
      </c>
      <c r="B29" s="13">
        <v>3372406</v>
      </c>
      <c r="C29" s="13">
        <v>2300234</v>
      </c>
      <c r="D29" s="13"/>
      <c r="E29" s="13">
        <v>675019.77</v>
      </c>
      <c r="F29" s="13">
        <v>235729</v>
      </c>
      <c r="G29" s="13"/>
      <c r="H29" s="13">
        <v>662585.81</v>
      </c>
      <c r="I29" s="13"/>
      <c r="J29" s="13"/>
      <c r="K29" s="13">
        <v>6157963.82</v>
      </c>
      <c r="L29" s="13">
        <f>142638.11+224500</f>
        <v>367138.11</v>
      </c>
      <c r="M29" s="13"/>
      <c r="N29" s="13">
        <f>3376741.91+10075072.3</f>
        <v>13451814.21</v>
      </c>
      <c r="O29" s="13">
        <f>209741.96+818458.26</f>
        <v>1028200.22</v>
      </c>
      <c r="P29" s="13"/>
      <c r="Q29" s="13">
        <v>26363</v>
      </c>
      <c r="R29" s="13"/>
      <c r="S29" s="13"/>
      <c r="T29" s="13">
        <v>5000</v>
      </c>
      <c r="U29" s="13">
        <v>9300</v>
      </c>
      <c r="V29" s="13"/>
      <c r="W29" s="2">
        <f>B29+E29+H29+K29+N29+Q29+T29</f>
        <v>24351152.61</v>
      </c>
      <c r="X29" s="2">
        <f>C29+F29+I29+L29+O29+R29+U29</f>
        <v>3940601.33</v>
      </c>
      <c r="Y29" s="2">
        <f>D29+G29+J29+M29+P29+S29+V29</f>
        <v>0</v>
      </c>
      <c r="Z29" s="2">
        <f>W29+X29+Y29</f>
        <v>28291753.939999998</v>
      </c>
    </row>
    <row r="30" spans="1:26" s="7" customFormat="1" ht="18.75">
      <c r="A30" s="2" t="s">
        <v>27</v>
      </c>
      <c r="B30" s="13">
        <v>5215870</v>
      </c>
      <c r="C30" s="13">
        <v>5419009.92</v>
      </c>
      <c r="D30" s="13">
        <v>75110</v>
      </c>
      <c r="E30" s="13">
        <v>4122</v>
      </c>
      <c r="F30" s="13"/>
      <c r="G30" s="13"/>
      <c r="H30" s="13">
        <v>394745.7</v>
      </c>
      <c r="I30" s="13">
        <v>219915.04</v>
      </c>
      <c r="J30" s="13"/>
      <c r="K30" s="13">
        <v>9425495.5</v>
      </c>
      <c r="L30" s="13">
        <v>1228084.92</v>
      </c>
      <c r="M30" s="13"/>
      <c r="N30" s="13">
        <v>16523832.55</v>
      </c>
      <c r="O30" s="13">
        <v>3184833.76</v>
      </c>
      <c r="P30" s="13"/>
      <c r="Q30" s="13"/>
      <c r="R30" s="13"/>
      <c r="S30" s="13"/>
      <c r="T30" s="13"/>
      <c r="U30" s="13">
        <v>12050000</v>
      </c>
      <c r="V30" s="13"/>
      <c r="W30" s="2">
        <f>+B30+E30+H30+K30+N30+Q30+T30</f>
        <v>31564065.75</v>
      </c>
      <c r="X30" s="2">
        <f t="shared" si="3"/>
        <v>22101843.64</v>
      </c>
      <c r="Y30" s="2">
        <f t="shared" si="3"/>
        <v>75110</v>
      </c>
      <c r="Z30" s="2">
        <f t="shared" si="4"/>
        <v>53741019.39</v>
      </c>
    </row>
    <row r="31" spans="1:26" s="7" customFormat="1" ht="18.75">
      <c r="A31" s="2" t="s">
        <v>28</v>
      </c>
      <c r="B31" s="13">
        <v>1100820</v>
      </c>
      <c r="C31" s="13">
        <v>180824</v>
      </c>
      <c r="D31" s="13">
        <v>12300</v>
      </c>
      <c r="E31" s="13">
        <v>122724</v>
      </c>
      <c r="F31" s="13"/>
      <c r="G31" s="13"/>
      <c r="H31" s="13">
        <v>572862</v>
      </c>
      <c r="I31" s="13"/>
      <c r="J31" s="13"/>
      <c r="K31" s="13">
        <v>2510545.52</v>
      </c>
      <c r="L31" s="13">
        <v>158513.1</v>
      </c>
      <c r="M31" s="13"/>
      <c r="N31" s="13">
        <v>55577.95</v>
      </c>
      <c r="O31" s="13">
        <v>134121.06</v>
      </c>
      <c r="P31" s="13"/>
      <c r="Q31" s="13"/>
      <c r="R31" s="13"/>
      <c r="S31" s="13"/>
      <c r="T31" s="13"/>
      <c r="U31" s="13"/>
      <c r="V31" s="13"/>
      <c r="W31" s="2">
        <f>+B31+E31+H31+K31+N31+Q31+T31</f>
        <v>4362529.47</v>
      </c>
      <c r="X31" s="2">
        <f t="shared" si="3"/>
        <v>473458.16</v>
      </c>
      <c r="Y31" s="2">
        <f t="shared" si="3"/>
        <v>12300</v>
      </c>
      <c r="Z31" s="2">
        <f t="shared" si="4"/>
        <v>4848287.63</v>
      </c>
    </row>
    <row r="32" spans="1:26" s="7" customFormat="1" ht="19.5" thickBot="1">
      <c r="A32" s="10" t="s">
        <v>29</v>
      </c>
      <c r="B32" s="17">
        <v>2104500</v>
      </c>
      <c r="C32" s="17">
        <v>1095701.07</v>
      </c>
      <c r="D32" s="17">
        <v>5500</v>
      </c>
      <c r="E32" s="17">
        <v>1400</v>
      </c>
      <c r="F32" s="17"/>
      <c r="G32" s="17"/>
      <c r="H32" s="17"/>
      <c r="I32" s="17">
        <v>78095</v>
      </c>
      <c r="J32" s="17"/>
      <c r="K32" s="17">
        <v>3399787.66</v>
      </c>
      <c r="L32" s="17">
        <v>656589.59</v>
      </c>
      <c r="M32" s="17"/>
      <c r="N32" s="17">
        <v>1034870.78</v>
      </c>
      <c r="O32" s="17">
        <v>85301.97</v>
      </c>
      <c r="P32" s="17"/>
      <c r="Q32" s="17"/>
      <c r="R32" s="17">
        <v>68000</v>
      </c>
      <c r="S32" s="17"/>
      <c r="T32" s="17"/>
      <c r="U32" s="17">
        <v>2416000</v>
      </c>
      <c r="V32" s="17"/>
      <c r="W32" s="2">
        <f>+B32+E32+H32+K32+N32+Q32+T32</f>
        <v>6540558.44</v>
      </c>
      <c r="X32" s="2">
        <f t="shared" si="3"/>
        <v>4399687.63</v>
      </c>
      <c r="Y32" s="2">
        <f t="shared" si="3"/>
        <v>5500</v>
      </c>
      <c r="Z32" s="2">
        <f t="shared" si="4"/>
        <v>10945746.07</v>
      </c>
    </row>
    <row r="33" spans="1:27" s="74" customFormat="1" ht="19.5" thickBot="1">
      <c r="A33" s="76" t="s">
        <v>22</v>
      </c>
      <c r="B33" s="76">
        <f>SUM(B26:B32)</f>
        <v>452904737.93</v>
      </c>
      <c r="C33" s="76">
        <f aca="true" t="shared" si="5" ref="C33:Z33">SUM(C26:C32)</f>
        <v>18310208.08</v>
      </c>
      <c r="D33" s="76">
        <f t="shared" si="5"/>
        <v>13764952.99</v>
      </c>
      <c r="E33" s="76">
        <f t="shared" si="5"/>
        <v>2709207.1100000003</v>
      </c>
      <c r="F33" s="76">
        <f t="shared" si="5"/>
        <v>264314</v>
      </c>
      <c r="G33" s="76">
        <f t="shared" si="5"/>
        <v>0</v>
      </c>
      <c r="H33" s="76">
        <f t="shared" si="5"/>
        <v>4792847.9399999995</v>
      </c>
      <c r="I33" s="76">
        <f t="shared" si="5"/>
        <v>1116201.1099999999</v>
      </c>
      <c r="J33" s="76">
        <f t="shared" si="5"/>
        <v>0</v>
      </c>
      <c r="K33" s="76">
        <f t="shared" si="5"/>
        <v>83047702.17999999</v>
      </c>
      <c r="L33" s="76">
        <f t="shared" si="5"/>
        <v>37779117.43000001</v>
      </c>
      <c r="M33" s="76">
        <f t="shared" si="5"/>
        <v>0</v>
      </c>
      <c r="N33" s="76">
        <f t="shared" si="5"/>
        <v>54009020.08</v>
      </c>
      <c r="O33" s="76">
        <f t="shared" si="5"/>
        <v>15997866.990000002</v>
      </c>
      <c r="P33" s="76">
        <f t="shared" si="5"/>
        <v>0</v>
      </c>
      <c r="Q33" s="76">
        <f t="shared" si="5"/>
        <v>1549803</v>
      </c>
      <c r="R33" s="76">
        <f t="shared" si="5"/>
        <v>4324739.5</v>
      </c>
      <c r="S33" s="76">
        <f t="shared" si="5"/>
        <v>0</v>
      </c>
      <c r="T33" s="76">
        <f t="shared" si="5"/>
        <v>26122331.009999998</v>
      </c>
      <c r="U33" s="76">
        <f t="shared" si="5"/>
        <v>20841977.15</v>
      </c>
      <c r="V33" s="76">
        <f t="shared" si="5"/>
        <v>0</v>
      </c>
      <c r="W33" s="76">
        <f t="shared" si="5"/>
        <v>625135649.2500001</v>
      </c>
      <c r="X33" s="76">
        <f t="shared" si="5"/>
        <v>98634424.25999999</v>
      </c>
      <c r="Y33" s="76">
        <f t="shared" si="5"/>
        <v>13764952.99</v>
      </c>
      <c r="Z33" s="76">
        <f t="shared" si="5"/>
        <v>737535026.5000001</v>
      </c>
      <c r="AA33" s="73"/>
    </row>
    <row r="34" spans="1:27" s="6" customFormat="1" ht="20.25" thickBot="1" thickTop="1">
      <c r="A34" s="20" t="s">
        <v>4</v>
      </c>
      <c r="B34" s="20">
        <f>+B24+B33</f>
        <v>555784144.37</v>
      </c>
      <c r="C34" s="20">
        <f aca="true" t="shared" si="6" ref="C34:Z34">+C24+C33</f>
        <v>64251787.63999999</v>
      </c>
      <c r="D34" s="20">
        <f t="shared" si="6"/>
        <v>14581679.48</v>
      </c>
      <c r="E34" s="20">
        <f t="shared" si="6"/>
        <v>7437247.49</v>
      </c>
      <c r="F34" s="20">
        <f t="shared" si="6"/>
        <v>596544.06</v>
      </c>
      <c r="G34" s="20">
        <f t="shared" si="6"/>
        <v>0</v>
      </c>
      <c r="H34" s="20">
        <f t="shared" si="6"/>
        <v>13150591.009999998</v>
      </c>
      <c r="I34" s="20">
        <f t="shared" si="6"/>
        <v>3203443.11</v>
      </c>
      <c r="J34" s="20">
        <f t="shared" si="6"/>
        <v>0</v>
      </c>
      <c r="K34" s="20">
        <f>+K24+K33</f>
        <v>145583370.17000002</v>
      </c>
      <c r="L34" s="20">
        <f>+L24+L33</f>
        <v>86079852.13000003</v>
      </c>
      <c r="M34" s="20">
        <f t="shared" si="6"/>
        <v>0</v>
      </c>
      <c r="N34" s="20">
        <f t="shared" si="6"/>
        <v>226498983.07999998</v>
      </c>
      <c r="O34" s="20">
        <f t="shared" si="6"/>
        <v>36902794.800000004</v>
      </c>
      <c r="P34" s="20">
        <f t="shared" si="6"/>
        <v>0</v>
      </c>
      <c r="Q34" s="20">
        <f t="shared" si="6"/>
        <v>77429957</v>
      </c>
      <c r="R34" s="20">
        <f t="shared" si="6"/>
        <v>12010527.5</v>
      </c>
      <c r="S34" s="20">
        <f t="shared" si="6"/>
        <v>0</v>
      </c>
      <c r="T34" s="20">
        <f t="shared" si="6"/>
        <v>45555216.48</v>
      </c>
      <c r="U34" s="20">
        <f t="shared" si="6"/>
        <v>47457312.39</v>
      </c>
      <c r="V34" s="20">
        <f t="shared" si="6"/>
        <v>0</v>
      </c>
      <c r="W34" s="20">
        <f t="shared" si="6"/>
        <v>1071439509.6000001</v>
      </c>
      <c r="X34" s="20">
        <f t="shared" si="6"/>
        <v>250502261.62999997</v>
      </c>
      <c r="Y34" s="20">
        <f t="shared" si="6"/>
        <v>14581679.48</v>
      </c>
      <c r="Z34" s="20">
        <f t="shared" si="6"/>
        <v>1336523450.71</v>
      </c>
      <c r="AA34" s="7"/>
    </row>
    <row r="35" spans="1:26" s="6" customFormat="1" ht="19.5" thickTop="1">
      <c r="A35" s="40" t="s">
        <v>154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41"/>
      <c r="W35" s="12"/>
      <c r="X35" s="12"/>
      <c r="Y35" s="12"/>
      <c r="Z35" s="2"/>
    </row>
    <row r="36" spans="1:26" s="6" customFormat="1" ht="18.75">
      <c r="A36" s="77" t="s">
        <v>30</v>
      </c>
      <c r="B36" s="13"/>
      <c r="C36" s="13">
        <v>2195556.26</v>
      </c>
      <c r="D36" s="13"/>
      <c r="E36" s="13"/>
      <c r="F36" s="13"/>
      <c r="G36" s="13"/>
      <c r="H36" s="13"/>
      <c r="I36" s="13"/>
      <c r="J36" s="13"/>
      <c r="K36" s="13"/>
      <c r="L36" s="13">
        <f>8511246.04+624291.7</f>
        <v>9135537.739999998</v>
      </c>
      <c r="M36" s="13"/>
      <c r="N36" s="13"/>
      <c r="O36" s="13"/>
      <c r="P36" s="13"/>
      <c r="Q36" s="13"/>
      <c r="R36" s="13"/>
      <c r="S36" s="13"/>
      <c r="T36" s="13"/>
      <c r="U36" s="13">
        <v>411000</v>
      </c>
      <c r="V36" s="13"/>
      <c r="W36" s="2">
        <f>B36+E36+H36+K36+N36+Q36+T36</f>
        <v>0</v>
      </c>
      <c r="X36" s="2">
        <f>C36+F36+I36+L36+O36+R36+U36</f>
        <v>11742093.999999998</v>
      </c>
      <c r="Y36" s="2">
        <f>D36+G36+J36+M36+P36+S36+V36</f>
        <v>0</v>
      </c>
      <c r="Z36" s="2">
        <f>W36+X36+Y36</f>
        <v>11742093.999999998</v>
      </c>
    </row>
    <row r="37" spans="1:26" s="6" customFormat="1" ht="18.75">
      <c r="A37" s="77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2">
        <f>+B37+E37+H37+K37+N37+Q37+T37</f>
        <v>0</v>
      </c>
      <c r="X37" s="2">
        <f aca="true" t="shared" si="7" ref="X37:Y45">+C37+F37+I37+L37+O37+R37+U37</f>
        <v>0</v>
      </c>
      <c r="Y37" s="2">
        <f t="shared" si="7"/>
        <v>0</v>
      </c>
      <c r="Z37" s="2">
        <f aca="true" t="shared" si="8" ref="Z37:Z45">+W37+X37+Y37</f>
        <v>0</v>
      </c>
    </row>
    <row r="38" spans="1:26" s="6" customFormat="1" ht="18.75">
      <c r="A38" s="77" t="s">
        <v>32</v>
      </c>
      <c r="B38" s="13"/>
      <c r="C38" s="13">
        <f>3889972.32+304630</f>
        <v>4194602.32</v>
      </c>
      <c r="D38" s="13"/>
      <c r="E38" s="13"/>
      <c r="F38" s="13"/>
      <c r="G38" s="13"/>
      <c r="H38" s="13"/>
      <c r="I38" s="13"/>
      <c r="J38" s="13"/>
      <c r="K38" s="13"/>
      <c r="L38" s="13">
        <f>590730.77-304630+400098.19</f>
        <v>686198.96</v>
      </c>
      <c r="M38" s="13"/>
      <c r="N38" s="13"/>
      <c r="O38" s="13"/>
      <c r="P38" s="13"/>
      <c r="Q38" s="13"/>
      <c r="R38" s="13"/>
      <c r="S38" s="13"/>
      <c r="T38" s="13"/>
      <c r="U38" s="13">
        <v>180000</v>
      </c>
      <c r="V38" s="13"/>
      <c r="W38" s="2">
        <f>B38+E38+H38+K38+N38+Q38+T38</f>
        <v>0</v>
      </c>
      <c r="X38" s="2">
        <f>C38+F38+I38+L38+O38+R38+U38</f>
        <v>5060801.28</v>
      </c>
      <c r="Y38" s="2">
        <f>D38+G38+J38+M38+P38+S38+V38</f>
        <v>0</v>
      </c>
      <c r="Z38" s="2">
        <f>W38+X38+Y38</f>
        <v>5060801.28</v>
      </c>
    </row>
    <row r="39" spans="1:26" s="6" customFormat="1" ht="18.75">
      <c r="A39" s="77" t="s">
        <v>197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>
        <v>290814.32</v>
      </c>
      <c r="M39" s="13"/>
      <c r="N39" s="13"/>
      <c r="O39" s="13"/>
      <c r="P39" s="13"/>
      <c r="Q39" s="13"/>
      <c r="R39" s="13"/>
      <c r="S39" s="13"/>
      <c r="T39" s="13"/>
      <c r="U39" s="13">
        <v>30000</v>
      </c>
      <c r="V39" s="13"/>
      <c r="W39" s="2">
        <f aca="true" t="shared" si="9" ref="W39:Y45">+B39+E39+H39+K39+N39+Q39+T39</f>
        <v>0</v>
      </c>
      <c r="X39" s="2">
        <f t="shared" si="7"/>
        <v>320814.32</v>
      </c>
      <c r="Y39" s="2">
        <f t="shared" si="7"/>
        <v>0</v>
      </c>
      <c r="Z39" s="2">
        <f t="shared" si="8"/>
        <v>320814.32</v>
      </c>
    </row>
    <row r="40" spans="1:26" s="6" customFormat="1" ht="18.75">
      <c r="A40" s="77" t="s">
        <v>198</v>
      </c>
      <c r="B40" s="13"/>
      <c r="C40" s="13">
        <v>631402.87</v>
      </c>
      <c r="D40" s="13"/>
      <c r="E40" s="13"/>
      <c r="F40" s="13"/>
      <c r="G40" s="13"/>
      <c r="H40" s="13"/>
      <c r="I40" s="13"/>
      <c r="J40" s="13"/>
      <c r="K40" s="13"/>
      <c r="L40" s="13">
        <v>2955265.06</v>
      </c>
      <c r="M40" s="13"/>
      <c r="N40" s="13"/>
      <c r="O40" s="13"/>
      <c r="P40" s="13"/>
      <c r="Q40" s="13"/>
      <c r="R40" s="13"/>
      <c r="S40" s="13"/>
      <c r="T40" s="13"/>
      <c r="U40" s="13">
        <v>180000</v>
      </c>
      <c r="V40" s="13"/>
      <c r="W40" s="2">
        <f t="shared" si="9"/>
        <v>0</v>
      </c>
      <c r="X40" s="2">
        <f t="shared" si="7"/>
        <v>3766667.93</v>
      </c>
      <c r="Y40" s="2">
        <f t="shared" si="7"/>
        <v>0</v>
      </c>
      <c r="Z40" s="2">
        <f t="shared" si="8"/>
        <v>3766667.93</v>
      </c>
    </row>
    <row r="41" spans="1:26" s="6" customFormat="1" ht="18.75">
      <c r="A41" s="77" t="s">
        <v>33</v>
      </c>
      <c r="B41" s="13"/>
      <c r="C41" s="13">
        <v>1349142.77</v>
      </c>
      <c r="D41" s="13"/>
      <c r="E41" s="13"/>
      <c r="F41" s="13"/>
      <c r="G41" s="13"/>
      <c r="H41" s="13"/>
      <c r="I41" s="13"/>
      <c r="J41" s="13"/>
      <c r="K41" s="13"/>
      <c r="L41" s="13">
        <v>1035744</v>
      </c>
      <c r="M41" s="13"/>
      <c r="N41" s="13"/>
      <c r="O41" s="13"/>
      <c r="P41" s="13"/>
      <c r="Q41" s="13"/>
      <c r="R41" s="13"/>
      <c r="S41" s="13"/>
      <c r="T41" s="13"/>
      <c r="U41" s="13">
        <v>3388920</v>
      </c>
      <c r="V41" s="13"/>
      <c r="W41" s="2">
        <f t="shared" si="9"/>
        <v>0</v>
      </c>
      <c r="X41" s="2">
        <f t="shared" si="7"/>
        <v>5773806.77</v>
      </c>
      <c r="Y41" s="2">
        <f t="shared" si="7"/>
        <v>0</v>
      </c>
      <c r="Z41" s="2">
        <f t="shared" si="8"/>
        <v>5773806.77</v>
      </c>
    </row>
    <row r="42" spans="1:27" s="6" customFormat="1" ht="21">
      <c r="A42" s="15" t="s">
        <v>235</v>
      </c>
      <c r="B42" s="13"/>
      <c r="C42" s="13">
        <f>193760+9688</f>
        <v>203448</v>
      </c>
      <c r="D42" s="13"/>
      <c r="E42" s="13"/>
      <c r="F42" s="13"/>
      <c r="G42" s="13"/>
      <c r="H42" s="13"/>
      <c r="I42" s="13"/>
      <c r="J42" s="13"/>
      <c r="K42" s="13"/>
      <c r="L42" s="13">
        <f>9000+88554+486830</f>
        <v>584384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2">
        <f t="shared" si="9"/>
        <v>0</v>
      </c>
      <c r="X42" s="2">
        <f t="shared" si="9"/>
        <v>787832</v>
      </c>
      <c r="Y42" s="2">
        <f t="shared" si="9"/>
        <v>0</v>
      </c>
      <c r="Z42" s="2">
        <f t="shared" si="8"/>
        <v>787832</v>
      </c>
      <c r="AA42" s="30"/>
    </row>
    <row r="43" spans="1:27" s="6" customFormat="1" ht="21">
      <c r="A43" s="15" t="s">
        <v>236</v>
      </c>
      <c r="B43" s="13"/>
      <c r="C43" s="13">
        <v>33483.87</v>
      </c>
      <c r="D43" s="13"/>
      <c r="E43" s="13"/>
      <c r="F43" s="13"/>
      <c r="G43" s="13"/>
      <c r="H43" s="13"/>
      <c r="I43" s="13"/>
      <c r="J43" s="13"/>
      <c r="K43" s="13"/>
      <c r="L43" s="13">
        <f>1674+87845</f>
        <v>89519</v>
      </c>
      <c r="M43" s="13"/>
      <c r="N43" s="13"/>
      <c r="O43" s="13"/>
      <c r="P43" s="13"/>
      <c r="Q43" s="13"/>
      <c r="R43" s="13"/>
      <c r="S43" s="13"/>
      <c r="T43" s="13"/>
      <c r="U43" s="13">
        <v>50000</v>
      </c>
      <c r="V43" s="13"/>
      <c r="W43" s="2">
        <f t="shared" si="9"/>
        <v>0</v>
      </c>
      <c r="X43" s="2">
        <f t="shared" si="9"/>
        <v>173002.87</v>
      </c>
      <c r="Y43" s="2">
        <f t="shared" si="9"/>
        <v>0</v>
      </c>
      <c r="Z43" s="2">
        <f>+W43+X43+Y43</f>
        <v>173002.87</v>
      </c>
      <c r="AA43" s="30"/>
    </row>
    <row r="44" spans="1:27" s="6" customFormat="1" ht="21">
      <c r="A44" s="77" t="s">
        <v>237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>
        <v>184017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2"/>
      <c r="X44" s="2">
        <f>+C44+F44+I44+L44+O44+R44+U44</f>
        <v>184017</v>
      </c>
      <c r="Y44" s="2"/>
      <c r="Z44" s="2">
        <f>+W44+X44+Y44</f>
        <v>184017</v>
      </c>
      <c r="AA44" s="30"/>
    </row>
    <row r="45" spans="1:26" s="6" customFormat="1" ht="19.5" thickBot="1">
      <c r="A45" s="78" t="s">
        <v>238</v>
      </c>
      <c r="B45" s="17">
        <v>0</v>
      </c>
      <c r="C45" s="17">
        <v>355680</v>
      </c>
      <c r="D45" s="17">
        <v>0</v>
      </c>
      <c r="E45" s="17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40928</v>
      </c>
      <c r="L45" s="13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7540</v>
      </c>
      <c r="V45" s="17"/>
      <c r="W45" s="2">
        <f t="shared" si="9"/>
        <v>40928</v>
      </c>
      <c r="X45" s="2">
        <f t="shared" si="7"/>
        <v>363220</v>
      </c>
      <c r="Y45" s="2">
        <f t="shared" si="7"/>
        <v>0</v>
      </c>
      <c r="Z45" s="2">
        <f t="shared" si="8"/>
        <v>404148</v>
      </c>
    </row>
    <row r="46" spans="1:26" s="74" customFormat="1" ht="20.25" thickBot="1" thickTop="1">
      <c r="A46" s="79" t="s">
        <v>22</v>
      </c>
      <c r="B46" s="79">
        <f>SUM(B36:B45)</f>
        <v>0</v>
      </c>
      <c r="C46" s="79">
        <f aca="true" t="shared" si="10" ref="C46:Z46">SUM(C36:C45)</f>
        <v>8963316.09</v>
      </c>
      <c r="D46" s="79">
        <f t="shared" si="10"/>
        <v>0</v>
      </c>
      <c r="E46" s="79">
        <f t="shared" si="10"/>
        <v>0</v>
      </c>
      <c r="F46" s="79">
        <f t="shared" si="10"/>
        <v>0</v>
      </c>
      <c r="G46" s="79">
        <f t="shared" si="10"/>
        <v>0</v>
      </c>
      <c r="H46" s="79">
        <f t="shared" si="10"/>
        <v>0</v>
      </c>
      <c r="I46" s="79">
        <f t="shared" si="10"/>
        <v>0</v>
      </c>
      <c r="J46" s="79">
        <f t="shared" si="10"/>
        <v>0</v>
      </c>
      <c r="K46" s="79">
        <f t="shared" si="10"/>
        <v>40928</v>
      </c>
      <c r="L46" s="79">
        <f t="shared" si="10"/>
        <v>14961480.08</v>
      </c>
      <c r="M46" s="79">
        <f t="shared" si="10"/>
        <v>0</v>
      </c>
      <c r="N46" s="79">
        <f t="shared" si="10"/>
        <v>0</v>
      </c>
      <c r="O46" s="79">
        <f t="shared" si="10"/>
        <v>0</v>
      </c>
      <c r="P46" s="79">
        <f t="shared" si="10"/>
        <v>0</v>
      </c>
      <c r="Q46" s="79">
        <f t="shared" si="10"/>
        <v>0</v>
      </c>
      <c r="R46" s="79">
        <f t="shared" si="10"/>
        <v>0</v>
      </c>
      <c r="S46" s="79">
        <f t="shared" si="10"/>
        <v>0</v>
      </c>
      <c r="T46" s="79">
        <f t="shared" si="10"/>
        <v>0</v>
      </c>
      <c r="U46" s="79">
        <f t="shared" si="10"/>
        <v>4247460</v>
      </c>
      <c r="V46" s="79">
        <f t="shared" si="10"/>
        <v>0</v>
      </c>
      <c r="W46" s="79">
        <f t="shared" si="10"/>
        <v>40928</v>
      </c>
      <c r="X46" s="79">
        <f t="shared" si="10"/>
        <v>28172256.169999998</v>
      </c>
      <c r="Y46" s="79">
        <f t="shared" si="10"/>
        <v>0</v>
      </c>
      <c r="Z46" s="79">
        <f t="shared" si="10"/>
        <v>28213184.169999998</v>
      </c>
    </row>
    <row r="47" spans="1:26" s="6" customFormat="1" ht="20.25" thickBot="1" thickTop="1">
      <c r="A47" s="20" t="s">
        <v>34</v>
      </c>
      <c r="B47" s="20">
        <f>+B34+B46</f>
        <v>555784144.37</v>
      </c>
      <c r="C47" s="20">
        <f>+C34+C46</f>
        <v>73215103.72999999</v>
      </c>
      <c r="D47" s="20">
        <f aca="true" t="shared" si="11" ref="D47:Z47">+D34+D46</f>
        <v>14581679.48</v>
      </c>
      <c r="E47" s="20">
        <f t="shared" si="11"/>
        <v>7437247.49</v>
      </c>
      <c r="F47" s="20">
        <f t="shared" si="11"/>
        <v>596544.06</v>
      </c>
      <c r="G47" s="20">
        <f t="shared" si="11"/>
        <v>0</v>
      </c>
      <c r="H47" s="20">
        <f t="shared" si="11"/>
        <v>13150591.009999998</v>
      </c>
      <c r="I47" s="20">
        <f t="shared" si="11"/>
        <v>3203443.11</v>
      </c>
      <c r="J47" s="20">
        <f t="shared" si="11"/>
        <v>0</v>
      </c>
      <c r="K47" s="20">
        <f t="shared" si="11"/>
        <v>145624298.17000002</v>
      </c>
      <c r="L47" s="20">
        <f t="shared" si="11"/>
        <v>101041332.21000002</v>
      </c>
      <c r="M47" s="20">
        <f t="shared" si="11"/>
        <v>0</v>
      </c>
      <c r="N47" s="20">
        <f t="shared" si="11"/>
        <v>226498983.07999998</v>
      </c>
      <c r="O47" s="20">
        <f t="shared" si="11"/>
        <v>36902794.800000004</v>
      </c>
      <c r="P47" s="20">
        <f t="shared" si="11"/>
        <v>0</v>
      </c>
      <c r="Q47" s="20">
        <f t="shared" si="11"/>
        <v>77429957</v>
      </c>
      <c r="R47" s="20">
        <f t="shared" si="11"/>
        <v>12010527.5</v>
      </c>
      <c r="S47" s="20">
        <f t="shared" si="11"/>
        <v>0</v>
      </c>
      <c r="T47" s="20">
        <f t="shared" si="11"/>
        <v>45555216.48</v>
      </c>
      <c r="U47" s="20">
        <f t="shared" si="11"/>
        <v>51704772.39</v>
      </c>
      <c r="V47" s="20">
        <f t="shared" si="11"/>
        <v>0</v>
      </c>
      <c r="W47" s="20">
        <f t="shared" si="11"/>
        <v>1071480437.6000001</v>
      </c>
      <c r="X47" s="20">
        <f t="shared" si="11"/>
        <v>278674517.79999995</v>
      </c>
      <c r="Y47" s="20">
        <f t="shared" si="11"/>
        <v>14581679.48</v>
      </c>
      <c r="Z47" s="20">
        <f t="shared" si="11"/>
        <v>1364736634.88</v>
      </c>
    </row>
    <row r="48" spans="1:25" s="7" customFormat="1" ht="19.5" thickTop="1">
      <c r="A48" s="80" t="s">
        <v>239</v>
      </c>
      <c r="B48" s="80"/>
      <c r="C48" s="80"/>
      <c r="D48" s="80"/>
      <c r="E48" s="80"/>
      <c r="F48" s="80"/>
      <c r="G48" s="80"/>
      <c r="H48" s="80"/>
      <c r="I48" s="37"/>
      <c r="J48" s="37"/>
      <c r="K48" s="37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6" s="83" customFormat="1" ht="18.75">
      <c r="A49" s="203" t="s">
        <v>240</v>
      </c>
      <c r="B49" s="203"/>
      <c r="C49" s="203"/>
      <c r="D49" s="203"/>
      <c r="E49" s="203"/>
      <c r="F49" s="203"/>
      <c r="G49" s="203"/>
      <c r="H49" s="203"/>
      <c r="I49" s="203"/>
      <c r="J49" s="203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2"/>
    </row>
    <row r="50" spans="7:26" s="6" customFormat="1" ht="18.75">
      <c r="G50" s="6" t="s">
        <v>231</v>
      </c>
      <c r="M50" s="6" t="s">
        <v>241</v>
      </c>
      <c r="R50" s="42"/>
      <c r="S50" s="42"/>
      <c r="T50" s="42"/>
      <c r="U50" s="42"/>
      <c r="V50" s="42"/>
      <c r="W50" s="42"/>
      <c r="X50" s="42"/>
      <c r="Y50" s="42"/>
      <c r="Z50" s="7"/>
    </row>
    <row r="52" s="7" customFormat="1" ht="18.75">
      <c r="R52" s="7" t="s">
        <v>242</v>
      </c>
    </row>
    <row r="53" spans="1:22" s="7" customFormat="1" ht="18.75">
      <c r="A53" s="37"/>
      <c r="B53" s="37"/>
      <c r="C53" s="37"/>
      <c r="D53" s="37"/>
      <c r="E53" s="37"/>
      <c r="F53" s="37"/>
      <c r="G53" s="37"/>
      <c r="H53" s="37"/>
      <c r="I53" s="37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6" ht="21">
      <c r="A54" s="70"/>
      <c r="B54" s="141"/>
      <c r="C54" s="141"/>
      <c r="D54" s="141"/>
      <c r="E54" s="141"/>
      <c r="F54" s="141"/>
      <c r="G54" s="141"/>
      <c r="H54" s="141"/>
      <c r="I54" s="14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4"/>
      <c r="X54" s="4"/>
      <c r="Y54" s="4"/>
      <c r="Z54" s="4"/>
    </row>
    <row r="55" spans="1:26" ht="21">
      <c r="A55" s="70"/>
      <c r="B55" s="141"/>
      <c r="C55" s="141"/>
      <c r="D55" s="141"/>
      <c r="E55" s="141"/>
      <c r="F55" s="141"/>
      <c r="G55" s="141"/>
      <c r="H55" s="141"/>
      <c r="I55" s="14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4"/>
      <c r="X55" s="4"/>
      <c r="Y55" s="4"/>
      <c r="Z55" s="4"/>
    </row>
    <row r="56" spans="1:26" ht="21">
      <c r="A56" s="70"/>
      <c r="B56" s="37"/>
      <c r="C56" s="37"/>
      <c r="D56" s="37"/>
      <c r="E56" s="37"/>
      <c r="F56" s="37"/>
      <c r="G56" s="37"/>
      <c r="H56" s="37"/>
      <c r="I56" s="37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7"/>
      <c r="X56" s="7"/>
      <c r="Y56" s="7"/>
      <c r="Z56" s="7"/>
    </row>
    <row r="57" spans="1:26" ht="21">
      <c r="A57" s="70"/>
      <c r="B57" s="43"/>
      <c r="C57" s="43"/>
      <c r="D57" s="43"/>
      <c r="E57" s="43"/>
      <c r="F57" s="43"/>
      <c r="G57" s="43"/>
      <c r="H57" s="43"/>
      <c r="I57" s="43"/>
      <c r="J57" s="43"/>
      <c r="K57" s="37"/>
      <c r="L57" s="37"/>
      <c r="M57" s="37"/>
      <c r="N57" s="37"/>
      <c r="O57" s="43"/>
      <c r="P57" s="43"/>
      <c r="Q57" s="43"/>
      <c r="R57" s="43"/>
      <c r="S57" s="43"/>
      <c r="T57" s="43"/>
      <c r="U57" s="43"/>
      <c r="V57" s="43"/>
      <c r="W57" s="7"/>
      <c r="X57" s="7"/>
      <c r="Y57" s="7"/>
      <c r="Z57" s="7"/>
    </row>
    <row r="58" spans="1:26" ht="21">
      <c r="A58" s="2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7"/>
      <c r="X58" s="7"/>
      <c r="Y58" s="7"/>
      <c r="Z58" s="7"/>
    </row>
    <row r="59" spans="2:27" s="32" customFormat="1" ht="23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6"/>
      <c r="X59" s="6"/>
      <c r="Y59" s="6"/>
      <c r="Z59" s="6"/>
      <c r="AA59" s="30"/>
    </row>
    <row r="60" spans="2:27" s="32" customFormat="1" ht="23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44"/>
      <c r="X60" s="44"/>
      <c r="Y60" s="44"/>
      <c r="Z60" s="44"/>
      <c r="AA60" s="30"/>
    </row>
    <row r="61" spans="2:27" s="32" customFormat="1" ht="23.2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44"/>
      <c r="X61" s="44"/>
      <c r="Y61" s="44"/>
      <c r="Z61" s="44"/>
      <c r="AA61" s="30"/>
    </row>
    <row r="62" spans="2:27" s="32" customFormat="1" ht="23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44"/>
      <c r="X62" s="44"/>
      <c r="Y62" s="44"/>
      <c r="Z62" s="44"/>
      <c r="AA62" s="30"/>
    </row>
    <row r="63" spans="2:27" s="32" customFormat="1" ht="23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44"/>
      <c r="X63" s="44"/>
      <c r="Y63" s="44"/>
      <c r="Z63" s="44"/>
      <c r="AA63" s="30"/>
    </row>
    <row r="64" spans="1:27" s="35" customFormat="1" ht="26.25">
      <c r="A64" s="3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46"/>
      <c r="Y64" s="46"/>
      <c r="Z64" s="46"/>
      <c r="AA64" s="34"/>
    </row>
    <row r="65" ht="23.25">
      <c r="A65" s="32"/>
    </row>
  </sheetData>
  <sheetProtection/>
  <mergeCells count="15">
    <mergeCell ref="E4:G4"/>
    <mergeCell ref="H4:J4"/>
    <mergeCell ref="K4:M4"/>
    <mergeCell ref="N4:P4"/>
    <mergeCell ref="Q4:S4"/>
    <mergeCell ref="T4:V4"/>
    <mergeCell ref="W4:Y4"/>
    <mergeCell ref="Z4:Z5"/>
    <mergeCell ref="A49:J49"/>
    <mergeCell ref="A1:Z1"/>
    <mergeCell ref="A2:Z2"/>
    <mergeCell ref="A3:D3"/>
    <mergeCell ref="P3:Z3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="80" zoomScaleNormal="80" zoomScalePageLayoutView="0" workbookViewId="0" topLeftCell="A1">
      <selection activeCell="K19" sqref="K19"/>
    </sheetView>
  </sheetViews>
  <sheetFormatPr defaultColWidth="9.140625" defaultRowHeight="15"/>
  <cols>
    <col min="1" max="1" width="49.57421875" style="5" customWidth="1"/>
    <col min="2" max="2" width="13.7109375" style="3" bestFit="1" customWidth="1"/>
    <col min="3" max="3" width="12.7109375" style="3" bestFit="1" customWidth="1"/>
    <col min="4" max="4" width="12.7109375" style="3" customWidth="1"/>
    <col min="5" max="5" width="13.7109375" style="3" bestFit="1" customWidth="1"/>
    <col min="6" max="6" width="11.140625" style="3" bestFit="1" customWidth="1"/>
    <col min="7" max="7" width="7.7109375" style="3" customWidth="1"/>
    <col min="8" max="9" width="12.7109375" style="3" customWidth="1"/>
    <col min="10" max="10" width="7.7109375" style="3" customWidth="1"/>
    <col min="11" max="12" width="12.7109375" style="3" bestFit="1" customWidth="1"/>
    <col min="13" max="13" width="7.7109375" style="3" customWidth="1"/>
    <col min="14" max="16" width="13.140625" style="3" customWidth="1"/>
    <col min="17" max="17" width="14.7109375" style="3" customWidth="1"/>
    <col min="18" max="18" width="13.7109375" style="3" customWidth="1"/>
    <col min="19" max="19" width="7.7109375" style="3" customWidth="1"/>
    <col min="20" max="20" width="14.7109375" style="3" bestFit="1" customWidth="1"/>
    <col min="21" max="22" width="13.7109375" style="3" bestFit="1" customWidth="1"/>
    <col min="23" max="23" width="14.7109375" style="3" customWidth="1"/>
    <col min="24" max="24" width="13.7109375" style="3" customWidth="1"/>
    <col min="25" max="25" width="7.7109375" style="3" customWidth="1"/>
    <col min="26" max="26" width="14.7109375" style="3" customWidth="1"/>
    <col min="27" max="27" width="13.7109375" style="3" customWidth="1"/>
    <col min="28" max="28" width="7.7109375" style="3" customWidth="1"/>
    <col min="29" max="29" width="14.7109375" style="3" customWidth="1"/>
    <col min="30" max="30" width="14.7109375" style="3" bestFit="1" customWidth="1"/>
    <col min="31" max="31" width="12.7109375" style="3" bestFit="1" customWidth="1"/>
    <col min="32" max="32" width="14.57421875" style="3" bestFit="1" customWidth="1"/>
    <col min="33" max="33" width="13.7109375" style="3" customWidth="1"/>
    <col min="34" max="34" width="12.421875" style="3" bestFit="1" customWidth="1"/>
    <col min="35" max="35" width="14.57421875" style="5" bestFit="1" customWidth="1"/>
    <col min="36" max="36" width="13.7109375" style="5" bestFit="1" customWidth="1"/>
    <col min="37" max="37" width="7.7109375" style="5" bestFit="1" customWidth="1"/>
    <col min="38" max="38" width="16.421875" style="4" bestFit="1" customWidth="1"/>
    <col min="39" max="39" width="14.7109375" style="4" bestFit="1" customWidth="1"/>
    <col min="40" max="40" width="13.7109375" style="4" bestFit="1" customWidth="1"/>
    <col min="41" max="41" width="16.421875" style="4" bestFit="1" customWidth="1"/>
    <col min="42" max="44" width="11.8515625" style="4" bestFit="1" customWidth="1"/>
    <col min="45" max="16384" width="9.00390625" style="4" customWidth="1"/>
  </cols>
  <sheetData>
    <row r="1" spans="1:41" ht="21">
      <c r="A1" s="212" t="s">
        <v>424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1" ht="21">
      <c r="A2" s="212" t="s">
        <v>193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</row>
    <row r="3" spans="1:37" s="30" customFormat="1" ht="2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</row>
    <row r="4" spans="1:37" ht="23.25">
      <c r="A4" s="214" t="s">
        <v>425</v>
      </c>
      <c r="B4" s="214"/>
      <c r="C4" s="214"/>
      <c r="D4" s="21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15"/>
      <c r="AG4" s="4"/>
      <c r="AH4" s="4"/>
      <c r="AI4" s="4"/>
      <c r="AJ4" s="4"/>
      <c r="AK4" s="4"/>
    </row>
    <row r="5" spans="1:35" s="6" customFormat="1" ht="18.75">
      <c r="A5" s="201" t="s">
        <v>3</v>
      </c>
      <c r="B5" s="201" t="s">
        <v>35</v>
      </c>
      <c r="C5" s="201"/>
      <c r="D5" s="201"/>
      <c r="E5" s="201" t="s">
        <v>36</v>
      </c>
      <c r="F5" s="201"/>
      <c r="G5" s="201"/>
      <c r="H5" s="201" t="s">
        <v>37</v>
      </c>
      <c r="I5" s="201"/>
      <c r="J5" s="201"/>
      <c r="K5" s="201" t="s">
        <v>38</v>
      </c>
      <c r="L5" s="201"/>
      <c r="M5" s="201"/>
      <c r="N5" s="207" t="s">
        <v>243</v>
      </c>
      <c r="O5" s="208"/>
      <c r="P5" s="209"/>
      <c r="Q5" s="201" t="s">
        <v>39</v>
      </c>
      <c r="R5" s="201"/>
      <c r="S5" s="201"/>
      <c r="T5" s="201" t="s">
        <v>40</v>
      </c>
      <c r="U5" s="201"/>
      <c r="V5" s="201"/>
      <c r="W5" s="207" t="s">
        <v>244</v>
      </c>
      <c r="X5" s="208"/>
      <c r="Y5" s="209"/>
      <c r="Z5" s="201" t="s">
        <v>41</v>
      </c>
      <c r="AA5" s="201"/>
      <c r="AB5" s="201"/>
      <c r="AC5" s="210" t="s">
        <v>245</v>
      </c>
      <c r="AD5" s="210"/>
      <c r="AE5" s="210"/>
      <c r="AF5" s="202" t="s">
        <v>4</v>
      </c>
      <c r="AG5" s="202"/>
      <c r="AH5" s="202"/>
      <c r="AI5" s="211" t="s">
        <v>246</v>
      </c>
    </row>
    <row r="6" spans="1:35" s="7" customFormat="1" ht="18.75">
      <c r="A6" s="201"/>
      <c r="B6" s="13" t="s">
        <v>0</v>
      </c>
      <c r="C6" s="13" t="s">
        <v>1</v>
      </c>
      <c r="D6" s="13" t="s">
        <v>5</v>
      </c>
      <c r="E6" s="13" t="s">
        <v>0</v>
      </c>
      <c r="F6" s="13" t="s">
        <v>1</v>
      </c>
      <c r="G6" s="13" t="s">
        <v>5</v>
      </c>
      <c r="H6" s="13" t="s">
        <v>0</v>
      </c>
      <c r="I6" s="13" t="s">
        <v>1</v>
      </c>
      <c r="J6" s="13" t="s">
        <v>5</v>
      </c>
      <c r="K6" s="13" t="s">
        <v>0</v>
      </c>
      <c r="L6" s="13" t="s">
        <v>1</v>
      </c>
      <c r="M6" s="13" t="s">
        <v>5</v>
      </c>
      <c r="N6" s="13" t="s">
        <v>0</v>
      </c>
      <c r="O6" s="13" t="s">
        <v>1</v>
      </c>
      <c r="P6" s="13" t="s">
        <v>5</v>
      </c>
      <c r="Q6" s="13" t="s">
        <v>0</v>
      </c>
      <c r="R6" s="13" t="s">
        <v>1</v>
      </c>
      <c r="S6" s="13" t="s">
        <v>5</v>
      </c>
      <c r="T6" s="13" t="s">
        <v>0</v>
      </c>
      <c r="U6" s="13" t="s">
        <v>1</v>
      </c>
      <c r="V6" s="13" t="s">
        <v>5</v>
      </c>
      <c r="W6" s="13" t="s">
        <v>0</v>
      </c>
      <c r="X6" s="13" t="s">
        <v>1</v>
      </c>
      <c r="Y6" s="13" t="s">
        <v>5</v>
      </c>
      <c r="Z6" s="13" t="s">
        <v>0</v>
      </c>
      <c r="AA6" s="13" t="s">
        <v>1</v>
      </c>
      <c r="AB6" s="13" t="s">
        <v>5</v>
      </c>
      <c r="AC6" s="13" t="s">
        <v>0</v>
      </c>
      <c r="AD6" s="13" t="s">
        <v>1</v>
      </c>
      <c r="AE6" s="13" t="s">
        <v>5</v>
      </c>
      <c r="AF6" s="13" t="s">
        <v>0</v>
      </c>
      <c r="AG6" s="13" t="s">
        <v>1</v>
      </c>
      <c r="AH6" s="13" t="s">
        <v>5</v>
      </c>
      <c r="AI6" s="210"/>
    </row>
    <row r="7" spans="1:35" s="7" customFormat="1" ht="18.75">
      <c r="A7" s="60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"/>
      <c r="X7" s="2"/>
      <c r="Y7" s="2"/>
      <c r="Z7" s="13"/>
      <c r="AA7" s="13"/>
      <c r="AB7" s="13"/>
      <c r="AD7" s="2"/>
      <c r="AE7" s="2"/>
      <c r="AF7" s="10"/>
      <c r="AG7" s="10"/>
      <c r="AH7" s="10"/>
      <c r="AI7" s="2"/>
    </row>
    <row r="8" spans="1:35" s="7" customFormat="1" ht="18.75">
      <c r="A8" s="15" t="s">
        <v>7</v>
      </c>
      <c r="B8" s="13">
        <v>12870720</v>
      </c>
      <c r="C8" s="13">
        <v>4307516.83</v>
      </c>
      <c r="D8" s="13">
        <v>165862.85</v>
      </c>
      <c r="E8" s="13">
        <v>144047.5</v>
      </c>
      <c r="F8" s="13"/>
      <c r="G8" s="13"/>
      <c r="H8" s="13">
        <v>61355</v>
      </c>
      <c r="I8" s="13"/>
      <c r="J8" s="13"/>
      <c r="K8" s="13">
        <v>8026800</v>
      </c>
      <c r="L8" s="13"/>
      <c r="M8" s="13"/>
      <c r="N8" s="13">
        <f>+B8+E8+H8+K8</f>
        <v>21102922.5</v>
      </c>
      <c r="O8" s="13">
        <f>+C8+F8+I8+L8</f>
        <v>4307516.83</v>
      </c>
      <c r="P8" s="13">
        <f>+D8+G8+J8+M8</f>
        <v>165862.85</v>
      </c>
      <c r="Q8" s="13">
        <v>5898017.62</v>
      </c>
      <c r="R8" s="13">
        <v>10189071.72</v>
      </c>
      <c r="S8" s="13"/>
      <c r="T8" s="13">
        <v>27129321.7</v>
      </c>
      <c r="U8" s="13">
        <v>2257167.53</v>
      </c>
      <c r="V8" s="13"/>
      <c r="W8" s="2">
        <f>+Q8+T8</f>
        <v>33027339.32</v>
      </c>
      <c r="X8" s="2">
        <f>+R8+U8</f>
        <v>12446239.25</v>
      </c>
      <c r="Y8" s="2">
        <f>+S8+V8</f>
        <v>0</v>
      </c>
      <c r="Z8" s="13">
        <v>2455718.78</v>
      </c>
      <c r="AA8" s="13">
        <v>2956844</v>
      </c>
      <c r="AB8" s="13"/>
      <c r="AC8" s="2">
        <f>+Z8</f>
        <v>2455718.78</v>
      </c>
      <c r="AD8" s="2">
        <f>+AA8</f>
        <v>2956844</v>
      </c>
      <c r="AE8" s="2">
        <f>+AB8</f>
        <v>0</v>
      </c>
      <c r="AF8" s="2">
        <f>+N8+W8+AC8</f>
        <v>56585980.6</v>
      </c>
      <c r="AG8" s="2">
        <f>+O8+X8+AD8</f>
        <v>19710600.08</v>
      </c>
      <c r="AH8" s="2">
        <f>+P8+Y8+AE8</f>
        <v>165862.85</v>
      </c>
      <c r="AI8" s="2">
        <f>+AF8+AG8+AH8</f>
        <v>76462443.53</v>
      </c>
    </row>
    <row r="9" spans="1:35" s="7" customFormat="1" ht="18.75">
      <c r="A9" s="15" t="s">
        <v>8</v>
      </c>
      <c r="B9" s="13">
        <v>6739440</v>
      </c>
      <c r="C9" s="13">
        <v>5081019.6</v>
      </c>
      <c r="D9" s="13">
        <v>204688.26</v>
      </c>
      <c r="E9" s="13">
        <v>691453.61</v>
      </c>
      <c r="F9" s="13"/>
      <c r="G9" s="13"/>
      <c r="H9" s="13">
        <v>29087.6</v>
      </c>
      <c r="I9" s="13"/>
      <c r="J9" s="13"/>
      <c r="K9" s="13">
        <v>490000</v>
      </c>
      <c r="L9" s="13"/>
      <c r="M9" s="13"/>
      <c r="N9" s="13">
        <f aca="true" t="shared" si="0" ref="N9:N48">+B9+E9+H9+K9</f>
        <v>7949981.21</v>
      </c>
      <c r="O9" s="13">
        <f aca="true" t="shared" si="1" ref="O9:O48">+C9+F9+I9+L9</f>
        <v>5081019.6</v>
      </c>
      <c r="P9" s="13">
        <f aca="true" t="shared" si="2" ref="P9:P48">+D9+G9+J9+M9</f>
        <v>204688.26</v>
      </c>
      <c r="Q9" s="13">
        <v>5389605.61</v>
      </c>
      <c r="R9" s="13">
        <v>7684151.12</v>
      </c>
      <c r="S9" s="13"/>
      <c r="T9" s="13">
        <v>19016865.15</v>
      </c>
      <c r="U9" s="13">
        <v>1914870.5</v>
      </c>
      <c r="V9" s="13"/>
      <c r="W9" s="2">
        <f aca="true" t="shared" si="3" ref="W9:W48">+Q9+T9</f>
        <v>24406470.759999998</v>
      </c>
      <c r="X9" s="2">
        <f aca="true" t="shared" si="4" ref="X9:X48">+R9+U9</f>
        <v>9599021.620000001</v>
      </c>
      <c r="Y9" s="2">
        <f aca="true" t="shared" si="5" ref="Y9:Y48">+S9+V9</f>
        <v>0</v>
      </c>
      <c r="Z9" s="13">
        <v>664800.9</v>
      </c>
      <c r="AA9" s="13">
        <v>2441039</v>
      </c>
      <c r="AB9" s="13"/>
      <c r="AC9" s="2">
        <f aca="true" t="shared" si="6" ref="AC9:AC48">+Z9</f>
        <v>664800.9</v>
      </c>
      <c r="AD9" s="2">
        <f aca="true" t="shared" si="7" ref="AD9:AD48">+AA9</f>
        <v>2441039</v>
      </c>
      <c r="AE9" s="2">
        <f aca="true" t="shared" si="8" ref="AE9:AE48">+AB9</f>
        <v>0</v>
      </c>
      <c r="AF9" s="2">
        <f aca="true" t="shared" si="9" ref="AF9:AF24">+N9+W9+AC9</f>
        <v>33021252.869999997</v>
      </c>
      <c r="AG9" s="2">
        <f aca="true" t="shared" si="10" ref="AG9:AG24">+O9+X9+AD9</f>
        <v>17121080.22</v>
      </c>
      <c r="AH9" s="2">
        <f aca="true" t="shared" si="11" ref="AH9:AH24">+P9+Y9+AE9</f>
        <v>204688.26</v>
      </c>
      <c r="AI9" s="2">
        <f aca="true" t="shared" si="12" ref="AI9:AI48">+AF9+AG9+AH9</f>
        <v>50347021.349999994</v>
      </c>
    </row>
    <row r="10" spans="1:35" s="7" customFormat="1" ht="18.75">
      <c r="A10" s="15" t="s">
        <v>9</v>
      </c>
      <c r="B10" s="13">
        <v>12550440</v>
      </c>
      <c r="C10" s="13">
        <v>4694140.82</v>
      </c>
      <c r="D10" s="13">
        <v>85731.93</v>
      </c>
      <c r="E10" s="13">
        <v>533756.53</v>
      </c>
      <c r="F10" s="13"/>
      <c r="G10" s="13"/>
      <c r="H10" s="13">
        <v>234398</v>
      </c>
      <c r="I10" s="13"/>
      <c r="J10" s="13"/>
      <c r="K10" s="13">
        <v>791800</v>
      </c>
      <c r="L10" s="13"/>
      <c r="M10" s="13"/>
      <c r="N10" s="13">
        <f t="shared" si="0"/>
        <v>14110394.53</v>
      </c>
      <c r="O10" s="13">
        <f t="shared" si="1"/>
        <v>4694140.82</v>
      </c>
      <c r="P10" s="13">
        <f t="shared" si="2"/>
        <v>85731.93</v>
      </c>
      <c r="Q10" s="13">
        <v>6460967.96</v>
      </c>
      <c r="R10" s="13">
        <v>3944222.11</v>
      </c>
      <c r="S10" s="13"/>
      <c r="T10" s="13">
        <v>11389587.64</v>
      </c>
      <c r="U10" s="13">
        <v>1710896.09</v>
      </c>
      <c r="V10" s="13"/>
      <c r="W10" s="2">
        <f t="shared" si="3"/>
        <v>17850555.6</v>
      </c>
      <c r="X10" s="2">
        <f t="shared" si="4"/>
        <v>5655118.2</v>
      </c>
      <c r="Y10" s="2">
        <f t="shared" si="5"/>
        <v>0</v>
      </c>
      <c r="Z10" s="13">
        <v>1533401.55</v>
      </c>
      <c r="AA10" s="13">
        <v>1809164.25</v>
      </c>
      <c r="AB10" s="13"/>
      <c r="AC10" s="2">
        <f t="shared" si="6"/>
        <v>1533401.55</v>
      </c>
      <c r="AD10" s="2">
        <f t="shared" si="7"/>
        <v>1809164.25</v>
      </c>
      <c r="AE10" s="2">
        <f t="shared" si="8"/>
        <v>0</v>
      </c>
      <c r="AF10" s="2">
        <f t="shared" si="9"/>
        <v>33494351.680000003</v>
      </c>
      <c r="AG10" s="2">
        <f t="shared" si="10"/>
        <v>12158423.27</v>
      </c>
      <c r="AH10" s="2">
        <f t="shared" si="11"/>
        <v>85731.93</v>
      </c>
      <c r="AI10" s="2">
        <f t="shared" si="12"/>
        <v>45738506.88</v>
      </c>
    </row>
    <row r="11" spans="1:35" s="7" customFormat="1" ht="18.75">
      <c r="A11" s="15" t="s">
        <v>10</v>
      </c>
      <c r="B11" s="13">
        <v>6257040</v>
      </c>
      <c r="C11" s="13">
        <v>1772676</v>
      </c>
      <c r="D11" s="13">
        <v>44439.04</v>
      </c>
      <c r="E11" s="13">
        <v>255270</v>
      </c>
      <c r="F11" s="13"/>
      <c r="G11" s="13"/>
      <c r="H11" s="13">
        <v>163557</v>
      </c>
      <c r="I11" s="13"/>
      <c r="J11" s="13"/>
      <c r="K11" s="13">
        <v>0</v>
      </c>
      <c r="L11" s="13"/>
      <c r="M11" s="13"/>
      <c r="N11" s="13">
        <f t="shared" si="0"/>
        <v>6675867</v>
      </c>
      <c r="O11" s="13">
        <f t="shared" si="1"/>
        <v>1772676</v>
      </c>
      <c r="P11" s="13">
        <f t="shared" si="2"/>
        <v>44439.04</v>
      </c>
      <c r="Q11" s="13">
        <v>2881387.67</v>
      </c>
      <c r="R11" s="13">
        <v>1516326</v>
      </c>
      <c r="S11" s="13"/>
      <c r="T11" s="13">
        <v>6007505.1</v>
      </c>
      <c r="U11" s="13">
        <v>379923.01</v>
      </c>
      <c r="V11" s="13"/>
      <c r="W11" s="2">
        <f t="shared" si="3"/>
        <v>8888892.77</v>
      </c>
      <c r="X11" s="2">
        <f t="shared" si="4"/>
        <v>1896249.01</v>
      </c>
      <c r="Y11" s="2">
        <f t="shared" si="5"/>
        <v>0</v>
      </c>
      <c r="Z11" s="13">
        <v>4304163.32</v>
      </c>
      <c r="AA11" s="13">
        <v>444000</v>
      </c>
      <c r="AB11" s="13"/>
      <c r="AC11" s="2">
        <f t="shared" si="6"/>
        <v>4304163.32</v>
      </c>
      <c r="AD11" s="2">
        <f t="shared" si="7"/>
        <v>444000</v>
      </c>
      <c r="AE11" s="2">
        <f t="shared" si="8"/>
        <v>0</v>
      </c>
      <c r="AF11" s="2">
        <f t="shared" si="9"/>
        <v>19868923.09</v>
      </c>
      <c r="AG11" s="2">
        <f t="shared" si="10"/>
        <v>4112925.01</v>
      </c>
      <c r="AH11" s="2">
        <f t="shared" si="11"/>
        <v>44439.04</v>
      </c>
      <c r="AI11" s="2">
        <f t="shared" si="12"/>
        <v>24026287.14</v>
      </c>
    </row>
    <row r="12" spans="1:35" s="7" customFormat="1" ht="18.75">
      <c r="A12" s="15" t="s">
        <v>11</v>
      </c>
      <c r="B12" s="13">
        <v>6225000</v>
      </c>
      <c r="C12" s="13">
        <v>3540693.36</v>
      </c>
      <c r="D12" s="13">
        <v>66408.17</v>
      </c>
      <c r="E12" s="13">
        <v>208907</v>
      </c>
      <c r="F12" s="13"/>
      <c r="G12" s="13"/>
      <c r="H12" s="13">
        <v>252130</v>
      </c>
      <c r="I12" s="13"/>
      <c r="J12" s="13"/>
      <c r="K12" s="13">
        <v>1257300</v>
      </c>
      <c r="L12" s="13"/>
      <c r="M12" s="13"/>
      <c r="N12" s="13">
        <f t="shared" si="0"/>
        <v>7943337</v>
      </c>
      <c r="O12" s="13">
        <f t="shared" si="1"/>
        <v>3540693.36</v>
      </c>
      <c r="P12" s="13">
        <f t="shared" si="2"/>
        <v>66408.17</v>
      </c>
      <c r="Q12" s="13">
        <v>3531711.35</v>
      </c>
      <c r="R12" s="13">
        <v>2796769.56</v>
      </c>
      <c r="S12" s="13"/>
      <c r="T12" s="13">
        <v>12724242.17</v>
      </c>
      <c r="U12" s="13">
        <v>1079094.7</v>
      </c>
      <c r="V12" s="13"/>
      <c r="W12" s="2">
        <f t="shared" si="3"/>
        <v>16255953.52</v>
      </c>
      <c r="X12" s="2">
        <f t="shared" si="4"/>
        <v>3875864.26</v>
      </c>
      <c r="Y12" s="2">
        <f t="shared" si="5"/>
        <v>0</v>
      </c>
      <c r="Z12" s="13">
        <v>2102230.02</v>
      </c>
      <c r="AA12" s="13">
        <v>620720</v>
      </c>
      <c r="AB12" s="13"/>
      <c r="AC12" s="2">
        <f t="shared" si="6"/>
        <v>2102230.02</v>
      </c>
      <c r="AD12" s="2">
        <f t="shared" si="7"/>
        <v>620720</v>
      </c>
      <c r="AE12" s="2">
        <f t="shared" si="8"/>
        <v>0</v>
      </c>
      <c r="AF12" s="2">
        <f t="shared" si="9"/>
        <v>26301520.54</v>
      </c>
      <c r="AG12" s="2">
        <f t="shared" si="10"/>
        <v>8037277.619999999</v>
      </c>
      <c r="AH12" s="2">
        <f t="shared" si="11"/>
        <v>66408.17</v>
      </c>
      <c r="AI12" s="2">
        <f t="shared" si="12"/>
        <v>34405206.33</v>
      </c>
    </row>
    <row r="13" spans="1:35" s="7" customFormat="1" ht="18.75">
      <c r="A13" s="15" t="s">
        <v>12</v>
      </c>
      <c r="B13" s="13">
        <v>6000000</v>
      </c>
      <c r="C13" s="13">
        <v>2123543.7</v>
      </c>
      <c r="D13" s="13">
        <v>34557.24</v>
      </c>
      <c r="E13" s="13">
        <v>145885</v>
      </c>
      <c r="F13" s="13"/>
      <c r="G13" s="13"/>
      <c r="H13" s="13">
        <v>37277</v>
      </c>
      <c r="I13" s="13"/>
      <c r="J13" s="13" t="s">
        <v>231</v>
      </c>
      <c r="K13" s="13">
        <v>1875700</v>
      </c>
      <c r="L13" s="13"/>
      <c r="M13" s="13"/>
      <c r="N13" s="13">
        <f t="shared" si="0"/>
        <v>8058862</v>
      </c>
      <c r="O13" s="13">
        <f>+C13+F13+I13+L13</f>
        <v>2123543.7</v>
      </c>
      <c r="P13" s="13">
        <v>34557.24</v>
      </c>
      <c r="Q13" s="13">
        <v>4530122.8</v>
      </c>
      <c r="R13" s="13">
        <v>267395.01</v>
      </c>
      <c r="S13" s="13"/>
      <c r="T13" s="13">
        <v>10724009.9</v>
      </c>
      <c r="U13" s="13">
        <v>1191147.65</v>
      </c>
      <c r="V13" s="13"/>
      <c r="W13" s="2">
        <f t="shared" si="3"/>
        <v>15254132.7</v>
      </c>
      <c r="X13" s="2">
        <f t="shared" si="4"/>
        <v>1458542.66</v>
      </c>
      <c r="Y13" s="2">
        <f t="shared" si="5"/>
        <v>0</v>
      </c>
      <c r="Z13" s="13">
        <v>1975385.8</v>
      </c>
      <c r="AA13" s="13">
        <v>509695</v>
      </c>
      <c r="AB13" s="13"/>
      <c r="AC13" s="2">
        <f t="shared" si="6"/>
        <v>1975385.8</v>
      </c>
      <c r="AD13" s="2">
        <f t="shared" si="7"/>
        <v>509695</v>
      </c>
      <c r="AE13" s="2">
        <f t="shared" si="8"/>
        <v>0</v>
      </c>
      <c r="AF13" s="2">
        <f t="shared" si="9"/>
        <v>25288380.5</v>
      </c>
      <c r="AG13" s="2">
        <f t="shared" si="10"/>
        <v>4091781.3600000003</v>
      </c>
      <c r="AH13" s="2">
        <f>+P13+Y13+AE13</f>
        <v>34557.24</v>
      </c>
      <c r="AI13" s="2">
        <f t="shared" si="12"/>
        <v>29414719.099999998</v>
      </c>
    </row>
    <row r="14" spans="1:35" s="7" customFormat="1" ht="18.75">
      <c r="A14" s="15" t="s">
        <v>13</v>
      </c>
      <c r="B14" s="13"/>
      <c r="C14" s="13"/>
      <c r="D14" s="13"/>
      <c r="E14" s="13">
        <v>20000</v>
      </c>
      <c r="F14" s="13"/>
      <c r="G14" s="13"/>
      <c r="H14" s="13">
        <v>114117.2</v>
      </c>
      <c r="I14" s="13"/>
      <c r="J14" s="13"/>
      <c r="K14" s="16">
        <v>685600</v>
      </c>
      <c r="L14" s="16">
        <v>105000</v>
      </c>
      <c r="M14" s="13"/>
      <c r="N14" s="13">
        <f t="shared" si="0"/>
        <v>819717.2</v>
      </c>
      <c r="O14" s="13">
        <f t="shared" si="1"/>
        <v>105000</v>
      </c>
      <c r="P14" s="13">
        <f t="shared" si="2"/>
        <v>0</v>
      </c>
      <c r="Q14" s="13">
        <v>499713.21</v>
      </c>
      <c r="R14" s="13">
        <v>3068.21</v>
      </c>
      <c r="S14" s="2"/>
      <c r="T14" s="13">
        <f>1000335.58+505000</f>
        <v>1505335.58</v>
      </c>
      <c r="U14" s="13">
        <f>238621.23+7866.67</f>
        <v>246487.90000000002</v>
      </c>
      <c r="V14" s="13"/>
      <c r="W14" s="2">
        <f t="shared" si="3"/>
        <v>2005048.79</v>
      </c>
      <c r="X14" s="2">
        <f t="shared" si="4"/>
        <v>249556.11000000002</v>
      </c>
      <c r="Y14" s="2">
        <f t="shared" si="5"/>
        <v>0</v>
      </c>
      <c r="Z14" s="13"/>
      <c r="AA14" s="13">
        <v>11220</v>
      </c>
      <c r="AB14" s="13"/>
      <c r="AC14" s="2">
        <f t="shared" si="6"/>
        <v>0</v>
      </c>
      <c r="AD14" s="2">
        <f t="shared" si="7"/>
        <v>11220</v>
      </c>
      <c r="AE14" s="2">
        <f t="shared" si="8"/>
        <v>0</v>
      </c>
      <c r="AF14" s="2">
        <f t="shared" si="9"/>
        <v>2824765.99</v>
      </c>
      <c r="AG14" s="2">
        <f t="shared" si="10"/>
        <v>365776.11</v>
      </c>
      <c r="AH14" s="2">
        <f t="shared" si="11"/>
        <v>0</v>
      </c>
      <c r="AI14" s="2">
        <f t="shared" si="12"/>
        <v>3190542.1</v>
      </c>
    </row>
    <row r="15" spans="1:35" s="7" customFormat="1" ht="21">
      <c r="A15" s="9" t="s">
        <v>14</v>
      </c>
      <c r="B15" s="13">
        <v>1134492</v>
      </c>
      <c r="C15" s="13">
        <v>2956633.36</v>
      </c>
      <c r="D15" s="13"/>
      <c r="E15" s="13">
        <v>282448</v>
      </c>
      <c r="F15" s="13">
        <v>169536</v>
      </c>
      <c r="G15" s="13"/>
      <c r="H15" s="13">
        <v>2897641.43</v>
      </c>
      <c r="I15" s="13">
        <v>288802.6</v>
      </c>
      <c r="J15" s="13"/>
      <c r="K15" s="16">
        <v>17165115.34</v>
      </c>
      <c r="L15" s="16">
        <v>949758</v>
      </c>
      <c r="M15" s="13"/>
      <c r="N15" s="13">
        <f t="shared" si="0"/>
        <v>21479696.77</v>
      </c>
      <c r="O15" s="13">
        <f t="shared" si="1"/>
        <v>4364729.96</v>
      </c>
      <c r="P15" s="13">
        <f t="shared" si="2"/>
        <v>0</v>
      </c>
      <c r="Q15" s="13">
        <v>2995681.6</v>
      </c>
      <c r="R15" s="13">
        <f>7164174.25-184017+255565</f>
        <v>7235722.25</v>
      </c>
      <c r="S15" s="13"/>
      <c r="T15" s="7">
        <v>13994747.13</v>
      </c>
      <c r="U15" s="13">
        <v>1753038.31</v>
      </c>
      <c r="V15" s="13"/>
      <c r="W15" s="2">
        <f t="shared" si="3"/>
        <v>16990428.73</v>
      </c>
      <c r="X15" s="2">
        <f t="shared" si="4"/>
        <v>8988760.56</v>
      </c>
      <c r="Y15" s="2">
        <f t="shared" si="5"/>
        <v>0</v>
      </c>
      <c r="Z15" s="13">
        <v>1844677.6</v>
      </c>
      <c r="AA15" s="13">
        <v>470682</v>
      </c>
      <c r="AB15" s="13"/>
      <c r="AC15" s="2">
        <f t="shared" si="6"/>
        <v>1844677.6</v>
      </c>
      <c r="AD15" s="2">
        <f t="shared" si="7"/>
        <v>470682</v>
      </c>
      <c r="AE15" s="2">
        <f t="shared" si="8"/>
        <v>0</v>
      </c>
      <c r="AF15" s="2">
        <f t="shared" si="9"/>
        <v>40314803.1</v>
      </c>
      <c r="AG15" s="2">
        <f t="shared" si="10"/>
        <v>13824172.52</v>
      </c>
      <c r="AH15" s="2">
        <f t="shared" si="11"/>
        <v>0</v>
      </c>
      <c r="AI15" s="2">
        <f t="shared" si="12"/>
        <v>54138975.620000005</v>
      </c>
    </row>
    <row r="16" spans="1:35" s="7" customFormat="1" ht="18.75">
      <c r="A16" s="15" t="s">
        <v>15</v>
      </c>
      <c r="B16" s="13">
        <v>8389564.74</v>
      </c>
      <c r="C16" s="13">
        <v>506745.19</v>
      </c>
      <c r="D16" s="13"/>
      <c r="E16" s="13">
        <v>24600</v>
      </c>
      <c r="F16" s="13">
        <v>108780</v>
      </c>
      <c r="G16" s="13"/>
      <c r="H16" s="13">
        <v>425271.28</v>
      </c>
      <c r="I16" s="13">
        <v>32974</v>
      </c>
      <c r="J16" s="13"/>
      <c r="K16" s="16">
        <v>1615400</v>
      </c>
      <c r="L16" s="16">
        <f>96000+41110</f>
        <v>137110</v>
      </c>
      <c r="M16" s="13"/>
      <c r="N16" s="13">
        <f t="shared" si="0"/>
        <v>10454836.02</v>
      </c>
      <c r="O16" s="13">
        <f t="shared" si="1"/>
        <v>785609.19</v>
      </c>
      <c r="P16" s="13">
        <f t="shared" si="2"/>
        <v>0</v>
      </c>
      <c r="Q16" s="13">
        <v>3613300.13</v>
      </c>
      <c r="R16" s="13">
        <f>41304.96+326200</f>
        <v>367504.96</v>
      </c>
      <c r="S16" s="13"/>
      <c r="T16" s="13">
        <f>2637208.95+10000+6126749.73</f>
        <v>8773958.68</v>
      </c>
      <c r="U16" s="13">
        <f>238515.18+640588.44+1683.34</f>
        <v>880786.9599999998</v>
      </c>
      <c r="V16" s="13"/>
      <c r="W16" s="2">
        <f t="shared" si="3"/>
        <v>12387258.809999999</v>
      </c>
      <c r="X16" s="2">
        <f t="shared" si="4"/>
        <v>1248291.92</v>
      </c>
      <c r="Y16" s="2">
        <f t="shared" si="5"/>
        <v>0</v>
      </c>
      <c r="Z16" s="13"/>
      <c r="AA16" s="13">
        <f>1220880+17450+82220+89744.54+20000</f>
        <v>1430294.54</v>
      </c>
      <c r="AB16" s="13"/>
      <c r="AC16" s="2">
        <f t="shared" si="6"/>
        <v>0</v>
      </c>
      <c r="AD16" s="2">
        <f t="shared" si="7"/>
        <v>1430294.54</v>
      </c>
      <c r="AE16" s="2">
        <f t="shared" si="8"/>
        <v>0</v>
      </c>
      <c r="AF16" s="2">
        <f t="shared" si="9"/>
        <v>22842094.83</v>
      </c>
      <c r="AG16" s="2">
        <f t="shared" si="10"/>
        <v>3464195.65</v>
      </c>
      <c r="AH16" s="2">
        <f t="shared" si="11"/>
        <v>0</v>
      </c>
      <c r="AI16" s="2">
        <f t="shared" si="12"/>
        <v>26306290.479999997</v>
      </c>
    </row>
    <row r="17" spans="1:37" ht="21">
      <c r="A17" s="9" t="s">
        <v>16</v>
      </c>
      <c r="B17" s="2"/>
      <c r="C17" s="2">
        <v>2247041.88</v>
      </c>
      <c r="D17" s="13"/>
      <c r="E17" s="2">
        <v>112560</v>
      </c>
      <c r="F17" s="2">
        <v>7514</v>
      </c>
      <c r="G17" s="13"/>
      <c r="H17" s="2">
        <v>452350</v>
      </c>
      <c r="I17" s="2">
        <v>816928.6</v>
      </c>
      <c r="J17" s="13"/>
      <c r="K17" s="2">
        <v>12063500</v>
      </c>
      <c r="L17" s="2">
        <v>663160</v>
      </c>
      <c r="M17" s="13"/>
      <c r="N17" s="13">
        <f t="shared" si="0"/>
        <v>12628410</v>
      </c>
      <c r="O17" s="13">
        <f t="shared" si="1"/>
        <v>3734644.48</v>
      </c>
      <c r="P17" s="13">
        <f t="shared" si="2"/>
        <v>0</v>
      </c>
      <c r="Q17" s="2">
        <v>1774954.68</v>
      </c>
      <c r="R17" s="2">
        <v>3096142.29</v>
      </c>
      <c r="S17" s="13"/>
      <c r="T17" s="13">
        <v>3298411.11</v>
      </c>
      <c r="U17" s="2">
        <v>1355642.81</v>
      </c>
      <c r="V17" s="13"/>
      <c r="W17" s="2">
        <f t="shared" si="3"/>
        <v>5073365.79</v>
      </c>
      <c r="X17" s="2">
        <f t="shared" si="4"/>
        <v>4451785.1</v>
      </c>
      <c r="Y17" s="2">
        <f t="shared" si="5"/>
        <v>0</v>
      </c>
      <c r="Z17" s="2">
        <v>1106790</v>
      </c>
      <c r="AA17" s="2">
        <v>601200</v>
      </c>
      <c r="AB17" s="13"/>
      <c r="AC17" s="2">
        <f t="shared" si="6"/>
        <v>1106790</v>
      </c>
      <c r="AD17" s="2">
        <f t="shared" si="7"/>
        <v>601200</v>
      </c>
      <c r="AE17" s="2">
        <f t="shared" si="8"/>
        <v>0</v>
      </c>
      <c r="AF17" s="2">
        <f t="shared" si="9"/>
        <v>18808565.79</v>
      </c>
      <c r="AG17" s="2">
        <f t="shared" si="10"/>
        <v>8787629.58</v>
      </c>
      <c r="AH17" s="2">
        <f t="shared" si="11"/>
        <v>0</v>
      </c>
      <c r="AI17" s="2">
        <f t="shared" si="12"/>
        <v>27596195.369999997</v>
      </c>
      <c r="AJ17" s="4"/>
      <c r="AK17" s="4"/>
    </row>
    <row r="18" spans="1:35" s="7" customFormat="1" ht="18.75">
      <c r="A18" s="15" t="s">
        <v>17</v>
      </c>
      <c r="B18" s="13">
        <v>2490398.87</v>
      </c>
      <c r="C18" s="13">
        <v>432721.16</v>
      </c>
      <c r="D18" s="13"/>
      <c r="E18" s="13">
        <v>946874.74</v>
      </c>
      <c r="F18" s="13">
        <v>22840</v>
      </c>
      <c r="G18" s="13"/>
      <c r="H18" s="13">
        <v>340563.99</v>
      </c>
      <c r="I18" s="13"/>
      <c r="J18" s="13"/>
      <c r="K18" s="16">
        <v>1291300</v>
      </c>
      <c r="L18" s="16">
        <f>135000+26350</f>
        <v>161350</v>
      </c>
      <c r="M18" s="13"/>
      <c r="N18" s="13">
        <f t="shared" si="0"/>
        <v>5069137.600000001</v>
      </c>
      <c r="O18" s="13">
        <f t="shared" si="1"/>
        <v>616911.1599999999</v>
      </c>
      <c r="P18" s="13">
        <f t="shared" si="2"/>
        <v>0</v>
      </c>
      <c r="Q18" s="13">
        <v>2140085.29</v>
      </c>
      <c r="R18" s="13">
        <v>184025</v>
      </c>
      <c r="S18" s="13"/>
      <c r="T18" s="13">
        <f>1362647.82+2611764.2</f>
        <v>3974412.0200000005</v>
      </c>
      <c r="U18" s="13">
        <f>32190.47+66857.37</f>
        <v>99047.84</v>
      </c>
      <c r="V18" s="13"/>
      <c r="W18" s="2">
        <f t="shared" si="3"/>
        <v>6114497.3100000005</v>
      </c>
      <c r="X18" s="2">
        <f t="shared" si="4"/>
        <v>283072.83999999997</v>
      </c>
      <c r="Y18" s="2">
        <f t="shared" si="5"/>
        <v>0</v>
      </c>
      <c r="Z18" s="13"/>
      <c r="AA18" s="13">
        <f>525153.96+14150+52700</f>
        <v>592003.96</v>
      </c>
      <c r="AB18" s="13"/>
      <c r="AC18" s="2">
        <f t="shared" si="6"/>
        <v>0</v>
      </c>
      <c r="AD18" s="2">
        <f t="shared" si="7"/>
        <v>592003.96</v>
      </c>
      <c r="AE18" s="2">
        <f t="shared" si="8"/>
        <v>0</v>
      </c>
      <c r="AF18" s="2">
        <f t="shared" si="9"/>
        <v>11183634.91</v>
      </c>
      <c r="AG18" s="2">
        <f t="shared" si="10"/>
        <v>1491987.96</v>
      </c>
      <c r="AH18" s="2">
        <f t="shared" si="11"/>
        <v>0</v>
      </c>
      <c r="AI18" s="2">
        <f t="shared" si="12"/>
        <v>12675622.870000001</v>
      </c>
    </row>
    <row r="19" spans="1:35" s="7" customFormat="1" ht="18.75">
      <c r="A19" s="15" t="s">
        <v>18</v>
      </c>
      <c r="B19" s="13">
        <v>9725636.51</v>
      </c>
      <c r="C19" s="13">
        <v>3131759.66</v>
      </c>
      <c r="D19" s="13"/>
      <c r="E19" s="13">
        <v>996190</v>
      </c>
      <c r="F19" s="13">
        <v>6400</v>
      </c>
      <c r="G19" s="13"/>
      <c r="H19" s="13">
        <v>514609</v>
      </c>
      <c r="I19" s="13">
        <f>57354+48792</f>
        <v>106146</v>
      </c>
      <c r="J19" s="13"/>
      <c r="K19" s="16">
        <v>1953000</v>
      </c>
      <c r="L19" s="16">
        <f>427000+98220</f>
        <v>525220</v>
      </c>
      <c r="M19" s="13"/>
      <c r="N19" s="13">
        <f t="shared" si="0"/>
        <v>13189435.51</v>
      </c>
      <c r="O19" s="13">
        <f t="shared" si="1"/>
        <v>3769525.66</v>
      </c>
      <c r="P19" s="13">
        <f t="shared" si="2"/>
        <v>0</v>
      </c>
      <c r="Q19" s="13">
        <v>4374390.46</v>
      </c>
      <c r="R19" s="13">
        <f>228561.67+648159.54</f>
        <v>876721.2100000001</v>
      </c>
      <c r="S19" s="13"/>
      <c r="T19" s="13">
        <f>10363819.21+6219440.43</f>
        <v>16583259.64</v>
      </c>
      <c r="U19" s="13">
        <f>2439880.68+203766.67</f>
        <v>2643647.35</v>
      </c>
      <c r="V19" s="13"/>
      <c r="W19" s="2">
        <f t="shared" si="3"/>
        <v>20957650.1</v>
      </c>
      <c r="X19" s="2">
        <f t="shared" si="4"/>
        <v>3520368.56</v>
      </c>
      <c r="Y19" s="2">
        <f t="shared" si="5"/>
        <v>0</v>
      </c>
      <c r="Z19" s="13"/>
      <c r="AA19" s="13">
        <f>2917460+196440+197644.26</f>
        <v>3311544.26</v>
      </c>
      <c r="AB19" s="13"/>
      <c r="AC19" s="2">
        <f t="shared" si="6"/>
        <v>0</v>
      </c>
      <c r="AD19" s="2">
        <f t="shared" si="7"/>
        <v>3311544.26</v>
      </c>
      <c r="AE19" s="2">
        <f t="shared" si="8"/>
        <v>0</v>
      </c>
      <c r="AF19" s="2">
        <f t="shared" si="9"/>
        <v>34147085.61</v>
      </c>
      <c r="AG19" s="2">
        <f t="shared" si="10"/>
        <v>10601438.48</v>
      </c>
      <c r="AH19" s="2">
        <f t="shared" si="11"/>
        <v>0</v>
      </c>
      <c r="AI19" s="2">
        <f t="shared" si="12"/>
        <v>44748524.09</v>
      </c>
    </row>
    <row r="20" spans="1:35" s="7" customFormat="1" ht="18.75">
      <c r="A20" s="15" t="s">
        <v>19</v>
      </c>
      <c r="B20" s="13">
        <v>8532520</v>
      </c>
      <c r="C20" s="13">
        <v>6616219.55</v>
      </c>
      <c r="D20" s="13"/>
      <c r="E20" s="13">
        <v>119678</v>
      </c>
      <c r="F20" s="13">
        <v>17160.06</v>
      </c>
      <c r="G20" s="13"/>
      <c r="H20" s="13">
        <v>632783.72</v>
      </c>
      <c r="I20" s="13">
        <v>461375.46</v>
      </c>
      <c r="J20" s="13"/>
      <c r="K20" s="16">
        <f>348422+1911000+845500</f>
        <v>3104922</v>
      </c>
      <c r="L20" s="16">
        <v>1149170</v>
      </c>
      <c r="M20" s="13"/>
      <c r="N20" s="13">
        <f t="shared" si="0"/>
        <v>12389903.72</v>
      </c>
      <c r="O20" s="13">
        <f t="shared" si="1"/>
        <v>8243925.069999999</v>
      </c>
      <c r="P20" s="13">
        <f t="shared" si="2"/>
        <v>0</v>
      </c>
      <c r="Q20" s="13">
        <v>3941412.81</v>
      </c>
      <c r="R20" s="13">
        <f>2657947.74+33600+317100</f>
        <v>3008647.74</v>
      </c>
      <c r="S20" s="13"/>
      <c r="T20" s="13">
        <v>8335709.06</v>
      </c>
      <c r="U20" s="13">
        <v>2913514.84</v>
      </c>
      <c r="V20" s="13"/>
      <c r="W20" s="2">
        <f t="shared" si="3"/>
        <v>12277121.87</v>
      </c>
      <c r="X20" s="2">
        <f t="shared" si="4"/>
        <v>5922162.58</v>
      </c>
      <c r="Y20" s="2">
        <f t="shared" si="5"/>
        <v>0</v>
      </c>
      <c r="Z20" s="13">
        <v>962401</v>
      </c>
      <c r="AA20" s="13">
        <v>1030540.23</v>
      </c>
      <c r="AB20" s="13"/>
      <c r="AC20" s="2">
        <f t="shared" si="6"/>
        <v>962401</v>
      </c>
      <c r="AD20" s="2">
        <f t="shared" si="7"/>
        <v>1030540.23</v>
      </c>
      <c r="AE20" s="2">
        <f t="shared" si="8"/>
        <v>0</v>
      </c>
      <c r="AF20" s="2">
        <f t="shared" si="9"/>
        <v>25629426.59</v>
      </c>
      <c r="AG20" s="2">
        <f t="shared" si="10"/>
        <v>15196627.879999999</v>
      </c>
      <c r="AH20" s="2">
        <f t="shared" si="11"/>
        <v>0</v>
      </c>
      <c r="AI20" s="2">
        <f t="shared" si="12"/>
        <v>40826054.47</v>
      </c>
    </row>
    <row r="21" spans="1:35" s="7" customFormat="1" ht="18.75">
      <c r="A21" s="15" t="s">
        <v>20</v>
      </c>
      <c r="B21" s="13">
        <v>10209315.32</v>
      </c>
      <c r="C21" s="13">
        <v>1792081.06</v>
      </c>
      <c r="D21" s="13">
        <v>160162</v>
      </c>
      <c r="E21" s="2">
        <v>229700</v>
      </c>
      <c r="F21" s="2"/>
      <c r="G21" s="13"/>
      <c r="H21" s="13">
        <v>651639.88</v>
      </c>
      <c r="I21" s="13">
        <v>35845</v>
      </c>
      <c r="J21" s="13"/>
      <c r="K21" s="13">
        <v>10822500</v>
      </c>
      <c r="L21" s="13">
        <v>1258860</v>
      </c>
      <c r="M21" s="13"/>
      <c r="N21" s="13">
        <f t="shared" si="0"/>
        <v>21913155.200000003</v>
      </c>
      <c r="O21" s="13">
        <f t="shared" si="1"/>
        <v>3086786.06</v>
      </c>
      <c r="P21" s="13">
        <f t="shared" si="2"/>
        <v>160162</v>
      </c>
      <c r="Q21" s="13">
        <v>4612023.16</v>
      </c>
      <c r="R21" s="13">
        <v>965919.27</v>
      </c>
      <c r="S21" s="13"/>
      <c r="T21" s="13">
        <v>7025542.89</v>
      </c>
      <c r="U21" s="13">
        <v>596958.51</v>
      </c>
      <c r="V21" s="13"/>
      <c r="W21" s="2">
        <f t="shared" si="3"/>
        <v>11637566.05</v>
      </c>
      <c r="X21" s="2">
        <f t="shared" si="4"/>
        <v>1562877.78</v>
      </c>
      <c r="Y21" s="2">
        <f t="shared" si="5"/>
        <v>0</v>
      </c>
      <c r="Z21" s="16"/>
      <c r="AA21" s="16">
        <v>2994600</v>
      </c>
      <c r="AB21" s="13"/>
      <c r="AC21" s="2">
        <f t="shared" si="6"/>
        <v>0</v>
      </c>
      <c r="AD21" s="2">
        <f t="shared" si="7"/>
        <v>2994600</v>
      </c>
      <c r="AE21" s="2">
        <f t="shared" si="8"/>
        <v>0</v>
      </c>
      <c r="AF21" s="2">
        <f t="shared" si="9"/>
        <v>33550721.250000004</v>
      </c>
      <c r="AG21" s="2">
        <f t="shared" si="10"/>
        <v>7644263.84</v>
      </c>
      <c r="AH21" s="2">
        <f t="shared" si="11"/>
        <v>160162</v>
      </c>
      <c r="AI21" s="2">
        <f t="shared" si="12"/>
        <v>41355147.09</v>
      </c>
    </row>
    <row r="22" spans="1:35" s="7" customFormat="1" ht="18.75">
      <c r="A22" s="15" t="s">
        <v>21</v>
      </c>
      <c r="B22" s="13">
        <v>6782744.74</v>
      </c>
      <c r="C22" s="13">
        <v>2403602.73</v>
      </c>
      <c r="D22" s="13">
        <v>14032</v>
      </c>
      <c r="E22" s="13">
        <v>16670</v>
      </c>
      <c r="F22" s="13"/>
      <c r="G22" s="13"/>
      <c r="H22" s="13">
        <v>1106875.97</v>
      </c>
      <c r="I22" s="13">
        <v>241022.34</v>
      </c>
      <c r="J22" s="13"/>
      <c r="K22" s="16">
        <v>920000</v>
      </c>
      <c r="L22" s="16">
        <v>1530660</v>
      </c>
      <c r="M22" s="13"/>
      <c r="N22" s="13">
        <f t="shared" si="0"/>
        <v>8826290.71</v>
      </c>
      <c r="O22" s="13">
        <f t="shared" si="1"/>
        <v>4175285.07</v>
      </c>
      <c r="P22" s="13">
        <f t="shared" si="2"/>
        <v>14032</v>
      </c>
      <c r="Q22" s="13">
        <v>2912485.75</v>
      </c>
      <c r="R22" s="13">
        <v>2870928.79</v>
      </c>
      <c r="S22" s="13"/>
      <c r="T22" s="13">
        <v>1662378.77</v>
      </c>
      <c r="U22" s="13">
        <v>348226.84</v>
      </c>
      <c r="V22" s="13"/>
      <c r="W22" s="2">
        <f t="shared" si="3"/>
        <v>4574864.52</v>
      </c>
      <c r="X22" s="2">
        <f t="shared" si="4"/>
        <v>3219155.63</v>
      </c>
      <c r="Y22" s="2">
        <f t="shared" si="5"/>
        <v>0</v>
      </c>
      <c r="Z22" s="13"/>
      <c r="AA22" s="13">
        <v>4822010</v>
      </c>
      <c r="AB22" s="13"/>
      <c r="AC22" s="2">
        <f t="shared" si="6"/>
        <v>0</v>
      </c>
      <c r="AD22" s="2">
        <f t="shared" si="7"/>
        <v>4822010</v>
      </c>
      <c r="AE22" s="2">
        <f t="shared" si="8"/>
        <v>0</v>
      </c>
      <c r="AF22" s="2">
        <f t="shared" si="9"/>
        <v>13401155.23</v>
      </c>
      <c r="AG22" s="2">
        <f t="shared" si="10"/>
        <v>12216450.7</v>
      </c>
      <c r="AH22" s="2">
        <f t="shared" si="11"/>
        <v>14032</v>
      </c>
      <c r="AI22" s="2">
        <f t="shared" si="12"/>
        <v>25631637.93</v>
      </c>
    </row>
    <row r="23" spans="1:35" s="7" customFormat="1" ht="18.75">
      <c r="A23" s="71" t="s">
        <v>232</v>
      </c>
      <c r="B23" s="17">
        <v>3010894.26</v>
      </c>
      <c r="C23" s="17">
        <v>1684475.66</v>
      </c>
      <c r="D23" s="13">
        <v>40845</v>
      </c>
      <c r="E23" s="13"/>
      <c r="F23" s="13"/>
      <c r="G23" s="13"/>
      <c r="H23" s="13">
        <v>444086</v>
      </c>
      <c r="I23" s="13">
        <v>104148</v>
      </c>
      <c r="J23" s="13"/>
      <c r="K23" s="18">
        <v>2072200</v>
      </c>
      <c r="L23" s="18">
        <v>673390</v>
      </c>
      <c r="M23" s="13"/>
      <c r="N23" s="13">
        <f t="shared" si="0"/>
        <v>5527180.26</v>
      </c>
      <c r="O23" s="13">
        <f t="shared" si="1"/>
        <v>2462013.66</v>
      </c>
      <c r="P23" s="13">
        <f t="shared" si="2"/>
        <v>40845</v>
      </c>
      <c r="Q23" s="17">
        <v>2604213.34</v>
      </c>
      <c r="R23" s="17">
        <v>911626.03</v>
      </c>
      <c r="S23" s="13"/>
      <c r="T23" s="17">
        <v>950612.76</v>
      </c>
      <c r="U23" s="17"/>
      <c r="V23" s="13"/>
      <c r="W23" s="2">
        <f t="shared" si="3"/>
        <v>3554826.0999999996</v>
      </c>
      <c r="X23" s="2">
        <f t="shared" si="4"/>
        <v>911626.03</v>
      </c>
      <c r="Y23" s="2">
        <f t="shared" si="5"/>
        <v>0</v>
      </c>
      <c r="Z23" s="17"/>
      <c r="AA23" s="17">
        <v>2092540</v>
      </c>
      <c r="AB23" s="13"/>
      <c r="AC23" s="2">
        <f t="shared" si="6"/>
        <v>0</v>
      </c>
      <c r="AD23" s="2">
        <f t="shared" si="7"/>
        <v>2092540</v>
      </c>
      <c r="AE23" s="2">
        <f t="shared" si="8"/>
        <v>0</v>
      </c>
      <c r="AF23" s="2">
        <f t="shared" si="9"/>
        <v>9082006.36</v>
      </c>
      <c r="AG23" s="2">
        <f t="shared" si="10"/>
        <v>5466179.69</v>
      </c>
      <c r="AH23" s="2">
        <f t="shared" si="11"/>
        <v>40845</v>
      </c>
      <c r="AI23" s="2">
        <f t="shared" si="12"/>
        <v>14589031.05</v>
      </c>
    </row>
    <row r="24" spans="1:35" s="7" customFormat="1" ht="19.5" thickBot="1">
      <c r="A24" s="71" t="s">
        <v>233</v>
      </c>
      <c r="B24" s="17">
        <v>1961200</v>
      </c>
      <c r="C24" s="17">
        <v>2650709</v>
      </c>
      <c r="D24" s="17"/>
      <c r="E24" s="17"/>
      <c r="F24" s="17"/>
      <c r="G24" s="17"/>
      <c r="H24" s="17"/>
      <c r="I24" s="17"/>
      <c r="J24" s="17"/>
      <c r="K24" s="18">
        <v>11745016.66</v>
      </c>
      <c r="L24" s="18">
        <v>532110</v>
      </c>
      <c r="M24" s="17"/>
      <c r="N24" s="17">
        <f t="shared" si="0"/>
        <v>13706216.66</v>
      </c>
      <c r="O24" s="17">
        <f t="shared" si="1"/>
        <v>3182819</v>
      </c>
      <c r="P24" s="17">
        <f t="shared" si="2"/>
        <v>0</v>
      </c>
      <c r="Q24" s="18">
        <v>4375594.55</v>
      </c>
      <c r="R24" s="18">
        <v>2382493.43</v>
      </c>
      <c r="S24" s="17"/>
      <c r="T24" s="18">
        <v>19394063.7</v>
      </c>
      <c r="U24" s="18">
        <v>1534476.97</v>
      </c>
      <c r="V24" s="17"/>
      <c r="W24" s="10">
        <f t="shared" si="3"/>
        <v>23769658.25</v>
      </c>
      <c r="X24" s="10">
        <f t="shared" si="4"/>
        <v>3916970.4000000004</v>
      </c>
      <c r="Y24" s="10">
        <f t="shared" si="5"/>
        <v>0</v>
      </c>
      <c r="Z24" s="17">
        <v>2483316.5</v>
      </c>
      <c r="AA24" s="17">
        <v>477238</v>
      </c>
      <c r="AB24" s="17"/>
      <c r="AC24" s="10">
        <f t="shared" si="6"/>
        <v>2483316.5</v>
      </c>
      <c r="AD24" s="10">
        <f t="shared" si="7"/>
        <v>477238</v>
      </c>
      <c r="AE24" s="10">
        <f t="shared" si="8"/>
        <v>0</v>
      </c>
      <c r="AF24" s="2">
        <f t="shared" si="9"/>
        <v>39959191.41</v>
      </c>
      <c r="AG24" s="2">
        <f t="shared" si="10"/>
        <v>7577027.4</v>
      </c>
      <c r="AH24" s="2">
        <f t="shared" si="11"/>
        <v>0</v>
      </c>
      <c r="AI24" s="10">
        <f t="shared" si="12"/>
        <v>47536218.809999995</v>
      </c>
    </row>
    <row r="25" spans="1:46" s="11" customFormat="1" ht="19.5" thickBot="1">
      <c r="A25" s="72" t="s">
        <v>22</v>
      </c>
      <c r="B25" s="19">
        <f>SUM(B8:B24)</f>
        <v>102879406.44</v>
      </c>
      <c r="C25" s="19">
        <f aca="true" t="shared" si="13" ref="C25:AB25">SUM(C8:C24)</f>
        <v>45941579.559999995</v>
      </c>
      <c r="D25" s="19">
        <f t="shared" si="13"/>
        <v>816726.49</v>
      </c>
      <c r="E25" s="19">
        <f t="shared" si="13"/>
        <v>4728040.38</v>
      </c>
      <c r="F25" s="19">
        <f t="shared" si="13"/>
        <v>332230.06</v>
      </c>
      <c r="G25" s="19">
        <f t="shared" si="13"/>
        <v>0</v>
      </c>
      <c r="H25" s="19">
        <f t="shared" si="13"/>
        <v>8357743.069999999</v>
      </c>
      <c r="I25" s="19">
        <f t="shared" si="13"/>
        <v>2087242</v>
      </c>
      <c r="J25" s="19">
        <f t="shared" si="13"/>
        <v>0</v>
      </c>
      <c r="K25" s="19">
        <f>SUM(K8:K24)</f>
        <v>75880154</v>
      </c>
      <c r="L25" s="19">
        <f>SUM(L8:L24)</f>
        <v>7685788</v>
      </c>
      <c r="M25" s="19">
        <f>SUM(M8:M24)</f>
        <v>0</v>
      </c>
      <c r="N25" s="145">
        <f t="shared" si="0"/>
        <v>191845343.89</v>
      </c>
      <c r="O25" s="145">
        <f t="shared" si="1"/>
        <v>56046839.62</v>
      </c>
      <c r="P25" s="145">
        <f t="shared" si="2"/>
        <v>816726.49</v>
      </c>
      <c r="Q25" s="19">
        <f t="shared" si="13"/>
        <v>62535667.99000001</v>
      </c>
      <c r="R25" s="19">
        <f t="shared" si="13"/>
        <v>48300734.70000001</v>
      </c>
      <c r="S25" s="19">
        <f t="shared" si="13"/>
        <v>0</v>
      </c>
      <c r="T25" s="19">
        <f t="shared" si="13"/>
        <v>172489962.99999997</v>
      </c>
      <c r="U25" s="19">
        <f t="shared" si="13"/>
        <v>20904927.810000002</v>
      </c>
      <c r="V25" s="19">
        <f t="shared" si="13"/>
        <v>0</v>
      </c>
      <c r="W25" s="86">
        <f t="shared" si="3"/>
        <v>235025630.98999998</v>
      </c>
      <c r="X25" s="86">
        <f t="shared" si="4"/>
        <v>69205662.51000002</v>
      </c>
      <c r="Y25" s="86">
        <f t="shared" si="5"/>
        <v>0</v>
      </c>
      <c r="Z25" s="19">
        <f t="shared" si="13"/>
        <v>19432885.47</v>
      </c>
      <c r="AA25" s="19">
        <f t="shared" si="13"/>
        <v>26615335.240000002</v>
      </c>
      <c r="AB25" s="19">
        <f t="shared" si="13"/>
        <v>0</v>
      </c>
      <c r="AC25" s="86">
        <f t="shared" si="6"/>
        <v>19432885.47</v>
      </c>
      <c r="AD25" s="86">
        <f t="shared" si="7"/>
        <v>26615335.240000002</v>
      </c>
      <c r="AE25" s="86">
        <f t="shared" si="8"/>
        <v>0</v>
      </c>
      <c r="AF25" s="86">
        <f aca="true" t="shared" si="14" ref="AF25:AF48">+N25+W25+AC25</f>
        <v>446303860.35</v>
      </c>
      <c r="AG25" s="86">
        <f aca="true" t="shared" si="15" ref="AG25:AG48">+O25+X25+AD25</f>
        <v>151867837.37000003</v>
      </c>
      <c r="AH25" s="86">
        <f aca="true" t="shared" si="16" ref="AH25:AH48">+P25+Y25+AE25</f>
        <v>816726.49</v>
      </c>
      <c r="AI25" s="86">
        <f t="shared" si="12"/>
        <v>598988424.21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35" s="7" customFormat="1" ht="18.75">
      <c r="A26" s="61" t="s">
        <v>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>
        <f t="shared" si="0"/>
        <v>0</v>
      </c>
      <c r="O26" s="39">
        <f t="shared" si="1"/>
        <v>0</v>
      </c>
      <c r="P26" s="39">
        <f t="shared" si="2"/>
        <v>0</v>
      </c>
      <c r="Q26" s="39"/>
      <c r="R26" s="39"/>
      <c r="S26" s="39"/>
      <c r="T26" s="39"/>
      <c r="U26" s="39"/>
      <c r="V26" s="39"/>
      <c r="W26" s="12">
        <f t="shared" si="3"/>
        <v>0</v>
      </c>
      <c r="X26" s="12">
        <f t="shared" si="4"/>
        <v>0</v>
      </c>
      <c r="Y26" s="12">
        <f t="shared" si="5"/>
        <v>0</v>
      </c>
      <c r="Z26" s="39"/>
      <c r="AA26" s="39"/>
      <c r="AB26" s="39"/>
      <c r="AC26" s="12">
        <f t="shared" si="6"/>
        <v>0</v>
      </c>
      <c r="AD26" s="12">
        <f t="shared" si="7"/>
        <v>0</v>
      </c>
      <c r="AE26" s="12">
        <f t="shared" si="8"/>
        <v>0</v>
      </c>
      <c r="AF26" s="12">
        <f t="shared" si="14"/>
        <v>0</v>
      </c>
      <c r="AG26" s="12">
        <f t="shared" si="15"/>
        <v>0</v>
      </c>
      <c r="AH26" s="12">
        <f t="shared" si="16"/>
        <v>0</v>
      </c>
      <c r="AI26" s="12">
        <f t="shared" si="12"/>
        <v>0</v>
      </c>
    </row>
    <row r="27" spans="1:35" s="7" customFormat="1" ht="18.75">
      <c r="A27" s="2" t="s">
        <v>234</v>
      </c>
      <c r="B27" s="13">
        <v>440888361.93</v>
      </c>
      <c r="C27" s="13">
        <v>3365818.65</v>
      </c>
      <c r="D27" s="7">
        <f>1509653.51+12162389.48</f>
        <v>13672042.99</v>
      </c>
      <c r="E27" s="13">
        <f>20314+1859947.34</f>
        <v>1880261.34</v>
      </c>
      <c r="F27" s="13"/>
      <c r="G27" s="13"/>
      <c r="H27" s="13">
        <f>115744+1640661.43</f>
        <v>1756405.43</v>
      </c>
      <c r="I27" s="13"/>
      <c r="J27" s="13"/>
      <c r="K27" s="13"/>
      <c r="L27" s="13">
        <f>148882+243760+1649117.5+1802980+290000</f>
        <v>4134739.5</v>
      </c>
      <c r="M27" s="13"/>
      <c r="N27" s="13">
        <f t="shared" si="0"/>
        <v>444525028.7</v>
      </c>
      <c r="O27" s="13">
        <f t="shared" si="1"/>
        <v>7500558.15</v>
      </c>
      <c r="P27" s="13">
        <f t="shared" si="2"/>
        <v>13672042.99</v>
      </c>
      <c r="Q27" s="13">
        <f>4000516.13+45381646.62</f>
        <v>49382162.75</v>
      </c>
      <c r="R27" s="13">
        <f>1398290+1981669.1+1311570+22289409.05+1410454.51</f>
        <v>28391392.66</v>
      </c>
      <c r="S27" s="13"/>
      <c r="T27" s="13">
        <v>14346538.35</v>
      </c>
      <c r="U27" s="13">
        <v>7057330.33</v>
      </c>
      <c r="V27" s="13"/>
      <c r="W27" s="2">
        <f t="shared" si="3"/>
        <v>63728701.1</v>
      </c>
      <c r="X27" s="2">
        <f t="shared" si="4"/>
        <v>35448722.99</v>
      </c>
      <c r="Y27" s="2">
        <f t="shared" si="5"/>
        <v>0</v>
      </c>
      <c r="Z27" s="13">
        <f>267790+6977035.5+14015004.9+2913969</f>
        <v>24173799.4</v>
      </c>
      <c r="AA27" s="13">
        <v>4064954.15</v>
      </c>
      <c r="AB27" s="13"/>
      <c r="AC27" s="2">
        <f t="shared" si="6"/>
        <v>24173799.4</v>
      </c>
      <c r="AD27" s="2">
        <f t="shared" si="7"/>
        <v>4064954.15</v>
      </c>
      <c r="AE27" s="2">
        <f t="shared" si="8"/>
        <v>0</v>
      </c>
      <c r="AF27" s="2">
        <f t="shared" si="14"/>
        <v>532427529.2</v>
      </c>
      <c r="AG27" s="2">
        <f t="shared" si="15"/>
        <v>47014235.29</v>
      </c>
      <c r="AH27" s="2">
        <f t="shared" si="16"/>
        <v>13672042.99</v>
      </c>
      <c r="AI27" s="2">
        <f t="shared" si="12"/>
        <v>593113807.48</v>
      </c>
    </row>
    <row r="28" spans="1:35" s="7" customFormat="1" ht="18.75">
      <c r="A28" s="2" t="s">
        <v>24</v>
      </c>
      <c r="B28" s="13">
        <v>0</v>
      </c>
      <c r="C28" s="13">
        <v>1687900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 t="shared" si="0"/>
        <v>0</v>
      </c>
      <c r="O28" s="13">
        <f t="shared" si="1"/>
        <v>1687900</v>
      </c>
      <c r="P28" s="13">
        <f t="shared" si="2"/>
        <v>0</v>
      </c>
      <c r="Q28" s="13">
        <v>10645503.93</v>
      </c>
      <c r="R28" s="13">
        <v>3487508</v>
      </c>
      <c r="S28" s="13"/>
      <c r="T28" s="13"/>
      <c r="U28" s="13"/>
      <c r="V28" s="13"/>
      <c r="W28" s="2">
        <f t="shared" si="3"/>
        <v>10645503.93</v>
      </c>
      <c r="X28" s="2">
        <f t="shared" si="4"/>
        <v>3487508</v>
      </c>
      <c r="Y28" s="2">
        <f t="shared" si="5"/>
        <v>0</v>
      </c>
      <c r="Z28" s="13"/>
      <c r="AA28" s="13">
        <v>1963723</v>
      </c>
      <c r="AB28" s="13"/>
      <c r="AC28" s="2">
        <f t="shared" si="6"/>
        <v>0</v>
      </c>
      <c r="AD28" s="2">
        <f t="shared" si="7"/>
        <v>1963723</v>
      </c>
      <c r="AE28" s="2">
        <f t="shared" si="8"/>
        <v>0</v>
      </c>
      <c r="AF28" s="2">
        <f t="shared" si="14"/>
        <v>10645503.93</v>
      </c>
      <c r="AG28" s="2">
        <f t="shared" si="15"/>
        <v>7139131</v>
      </c>
      <c r="AH28" s="2">
        <f t="shared" si="16"/>
        <v>0</v>
      </c>
      <c r="AI28" s="2">
        <f t="shared" si="12"/>
        <v>17784634.93</v>
      </c>
    </row>
    <row r="29" spans="1:35" s="7" customFormat="1" ht="18.75">
      <c r="A29" s="2" t="s">
        <v>25</v>
      </c>
      <c r="B29" s="13">
        <v>222780</v>
      </c>
      <c r="C29" s="13">
        <v>4260720.44</v>
      </c>
      <c r="D29" s="13"/>
      <c r="E29" s="13">
        <v>25680</v>
      </c>
      <c r="F29" s="13">
        <v>28585</v>
      </c>
      <c r="G29" s="13"/>
      <c r="H29" s="13">
        <v>1406249</v>
      </c>
      <c r="I29" s="13">
        <v>818191.07</v>
      </c>
      <c r="J29" s="13"/>
      <c r="K29" s="13">
        <v>1523440</v>
      </c>
      <c r="L29" s="13">
        <v>122000</v>
      </c>
      <c r="M29" s="13"/>
      <c r="N29" s="13">
        <f t="shared" si="0"/>
        <v>3178149</v>
      </c>
      <c r="O29" s="13">
        <f t="shared" si="1"/>
        <v>5229496.510000001</v>
      </c>
      <c r="P29" s="13">
        <f t="shared" si="2"/>
        <v>0</v>
      </c>
      <c r="Q29" s="13">
        <v>1526243</v>
      </c>
      <c r="R29" s="13">
        <v>3489891.05</v>
      </c>
      <c r="S29" s="13"/>
      <c r="T29" s="13">
        <v>8596386.24</v>
      </c>
      <c r="U29" s="13">
        <v>4508079.65</v>
      </c>
      <c r="V29" s="13"/>
      <c r="W29" s="2">
        <f t="shared" si="3"/>
        <v>10122629.24</v>
      </c>
      <c r="X29" s="2">
        <f t="shared" si="4"/>
        <v>7997970.7</v>
      </c>
      <c r="Y29" s="2">
        <f t="shared" si="5"/>
        <v>0</v>
      </c>
      <c r="Z29" s="13">
        <v>1943531.61</v>
      </c>
      <c r="AA29" s="13">
        <v>338000</v>
      </c>
      <c r="AB29" s="13"/>
      <c r="AC29" s="2">
        <f t="shared" si="6"/>
        <v>1943531.61</v>
      </c>
      <c r="AD29" s="2">
        <f t="shared" si="7"/>
        <v>338000</v>
      </c>
      <c r="AE29" s="2">
        <f t="shared" si="8"/>
        <v>0</v>
      </c>
      <c r="AF29" s="2">
        <f t="shared" si="14"/>
        <v>15244309.85</v>
      </c>
      <c r="AG29" s="2">
        <f t="shared" si="15"/>
        <v>13565467.21</v>
      </c>
      <c r="AH29" s="2">
        <f t="shared" si="16"/>
        <v>0</v>
      </c>
      <c r="AI29" s="2">
        <f t="shared" si="12"/>
        <v>28809777.060000002</v>
      </c>
    </row>
    <row r="30" spans="1:35" s="7" customFormat="1" ht="18.75">
      <c r="A30" s="2" t="s">
        <v>26</v>
      </c>
      <c r="B30" s="13">
        <v>3372406</v>
      </c>
      <c r="C30" s="13">
        <v>2300234</v>
      </c>
      <c r="D30" s="13"/>
      <c r="E30" s="13">
        <v>675019.77</v>
      </c>
      <c r="F30" s="13">
        <v>235729</v>
      </c>
      <c r="G30" s="13"/>
      <c r="H30" s="13">
        <v>662585.81</v>
      </c>
      <c r="I30" s="13"/>
      <c r="J30" s="13"/>
      <c r="K30" s="13">
        <v>26363</v>
      </c>
      <c r="L30" s="13"/>
      <c r="M30" s="13"/>
      <c r="N30" s="13">
        <f t="shared" si="0"/>
        <v>4736374.58</v>
      </c>
      <c r="O30" s="13">
        <f t="shared" si="1"/>
        <v>2535963</v>
      </c>
      <c r="P30" s="13">
        <f t="shared" si="2"/>
        <v>0</v>
      </c>
      <c r="Q30" s="13">
        <v>6157963.82</v>
      </c>
      <c r="R30" s="13">
        <f>142638.11+224500</f>
        <v>367138.11</v>
      </c>
      <c r="S30" s="13"/>
      <c r="T30" s="13">
        <f>3376741.91+10075072.3</f>
        <v>13451814.21</v>
      </c>
      <c r="U30" s="13">
        <f>209741.96+818458.26</f>
        <v>1028200.22</v>
      </c>
      <c r="V30" s="13"/>
      <c r="W30" s="2">
        <f t="shared" si="3"/>
        <v>19609778.03</v>
      </c>
      <c r="X30" s="2">
        <f t="shared" si="4"/>
        <v>1395338.33</v>
      </c>
      <c r="Y30" s="2">
        <f t="shared" si="5"/>
        <v>0</v>
      </c>
      <c r="Z30" s="13">
        <v>5000</v>
      </c>
      <c r="AA30" s="13">
        <v>9300</v>
      </c>
      <c r="AB30" s="13"/>
      <c r="AC30" s="2">
        <f t="shared" si="6"/>
        <v>5000</v>
      </c>
      <c r="AD30" s="2">
        <f t="shared" si="7"/>
        <v>9300</v>
      </c>
      <c r="AE30" s="2">
        <f t="shared" si="8"/>
        <v>0</v>
      </c>
      <c r="AF30" s="2">
        <f t="shared" si="14"/>
        <v>24351152.61</v>
      </c>
      <c r="AG30" s="2">
        <f t="shared" si="15"/>
        <v>3940601.33</v>
      </c>
      <c r="AH30" s="2">
        <f t="shared" si="16"/>
        <v>0</v>
      </c>
      <c r="AI30" s="2">
        <f t="shared" si="12"/>
        <v>28291753.939999998</v>
      </c>
    </row>
    <row r="31" spans="1:35" s="7" customFormat="1" ht="18.75">
      <c r="A31" s="2" t="s">
        <v>27</v>
      </c>
      <c r="B31" s="13">
        <v>5215870</v>
      </c>
      <c r="C31" s="13">
        <v>5419009.92</v>
      </c>
      <c r="D31" s="13">
        <v>75110</v>
      </c>
      <c r="E31" s="13">
        <v>4122</v>
      </c>
      <c r="F31" s="13"/>
      <c r="G31" s="13"/>
      <c r="H31" s="13">
        <v>394745.7</v>
      </c>
      <c r="I31" s="13">
        <v>219915.04</v>
      </c>
      <c r="J31" s="13"/>
      <c r="K31" s="13"/>
      <c r="L31" s="13"/>
      <c r="M31" s="13"/>
      <c r="N31" s="13">
        <f t="shared" si="0"/>
        <v>5614737.7</v>
      </c>
      <c r="O31" s="13">
        <f t="shared" si="1"/>
        <v>5638924.96</v>
      </c>
      <c r="P31" s="13">
        <f t="shared" si="2"/>
        <v>75110</v>
      </c>
      <c r="Q31" s="13">
        <v>9425495.5</v>
      </c>
      <c r="R31" s="13">
        <v>1228084.92</v>
      </c>
      <c r="S31" s="13"/>
      <c r="T31" s="13">
        <v>16523832.55</v>
      </c>
      <c r="U31" s="13">
        <v>3184833.76</v>
      </c>
      <c r="V31" s="13"/>
      <c r="W31" s="2">
        <f t="shared" si="3"/>
        <v>25949328.05</v>
      </c>
      <c r="X31" s="2">
        <f t="shared" si="4"/>
        <v>4412918.68</v>
      </c>
      <c r="Y31" s="2">
        <f t="shared" si="5"/>
        <v>0</v>
      </c>
      <c r="Z31" s="13"/>
      <c r="AA31" s="13">
        <v>12050000</v>
      </c>
      <c r="AB31" s="13"/>
      <c r="AC31" s="2">
        <f t="shared" si="6"/>
        <v>0</v>
      </c>
      <c r="AD31" s="2">
        <f t="shared" si="7"/>
        <v>12050000</v>
      </c>
      <c r="AE31" s="2">
        <f t="shared" si="8"/>
        <v>0</v>
      </c>
      <c r="AF31" s="2">
        <f t="shared" si="14"/>
        <v>31564065.75</v>
      </c>
      <c r="AG31" s="2">
        <f t="shared" si="15"/>
        <v>22101843.64</v>
      </c>
      <c r="AH31" s="2">
        <f t="shared" si="16"/>
        <v>75110</v>
      </c>
      <c r="AI31" s="2">
        <f t="shared" si="12"/>
        <v>53741019.39</v>
      </c>
    </row>
    <row r="32" spans="1:35" s="7" customFormat="1" ht="18.75">
      <c r="A32" s="2" t="s">
        <v>28</v>
      </c>
      <c r="B32" s="13">
        <v>1100820</v>
      </c>
      <c r="C32" s="13">
        <v>180824</v>
      </c>
      <c r="D32" s="13">
        <v>12300</v>
      </c>
      <c r="E32" s="13">
        <v>122724</v>
      </c>
      <c r="F32" s="13"/>
      <c r="G32" s="13"/>
      <c r="H32" s="13">
        <v>572862</v>
      </c>
      <c r="I32" s="13"/>
      <c r="J32" s="13"/>
      <c r="K32" s="13"/>
      <c r="L32" s="13"/>
      <c r="M32" s="13"/>
      <c r="N32" s="13">
        <f t="shared" si="0"/>
        <v>1796406</v>
      </c>
      <c r="O32" s="13">
        <f t="shared" si="1"/>
        <v>180824</v>
      </c>
      <c r="P32" s="13">
        <f t="shared" si="2"/>
        <v>12300</v>
      </c>
      <c r="Q32" s="13">
        <v>2510545.52</v>
      </c>
      <c r="R32" s="13">
        <v>158513.1</v>
      </c>
      <c r="S32" s="13"/>
      <c r="T32" s="13">
        <v>55577.95</v>
      </c>
      <c r="U32" s="13">
        <v>134121.06</v>
      </c>
      <c r="V32" s="13"/>
      <c r="W32" s="2">
        <f t="shared" si="3"/>
        <v>2566123.47</v>
      </c>
      <c r="X32" s="2">
        <f t="shared" si="4"/>
        <v>292634.16000000003</v>
      </c>
      <c r="Y32" s="2">
        <f t="shared" si="5"/>
        <v>0</v>
      </c>
      <c r="Z32" s="13"/>
      <c r="AA32" s="13"/>
      <c r="AB32" s="13"/>
      <c r="AC32" s="2">
        <f t="shared" si="6"/>
        <v>0</v>
      </c>
      <c r="AD32" s="2">
        <f t="shared" si="7"/>
        <v>0</v>
      </c>
      <c r="AE32" s="2">
        <f t="shared" si="8"/>
        <v>0</v>
      </c>
      <c r="AF32" s="2">
        <f t="shared" si="14"/>
        <v>4362529.470000001</v>
      </c>
      <c r="AG32" s="2">
        <f t="shared" si="15"/>
        <v>473458.16000000003</v>
      </c>
      <c r="AH32" s="2">
        <f t="shared" si="16"/>
        <v>12300</v>
      </c>
      <c r="AI32" s="2">
        <f t="shared" si="12"/>
        <v>4848287.630000001</v>
      </c>
    </row>
    <row r="33" spans="1:35" s="7" customFormat="1" ht="19.5" thickBot="1">
      <c r="A33" s="10" t="s">
        <v>29</v>
      </c>
      <c r="B33" s="17">
        <v>2104500</v>
      </c>
      <c r="C33" s="17">
        <v>1095701.07</v>
      </c>
      <c r="D33" s="17">
        <v>5500</v>
      </c>
      <c r="E33" s="17">
        <v>1400</v>
      </c>
      <c r="F33" s="17"/>
      <c r="G33" s="17"/>
      <c r="H33" s="17"/>
      <c r="I33" s="17">
        <v>78095</v>
      </c>
      <c r="J33" s="17"/>
      <c r="K33" s="17"/>
      <c r="L33" s="17">
        <v>68000</v>
      </c>
      <c r="M33" s="17"/>
      <c r="N33" s="17">
        <f t="shared" si="0"/>
        <v>2105900</v>
      </c>
      <c r="O33" s="17">
        <f t="shared" si="1"/>
        <v>1241796.07</v>
      </c>
      <c r="P33" s="17">
        <f t="shared" si="2"/>
        <v>5500</v>
      </c>
      <c r="Q33" s="17">
        <v>3399787.66</v>
      </c>
      <c r="R33" s="17">
        <v>656589.59</v>
      </c>
      <c r="S33" s="17"/>
      <c r="T33" s="17">
        <v>1034870.78</v>
      </c>
      <c r="U33" s="17">
        <v>85301.97</v>
      </c>
      <c r="V33" s="17"/>
      <c r="W33" s="10">
        <f t="shared" si="3"/>
        <v>4434658.44</v>
      </c>
      <c r="X33" s="10">
        <f t="shared" si="4"/>
        <v>741891.5599999999</v>
      </c>
      <c r="Y33" s="10">
        <f t="shared" si="5"/>
        <v>0</v>
      </c>
      <c r="Z33" s="17"/>
      <c r="AA33" s="17">
        <v>2416000</v>
      </c>
      <c r="AB33" s="17"/>
      <c r="AC33" s="10">
        <f t="shared" si="6"/>
        <v>0</v>
      </c>
      <c r="AD33" s="10">
        <f t="shared" si="7"/>
        <v>2416000</v>
      </c>
      <c r="AE33" s="10">
        <f t="shared" si="8"/>
        <v>0</v>
      </c>
      <c r="AF33" s="10">
        <f t="shared" si="14"/>
        <v>6540558.44</v>
      </c>
      <c r="AG33" s="10">
        <f t="shared" si="15"/>
        <v>4399687.63</v>
      </c>
      <c r="AH33" s="10">
        <f t="shared" si="16"/>
        <v>5500</v>
      </c>
      <c r="AI33" s="10">
        <f t="shared" si="12"/>
        <v>10945746.07</v>
      </c>
    </row>
    <row r="34" spans="1:35" s="6" customFormat="1" ht="19.5" thickBot="1">
      <c r="A34" s="88" t="s">
        <v>22</v>
      </c>
      <c r="B34" s="146">
        <f>SUM(B27:B33)</f>
        <v>452904737.93</v>
      </c>
      <c r="C34" s="146">
        <f aca="true" t="shared" si="17" ref="C34:AB34">SUM(C27:C33)</f>
        <v>18310208.08</v>
      </c>
      <c r="D34" s="146">
        <f t="shared" si="17"/>
        <v>13764952.99</v>
      </c>
      <c r="E34" s="146">
        <f t="shared" si="17"/>
        <v>2709207.1100000003</v>
      </c>
      <c r="F34" s="146">
        <f t="shared" si="17"/>
        <v>264314</v>
      </c>
      <c r="G34" s="146">
        <f t="shared" si="17"/>
        <v>0</v>
      </c>
      <c r="H34" s="146">
        <f t="shared" si="17"/>
        <v>4792847.9399999995</v>
      </c>
      <c r="I34" s="146">
        <f t="shared" si="17"/>
        <v>1116201.1099999999</v>
      </c>
      <c r="J34" s="146">
        <f t="shared" si="17"/>
        <v>0</v>
      </c>
      <c r="K34" s="146">
        <f>SUM(K27:K33)</f>
        <v>1549803</v>
      </c>
      <c r="L34" s="146">
        <f>SUM(L27:L33)</f>
        <v>4324739.5</v>
      </c>
      <c r="M34" s="146">
        <f>SUM(M27:M33)</f>
        <v>0</v>
      </c>
      <c r="N34" s="56">
        <f t="shared" si="0"/>
        <v>461956595.98</v>
      </c>
      <c r="O34" s="56">
        <f t="shared" si="1"/>
        <v>24015462.689999998</v>
      </c>
      <c r="P34" s="56">
        <f t="shared" si="2"/>
        <v>13764952.99</v>
      </c>
      <c r="Q34" s="146">
        <f t="shared" si="17"/>
        <v>83047702.17999999</v>
      </c>
      <c r="R34" s="146">
        <f t="shared" si="17"/>
        <v>37779117.43000001</v>
      </c>
      <c r="S34" s="146">
        <f t="shared" si="17"/>
        <v>0</v>
      </c>
      <c r="T34" s="146">
        <f t="shared" si="17"/>
        <v>54009020.08</v>
      </c>
      <c r="U34" s="146">
        <f t="shared" si="17"/>
        <v>15997866.990000002</v>
      </c>
      <c r="V34" s="146">
        <f t="shared" si="17"/>
        <v>0</v>
      </c>
      <c r="W34" s="89">
        <f t="shared" si="3"/>
        <v>137056722.26</v>
      </c>
      <c r="X34" s="89">
        <f t="shared" si="4"/>
        <v>53776984.42000001</v>
      </c>
      <c r="Y34" s="89">
        <f t="shared" si="5"/>
        <v>0</v>
      </c>
      <c r="Z34" s="146">
        <f t="shared" si="17"/>
        <v>26122331.009999998</v>
      </c>
      <c r="AA34" s="146">
        <f t="shared" si="17"/>
        <v>20841977.15</v>
      </c>
      <c r="AB34" s="146">
        <f t="shared" si="17"/>
        <v>0</v>
      </c>
      <c r="AC34" s="89">
        <f t="shared" si="6"/>
        <v>26122331.009999998</v>
      </c>
      <c r="AD34" s="89">
        <f t="shared" si="7"/>
        <v>20841977.15</v>
      </c>
      <c r="AE34" s="89">
        <f t="shared" si="8"/>
        <v>0</v>
      </c>
      <c r="AF34" s="89">
        <f t="shared" si="14"/>
        <v>625135649.25</v>
      </c>
      <c r="AG34" s="89">
        <f t="shared" si="15"/>
        <v>98634424.26000002</v>
      </c>
      <c r="AH34" s="89">
        <f t="shared" si="16"/>
        <v>13764952.99</v>
      </c>
      <c r="AI34" s="89">
        <f>+AF34+AG34+AH34</f>
        <v>737535026.5</v>
      </c>
    </row>
    <row r="35" spans="1:35" s="85" customFormat="1" ht="20.25" thickBot="1" thickTop="1">
      <c r="A35" s="84" t="s">
        <v>4</v>
      </c>
      <c r="B35" s="84">
        <f>+B25+B34</f>
        <v>555784144.37</v>
      </c>
      <c r="C35" s="84">
        <f aca="true" t="shared" si="18" ref="C35:AB35">+C25+C34</f>
        <v>64251787.63999999</v>
      </c>
      <c r="D35" s="84">
        <f t="shared" si="18"/>
        <v>14581679.48</v>
      </c>
      <c r="E35" s="84">
        <f t="shared" si="18"/>
        <v>7437247.49</v>
      </c>
      <c r="F35" s="84">
        <f t="shared" si="18"/>
        <v>596544.06</v>
      </c>
      <c r="G35" s="84">
        <f t="shared" si="18"/>
        <v>0</v>
      </c>
      <c r="H35" s="84">
        <f t="shared" si="18"/>
        <v>13150591.009999998</v>
      </c>
      <c r="I35" s="84">
        <f t="shared" si="18"/>
        <v>3203443.11</v>
      </c>
      <c r="J35" s="84">
        <f t="shared" si="18"/>
        <v>0</v>
      </c>
      <c r="K35" s="84">
        <f>+K25+K34</f>
        <v>77429957</v>
      </c>
      <c r="L35" s="84">
        <f>+L25+L34</f>
        <v>12010527.5</v>
      </c>
      <c r="M35" s="84">
        <f>+M25+M34</f>
        <v>0</v>
      </c>
      <c r="N35" s="147">
        <f t="shared" si="0"/>
        <v>653801939.87</v>
      </c>
      <c r="O35" s="147">
        <f t="shared" si="1"/>
        <v>80062302.31</v>
      </c>
      <c r="P35" s="147">
        <f t="shared" si="2"/>
        <v>14581679.48</v>
      </c>
      <c r="Q35" s="84">
        <f>+Q25+Q34</f>
        <v>145583370.17000002</v>
      </c>
      <c r="R35" s="84">
        <f>+R25+R34</f>
        <v>86079852.13000003</v>
      </c>
      <c r="S35" s="84">
        <f t="shared" si="18"/>
        <v>0</v>
      </c>
      <c r="T35" s="84">
        <f t="shared" si="18"/>
        <v>226498983.07999998</v>
      </c>
      <c r="U35" s="84">
        <f t="shared" si="18"/>
        <v>36902794.800000004</v>
      </c>
      <c r="V35" s="84">
        <f t="shared" si="18"/>
        <v>0</v>
      </c>
      <c r="W35" s="90">
        <f t="shared" si="3"/>
        <v>372082353.25</v>
      </c>
      <c r="X35" s="90">
        <f t="shared" si="4"/>
        <v>122982646.93000004</v>
      </c>
      <c r="Y35" s="90">
        <f t="shared" si="5"/>
        <v>0</v>
      </c>
      <c r="Z35" s="84">
        <f t="shared" si="18"/>
        <v>45555216.48</v>
      </c>
      <c r="AA35" s="84">
        <f t="shared" si="18"/>
        <v>47457312.39</v>
      </c>
      <c r="AB35" s="84">
        <f t="shared" si="18"/>
        <v>0</v>
      </c>
      <c r="AC35" s="90">
        <f t="shared" si="6"/>
        <v>45555216.48</v>
      </c>
      <c r="AD35" s="90">
        <f t="shared" si="7"/>
        <v>47457312.39</v>
      </c>
      <c r="AE35" s="90">
        <f t="shared" si="8"/>
        <v>0</v>
      </c>
      <c r="AF35" s="90">
        <f t="shared" si="14"/>
        <v>1071439509.6</v>
      </c>
      <c r="AG35" s="90">
        <f t="shared" si="15"/>
        <v>250502261.63000005</v>
      </c>
      <c r="AH35" s="90">
        <f t="shared" si="16"/>
        <v>14581679.48</v>
      </c>
      <c r="AI35" s="90">
        <f t="shared" si="12"/>
        <v>1336523450.71</v>
      </c>
    </row>
    <row r="36" spans="1:35" s="6" customFormat="1" ht="19.5" thickTop="1">
      <c r="A36" s="87" t="s">
        <v>154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>
        <f t="shared" si="0"/>
        <v>0</v>
      </c>
      <c r="O36" s="39">
        <f t="shared" si="1"/>
        <v>0</v>
      </c>
      <c r="P36" s="39">
        <f t="shared" si="2"/>
        <v>0</v>
      </c>
      <c r="Q36" s="41"/>
      <c r="R36" s="41"/>
      <c r="S36" s="41"/>
      <c r="T36" s="41"/>
      <c r="U36" s="41"/>
      <c r="V36" s="41"/>
      <c r="W36" s="12">
        <f t="shared" si="3"/>
        <v>0</v>
      </c>
      <c r="X36" s="12">
        <f t="shared" si="4"/>
        <v>0</v>
      </c>
      <c r="Y36" s="12">
        <f t="shared" si="5"/>
        <v>0</v>
      </c>
      <c r="Z36" s="41"/>
      <c r="AA36" s="41"/>
      <c r="AB36" s="41"/>
      <c r="AC36" s="12">
        <f t="shared" si="6"/>
        <v>0</v>
      </c>
      <c r="AD36" s="12">
        <f t="shared" si="7"/>
        <v>0</v>
      </c>
      <c r="AE36" s="12">
        <f t="shared" si="8"/>
        <v>0</v>
      </c>
      <c r="AF36" s="12">
        <f t="shared" si="14"/>
        <v>0</v>
      </c>
      <c r="AG36" s="12">
        <f t="shared" si="15"/>
        <v>0</v>
      </c>
      <c r="AH36" s="12">
        <f t="shared" si="16"/>
        <v>0</v>
      </c>
      <c r="AI36" s="12">
        <f t="shared" si="12"/>
        <v>0</v>
      </c>
    </row>
    <row r="37" spans="1:35" s="6" customFormat="1" ht="18.75">
      <c r="A37" s="77" t="s">
        <v>30</v>
      </c>
      <c r="B37" s="13"/>
      <c r="C37" s="13">
        <v>2195556.26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f t="shared" si="0"/>
        <v>0</v>
      </c>
      <c r="O37" s="13">
        <f t="shared" si="1"/>
        <v>2195556.26</v>
      </c>
      <c r="P37" s="13">
        <f t="shared" si="2"/>
        <v>0</v>
      </c>
      <c r="Q37" s="13"/>
      <c r="R37" s="13">
        <f>8511246.04+624291.7</f>
        <v>9135537.739999998</v>
      </c>
      <c r="S37" s="13"/>
      <c r="T37" s="13"/>
      <c r="U37" s="13"/>
      <c r="V37" s="13"/>
      <c r="W37" s="2">
        <f t="shared" si="3"/>
        <v>0</v>
      </c>
      <c r="X37" s="2">
        <f t="shared" si="4"/>
        <v>9135537.739999998</v>
      </c>
      <c r="Y37" s="2">
        <f t="shared" si="5"/>
        <v>0</v>
      </c>
      <c r="Z37" s="13"/>
      <c r="AA37" s="13">
        <v>411000</v>
      </c>
      <c r="AB37" s="13"/>
      <c r="AC37" s="2">
        <f t="shared" si="6"/>
        <v>0</v>
      </c>
      <c r="AD37" s="2">
        <f t="shared" si="7"/>
        <v>411000</v>
      </c>
      <c r="AE37" s="2">
        <f t="shared" si="8"/>
        <v>0</v>
      </c>
      <c r="AF37" s="2">
        <f t="shared" si="14"/>
        <v>0</v>
      </c>
      <c r="AG37" s="2">
        <f t="shared" si="15"/>
        <v>11742093.999999998</v>
      </c>
      <c r="AH37" s="2">
        <f t="shared" si="16"/>
        <v>0</v>
      </c>
      <c r="AI37" s="2">
        <f t="shared" si="12"/>
        <v>11742093.999999998</v>
      </c>
    </row>
    <row r="38" spans="1:35" s="6" customFormat="1" ht="18.75">
      <c r="A38" s="77" t="s">
        <v>31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f t="shared" si="0"/>
        <v>0</v>
      </c>
      <c r="O38" s="13">
        <f t="shared" si="1"/>
        <v>0</v>
      </c>
      <c r="P38" s="13">
        <f t="shared" si="2"/>
        <v>0</v>
      </c>
      <c r="Q38" s="13"/>
      <c r="R38" s="13"/>
      <c r="S38" s="13"/>
      <c r="T38" s="13"/>
      <c r="U38" s="13"/>
      <c r="V38" s="13"/>
      <c r="W38" s="2">
        <f t="shared" si="3"/>
        <v>0</v>
      </c>
      <c r="X38" s="2">
        <f t="shared" si="4"/>
        <v>0</v>
      </c>
      <c r="Y38" s="2">
        <f t="shared" si="5"/>
        <v>0</v>
      </c>
      <c r="Z38" s="13"/>
      <c r="AA38" s="13"/>
      <c r="AB38" s="13"/>
      <c r="AC38" s="2">
        <f t="shared" si="6"/>
        <v>0</v>
      </c>
      <c r="AD38" s="2">
        <f t="shared" si="7"/>
        <v>0</v>
      </c>
      <c r="AE38" s="2">
        <f t="shared" si="8"/>
        <v>0</v>
      </c>
      <c r="AF38" s="2">
        <f t="shared" si="14"/>
        <v>0</v>
      </c>
      <c r="AG38" s="2">
        <f t="shared" si="15"/>
        <v>0</v>
      </c>
      <c r="AH38" s="2">
        <f t="shared" si="16"/>
        <v>0</v>
      </c>
      <c r="AI38" s="2">
        <f t="shared" si="12"/>
        <v>0</v>
      </c>
    </row>
    <row r="39" spans="1:35" s="6" customFormat="1" ht="18.75">
      <c r="A39" s="77" t="s">
        <v>32</v>
      </c>
      <c r="B39" s="13"/>
      <c r="C39" s="13">
        <f>3889972.32+304630</f>
        <v>4194602.32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f t="shared" si="0"/>
        <v>0</v>
      </c>
      <c r="O39" s="13">
        <f t="shared" si="1"/>
        <v>4194602.32</v>
      </c>
      <c r="P39" s="13">
        <f t="shared" si="2"/>
        <v>0</v>
      </c>
      <c r="Q39" s="13"/>
      <c r="R39" s="13">
        <f>590730.77-304630+400098.19</f>
        <v>686198.96</v>
      </c>
      <c r="S39" s="13"/>
      <c r="T39" s="13"/>
      <c r="U39" s="13"/>
      <c r="V39" s="13"/>
      <c r="W39" s="2">
        <f t="shared" si="3"/>
        <v>0</v>
      </c>
      <c r="X39" s="2">
        <f t="shared" si="4"/>
        <v>686198.96</v>
      </c>
      <c r="Y39" s="2">
        <f t="shared" si="5"/>
        <v>0</v>
      </c>
      <c r="Z39" s="13"/>
      <c r="AA39" s="13">
        <v>180000</v>
      </c>
      <c r="AB39" s="13"/>
      <c r="AC39" s="2">
        <f t="shared" si="6"/>
        <v>0</v>
      </c>
      <c r="AD39" s="2">
        <f t="shared" si="7"/>
        <v>180000</v>
      </c>
      <c r="AE39" s="2">
        <f t="shared" si="8"/>
        <v>0</v>
      </c>
      <c r="AF39" s="2">
        <f t="shared" si="14"/>
        <v>0</v>
      </c>
      <c r="AG39" s="2">
        <f t="shared" si="15"/>
        <v>5060801.28</v>
      </c>
      <c r="AH39" s="2">
        <f t="shared" si="16"/>
        <v>0</v>
      </c>
      <c r="AI39" s="2">
        <f t="shared" si="12"/>
        <v>5060801.28</v>
      </c>
    </row>
    <row r="40" spans="1:35" s="6" customFormat="1" ht="18.75">
      <c r="A40" s="77" t="s">
        <v>197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0"/>
        <v>0</v>
      </c>
      <c r="O40" s="13">
        <f t="shared" si="1"/>
        <v>0</v>
      </c>
      <c r="P40" s="13">
        <f t="shared" si="2"/>
        <v>0</v>
      </c>
      <c r="Q40" s="13"/>
      <c r="R40" s="13">
        <v>290814.32</v>
      </c>
      <c r="S40" s="13"/>
      <c r="T40" s="13"/>
      <c r="U40" s="13"/>
      <c r="V40" s="13"/>
      <c r="W40" s="2">
        <f t="shared" si="3"/>
        <v>0</v>
      </c>
      <c r="X40" s="2">
        <f t="shared" si="4"/>
        <v>290814.32</v>
      </c>
      <c r="Y40" s="2">
        <f t="shared" si="5"/>
        <v>0</v>
      </c>
      <c r="Z40" s="13"/>
      <c r="AA40" s="13">
        <v>30000</v>
      </c>
      <c r="AB40" s="13"/>
      <c r="AC40" s="2">
        <f t="shared" si="6"/>
        <v>0</v>
      </c>
      <c r="AD40" s="2">
        <f t="shared" si="7"/>
        <v>30000</v>
      </c>
      <c r="AE40" s="2">
        <f t="shared" si="8"/>
        <v>0</v>
      </c>
      <c r="AF40" s="2">
        <f t="shared" si="14"/>
        <v>0</v>
      </c>
      <c r="AG40" s="2">
        <f t="shared" si="15"/>
        <v>320814.32</v>
      </c>
      <c r="AH40" s="2">
        <f t="shared" si="16"/>
        <v>0</v>
      </c>
      <c r="AI40" s="2">
        <f t="shared" si="12"/>
        <v>320814.32</v>
      </c>
    </row>
    <row r="41" spans="1:35" s="6" customFormat="1" ht="18.75">
      <c r="A41" s="77" t="s">
        <v>198</v>
      </c>
      <c r="B41" s="13"/>
      <c r="C41" s="13">
        <v>631402.87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0"/>
        <v>0</v>
      </c>
      <c r="O41" s="13">
        <f t="shared" si="1"/>
        <v>631402.87</v>
      </c>
      <c r="P41" s="13">
        <f t="shared" si="2"/>
        <v>0</v>
      </c>
      <c r="Q41" s="13"/>
      <c r="R41" s="13">
        <v>2955265.06</v>
      </c>
      <c r="S41" s="13"/>
      <c r="T41" s="13"/>
      <c r="U41" s="13"/>
      <c r="V41" s="13"/>
      <c r="W41" s="2">
        <f t="shared" si="3"/>
        <v>0</v>
      </c>
      <c r="X41" s="2">
        <f t="shared" si="4"/>
        <v>2955265.06</v>
      </c>
      <c r="Y41" s="2">
        <f t="shared" si="5"/>
        <v>0</v>
      </c>
      <c r="Z41" s="13"/>
      <c r="AA41" s="13">
        <v>180000</v>
      </c>
      <c r="AB41" s="13"/>
      <c r="AC41" s="2">
        <f t="shared" si="6"/>
        <v>0</v>
      </c>
      <c r="AD41" s="2">
        <f t="shared" si="7"/>
        <v>180000</v>
      </c>
      <c r="AE41" s="2">
        <f t="shared" si="8"/>
        <v>0</v>
      </c>
      <c r="AF41" s="2">
        <f t="shared" si="14"/>
        <v>0</v>
      </c>
      <c r="AG41" s="2">
        <f t="shared" si="15"/>
        <v>3766667.93</v>
      </c>
      <c r="AH41" s="2">
        <f t="shared" si="16"/>
        <v>0</v>
      </c>
      <c r="AI41" s="2">
        <f t="shared" si="12"/>
        <v>3766667.93</v>
      </c>
    </row>
    <row r="42" spans="1:35" s="6" customFormat="1" ht="18.75">
      <c r="A42" s="77" t="s">
        <v>33</v>
      </c>
      <c r="B42" s="13"/>
      <c r="C42" s="13">
        <v>1349142.77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0"/>
        <v>0</v>
      </c>
      <c r="O42" s="13">
        <f t="shared" si="1"/>
        <v>1349142.77</v>
      </c>
      <c r="P42" s="13">
        <f t="shared" si="2"/>
        <v>0</v>
      </c>
      <c r="Q42" s="13"/>
      <c r="R42" s="13">
        <v>1035744</v>
      </c>
      <c r="S42" s="13"/>
      <c r="T42" s="13"/>
      <c r="U42" s="13"/>
      <c r="V42" s="13"/>
      <c r="W42" s="2">
        <f t="shared" si="3"/>
        <v>0</v>
      </c>
      <c r="X42" s="2">
        <f t="shared" si="4"/>
        <v>1035744</v>
      </c>
      <c r="Y42" s="2">
        <f t="shared" si="5"/>
        <v>0</v>
      </c>
      <c r="Z42" s="13"/>
      <c r="AA42" s="13">
        <v>3388920</v>
      </c>
      <c r="AB42" s="13"/>
      <c r="AC42" s="2">
        <f t="shared" si="6"/>
        <v>0</v>
      </c>
      <c r="AD42" s="2">
        <f t="shared" si="7"/>
        <v>3388920</v>
      </c>
      <c r="AE42" s="2">
        <f t="shared" si="8"/>
        <v>0</v>
      </c>
      <c r="AF42" s="2">
        <f t="shared" si="14"/>
        <v>0</v>
      </c>
      <c r="AG42" s="2">
        <f t="shared" si="15"/>
        <v>5773806.77</v>
      </c>
      <c r="AH42" s="2">
        <f t="shared" si="16"/>
        <v>0</v>
      </c>
      <c r="AI42" s="2">
        <f t="shared" si="12"/>
        <v>5773806.77</v>
      </c>
    </row>
    <row r="43" spans="1:35" s="6" customFormat="1" ht="18.75">
      <c r="A43" s="15" t="s">
        <v>235</v>
      </c>
      <c r="B43" s="13"/>
      <c r="C43" s="13">
        <f>193760+9688</f>
        <v>203448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f t="shared" si="0"/>
        <v>0</v>
      </c>
      <c r="O43" s="13">
        <f t="shared" si="1"/>
        <v>203448</v>
      </c>
      <c r="P43" s="13">
        <f t="shared" si="2"/>
        <v>0</v>
      </c>
      <c r="Q43" s="13"/>
      <c r="R43" s="13">
        <f>9000+88554+486830</f>
        <v>584384</v>
      </c>
      <c r="S43" s="13"/>
      <c r="T43" s="13"/>
      <c r="U43" s="13"/>
      <c r="V43" s="13"/>
      <c r="W43" s="2">
        <f t="shared" si="3"/>
        <v>0</v>
      </c>
      <c r="X43" s="2">
        <f t="shared" si="4"/>
        <v>584384</v>
      </c>
      <c r="Y43" s="2">
        <f t="shared" si="5"/>
        <v>0</v>
      </c>
      <c r="Z43" s="13"/>
      <c r="AA43" s="13"/>
      <c r="AB43" s="13"/>
      <c r="AC43" s="2">
        <f t="shared" si="6"/>
        <v>0</v>
      </c>
      <c r="AD43" s="2">
        <f t="shared" si="7"/>
        <v>0</v>
      </c>
      <c r="AE43" s="2">
        <f t="shared" si="8"/>
        <v>0</v>
      </c>
      <c r="AF43" s="2">
        <f t="shared" si="14"/>
        <v>0</v>
      </c>
      <c r="AG43" s="2">
        <f t="shared" si="15"/>
        <v>787832</v>
      </c>
      <c r="AH43" s="2">
        <f t="shared" si="16"/>
        <v>0</v>
      </c>
      <c r="AI43" s="2">
        <f t="shared" si="12"/>
        <v>787832</v>
      </c>
    </row>
    <row r="44" spans="1:35" s="6" customFormat="1" ht="18.75">
      <c r="A44" s="15" t="s">
        <v>236</v>
      </c>
      <c r="B44" s="13"/>
      <c r="C44" s="13">
        <v>33483.87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f t="shared" si="0"/>
        <v>0</v>
      </c>
      <c r="O44" s="13">
        <f t="shared" si="1"/>
        <v>33483.87</v>
      </c>
      <c r="P44" s="13">
        <f t="shared" si="2"/>
        <v>0</v>
      </c>
      <c r="Q44" s="13"/>
      <c r="R44" s="13">
        <f>1674+87845</f>
        <v>89519</v>
      </c>
      <c r="S44" s="13"/>
      <c r="T44" s="13"/>
      <c r="U44" s="13"/>
      <c r="V44" s="13"/>
      <c r="W44" s="2">
        <f t="shared" si="3"/>
        <v>0</v>
      </c>
      <c r="X44" s="2">
        <f t="shared" si="4"/>
        <v>89519</v>
      </c>
      <c r="Y44" s="2">
        <f t="shared" si="5"/>
        <v>0</v>
      </c>
      <c r="Z44" s="13"/>
      <c r="AA44" s="13">
        <v>50000</v>
      </c>
      <c r="AB44" s="13"/>
      <c r="AC44" s="2">
        <f t="shared" si="6"/>
        <v>0</v>
      </c>
      <c r="AD44" s="2">
        <f t="shared" si="7"/>
        <v>50000</v>
      </c>
      <c r="AE44" s="2">
        <f t="shared" si="8"/>
        <v>0</v>
      </c>
      <c r="AF44" s="2">
        <f t="shared" si="14"/>
        <v>0</v>
      </c>
      <c r="AG44" s="2">
        <f t="shared" si="15"/>
        <v>173002.87</v>
      </c>
      <c r="AH44" s="2">
        <f t="shared" si="16"/>
        <v>0</v>
      </c>
      <c r="AI44" s="2">
        <f t="shared" si="12"/>
        <v>173002.87</v>
      </c>
    </row>
    <row r="45" spans="1:35" s="6" customFormat="1" ht="18.75">
      <c r="A45" s="77" t="s">
        <v>237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 t="shared" si="0"/>
        <v>0</v>
      </c>
      <c r="O45" s="13">
        <f t="shared" si="1"/>
        <v>0</v>
      </c>
      <c r="P45" s="13">
        <f t="shared" si="2"/>
        <v>0</v>
      </c>
      <c r="Q45" s="13"/>
      <c r="R45" s="13">
        <v>184017</v>
      </c>
      <c r="S45" s="13"/>
      <c r="T45" s="13"/>
      <c r="U45" s="13"/>
      <c r="V45" s="13"/>
      <c r="W45" s="2">
        <f t="shared" si="3"/>
        <v>0</v>
      </c>
      <c r="X45" s="2">
        <f t="shared" si="4"/>
        <v>184017</v>
      </c>
      <c r="Y45" s="2">
        <f t="shared" si="5"/>
        <v>0</v>
      </c>
      <c r="Z45" s="13"/>
      <c r="AA45" s="13"/>
      <c r="AB45" s="13"/>
      <c r="AC45" s="2">
        <f t="shared" si="6"/>
        <v>0</v>
      </c>
      <c r="AD45" s="2">
        <f t="shared" si="7"/>
        <v>0</v>
      </c>
      <c r="AE45" s="2">
        <f t="shared" si="8"/>
        <v>0</v>
      </c>
      <c r="AF45" s="2">
        <f t="shared" si="14"/>
        <v>0</v>
      </c>
      <c r="AG45" s="2">
        <f t="shared" si="15"/>
        <v>184017</v>
      </c>
      <c r="AH45" s="2">
        <f t="shared" si="16"/>
        <v>0</v>
      </c>
      <c r="AI45" s="2">
        <f t="shared" si="12"/>
        <v>184017</v>
      </c>
    </row>
    <row r="46" spans="1:35" s="6" customFormat="1" ht="19.5" thickBot="1">
      <c r="A46" s="78" t="s">
        <v>238</v>
      </c>
      <c r="B46" s="17">
        <v>0</v>
      </c>
      <c r="C46" s="17">
        <v>355680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f t="shared" si="0"/>
        <v>0</v>
      </c>
      <c r="O46" s="17">
        <f t="shared" si="1"/>
        <v>355680</v>
      </c>
      <c r="P46" s="17">
        <f t="shared" si="2"/>
        <v>0</v>
      </c>
      <c r="Q46" s="17">
        <v>40928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0">
        <f t="shared" si="3"/>
        <v>40928</v>
      </c>
      <c r="X46" s="10">
        <f t="shared" si="4"/>
        <v>0</v>
      </c>
      <c r="Y46" s="10">
        <f t="shared" si="5"/>
        <v>0</v>
      </c>
      <c r="Z46" s="17">
        <v>0</v>
      </c>
      <c r="AA46" s="17">
        <v>7540</v>
      </c>
      <c r="AB46" s="17"/>
      <c r="AC46" s="10">
        <f t="shared" si="6"/>
        <v>0</v>
      </c>
      <c r="AD46" s="10">
        <f t="shared" si="7"/>
        <v>7540</v>
      </c>
      <c r="AE46" s="10">
        <f t="shared" si="8"/>
        <v>0</v>
      </c>
      <c r="AF46" s="10">
        <f t="shared" si="14"/>
        <v>40928</v>
      </c>
      <c r="AG46" s="10">
        <f t="shared" si="15"/>
        <v>363220</v>
      </c>
      <c r="AH46" s="10">
        <f t="shared" si="16"/>
        <v>0</v>
      </c>
      <c r="AI46" s="10">
        <f t="shared" si="12"/>
        <v>404148</v>
      </c>
    </row>
    <row r="47" spans="1:35" s="6" customFormat="1" ht="20.25" thickBot="1" thickTop="1">
      <c r="A47" s="20" t="s">
        <v>22</v>
      </c>
      <c r="B47" s="20">
        <f>SUM(B37:B46)</f>
        <v>0</v>
      </c>
      <c r="C47" s="20">
        <f aca="true" t="shared" si="19" ref="C47:AB47">SUM(C37:C46)</f>
        <v>8963316.09</v>
      </c>
      <c r="D47" s="20">
        <f t="shared" si="19"/>
        <v>0</v>
      </c>
      <c r="E47" s="20">
        <f t="shared" si="19"/>
        <v>0</v>
      </c>
      <c r="F47" s="20">
        <f t="shared" si="19"/>
        <v>0</v>
      </c>
      <c r="G47" s="20">
        <f t="shared" si="19"/>
        <v>0</v>
      </c>
      <c r="H47" s="20">
        <f t="shared" si="19"/>
        <v>0</v>
      </c>
      <c r="I47" s="20">
        <f t="shared" si="19"/>
        <v>0</v>
      </c>
      <c r="J47" s="20">
        <f t="shared" si="19"/>
        <v>0</v>
      </c>
      <c r="K47" s="20">
        <f>SUM(K37:K46)</f>
        <v>0</v>
      </c>
      <c r="L47" s="20">
        <f>SUM(L37:L46)</f>
        <v>0</v>
      </c>
      <c r="M47" s="20">
        <f>SUM(M37:M46)</f>
        <v>0</v>
      </c>
      <c r="N47" s="148">
        <f t="shared" si="0"/>
        <v>0</v>
      </c>
      <c r="O47" s="148">
        <f t="shared" si="1"/>
        <v>8963316.09</v>
      </c>
      <c r="P47" s="148">
        <f t="shared" si="2"/>
        <v>0</v>
      </c>
      <c r="Q47" s="20">
        <f t="shared" si="19"/>
        <v>40928</v>
      </c>
      <c r="R47" s="20">
        <f t="shared" si="19"/>
        <v>14961480.08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91">
        <f t="shared" si="3"/>
        <v>40928</v>
      </c>
      <c r="X47" s="91">
        <f t="shared" si="4"/>
        <v>14961480.08</v>
      </c>
      <c r="Y47" s="91">
        <f t="shared" si="5"/>
        <v>0</v>
      </c>
      <c r="Z47" s="20">
        <f t="shared" si="19"/>
        <v>0</v>
      </c>
      <c r="AA47" s="20">
        <f t="shared" si="19"/>
        <v>4247460</v>
      </c>
      <c r="AB47" s="20">
        <f t="shared" si="19"/>
        <v>0</v>
      </c>
      <c r="AC47" s="91">
        <f t="shared" si="6"/>
        <v>0</v>
      </c>
      <c r="AD47" s="91">
        <f t="shared" si="7"/>
        <v>4247460</v>
      </c>
      <c r="AE47" s="91">
        <f t="shared" si="8"/>
        <v>0</v>
      </c>
      <c r="AF47" s="91">
        <f t="shared" si="14"/>
        <v>40928</v>
      </c>
      <c r="AG47" s="91">
        <f t="shared" si="15"/>
        <v>28172256.17</v>
      </c>
      <c r="AH47" s="91">
        <f t="shared" si="16"/>
        <v>0</v>
      </c>
      <c r="AI47" s="91">
        <f t="shared" si="12"/>
        <v>28213184.17</v>
      </c>
    </row>
    <row r="48" spans="1:35" s="6" customFormat="1" ht="20.25" thickBot="1" thickTop="1">
      <c r="A48" s="20" t="s">
        <v>34</v>
      </c>
      <c r="B48" s="20">
        <f>+B35+B47</f>
        <v>555784144.37</v>
      </c>
      <c r="C48" s="20">
        <f>+C35+C47</f>
        <v>73215103.72999999</v>
      </c>
      <c r="D48" s="20">
        <f aca="true" t="shared" si="20" ref="D48:AB48">+D35+D47</f>
        <v>14581679.48</v>
      </c>
      <c r="E48" s="20">
        <f t="shared" si="20"/>
        <v>7437247.49</v>
      </c>
      <c r="F48" s="20">
        <f t="shared" si="20"/>
        <v>596544.06</v>
      </c>
      <c r="G48" s="20">
        <f t="shared" si="20"/>
        <v>0</v>
      </c>
      <c r="H48" s="20">
        <f t="shared" si="20"/>
        <v>13150591.009999998</v>
      </c>
      <c r="I48" s="20">
        <f t="shared" si="20"/>
        <v>3203443.11</v>
      </c>
      <c r="J48" s="20">
        <f t="shared" si="20"/>
        <v>0</v>
      </c>
      <c r="K48" s="20">
        <f>+K35+K47</f>
        <v>77429957</v>
      </c>
      <c r="L48" s="20">
        <f>+L35+L47</f>
        <v>12010527.5</v>
      </c>
      <c r="M48" s="20">
        <f>+M35+M47</f>
        <v>0</v>
      </c>
      <c r="N48" s="149">
        <f t="shared" si="0"/>
        <v>653801939.87</v>
      </c>
      <c r="O48" s="149">
        <f t="shared" si="1"/>
        <v>89025618.39999999</v>
      </c>
      <c r="P48" s="149">
        <f t="shared" si="2"/>
        <v>14581679.48</v>
      </c>
      <c r="Q48" s="20">
        <f t="shared" si="20"/>
        <v>145624298.17000002</v>
      </c>
      <c r="R48" s="20">
        <f t="shared" si="20"/>
        <v>101041332.21000002</v>
      </c>
      <c r="S48" s="20">
        <f t="shared" si="20"/>
        <v>0</v>
      </c>
      <c r="T48" s="20">
        <f t="shared" si="20"/>
        <v>226498983.07999998</v>
      </c>
      <c r="U48" s="20">
        <f t="shared" si="20"/>
        <v>36902794.800000004</v>
      </c>
      <c r="V48" s="20">
        <f t="shared" si="20"/>
        <v>0</v>
      </c>
      <c r="W48" s="92">
        <f t="shared" si="3"/>
        <v>372123281.25</v>
      </c>
      <c r="X48" s="92">
        <f t="shared" si="4"/>
        <v>137944127.01000002</v>
      </c>
      <c r="Y48" s="92">
        <f t="shared" si="5"/>
        <v>0</v>
      </c>
      <c r="Z48" s="20">
        <f t="shared" si="20"/>
        <v>45555216.48</v>
      </c>
      <c r="AA48" s="20">
        <f t="shared" si="20"/>
        <v>51704772.39</v>
      </c>
      <c r="AB48" s="20">
        <f t="shared" si="20"/>
        <v>0</v>
      </c>
      <c r="AC48" s="92">
        <f t="shared" si="6"/>
        <v>45555216.48</v>
      </c>
      <c r="AD48" s="92">
        <f t="shared" si="7"/>
        <v>51704772.39</v>
      </c>
      <c r="AE48" s="92">
        <f t="shared" si="8"/>
        <v>0</v>
      </c>
      <c r="AF48" s="92">
        <f t="shared" si="14"/>
        <v>1071480437.6</v>
      </c>
      <c r="AG48" s="92">
        <f t="shared" si="15"/>
        <v>278674517.8</v>
      </c>
      <c r="AH48" s="92">
        <f t="shared" si="16"/>
        <v>14581679.48</v>
      </c>
      <c r="AI48" s="92">
        <f t="shared" si="12"/>
        <v>1364736634.88</v>
      </c>
    </row>
    <row r="49" spans="1:31" s="7" customFormat="1" ht="19.5" thickTop="1">
      <c r="A49" s="37" t="s">
        <v>239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2" s="83" customFormat="1" ht="18.75">
      <c r="A50" s="203" t="s">
        <v>240</v>
      </c>
      <c r="B50" s="203"/>
      <c r="C50" s="203"/>
      <c r="D50" s="203"/>
      <c r="E50" s="203"/>
      <c r="F50" s="203"/>
      <c r="G50" s="203"/>
      <c r="H50" s="203"/>
      <c r="I50" s="203"/>
      <c r="J50" s="203"/>
      <c r="K50" s="139"/>
      <c r="L50" s="139"/>
      <c r="M50" s="139"/>
      <c r="N50" s="139"/>
      <c r="O50" s="139"/>
      <c r="P50" s="139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2"/>
    </row>
    <row r="51" spans="7:32" s="6" customFormat="1" ht="18.75">
      <c r="G51" s="6" t="s">
        <v>231</v>
      </c>
      <c r="S51" s="6" t="s">
        <v>241</v>
      </c>
      <c r="X51" s="42"/>
      <c r="Y51" s="42"/>
      <c r="Z51" s="42"/>
      <c r="AA51" s="42"/>
      <c r="AB51" s="42"/>
      <c r="AC51" s="42"/>
      <c r="AD51" s="42"/>
      <c r="AE51" s="42"/>
      <c r="AF51" s="7"/>
    </row>
  </sheetData>
  <sheetProtection/>
  <mergeCells count="19">
    <mergeCell ref="Z5:AB5"/>
    <mergeCell ref="AC5:AE5"/>
    <mergeCell ref="AI5:AI6"/>
    <mergeCell ref="A1:AO1"/>
    <mergeCell ref="A2:AO2"/>
    <mergeCell ref="AF5:AH5"/>
    <mergeCell ref="A3:AK3"/>
    <mergeCell ref="A4:D4"/>
    <mergeCell ref="V4:AF4"/>
    <mergeCell ref="A5:A6"/>
    <mergeCell ref="A50:J50"/>
    <mergeCell ref="N5:P5"/>
    <mergeCell ref="W5:Y5"/>
    <mergeCell ref="H5:J5"/>
    <mergeCell ref="Q5:S5"/>
    <mergeCell ref="T5:V5"/>
    <mergeCell ref="K5:M5"/>
    <mergeCell ref="B5:D5"/>
    <mergeCell ref="E5:G5"/>
  </mergeCells>
  <printOptions horizontalCentered="1"/>
  <pageMargins left="0.15748031496062992" right="0.15748031496062992" top="0.5511811023622047" bottom="0.3937007874015748" header="0.31496062992125984" footer="0.31496062992125984"/>
  <pageSetup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X1">
      <selection activeCell="AE33" sqref="AE33"/>
    </sheetView>
  </sheetViews>
  <sheetFormatPr defaultColWidth="13.140625" defaultRowHeight="15"/>
  <cols>
    <col min="1" max="1" width="35.140625" style="21" customWidth="1"/>
    <col min="2" max="2" width="13.28125" style="22" customWidth="1"/>
    <col min="3" max="4" width="11.8515625" style="22" customWidth="1"/>
    <col min="5" max="5" width="11.7109375" style="22" customWidth="1"/>
    <col min="6" max="6" width="9.7109375" style="22" customWidth="1"/>
    <col min="7" max="7" width="5.421875" style="22" customWidth="1"/>
    <col min="8" max="8" width="11.7109375" style="22" customWidth="1"/>
    <col min="9" max="9" width="11.00390625" style="22" customWidth="1"/>
    <col min="10" max="10" width="6.00390625" style="22" customWidth="1"/>
    <col min="11" max="11" width="12.7109375" style="22" customWidth="1"/>
    <col min="12" max="12" width="11.7109375" style="22" customWidth="1"/>
    <col min="13" max="13" width="6.8515625" style="22" customWidth="1"/>
    <col min="14" max="14" width="12.7109375" style="22" bestFit="1" customWidth="1"/>
    <col min="15" max="15" width="13.00390625" style="22" customWidth="1"/>
    <col min="16" max="16" width="12.140625" style="22" customWidth="1"/>
    <col min="17" max="17" width="6.8515625" style="22" customWidth="1"/>
    <col min="18" max="18" width="12.7109375" style="22" customWidth="1"/>
    <col min="19" max="19" width="11.8515625" style="22" customWidth="1"/>
    <col min="20" max="20" width="6.8515625" style="22" customWidth="1"/>
    <col min="21" max="21" width="13.140625" style="22" bestFit="1" customWidth="1"/>
    <col min="22" max="22" width="12.140625" style="22" customWidth="1"/>
    <col min="23" max="23" width="12.00390625" style="22" customWidth="1"/>
    <col min="24" max="24" width="11.7109375" style="22" customWidth="1"/>
    <col min="25" max="25" width="11.8515625" style="21" bestFit="1" customWidth="1"/>
    <col min="26" max="26" width="14.00390625" style="7" bestFit="1" customWidth="1"/>
    <col min="27" max="27" width="10.28125" style="7" customWidth="1"/>
    <col min="28" max="28" width="12.7109375" style="7" bestFit="1" customWidth="1"/>
    <col min="29" max="29" width="14.00390625" style="7" bestFit="1" customWidth="1"/>
    <col min="30" max="30" width="12.28125" style="7" customWidth="1"/>
    <col min="31" max="31" width="12.7109375" style="7" bestFit="1" customWidth="1"/>
    <col min="32" max="32" width="13.00390625" style="7" customWidth="1"/>
    <col min="33" max="33" width="11.8515625" style="7" bestFit="1" customWidth="1"/>
    <col min="34" max="34" width="14.00390625" style="7" bestFit="1" customWidth="1"/>
    <col min="35" max="16384" width="13.140625" style="7" customWidth="1"/>
  </cols>
  <sheetData>
    <row r="1" spans="1:34" ht="18.75">
      <c r="A1" s="217" t="s">
        <v>426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</row>
    <row r="2" spans="1:34" ht="18.75">
      <c r="A2" s="217" t="s">
        <v>427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1:34" ht="18.75">
      <c r="A3" s="218" t="s">
        <v>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</row>
    <row r="4" spans="1:34" s="6" customFormat="1" ht="39" customHeight="1">
      <c r="A4" s="201" t="s">
        <v>3</v>
      </c>
      <c r="B4" s="201" t="s">
        <v>35</v>
      </c>
      <c r="C4" s="201"/>
      <c r="D4" s="201"/>
      <c r="E4" s="201" t="s">
        <v>36</v>
      </c>
      <c r="F4" s="201"/>
      <c r="G4" s="201"/>
      <c r="H4" s="201" t="s">
        <v>37</v>
      </c>
      <c r="I4" s="201"/>
      <c r="J4" s="201"/>
      <c r="K4" s="201" t="s">
        <v>38</v>
      </c>
      <c r="L4" s="201"/>
      <c r="M4" s="201"/>
      <c r="N4" s="69" t="s">
        <v>44</v>
      </c>
      <c r="O4" s="201" t="s">
        <v>39</v>
      </c>
      <c r="P4" s="201"/>
      <c r="Q4" s="201"/>
      <c r="R4" s="201" t="s">
        <v>40</v>
      </c>
      <c r="S4" s="201"/>
      <c r="T4" s="201"/>
      <c r="U4" s="69" t="s">
        <v>45</v>
      </c>
      <c r="V4" s="201" t="s">
        <v>41</v>
      </c>
      <c r="W4" s="201"/>
      <c r="X4" s="201"/>
      <c r="Y4" s="140" t="s">
        <v>227</v>
      </c>
      <c r="Z4" s="25" t="s">
        <v>4</v>
      </c>
      <c r="AA4" s="220" t="s">
        <v>141</v>
      </c>
      <c r="AB4" s="221"/>
      <c r="AC4" s="221"/>
      <c r="AD4" s="222"/>
      <c r="AE4" s="219" t="s">
        <v>156</v>
      </c>
      <c r="AF4" s="201"/>
      <c r="AG4" s="201"/>
      <c r="AH4" s="201" t="s">
        <v>22</v>
      </c>
    </row>
    <row r="5" spans="1:34" ht="57.75" customHeight="1">
      <c r="A5" s="201"/>
      <c r="B5" s="13" t="s">
        <v>0</v>
      </c>
      <c r="C5" s="13" t="s">
        <v>1</v>
      </c>
      <c r="D5" s="13" t="s">
        <v>5</v>
      </c>
      <c r="E5" s="13" t="s">
        <v>0</v>
      </c>
      <c r="F5" s="13" t="s">
        <v>1</v>
      </c>
      <c r="G5" s="13" t="s">
        <v>5</v>
      </c>
      <c r="H5" s="13" t="s">
        <v>0</v>
      </c>
      <c r="I5" s="13" t="s">
        <v>1</v>
      </c>
      <c r="J5" s="13" t="s">
        <v>5</v>
      </c>
      <c r="K5" s="13" t="s">
        <v>0</v>
      </c>
      <c r="L5" s="13" t="s">
        <v>1</v>
      </c>
      <c r="M5" s="13" t="s">
        <v>5</v>
      </c>
      <c r="N5" s="13" t="s">
        <v>42</v>
      </c>
      <c r="O5" s="13" t="s">
        <v>0</v>
      </c>
      <c r="P5" s="13" t="s">
        <v>1</v>
      </c>
      <c r="Q5" s="13" t="s">
        <v>5</v>
      </c>
      <c r="R5" s="13" t="s">
        <v>0</v>
      </c>
      <c r="S5" s="13" t="s">
        <v>1</v>
      </c>
      <c r="T5" s="13" t="s">
        <v>5</v>
      </c>
      <c r="U5" s="13" t="s">
        <v>43</v>
      </c>
      <c r="V5" s="13" t="s">
        <v>0</v>
      </c>
      <c r="W5" s="13" t="s">
        <v>1</v>
      </c>
      <c r="X5" s="13" t="s">
        <v>5</v>
      </c>
      <c r="Y5" s="13" t="s">
        <v>228</v>
      </c>
      <c r="Z5" s="26" t="s">
        <v>229</v>
      </c>
      <c r="AA5" s="23" t="s">
        <v>398</v>
      </c>
      <c r="AB5" s="14" t="s">
        <v>159</v>
      </c>
      <c r="AC5" s="14" t="s">
        <v>158</v>
      </c>
      <c r="AD5" s="50" t="s">
        <v>155</v>
      </c>
      <c r="AE5" s="23" t="s">
        <v>142</v>
      </c>
      <c r="AF5" s="14" t="s">
        <v>157</v>
      </c>
      <c r="AG5" s="14" t="s">
        <v>143</v>
      </c>
      <c r="AH5" s="201"/>
    </row>
    <row r="6" spans="1:34" ht="19.5" customHeight="1">
      <c r="A6" s="60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14">
        <f>+N33</f>
        <v>499737011.66</v>
      </c>
      <c r="AC6" s="14">
        <f>+U33</f>
        <v>190833706.68</v>
      </c>
      <c r="AD6" s="14">
        <f>+Y33</f>
        <v>46964308.16</v>
      </c>
      <c r="AE6" s="48"/>
      <c r="AF6" s="48"/>
      <c r="AG6" s="48"/>
      <c r="AH6" s="49"/>
    </row>
    <row r="7" spans="1:34" ht="18.75">
      <c r="A7" s="15" t="s">
        <v>7</v>
      </c>
      <c r="B7" s="13">
        <f>+'สรุปรวมคชจ.'!B8</f>
        <v>12870720</v>
      </c>
      <c r="C7" s="13">
        <f>+'สรุปรวมคชจ.'!C8</f>
        <v>4307516.83</v>
      </c>
      <c r="D7" s="13">
        <f>+'สรุปรวมคชจ.'!D8</f>
        <v>165862.85</v>
      </c>
      <c r="E7" s="13">
        <f>+'สรุปรวมคชจ.'!E8</f>
        <v>144047.5</v>
      </c>
      <c r="F7" s="13">
        <f>+'สรุปรวมคชจ.'!F8</f>
        <v>0</v>
      </c>
      <c r="G7" s="13">
        <f>+'สรุปรวมคชจ.'!G8</f>
        <v>0</v>
      </c>
      <c r="H7" s="13">
        <f>+'สรุปรวมคชจ.'!H8</f>
        <v>61355</v>
      </c>
      <c r="I7" s="13">
        <f>+'สรุปรวมคชจ.'!I8</f>
        <v>0</v>
      </c>
      <c r="J7" s="13">
        <f>+'สรุปรวมคชจ.'!J8</f>
        <v>0</v>
      </c>
      <c r="K7" s="13">
        <f>+'สรุปรวมคชจ.'!K8</f>
        <v>8026800</v>
      </c>
      <c r="L7" s="13">
        <f>+'สรุปรวมคชจ.'!L8</f>
        <v>0</v>
      </c>
      <c r="M7" s="13">
        <f>+'สรุปรวมคชจ.'!M8</f>
        <v>0</v>
      </c>
      <c r="N7" s="13">
        <f>SUM(B7:M7)</f>
        <v>25576302.18</v>
      </c>
      <c r="O7" s="13">
        <f>+'สรุปรวมคชจ.'!Q8</f>
        <v>5898017.62</v>
      </c>
      <c r="P7" s="13">
        <f>+'สรุปรวมคชจ.'!R8</f>
        <v>10189071.72</v>
      </c>
      <c r="Q7" s="13">
        <f>+'สรุปรวมคชจ.'!S8</f>
        <v>0</v>
      </c>
      <c r="R7" s="13">
        <f>+'สรุปรวมคชจ.'!T8</f>
        <v>27129321.7</v>
      </c>
      <c r="S7" s="13">
        <f>+'สรุปรวมคชจ.'!U8</f>
        <v>2257167.53</v>
      </c>
      <c r="T7" s="13">
        <f>+'สรุปรวมคชจ.'!V8</f>
        <v>0</v>
      </c>
      <c r="U7" s="13">
        <f>SUM(O7:T7)</f>
        <v>45473578.57</v>
      </c>
      <c r="V7" s="13">
        <f>+'สรุปรวมคชจ.'!Z8</f>
        <v>2455718.78</v>
      </c>
      <c r="W7" s="13">
        <f>+'สรุปรวมคชจ.'!AA8</f>
        <v>2956844</v>
      </c>
      <c r="X7" s="13">
        <f>+'สรุปรวมคชจ.'!AB8</f>
        <v>0</v>
      </c>
      <c r="Y7" s="13">
        <f>SUM(V7:X7)</f>
        <v>5412562.779999999</v>
      </c>
      <c r="Z7" s="13">
        <f>+N7+U7+Y7</f>
        <v>76462443.53</v>
      </c>
      <c r="AA7" s="24">
        <v>2368.15</v>
      </c>
      <c r="AB7" s="2">
        <f>AB6*AA7/AA24</f>
        <v>88039806.1753569</v>
      </c>
      <c r="AC7" s="2">
        <f>AC6*AB7/AB24</f>
        <v>33619608.2255816</v>
      </c>
      <c r="AD7" s="2">
        <f>AD6*AC7/AC24</f>
        <v>8273809.0057240445</v>
      </c>
      <c r="AE7" s="24">
        <f>+N7+AB7</f>
        <v>113616108.3553569</v>
      </c>
      <c r="AF7" s="2">
        <f>+U7+AC7</f>
        <v>79093186.79558161</v>
      </c>
      <c r="AG7" s="2">
        <f>+Y7+AD7</f>
        <v>13686371.785724044</v>
      </c>
      <c r="AH7" s="2">
        <f>+AE7+AF7+AG7</f>
        <v>206395666.93666255</v>
      </c>
    </row>
    <row r="8" spans="1:34" ht="18.75">
      <c r="A8" s="15" t="s">
        <v>8</v>
      </c>
      <c r="B8" s="13">
        <f>+'สรุปรวมคชจ.'!B9</f>
        <v>6739440</v>
      </c>
      <c r="C8" s="13">
        <f>+'สรุปรวมคชจ.'!C9</f>
        <v>5081019.6</v>
      </c>
      <c r="D8" s="13">
        <f>+'สรุปรวมคชจ.'!D9</f>
        <v>204688.26</v>
      </c>
      <c r="E8" s="13">
        <f>+'สรุปรวมคชจ.'!E9</f>
        <v>691453.61</v>
      </c>
      <c r="F8" s="13">
        <f>+'สรุปรวมคชจ.'!F9</f>
        <v>0</v>
      </c>
      <c r="G8" s="13">
        <f>+'สรุปรวมคชจ.'!G9</f>
        <v>0</v>
      </c>
      <c r="H8" s="13">
        <f>+'สรุปรวมคชจ.'!H9</f>
        <v>29087.6</v>
      </c>
      <c r="I8" s="13">
        <f>+'สรุปรวมคชจ.'!I9</f>
        <v>0</v>
      </c>
      <c r="J8" s="13">
        <f>+'สรุปรวมคชจ.'!J9</f>
        <v>0</v>
      </c>
      <c r="K8" s="13">
        <f>+'สรุปรวมคชจ.'!K9</f>
        <v>490000</v>
      </c>
      <c r="L8" s="13">
        <f>+'สรุปรวมคชจ.'!L9</f>
        <v>0</v>
      </c>
      <c r="M8" s="13">
        <f>+'สรุปรวมคชจ.'!M9</f>
        <v>0</v>
      </c>
      <c r="N8" s="13">
        <f aca="true" t="shared" si="0" ref="N8:N33">SUM(B8:M8)</f>
        <v>13235689.069999998</v>
      </c>
      <c r="O8" s="13">
        <f>+'สรุปรวมคชจ.'!Q9</f>
        <v>5389605.61</v>
      </c>
      <c r="P8" s="13">
        <f>+'สรุปรวมคชจ.'!R9</f>
        <v>7684151.12</v>
      </c>
      <c r="Q8" s="13">
        <f>+'สรุปรวมคชจ.'!S9</f>
        <v>0</v>
      </c>
      <c r="R8" s="13">
        <f>+'สรุปรวมคชจ.'!T9</f>
        <v>19016865.15</v>
      </c>
      <c r="S8" s="13">
        <f>+'สรุปรวมคชจ.'!U9</f>
        <v>1914870.5</v>
      </c>
      <c r="T8" s="13">
        <f>+'สรุปรวมคชจ.'!V9</f>
        <v>0</v>
      </c>
      <c r="U8" s="13">
        <f aca="true" t="shared" si="1" ref="U8:U33">SUM(O8:T8)</f>
        <v>34005492.379999995</v>
      </c>
      <c r="V8" s="13">
        <f>+'สรุปรวมคชจ.'!Z9</f>
        <v>664800.9</v>
      </c>
      <c r="W8" s="13">
        <f>+'สรุปรวมคชจ.'!AA9</f>
        <v>2441039</v>
      </c>
      <c r="X8" s="13">
        <f>+'สรุปรวมคชจ.'!AB9</f>
        <v>0</v>
      </c>
      <c r="Y8" s="13">
        <f aca="true" t="shared" si="2" ref="Y8:Y33">SUM(V8:X8)</f>
        <v>3105839.9</v>
      </c>
      <c r="Z8" s="13">
        <f aca="true" t="shared" si="3" ref="Z8:Z32">+N8+U8+Y8</f>
        <v>50347021.349999994</v>
      </c>
      <c r="AA8" s="24">
        <v>2922.49</v>
      </c>
      <c r="AB8" s="2">
        <f>AB6*AA8/AA24</f>
        <v>108648292.18986075</v>
      </c>
      <c r="AC8" s="2">
        <f>AC6*AB8/AB24</f>
        <v>41489335.068800524</v>
      </c>
      <c r="AD8" s="2">
        <f>AD6*AC8/AC24</f>
        <v>10210554.264357604</v>
      </c>
      <c r="AE8" s="24">
        <f>+N8+AB8</f>
        <v>121883981.25986074</v>
      </c>
      <c r="AF8" s="2">
        <f aca="true" t="shared" si="4" ref="AF8:AF24">+U8+AC8</f>
        <v>75494827.44880052</v>
      </c>
      <c r="AG8" s="2">
        <f>+Y8+AD8</f>
        <v>13316394.164357604</v>
      </c>
      <c r="AH8" s="2">
        <f aca="true" t="shared" si="5" ref="AH8:AH21">+AE8+AF8+AG8</f>
        <v>210695202.87301886</v>
      </c>
    </row>
    <row r="9" spans="1:34" ht="18.75">
      <c r="A9" s="15" t="s">
        <v>9</v>
      </c>
      <c r="B9" s="13">
        <f>+'สรุปรวมคชจ.'!B10</f>
        <v>12550440</v>
      </c>
      <c r="C9" s="13">
        <f>+'สรุปรวมคชจ.'!C10</f>
        <v>4694140.82</v>
      </c>
      <c r="D9" s="13">
        <f>+'สรุปรวมคชจ.'!D10</f>
        <v>85731.93</v>
      </c>
      <c r="E9" s="13">
        <f>+'สรุปรวมคชจ.'!E10</f>
        <v>533756.53</v>
      </c>
      <c r="F9" s="13">
        <f>+'สรุปรวมคชจ.'!F10</f>
        <v>0</v>
      </c>
      <c r="G9" s="13">
        <f>+'สรุปรวมคชจ.'!G10</f>
        <v>0</v>
      </c>
      <c r="H9" s="13">
        <f>+'สรุปรวมคชจ.'!H10</f>
        <v>234398</v>
      </c>
      <c r="I9" s="13">
        <f>+'สรุปรวมคชจ.'!I10</f>
        <v>0</v>
      </c>
      <c r="J9" s="13">
        <f>+'สรุปรวมคชจ.'!J10</f>
        <v>0</v>
      </c>
      <c r="K9" s="13">
        <f>+'สรุปรวมคชจ.'!K10</f>
        <v>791800</v>
      </c>
      <c r="L9" s="13">
        <f>+'สรุปรวมคชจ.'!L10</f>
        <v>0</v>
      </c>
      <c r="M9" s="13">
        <f>+'สรุปรวมคชจ.'!M10</f>
        <v>0</v>
      </c>
      <c r="N9" s="13">
        <f t="shared" si="0"/>
        <v>18890267.28</v>
      </c>
      <c r="O9" s="13">
        <f>+'สรุปรวมคชจ.'!Q10</f>
        <v>6460967.96</v>
      </c>
      <c r="P9" s="13">
        <f>+'สรุปรวมคชจ.'!R10</f>
        <v>3944222.11</v>
      </c>
      <c r="Q9" s="13">
        <f>+'สรุปรวมคชจ.'!S10</f>
        <v>0</v>
      </c>
      <c r="R9" s="13">
        <f>+'สรุปรวมคชจ.'!T10</f>
        <v>11389587.64</v>
      </c>
      <c r="S9" s="13">
        <f>+'สรุปรวมคชจ.'!U10</f>
        <v>1710896.09</v>
      </c>
      <c r="T9" s="13">
        <f>+'สรุปรวมคชจ.'!V10</f>
        <v>0</v>
      </c>
      <c r="U9" s="13">
        <f t="shared" si="1"/>
        <v>23505673.8</v>
      </c>
      <c r="V9" s="13">
        <f>+'สรุปรวมคชจ.'!Z10</f>
        <v>1533401.55</v>
      </c>
      <c r="W9" s="13">
        <f>+'สรุปรวมคชจ.'!AA10</f>
        <v>1809164.25</v>
      </c>
      <c r="X9" s="13">
        <f>+'สรุปรวมคชจ.'!AB10</f>
        <v>0</v>
      </c>
      <c r="Y9" s="13">
        <f t="shared" si="2"/>
        <v>3342565.8</v>
      </c>
      <c r="Z9" s="13">
        <f t="shared" si="3"/>
        <v>45738506.879999995</v>
      </c>
      <c r="AA9" s="24">
        <v>1224.06</v>
      </c>
      <c r="AB9" s="2">
        <f>AB6*AA9/AA24</f>
        <v>45506410.12900675</v>
      </c>
      <c r="AC9" s="2">
        <f>AC6*AB9/AB24</f>
        <v>17377453.980788976</v>
      </c>
      <c r="AD9" s="2">
        <f>AD6*AC9/AC24</f>
        <v>4276603.53083486</v>
      </c>
      <c r="AE9" s="24">
        <f>+N9+AB9</f>
        <v>64396677.40900675</v>
      </c>
      <c r="AF9" s="2">
        <f t="shared" si="4"/>
        <v>40883127.78078897</v>
      </c>
      <c r="AG9" s="2">
        <f aca="true" t="shared" si="6" ref="AG9:AG21">+Y9+AD9</f>
        <v>7619169.33083486</v>
      </c>
      <c r="AH9" s="2">
        <f t="shared" si="5"/>
        <v>112898974.5206306</v>
      </c>
    </row>
    <row r="10" spans="1:34" ht="18.75">
      <c r="A10" s="15" t="s">
        <v>10</v>
      </c>
      <c r="B10" s="13">
        <f>+'สรุปรวมคชจ.'!B11</f>
        <v>6257040</v>
      </c>
      <c r="C10" s="13">
        <f>+'สรุปรวมคชจ.'!C11</f>
        <v>1772676</v>
      </c>
      <c r="D10" s="13">
        <f>+'สรุปรวมคชจ.'!D11</f>
        <v>44439.04</v>
      </c>
      <c r="E10" s="13">
        <f>+'สรุปรวมคชจ.'!E11</f>
        <v>255270</v>
      </c>
      <c r="F10" s="13">
        <f>+'สรุปรวมคชจ.'!F11</f>
        <v>0</v>
      </c>
      <c r="G10" s="13">
        <f>+'สรุปรวมคชจ.'!G11</f>
        <v>0</v>
      </c>
      <c r="H10" s="13">
        <f>+'สรุปรวมคชจ.'!H11</f>
        <v>163557</v>
      </c>
      <c r="I10" s="13">
        <f>+'สรุปรวมคชจ.'!I11</f>
        <v>0</v>
      </c>
      <c r="J10" s="13">
        <f>+'สรุปรวมคชจ.'!J11</f>
        <v>0</v>
      </c>
      <c r="K10" s="13">
        <f>+'สรุปรวมคชจ.'!K11</f>
        <v>0</v>
      </c>
      <c r="L10" s="13">
        <f>+'สรุปรวมคชจ.'!L11</f>
        <v>0</v>
      </c>
      <c r="M10" s="13">
        <f>+'สรุปรวมคชจ.'!M11</f>
        <v>0</v>
      </c>
      <c r="N10" s="13">
        <f t="shared" si="0"/>
        <v>8492982.04</v>
      </c>
      <c r="O10" s="13">
        <f>+'สรุปรวมคชจ.'!Q11</f>
        <v>2881387.67</v>
      </c>
      <c r="P10" s="13">
        <f>+'สรุปรวมคชจ.'!R11</f>
        <v>1516326</v>
      </c>
      <c r="Q10" s="13">
        <f>+'สรุปรวมคชจ.'!S11</f>
        <v>0</v>
      </c>
      <c r="R10" s="13">
        <f>+'สรุปรวมคชจ.'!T11</f>
        <v>6007505.1</v>
      </c>
      <c r="S10" s="13">
        <f>+'สรุปรวมคชจ.'!U11</f>
        <v>379923.01</v>
      </c>
      <c r="T10" s="13">
        <f>+'สรุปรวมคชจ.'!V11</f>
        <v>0</v>
      </c>
      <c r="U10" s="13">
        <f t="shared" si="1"/>
        <v>10785141.78</v>
      </c>
      <c r="V10" s="13">
        <f>+'สรุปรวมคชจ.'!Z11</f>
        <v>4304163.32</v>
      </c>
      <c r="W10" s="13">
        <f>+'สรุปรวมคชจ.'!AA11</f>
        <v>444000</v>
      </c>
      <c r="X10" s="13">
        <f>+'สรุปรวมคชจ.'!AB11</f>
        <v>0</v>
      </c>
      <c r="Y10" s="13">
        <f t="shared" si="2"/>
        <v>4748163.32</v>
      </c>
      <c r="Z10" s="13">
        <f t="shared" si="3"/>
        <v>24026287.14</v>
      </c>
      <c r="AA10" s="24">
        <v>634.49</v>
      </c>
      <c r="AB10" s="2">
        <f>AB6*AA10/AA24</f>
        <v>23588191.88826814</v>
      </c>
      <c r="AC10" s="2">
        <f>AC6*AB10/AB24</f>
        <v>9007581.961889775</v>
      </c>
      <c r="AD10" s="2">
        <f>AD6*AC10/AC24</f>
        <v>2216772.1960356603</v>
      </c>
      <c r="AE10" s="24">
        <f aca="true" t="shared" si="7" ref="AE10:AE24">+N10+AB10</f>
        <v>32081173.92826814</v>
      </c>
      <c r="AF10" s="2">
        <f t="shared" si="4"/>
        <v>19792723.741889775</v>
      </c>
      <c r="AG10" s="2">
        <f t="shared" si="6"/>
        <v>6964935.516035661</v>
      </c>
      <c r="AH10" s="2">
        <f t="shared" si="5"/>
        <v>58838833.18619357</v>
      </c>
    </row>
    <row r="11" spans="1:34" ht="18.75">
      <c r="A11" s="15" t="s">
        <v>11</v>
      </c>
      <c r="B11" s="13">
        <f>+'สรุปรวมคชจ.'!B12</f>
        <v>6225000</v>
      </c>
      <c r="C11" s="13">
        <f>+'สรุปรวมคชจ.'!C12</f>
        <v>3540693.36</v>
      </c>
      <c r="D11" s="13">
        <f>+'สรุปรวมคชจ.'!D12</f>
        <v>66408.17</v>
      </c>
      <c r="E11" s="13">
        <f>+'สรุปรวมคชจ.'!E12</f>
        <v>208907</v>
      </c>
      <c r="F11" s="13">
        <f>+'สรุปรวมคชจ.'!F12</f>
        <v>0</v>
      </c>
      <c r="G11" s="13">
        <f>+'สรุปรวมคชจ.'!G12</f>
        <v>0</v>
      </c>
      <c r="H11" s="13">
        <f>+'สรุปรวมคชจ.'!H12</f>
        <v>252130</v>
      </c>
      <c r="I11" s="13">
        <f>+'สรุปรวมคชจ.'!I12</f>
        <v>0</v>
      </c>
      <c r="J11" s="13">
        <f>+'สรุปรวมคชจ.'!J12</f>
        <v>0</v>
      </c>
      <c r="K11" s="13">
        <f>+'สรุปรวมคชจ.'!K12</f>
        <v>1257300</v>
      </c>
      <c r="L11" s="13">
        <f>+'สรุปรวมคชจ.'!L12</f>
        <v>0</v>
      </c>
      <c r="M11" s="13">
        <f>+'สรุปรวมคชจ.'!M12</f>
        <v>0</v>
      </c>
      <c r="N11" s="13">
        <f t="shared" si="0"/>
        <v>11550438.53</v>
      </c>
      <c r="O11" s="13">
        <f>+'สรุปรวมคชจ.'!Q12</f>
        <v>3531711.35</v>
      </c>
      <c r="P11" s="13">
        <f>+'สรุปรวมคชจ.'!R12</f>
        <v>2796769.56</v>
      </c>
      <c r="Q11" s="13">
        <f>+'สรุปรวมคชจ.'!S12</f>
        <v>0</v>
      </c>
      <c r="R11" s="13">
        <f>+'สรุปรวมคชจ.'!T12</f>
        <v>12724242.17</v>
      </c>
      <c r="S11" s="13">
        <f>+'สรุปรวมคชจ.'!U12</f>
        <v>1079094.7</v>
      </c>
      <c r="T11" s="13">
        <f>+'สรุปรวมคชจ.'!V12</f>
        <v>0</v>
      </c>
      <c r="U11" s="13">
        <f t="shared" si="1"/>
        <v>20131817.779999997</v>
      </c>
      <c r="V11" s="13">
        <f>+'สรุปรวมคชจ.'!Z12</f>
        <v>2102230.02</v>
      </c>
      <c r="W11" s="13">
        <f>+'สรุปรวมคชจ.'!AA12</f>
        <v>620720</v>
      </c>
      <c r="X11" s="13">
        <f>+'สรุปรวมคชจ.'!AB12</f>
        <v>0</v>
      </c>
      <c r="Y11" s="13">
        <f t="shared" si="2"/>
        <v>2722950.02</v>
      </c>
      <c r="Z11" s="13">
        <f t="shared" si="3"/>
        <v>34405206.33</v>
      </c>
      <c r="AA11" s="24">
        <v>948.16</v>
      </c>
      <c r="AB11" s="2">
        <f>AB6*AA11/AA24</f>
        <v>35249381.425680965</v>
      </c>
      <c r="AC11" s="2">
        <f>AC6*AB11/AB24</f>
        <v>13460620.203605114</v>
      </c>
      <c r="AD11" s="2">
        <f>AD6*AC11/AC24</f>
        <v>3312668.0095717376</v>
      </c>
      <c r="AE11" s="24">
        <f>+N11+AB11</f>
        <v>46799819.95568097</v>
      </c>
      <c r="AF11" s="2">
        <f t="shared" si="4"/>
        <v>33592437.98360511</v>
      </c>
      <c r="AG11" s="2">
        <f t="shared" si="6"/>
        <v>6035618.029571738</v>
      </c>
      <c r="AH11" s="2">
        <f t="shared" si="5"/>
        <v>86427875.96885782</v>
      </c>
    </row>
    <row r="12" spans="1:34" ht="18.75">
      <c r="A12" s="15" t="s">
        <v>12</v>
      </c>
      <c r="B12" s="13">
        <f>+'สรุปรวมคชจ.'!B13</f>
        <v>6000000</v>
      </c>
      <c r="C12" s="13">
        <f>+'สรุปรวมคชจ.'!C13</f>
        <v>2123543.7</v>
      </c>
      <c r="D12" s="13">
        <f>+'สรุปรวมคชจ.'!D13</f>
        <v>34557.24</v>
      </c>
      <c r="E12" s="13">
        <f>+'สรุปรวมคชจ.'!E13</f>
        <v>145885</v>
      </c>
      <c r="F12" s="13">
        <f>+'สรุปรวมคชจ.'!F13</f>
        <v>0</v>
      </c>
      <c r="G12" s="13">
        <f>+'สรุปรวมคชจ.'!G13</f>
        <v>0</v>
      </c>
      <c r="H12" s="13">
        <f>+'สรุปรวมคชจ.'!H13</f>
        <v>37277</v>
      </c>
      <c r="I12" s="13">
        <f>+'สรุปรวมคชจ.'!I13</f>
        <v>0</v>
      </c>
      <c r="J12" s="13" t="str">
        <f>+'สรุปรวมคชจ.'!J13</f>
        <v> </v>
      </c>
      <c r="K12" s="13">
        <f>+'สรุปรวมคชจ.'!K13</f>
        <v>1875700</v>
      </c>
      <c r="L12" s="13">
        <f>+'สรุปรวมคชจ.'!L13</f>
        <v>0</v>
      </c>
      <c r="M12" s="13">
        <f>+'สรุปรวมคชจ.'!M13</f>
        <v>0</v>
      </c>
      <c r="N12" s="13">
        <f t="shared" si="0"/>
        <v>10216962.940000001</v>
      </c>
      <c r="O12" s="13">
        <f>+'สรุปรวมคชจ.'!Q13</f>
        <v>4530122.8</v>
      </c>
      <c r="P12" s="13">
        <f>+'สรุปรวมคชจ.'!R13</f>
        <v>267395.01</v>
      </c>
      <c r="Q12" s="13">
        <f>+'สรุปรวมคชจ.'!S13</f>
        <v>0</v>
      </c>
      <c r="R12" s="13">
        <f>+'สรุปรวมคชจ.'!T13</f>
        <v>10724009.9</v>
      </c>
      <c r="S12" s="13">
        <f>+'สรุปรวมคชจ.'!U13</f>
        <v>1191147.65</v>
      </c>
      <c r="T12" s="13">
        <f>+'สรุปรวมคชจ.'!V13</f>
        <v>0</v>
      </c>
      <c r="U12" s="13">
        <f t="shared" si="1"/>
        <v>16712675.360000001</v>
      </c>
      <c r="V12" s="13">
        <f>+'สรุปรวมคชจ.'!Z13</f>
        <v>1975385.8</v>
      </c>
      <c r="W12" s="13">
        <f>+'สรุปรวมคชจ.'!AA13</f>
        <v>509695</v>
      </c>
      <c r="X12" s="13">
        <f>+'สรุปรวมคชจ.'!AB13</f>
        <v>0</v>
      </c>
      <c r="Y12" s="13">
        <f t="shared" si="2"/>
        <v>2485080.8</v>
      </c>
      <c r="Z12" s="13">
        <f t="shared" si="3"/>
        <v>29414719.100000005</v>
      </c>
      <c r="AA12" s="24">
        <v>493.4</v>
      </c>
      <c r="AB12" s="2">
        <f>AB6*AA12/AA24</f>
        <v>18342942.958394144</v>
      </c>
      <c r="AC12" s="2">
        <f>AC6*AB12/AB24</f>
        <v>7004587.842198324</v>
      </c>
      <c r="AD12" s="2">
        <f>AD6*AC12/AC24</f>
        <v>1723833.9477753704</v>
      </c>
      <c r="AE12" s="24">
        <f t="shared" si="7"/>
        <v>28559905.898394145</v>
      </c>
      <c r="AF12" s="2">
        <f t="shared" si="4"/>
        <v>23717263.202198327</v>
      </c>
      <c r="AG12" s="2">
        <f t="shared" si="6"/>
        <v>4208914.74777537</v>
      </c>
      <c r="AH12" s="2">
        <f t="shared" si="5"/>
        <v>56486083.84836784</v>
      </c>
    </row>
    <row r="13" spans="1:34" ht="18.75">
      <c r="A13" s="15" t="s">
        <v>13</v>
      </c>
      <c r="B13" s="13">
        <f>+'สรุปรวมคชจ.'!B14</f>
        <v>0</v>
      </c>
      <c r="C13" s="13">
        <f>+'สรุปรวมคชจ.'!C14</f>
        <v>0</v>
      </c>
      <c r="D13" s="13">
        <f>+'สรุปรวมคชจ.'!D14</f>
        <v>0</v>
      </c>
      <c r="E13" s="13">
        <f>+'สรุปรวมคชจ.'!E14</f>
        <v>20000</v>
      </c>
      <c r="F13" s="13">
        <f>+'สรุปรวมคชจ.'!F14</f>
        <v>0</v>
      </c>
      <c r="G13" s="13">
        <f>+'สรุปรวมคชจ.'!G14</f>
        <v>0</v>
      </c>
      <c r="H13" s="13">
        <f>+'สรุปรวมคชจ.'!H14</f>
        <v>114117.2</v>
      </c>
      <c r="I13" s="13">
        <f>+'สรุปรวมคชจ.'!I14</f>
        <v>0</v>
      </c>
      <c r="J13" s="13">
        <f>+'สรุปรวมคชจ.'!J14</f>
        <v>0</v>
      </c>
      <c r="K13" s="13">
        <f>+'สรุปรวมคชจ.'!K14</f>
        <v>685600</v>
      </c>
      <c r="L13" s="13">
        <f>+'สรุปรวมคชจ.'!L14</f>
        <v>105000</v>
      </c>
      <c r="M13" s="13">
        <f>+'สรุปรวมคชจ.'!M14</f>
        <v>0</v>
      </c>
      <c r="N13" s="13">
        <f t="shared" si="0"/>
        <v>924717.2</v>
      </c>
      <c r="O13" s="13">
        <f>+'สรุปรวมคชจ.'!Q14</f>
        <v>499713.21</v>
      </c>
      <c r="P13" s="13">
        <f>+'สรุปรวมคชจ.'!R14</f>
        <v>3068.21</v>
      </c>
      <c r="Q13" s="13">
        <f>+'สรุปรวมคชจ.'!S14</f>
        <v>0</v>
      </c>
      <c r="R13" s="13">
        <f>+'สรุปรวมคชจ.'!T14</f>
        <v>1505335.58</v>
      </c>
      <c r="S13" s="13">
        <f>+'สรุปรวมคชจ.'!U14</f>
        <v>246487.90000000002</v>
      </c>
      <c r="T13" s="13">
        <f>+'สรุปรวมคชจ.'!V14</f>
        <v>0</v>
      </c>
      <c r="U13" s="13">
        <f t="shared" si="1"/>
        <v>2254604.9</v>
      </c>
      <c r="V13" s="13">
        <f>+'สรุปรวมคชจ.'!Z14</f>
        <v>0</v>
      </c>
      <c r="W13" s="13">
        <f>+'สรุปรวมคชจ.'!AA14</f>
        <v>11220</v>
      </c>
      <c r="X13" s="13">
        <f>+'สรุปรวมคชจ.'!AB14</f>
        <v>0</v>
      </c>
      <c r="Y13" s="13">
        <f t="shared" si="2"/>
        <v>11220</v>
      </c>
      <c r="Z13" s="13">
        <f t="shared" si="3"/>
        <v>3190542.0999999996</v>
      </c>
      <c r="AA13" s="24">
        <v>21.17</v>
      </c>
      <c r="AB13" s="2">
        <f>AB6*AA13/AA24</f>
        <v>787028.9874933199</v>
      </c>
      <c r="AC13" s="2">
        <f>AC6*AB13/AB24</f>
        <v>300541.3956614077</v>
      </c>
      <c r="AD13" s="2">
        <f>AD6*AC13/AC24</f>
        <v>73963.44684719213</v>
      </c>
      <c r="AE13" s="24">
        <f t="shared" si="7"/>
        <v>1711746.1874933199</v>
      </c>
      <c r="AF13" s="2">
        <f t="shared" si="4"/>
        <v>2555146.2956614075</v>
      </c>
      <c r="AG13" s="2">
        <f t="shared" si="6"/>
        <v>85183.44684719213</v>
      </c>
      <c r="AH13" s="2">
        <f t="shared" si="5"/>
        <v>4352075.930001919</v>
      </c>
    </row>
    <row r="14" spans="1:34" ht="21">
      <c r="A14" s="9" t="s">
        <v>14</v>
      </c>
      <c r="B14" s="13">
        <f>+'สรุปรวมคชจ.'!B15</f>
        <v>1134492</v>
      </c>
      <c r="C14" s="13">
        <f>+'สรุปรวมคชจ.'!C15</f>
        <v>2956633.36</v>
      </c>
      <c r="D14" s="13">
        <f>+'สรุปรวมคชจ.'!D15</f>
        <v>0</v>
      </c>
      <c r="E14" s="13">
        <f>+'สรุปรวมคชจ.'!E15</f>
        <v>282448</v>
      </c>
      <c r="F14" s="13">
        <f>+'สรุปรวมคชจ.'!F15</f>
        <v>169536</v>
      </c>
      <c r="G14" s="13">
        <f>+'สรุปรวมคชจ.'!G15</f>
        <v>0</v>
      </c>
      <c r="H14" s="13">
        <f>+'สรุปรวมคชจ.'!H15</f>
        <v>2897641.43</v>
      </c>
      <c r="I14" s="13">
        <f>+'สรุปรวมคชจ.'!I15</f>
        <v>288802.6</v>
      </c>
      <c r="J14" s="13">
        <f>+'สรุปรวมคชจ.'!J15</f>
        <v>0</v>
      </c>
      <c r="K14" s="13">
        <f>+'สรุปรวมคชจ.'!K15</f>
        <v>17165115.34</v>
      </c>
      <c r="L14" s="13">
        <f>+'สรุปรวมคชจ.'!L15</f>
        <v>949758</v>
      </c>
      <c r="M14" s="13">
        <f>+'สรุปรวมคชจ.'!M15</f>
        <v>0</v>
      </c>
      <c r="N14" s="13">
        <f t="shared" si="0"/>
        <v>25844426.729999997</v>
      </c>
      <c r="O14" s="13">
        <f>+'สรุปรวมคชจ.'!Q15</f>
        <v>2995681.6</v>
      </c>
      <c r="P14" s="13">
        <f>+'สรุปรวมคชจ.'!R15</f>
        <v>7235722.25</v>
      </c>
      <c r="Q14" s="13">
        <f>+'สรุปรวมคชจ.'!S15</f>
        <v>0</v>
      </c>
      <c r="R14" s="13">
        <f>+'สรุปรวมคชจ.'!T15</f>
        <v>13994747.13</v>
      </c>
      <c r="S14" s="13">
        <f>+'สรุปรวมคชจ.'!U15</f>
        <v>1753038.31</v>
      </c>
      <c r="T14" s="13">
        <f>+'สรุปรวมคชจ.'!V15</f>
        <v>0</v>
      </c>
      <c r="U14" s="13">
        <f t="shared" si="1"/>
        <v>25979189.29</v>
      </c>
      <c r="V14" s="13">
        <f>+'สรุปรวมคชจ.'!Z15</f>
        <v>1844677.6</v>
      </c>
      <c r="W14" s="13">
        <f>+'สรุปรวมคชจ.'!AA15</f>
        <v>470682</v>
      </c>
      <c r="X14" s="13">
        <f>+'สรุปรวมคชจ.'!AB15</f>
        <v>0</v>
      </c>
      <c r="Y14" s="13">
        <f t="shared" si="2"/>
        <v>2315359.6</v>
      </c>
      <c r="Z14" s="13">
        <f t="shared" si="3"/>
        <v>54138975.62</v>
      </c>
      <c r="AA14" s="24">
        <v>687.37</v>
      </c>
      <c r="AB14" s="2">
        <f>AB6*AA14/AA24</f>
        <v>25554091.409224525</v>
      </c>
      <c r="AC14" s="2">
        <f>AC6*AB14/AB24</f>
        <v>9758296.60537467</v>
      </c>
      <c r="AD14" s="2">
        <f>AD6*AC14/AC24</f>
        <v>2401523.5927895345</v>
      </c>
      <c r="AE14" s="24">
        <f t="shared" si="7"/>
        <v>51398518.13922452</v>
      </c>
      <c r="AF14" s="2">
        <f t="shared" si="4"/>
        <v>35737485.89537467</v>
      </c>
      <c r="AG14" s="2">
        <f t="shared" si="6"/>
        <v>4716883.192789534</v>
      </c>
      <c r="AH14" s="2">
        <f t="shared" si="5"/>
        <v>91852887.22738872</v>
      </c>
    </row>
    <row r="15" spans="1:34" ht="18.75">
      <c r="A15" s="15" t="s">
        <v>15</v>
      </c>
      <c r="B15" s="13">
        <f>+'สรุปรวมคชจ.'!B16</f>
        <v>8389564.74</v>
      </c>
      <c r="C15" s="13">
        <f>+'สรุปรวมคชจ.'!C16</f>
        <v>506745.19</v>
      </c>
      <c r="D15" s="13">
        <f>+'สรุปรวมคชจ.'!D16</f>
        <v>0</v>
      </c>
      <c r="E15" s="13">
        <f>+'สรุปรวมคชจ.'!E16</f>
        <v>24600</v>
      </c>
      <c r="F15" s="13">
        <f>+'สรุปรวมคชจ.'!F16</f>
        <v>108780</v>
      </c>
      <c r="G15" s="13">
        <f>+'สรุปรวมคชจ.'!G16</f>
        <v>0</v>
      </c>
      <c r="H15" s="13">
        <f>+'สรุปรวมคชจ.'!H16</f>
        <v>425271.28</v>
      </c>
      <c r="I15" s="13">
        <f>+'สรุปรวมคชจ.'!I16</f>
        <v>32974</v>
      </c>
      <c r="J15" s="13">
        <f>+'สรุปรวมคชจ.'!J16</f>
        <v>0</v>
      </c>
      <c r="K15" s="13">
        <f>+'สรุปรวมคชจ.'!K16</f>
        <v>1615400</v>
      </c>
      <c r="L15" s="13">
        <f>+'สรุปรวมคชจ.'!L16</f>
        <v>137110</v>
      </c>
      <c r="M15" s="13">
        <f>+'สรุปรวมคชจ.'!M16</f>
        <v>0</v>
      </c>
      <c r="N15" s="13">
        <f t="shared" si="0"/>
        <v>11240445.209999999</v>
      </c>
      <c r="O15" s="13">
        <f>+'สรุปรวมคชจ.'!Q16</f>
        <v>3613300.13</v>
      </c>
      <c r="P15" s="13">
        <f>+'สรุปรวมคชจ.'!R16</f>
        <v>367504.96</v>
      </c>
      <c r="Q15" s="13">
        <f>+'สรุปรวมคชจ.'!S16</f>
        <v>0</v>
      </c>
      <c r="R15" s="13">
        <f>+'สรุปรวมคชจ.'!T16</f>
        <v>8773958.68</v>
      </c>
      <c r="S15" s="13">
        <f>+'สรุปรวมคชจ.'!U16</f>
        <v>880786.9599999998</v>
      </c>
      <c r="T15" s="13">
        <f>+'สรุปรวมคชจ.'!V16</f>
        <v>0</v>
      </c>
      <c r="U15" s="13">
        <f t="shared" si="1"/>
        <v>13635550.729999999</v>
      </c>
      <c r="V15" s="13">
        <f>+'สรุปรวมคชจ.'!Z16</f>
        <v>0</v>
      </c>
      <c r="W15" s="13">
        <f>+'สรุปรวมคชจ.'!AA16</f>
        <v>1430294.54</v>
      </c>
      <c r="X15" s="13">
        <f>+'สรุปรวมคชจ.'!AB16</f>
        <v>0</v>
      </c>
      <c r="Y15" s="13">
        <f t="shared" si="2"/>
        <v>1430294.54</v>
      </c>
      <c r="Z15" s="13">
        <f t="shared" si="3"/>
        <v>26306290.479999997</v>
      </c>
      <c r="AA15" s="24">
        <v>191.72</v>
      </c>
      <c r="AB15" s="2">
        <f>AB6*AA15/AA24</f>
        <v>7127501.06198485</v>
      </c>
      <c r="AC15" s="2">
        <f>AC6*AB15/AB24</f>
        <v>2721766.4797451617</v>
      </c>
      <c r="AD15" s="2">
        <f>AD6*AC15/AC24</f>
        <v>669828.626808865</v>
      </c>
      <c r="AE15" s="24">
        <f t="shared" si="7"/>
        <v>18367946.27198485</v>
      </c>
      <c r="AF15" s="2">
        <f t="shared" si="4"/>
        <v>16357317.209745161</v>
      </c>
      <c r="AG15" s="2">
        <f t="shared" si="6"/>
        <v>2100123.166808865</v>
      </c>
      <c r="AH15" s="2">
        <f t="shared" si="5"/>
        <v>36825386.64853888</v>
      </c>
    </row>
    <row r="16" spans="1:34" ht="21">
      <c r="A16" s="9" t="s">
        <v>16</v>
      </c>
      <c r="B16" s="13">
        <f>+'สรุปรวมคชจ.'!B17</f>
        <v>0</v>
      </c>
      <c r="C16" s="13">
        <f>+'สรุปรวมคชจ.'!C17</f>
        <v>2247041.88</v>
      </c>
      <c r="D16" s="13">
        <f>+'สรุปรวมคชจ.'!D17</f>
        <v>0</v>
      </c>
      <c r="E16" s="13">
        <f>+'สรุปรวมคชจ.'!E17</f>
        <v>112560</v>
      </c>
      <c r="F16" s="13">
        <f>+'สรุปรวมคชจ.'!F17</f>
        <v>7514</v>
      </c>
      <c r="G16" s="13">
        <f>+'สรุปรวมคชจ.'!G17</f>
        <v>0</v>
      </c>
      <c r="H16" s="13">
        <f>+'สรุปรวมคชจ.'!H17</f>
        <v>452350</v>
      </c>
      <c r="I16" s="13">
        <f>+'สรุปรวมคชจ.'!I17</f>
        <v>816928.6</v>
      </c>
      <c r="J16" s="13">
        <f>+'สรุปรวมคชจ.'!J17</f>
        <v>0</v>
      </c>
      <c r="K16" s="13">
        <f>+'สรุปรวมคชจ.'!K17</f>
        <v>12063500</v>
      </c>
      <c r="L16" s="13">
        <f>+'สรุปรวมคชจ.'!L17</f>
        <v>663160</v>
      </c>
      <c r="M16" s="13">
        <f>+'สรุปรวมคชจ.'!M17</f>
        <v>0</v>
      </c>
      <c r="N16" s="13">
        <f t="shared" si="0"/>
        <v>16363054.48</v>
      </c>
      <c r="O16" s="13">
        <f>+'สรุปรวมคชจ.'!Q17</f>
        <v>1774954.68</v>
      </c>
      <c r="P16" s="13">
        <f>+'สรุปรวมคชจ.'!R17</f>
        <v>3096142.29</v>
      </c>
      <c r="Q16" s="13">
        <f>+'สรุปรวมคชจ.'!S17</f>
        <v>0</v>
      </c>
      <c r="R16" s="13">
        <f>+'สรุปรวมคชจ.'!T17</f>
        <v>3298411.11</v>
      </c>
      <c r="S16" s="13">
        <f>+'สรุปรวมคชจ.'!U17</f>
        <v>1355642.81</v>
      </c>
      <c r="T16" s="13">
        <f>+'สรุปรวมคชจ.'!V17</f>
        <v>0</v>
      </c>
      <c r="U16" s="13">
        <f t="shared" si="1"/>
        <v>9525150.89</v>
      </c>
      <c r="V16" s="13">
        <f>+'สรุปรวมคชจ.'!Z17</f>
        <v>1106790</v>
      </c>
      <c r="W16" s="13">
        <f>+'สรุปรวมคชจ.'!AA17</f>
        <v>601200</v>
      </c>
      <c r="X16" s="13">
        <f>+'สรุปรวมคชจ.'!AB17</f>
        <v>0</v>
      </c>
      <c r="Y16" s="13">
        <f t="shared" si="2"/>
        <v>1707990</v>
      </c>
      <c r="Z16" s="13">
        <f t="shared" si="3"/>
        <v>27596195.37</v>
      </c>
      <c r="AA16" s="24">
        <v>667.47</v>
      </c>
      <c r="AB16" s="2">
        <f>AB6*AA16/AA24</f>
        <v>24814276.72565736</v>
      </c>
      <c r="AC16" s="2">
        <f>AC6*AB16/AB24</f>
        <v>9475784.854138866</v>
      </c>
      <c r="AD16" s="2">
        <f>AD6*AC16/AC24</f>
        <v>2331997.2539960006</v>
      </c>
      <c r="AE16" s="24">
        <f>+N16+AB16</f>
        <v>41177331.20565736</v>
      </c>
      <c r="AF16" s="2">
        <f t="shared" si="4"/>
        <v>19000935.744138867</v>
      </c>
      <c r="AG16" s="2">
        <f t="shared" si="6"/>
        <v>4039987.2539960006</v>
      </c>
      <c r="AH16" s="2">
        <f t="shared" si="5"/>
        <v>64218254.20379223</v>
      </c>
    </row>
    <row r="17" spans="1:34" ht="18.75">
      <c r="A17" s="15" t="s">
        <v>17</v>
      </c>
      <c r="B17" s="13">
        <f>+'สรุปรวมคชจ.'!B18</f>
        <v>2490398.87</v>
      </c>
      <c r="C17" s="13">
        <f>+'สรุปรวมคชจ.'!C18</f>
        <v>432721.16</v>
      </c>
      <c r="D17" s="13">
        <f>+'สรุปรวมคชจ.'!D18</f>
        <v>0</v>
      </c>
      <c r="E17" s="13">
        <f>+'สรุปรวมคชจ.'!E18</f>
        <v>946874.74</v>
      </c>
      <c r="F17" s="13">
        <f>+'สรุปรวมคชจ.'!F18</f>
        <v>22840</v>
      </c>
      <c r="G17" s="13">
        <f>+'สรุปรวมคชจ.'!G18</f>
        <v>0</v>
      </c>
      <c r="H17" s="13">
        <f>+'สรุปรวมคชจ.'!H18</f>
        <v>340563.99</v>
      </c>
      <c r="I17" s="13">
        <f>+'สรุปรวมคชจ.'!I18</f>
        <v>0</v>
      </c>
      <c r="J17" s="13">
        <f>+'สรุปรวมคชจ.'!J18</f>
        <v>0</v>
      </c>
      <c r="K17" s="13">
        <f>+'สรุปรวมคชจ.'!K18</f>
        <v>1291300</v>
      </c>
      <c r="L17" s="13">
        <f>+'สรุปรวมคชจ.'!L18</f>
        <v>161350</v>
      </c>
      <c r="M17" s="13">
        <f>+'สรุปรวมคชจ.'!M18</f>
        <v>0</v>
      </c>
      <c r="N17" s="13">
        <f t="shared" si="0"/>
        <v>5686048.760000001</v>
      </c>
      <c r="O17" s="13">
        <f>+'สรุปรวมคชจ.'!Q18</f>
        <v>2140085.29</v>
      </c>
      <c r="P17" s="13">
        <f>+'สรุปรวมคชจ.'!R18</f>
        <v>184025</v>
      </c>
      <c r="Q17" s="13">
        <f>+'สรุปรวมคชจ.'!S18</f>
        <v>0</v>
      </c>
      <c r="R17" s="13">
        <f>+'สรุปรวมคชจ.'!T18</f>
        <v>3974412.0200000005</v>
      </c>
      <c r="S17" s="13">
        <f>+'สรุปรวมคชจ.'!U18</f>
        <v>99047.84</v>
      </c>
      <c r="T17" s="13">
        <f>+'สรุปรวมคชจ.'!V18</f>
        <v>0</v>
      </c>
      <c r="U17" s="13">
        <f t="shared" si="1"/>
        <v>6397570.15</v>
      </c>
      <c r="V17" s="13">
        <f>+'สรุปรวมคชจ.'!Z18</f>
        <v>0</v>
      </c>
      <c r="W17" s="13">
        <f>+'สรุปรวมคชจ.'!AA18</f>
        <v>592003.96</v>
      </c>
      <c r="X17" s="13">
        <f>+'สรุปรวมคชจ.'!AB18</f>
        <v>0</v>
      </c>
      <c r="Y17" s="13">
        <f t="shared" si="2"/>
        <v>592003.96</v>
      </c>
      <c r="Z17" s="13">
        <f t="shared" si="3"/>
        <v>12675622.870000001</v>
      </c>
      <c r="AA17" s="24">
        <v>73.42</v>
      </c>
      <c r="AB17" s="2">
        <f>AB6*AA17/AA24</f>
        <v>2729507.239572959</v>
      </c>
      <c r="AC17" s="2">
        <f>AC6*AB17/AB24</f>
        <v>1042312.1997855715</v>
      </c>
      <c r="AD17" s="2">
        <f>AD6*AC17/AC24</f>
        <v>256513.75850358268</v>
      </c>
      <c r="AE17" s="24">
        <f t="shared" si="7"/>
        <v>8415555.999572959</v>
      </c>
      <c r="AF17" s="2">
        <f t="shared" si="4"/>
        <v>7439882.349785572</v>
      </c>
      <c r="AG17" s="2">
        <f t="shared" si="6"/>
        <v>848517.7185035826</v>
      </c>
      <c r="AH17" s="2">
        <f t="shared" si="5"/>
        <v>16703956.067862114</v>
      </c>
    </row>
    <row r="18" spans="1:34" ht="18.75">
      <c r="A18" s="15" t="s">
        <v>18</v>
      </c>
      <c r="B18" s="13">
        <f>+'สรุปรวมคชจ.'!B19</f>
        <v>9725636.51</v>
      </c>
      <c r="C18" s="13">
        <f>+'สรุปรวมคชจ.'!C19</f>
        <v>3131759.66</v>
      </c>
      <c r="D18" s="13">
        <f>+'สรุปรวมคชจ.'!D19</f>
        <v>0</v>
      </c>
      <c r="E18" s="13">
        <f>+'สรุปรวมคชจ.'!E19</f>
        <v>996190</v>
      </c>
      <c r="F18" s="13">
        <f>+'สรุปรวมคชจ.'!F19</f>
        <v>6400</v>
      </c>
      <c r="G18" s="13">
        <f>+'สรุปรวมคชจ.'!G19</f>
        <v>0</v>
      </c>
      <c r="H18" s="13">
        <f>+'สรุปรวมคชจ.'!H19</f>
        <v>514609</v>
      </c>
      <c r="I18" s="13">
        <f>+'สรุปรวมคชจ.'!I19</f>
        <v>106146</v>
      </c>
      <c r="J18" s="13">
        <f>+'สรุปรวมคชจ.'!J19</f>
        <v>0</v>
      </c>
      <c r="K18" s="13">
        <f>+'สรุปรวมคชจ.'!K19</f>
        <v>1953000</v>
      </c>
      <c r="L18" s="13">
        <f>+'สรุปรวมคชจ.'!L19</f>
        <v>525220</v>
      </c>
      <c r="M18" s="13">
        <f>+'สรุปรวมคชจ.'!M19</f>
        <v>0</v>
      </c>
      <c r="N18" s="13">
        <f t="shared" si="0"/>
        <v>16958961.17</v>
      </c>
      <c r="O18" s="13">
        <f>+'สรุปรวมคชจ.'!Q19</f>
        <v>4374390.46</v>
      </c>
      <c r="P18" s="13">
        <f>+'สรุปรวมคชจ.'!R19</f>
        <v>876721.2100000001</v>
      </c>
      <c r="Q18" s="13">
        <f>+'สรุปรวมคชจ.'!S19</f>
        <v>0</v>
      </c>
      <c r="R18" s="13">
        <f>+'สรุปรวมคชจ.'!T19</f>
        <v>16583259.64</v>
      </c>
      <c r="S18" s="13">
        <f>+'สรุปรวมคชจ.'!U19</f>
        <v>2643647.35</v>
      </c>
      <c r="T18" s="13">
        <f>+'สรุปรวมคชจ.'!V19</f>
        <v>0</v>
      </c>
      <c r="U18" s="13">
        <f t="shared" si="1"/>
        <v>24478018.660000004</v>
      </c>
      <c r="V18" s="13">
        <f>+'สรุปรวมคชจ.'!Z19</f>
        <v>0</v>
      </c>
      <c r="W18" s="13">
        <f>+'สรุปรวมคชจ.'!AA19</f>
        <v>3311544.26</v>
      </c>
      <c r="X18" s="13">
        <f>+'สรุปรวมคชจ.'!AB19</f>
        <v>0</v>
      </c>
      <c r="Y18" s="13">
        <f t="shared" si="2"/>
        <v>3311544.26</v>
      </c>
      <c r="Z18" s="13">
        <f t="shared" si="3"/>
        <v>44748524.09</v>
      </c>
      <c r="AA18" s="24">
        <v>226.58</v>
      </c>
      <c r="AB18" s="2">
        <f>AB6*AA18/AA24</f>
        <v>8423477.939831669</v>
      </c>
      <c r="AC18" s="2">
        <f>AC6*AB18/AB24</f>
        <v>3216658.924372308</v>
      </c>
      <c r="AD18" s="2">
        <f>AD6*AC18/AC24</f>
        <v>791622.0022029661</v>
      </c>
      <c r="AE18" s="24">
        <f t="shared" si="7"/>
        <v>25382439.10983167</v>
      </c>
      <c r="AF18" s="2">
        <f t="shared" si="4"/>
        <v>27694677.58437231</v>
      </c>
      <c r="AG18" s="2">
        <f t="shared" si="6"/>
        <v>4103166.262202966</v>
      </c>
      <c r="AH18" s="2">
        <f t="shared" si="5"/>
        <v>57180282.95640694</v>
      </c>
    </row>
    <row r="19" spans="1:34" ht="18.75">
      <c r="A19" s="15" t="s">
        <v>19</v>
      </c>
      <c r="B19" s="13">
        <f>+'สรุปรวมคชจ.'!B20</f>
        <v>8532520</v>
      </c>
      <c r="C19" s="13">
        <f>+'สรุปรวมคชจ.'!C20</f>
        <v>6616219.55</v>
      </c>
      <c r="D19" s="13">
        <f>+'สรุปรวมคชจ.'!D20</f>
        <v>0</v>
      </c>
      <c r="E19" s="13">
        <f>+'สรุปรวมคชจ.'!E20</f>
        <v>119678</v>
      </c>
      <c r="F19" s="13">
        <f>+'สรุปรวมคชจ.'!F20</f>
        <v>17160.06</v>
      </c>
      <c r="G19" s="13">
        <f>+'สรุปรวมคชจ.'!G20</f>
        <v>0</v>
      </c>
      <c r="H19" s="13">
        <f>+'สรุปรวมคชจ.'!H20</f>
        <v>632783.72</v>
      </c>
      <c r="I19" s="13">
        <f>+'สรุปรวมคชจ.'!I20</f>
        <v>461375.46</v>
      </c>
      <c r="J19" s="13">
        <f>+'สรุปรวมคชจ.'!J20</f>
        <v>0</v>
      </c>
      <c r="K19" s="13">
        <f>+'สรุปรวมคชจ.'!K20</f>
        <v>3104922</v>
      </c>
      <c r="L19" s="13">
        <f>+'สรุปรวมคชจ.'!L20</f>
        <v>1149170</v>
      </c>
      <c r="M19" s="13">
        <f>+'สรุปรวมคชจ.'!M20</f>
        <v>0</v>
      </c>
      <c r="N19" s="13">
        <f t="shared" si="0"/>
        <v>20633828.790000003</v>
      </c>
      <c r="O19" s="13">
        <f>+'สรุปรวมคชจ.'!Q20</f>
        <v>3941412.81</v>
      </c>
      <c r="P19" s="13">
        <f>+'สรุปรวมคชจ.'!R20</f>
        <v>3008647.74</v>
      </c>
      <c r="Q19" s="13">
        <f>+'สรุปรวมคชจ.'!S20</f>
        <v>0</v>
      </c>
      <c r="R19" s="13">
        <f>+'สรุปรวมคชจ.'!T20</f>
        <v>8335709.06</v>
      </c>
      <c r="S19" s="13">
        <f>+'สรุปรวมคชจ.'!U20</f>
        <v>2913514.84</v>
      </c>
      <c r="T19" s="13">
        <f>+'สรุปรวมคชจ.'!V20</f>
        <v>0</v>
      </c>
      <c r="U19" s="13">
        <f t="shared" si="1"/>
        <v>18199284.45</v>
      </c>
      <c r="V19" s="13">
        <f>+'สรุปรวมคชจ.'!Z20</f>
        <v>962401</v>
      </c>
      <c r="W19" s="13">
        <f>+'สรุปรวมคชจ.'!AA20</f>
        <v>1030540.23</v>
      </c>
      <c r="X19" s="13">
        <f>+'สรุปรวมคชจ.'!AB20</f>
        <v>0</v>
      </c>
      <c r="Y19" s="13">
        <f t="shared" si="2"/>
        <v>1992941.23</v>
      </c>
      <c r="Z19" s="13">
        <f t="shared" si="3"/>
        <v>40826054.47</v>
      </c>
      <c r="AA19" s="24">
        <v>1211.57</v>
      </c>
      <c r="AB19" s="2">
        <f>AB6*AA19/AA24</f>
        <v>45042074.17937088</v>
      </c>
      <c r="AC19" s="2">
        <f>AC6*AB19/AB24</f>
        <v>17200138.81631987</v>
      </c>
      <c r="AD19" s="2">
        <f>AD6*AC19/AC24</f>
        <v>4232966.145330777</v>
      </c>
      <c r="AE19" s="24">
        <f>+N19+AB19</f>
        <v>65675902.96937089</v>
      </c>
      <c r="AF19" s="2">
        <f t="shared" si="4"/>
        <v>35399423.26631987</v>
      </c>
      <c r="AG19" s="2">
        <f t="shared" si="6"/>
        <v>6225907.375330778</v>
      </c>
      <c r="AH19" s="2">
        <f t="shared" si="5"/>
        <v>107301233.61102153</v>
      </c>
    </row>
    <row r="20" spans="1:34" ht="18.75">
      <c r="A20" s="15" t="s">
        <v>20</v>
      </c>
      <c r="B20" s="13">
        <f>+'สรุปรวมคชจ.'!B21</f>
        <v>10209315.32</v>
      </c>
      <c r="C20" s="13">
        <f>+'สรุปรวมคชจ.'!C21</f>
        <v>1792081.06</v>
      </c>
      <c r="D20" s="13">
        <f>+'สรุปรวมคชจ.'!D21</f>
        <v>160162</v>
      </c>
      <c r="E20" s="13">
        <f>+'สรุปรวมคชจ.'!E21</f>
        <v>229700</v>
      </c>
      <c r="F20" s="13">
        <f>+'สรุปรวมคชจ.'!F21</f>
        <v>0</v>
      </c>
      <c r="G20" s="13">
        <f>+'สรุปรวมคชจ.'!G21</f>
        <v>0</v>
      </c>
      <c r="H20" s="13">
        <f>+'สรุปรวมคชจ.'!H21</f>
        <v>651639.88</v>
      </c>
      <c r="I20" s="13">
        <f>+'สรุปรวมคชจ.'!I21</f>
        <v>35845</v>
      </c>
      <c r="J20" s="13">
        <f>+'สรุปรวมคชจ.'!J21</f>
        <v>0</v>
      </c>
      <c r="K20" s="13">
        <f>+'สรุปรวมคชจ.'!K21</f>
        <v>10822500</v>
      </c>
      <c r="L20" s="13">
        <f>+'สรุปรวมคชจ.'!L21</f>
        <v>1258860</v>
      </c>
      <c r="M20" s="13">
        <f>+'สรุปรวมคชจ.'!M21</f>
        <v>0</v>
      </c>
      <c r="N20" s="13">
        <f t="shared" si="0"/>
        <v>25160103.26</v>
      </c>
      <c r="O20" s="13">
        <f>+'สรุปรวมคชจ.'!Q21</f>
        <v>4612023.16</v>
      </c>
      <c r="P20" s="13">
        <f>+'สรุปรวมคชจ.'!R21</f>
        <v>965919.27</v>
      </c>
      <c r="Q20" s="13">
        <f>+'สรุปรวมคชจ.'!S21</f>
        <v>0</v>
      </c>
      <c r="R20" s="13">
        <f>+'สรุปรวมคชจ.'!T21</f>
        <v>7025542.89</v>
      </c>
      <c r="S20" s="13">
        <f>+'สรุปรวมคชจ.'!U21</f>
        <v>596958.51</v>
      </c>
      <c r="T20" s="13">
        <f>+'สรุปรวมคชจ.'!V21</f>
        <v>0</v>
      </c>
      <c r="U20" s="13">
        <f t="shared" si="1"/>
        <v>13200443.83</v>
      </c>
      <c r="V20" s="13">
        <f>+'สรุปรวมคชจ.'!Z21</f>
        <v>0</v>
      </c>
      <c r="W20" s="13">
        <f>+'สรุปรวมคชจ.'!AA21</f>
        <v>2994600</v>
      </c>
      <c r="X20" s="13">
        <f>+'สรุปรวมคชจ.'!AB21</f>
        <v>0</v>
      </c>
      <c r="Y20" s="13">
        <f t="shared" si="2"/>
        <v>2994600</v>
      </c>
      <c r="Z20" s="26">
        <f t="shared" si="3"/>
        <v>41355147.09</v>
      </c>
      <c r="AA20" s="24">
        <v>338.42</v>
      </c>
      <c r="AB20" s="2">
        <f>AB6*AA20/AA24</f>
        <v>12581310.814713713</v>
      </c>
      <c r="AC20" s="2">
        <f>AC6*AB20/AB24</f>
        <v>4804403.359458365</v>
      </c>
      <c r="AD20" s="119">
        <f>AD6*AC20/AC24</f>
        <v>1182367.0137943674</v>
      </c>
      <c r="AE20" s="118">
        <f>+N20+AB20</f>
        <v>37741414.074713714</v>
      </c>
      <c r="AF20" s="2">
        <f t="shared" si="4"/>
        <v>18004847.189458363</v>
      </c>
      <c r="AG20" s="2">
        <f t="shared" si="6"/>
        <v>4176967.013794367</v>
      </c>
      <c r="AH20" s="2">
        <f t="shared" si="5"/>
        <v>59923228.27796645</v>
      </c>
    </row>
    <row r="21" spans="1:34" ht="18.75">
      <c r="A21" s="15" t="s">
        <v>21</v>
      </c>
      <c r="B21" s="13">
        <f>+'สรุปรวมคชจ.'!B22</f>
        <v>6782744.74</v>
      </c>
      <c r="C21" s="13">
        <f>+'สรุปรวมคชจ.'!C22</f>
        <v>2403602.73</v>
      </c>
      <c r="D21" s="13">
        <f>+'สรุปรวมคชจ.'!D22</f>
        <v>14032</v>
      </c>
      <c r="E21" s="13">
        <f>+'สรุปรวมคชจ.'!E22</f>
        <v>16670</v>
      </c>
      <c r="F21" s="13">
        <f>+'สรุปรวมคชจ.'!F22</f>
        <v>0</v>
      </c>
      <c r="G21" s="13">
        <f>+'สรุปรวมคชจ.'!G22</f>
        <v>0</v>
      </c>
      <c r="H21" s="13">
        <f>+'สรุปรวมคชจ.'!H22</f>
        <v>1106875.97</v>
      </c>
      <c r="I21" s="13">
        <f>+'สรุปรวมคชจ.'!I22</f>
        <v>241022.34</v>
      </c>
      <c r="J21" s="13">
        <f>+'สรุปรวมคชจ.'!J22</f>
        <v>0</v>
      </c>
      <c r="K21" s="13">
        <f>+'สรุปรวมคชจ.'!K22</f>
        <v>920000</v>
      </c>
      <c r="L21" s="13">
        <f>+'สรุปรวมคชจ.'!L22</f>
        <v>1530660</v>
      </c>
      <c r="M21" s="13">
        <f>+'สรุปรวมคชจ.'!M22</f>
        <v>0</v>
      </c>
      <c r="N21" s="13">
        <f t="shared" si="0"/>
        <v>13015607.780000001</v>
      </c>
      <c r="O21" s="13">
        <f>+'สรุปรวมคชจ.'!Q22</f>
        <v>2912485.75</v>
      </c>
      <c r="P21" s="13">
        <f>+'สรุปรวมคชจ.'!R22</f>
        <v>2870928.79</v>
      </c>
      <c r="Q21" s="13">
        <f>+'สรุปรวมคชจ.'!S22</f>
        <v>0</v>
      </c>
      <c r="R21" s="13">
        <f>+'สรุปรวมคชจ.'!T22</f>
        <v>1662378.77</v>
      </c>
      <c r="S21" s="13">
        <f>+'สรุปรวมคชจ.'!U22</f>
        <v>348226.84</v>
      </c>
      <c r="T21" s="13">
        <f>+'สรุปรวมคชจ.'!V22</f>
        <v>0</v>
      </c>
      <c r="U21" s="13">
        <f t="shared" si="1"/>
        <v>7794020.15</v>
      </c>
      <c r="V21" s="13">
        <f>+'สรุปรวมคชจ.'!Z22</f>
        <v>0</v>
      </c>
      <c r="W21" s="13">
        <f>+'สรุปรวมคชจ.'!AA22</f>
        <v>4822010</v>
      </c>
      <c r="X21" s="13">
        <f>+'สรุปรวมคชจ.'!AB22</f>
        <v>0</v>
      </c>
      <c r="Y21" s="13">
        <f t="shared" si="2"/>
        <v>4822010</v>
      </c>
      <c r="Z21" s="26">
        <f t="shared" si="3"/>
        <v>25631637.93</v>
      </c>
      <c r="AA21" s="24">
        <v>702.47</v>
      </c>
      <c r="AB21" s="2">
        <f>AB6*AA21/AA24</f>
        <v>26115458.329921227</v>
      </c>
      <c r="AC21" s="2">
        <f>AC6*AB21/AB24</f>
        <v>9972664.818623949</v>
      </c>
      <c r="AD21" s="119">
        <f>AD6*AC21/AC24</f>
        <v>2454279.759411764</v>
      </c>
      <c r="AE21" s="118">
        <f>+N21+AB21</f>
        <v>39131066.10992123</v>
      </c>
      <c r="AF21" s="2">
        <f t="shared" si="4"/>
        <v>17766684.96862395</v>
      </c>
      <c r="AG21" s="2">
        <f t="shared" si="6"/>
        <v>7276289.759411763</v>
      </c>
      <c r="AH21" s="2">
        <f t="shared" si="5"/>
        <v>64174040.83795695</v>
      </c>
    </row>
    <row r="22" spans="1:34" ht="18.75">
      <c r="A22" s="71" t="s">
        <v>232</v>
      </c>
      <c r="B22" s="13">
        <f>+'สรุปรวมคชจ.'!B23</f>
        <v>3010894.26</v>
      </c>
      <c r="C22" s="13">
        <f>+'สรุปรวมคชจ.'!C23</f>
        <v>1684475.66</v>
      </c>
      <c r="D22" s="13">
        <f>+'สรุปรวมคชจ.'!D23</f>
        <v>40845</v>
      </c>
      <c r="E22" s="13">
        <f>+'สรุปรวมคชจ.'!E23</f>
        <v>0</v>
      </c>
      <c r="F22" s="13">
        <f>+'สรุปรวมคชจ.'!F23</f>
        <v>0</v>
      </c>
      <c r="G22" s="13">
        <f>+'สรุปรวมคชจ.'!G23</f>
        <v>0</v>
      </c>
      <c r="H22" s="13">
        <f>+'สรุปรวมคชจ.'!H23</f>
        <v>444086</v>
      </c>
      <c r="I22" s="13">
        <f>+'สรุปรวมคชจ.'!I23</f>
        <v>104148</v>
      </c>
      <c r="J22" s="13">
        <f>+'สรุปรวมคชจ.'!J23</f>
        <v>0</v>
      </c>
      <c r="K22" s="13">
        <f>+'สรุปรวมคชจ.'!K23</f>
        <v>2072200</v>
      </c>
      <c r="L22" s="13">
        <f>+'สรุปรวมคชจ.'!L23</f>
        <v>673390</v>
      </c>
      <c r="M22" s="13">
        <f>+'สรุปรวมคชจ.'!M23</f>
        <v>0</v>
      </c>
      <c r="N22" s="13">
        <f t="shared" si="0"/>
        <v>8030038.92</v>
      </c>
      <c r="O22" s="13">
        <f>+'สรุปรวมคชจ.'!Q23</f>
        <v>2604213.34</v>
      </c>
      <c r="P22" s="13">
        <f>+'สรุปรวมคชจ.'!R23</f>
        <v>911626.03</v>
      </c>
      <c r="Q22" s="13">
        <f>+'สรุปรวมคชจ.'!S23</f>
        <v>0</v>
      </c>
      <c r="R22" s="13">
        <f>+'สรุปรวมคชจ.'!T23</f>
        <v>950612.76</v>
      </c>
      <c r="S22" s="13">
        <f>+'สรุปรวมคชจ.'!U23</f>
        <v>0</v>
      </c>
      <c r="T22" s="13">
        <f>+'สรุปรวมคชจ.'!V23</f>
        <v>0</v>
      </c>
      <c r="U22" s="13">
        <f t="shared" si="1"/>
        <v>4466452.13</v>
      </c>
      <c r="V22" s="13">
        <f>+'สรุปรวมคชจ.'!Z23</f>
        <v>0</v>
      </c>
      <c r="W22" s="13">
        <f>+'สรุปรวมคชจ.'!AA23</f>
        <v>2092540</v>
      </c>
      <c r="X22" s="13">
        <f>+'สรุปรวมคชจ.'!AB23</f>
        <v>0</v>
      </c>
      <c r="Y22" s="13">
        <f t="shared" si="2"/>
        <v>2092540</v>
      </c>
      <c r="Z22" s="26">
        <f t="shared" si="3"/>
        <v>14589031.05</v>
      </c>
      <c r="AA22" s="24">
        <v>306.88</v>
      </c>
      <c r="AB22" s="2">
        <f>AB6*AA22/AA24</f>
        <v>11408760.306185639</v>
      </c>
      <c r="AC22" s="2">
        <f>AC6*AB22/AB24</f>
        <v>4356643.528605233</v>
      </c>
      <c r="AD22" s="119">
        <f>AD6*AC22/AC24</f>
        <v>1072173.0074854188</v>
      </c>
      <c r="AE22" s="118">
        <f>+N22+AB22</f>
        <v>19438799.22618564</v>
      </c>
      <c r="AF22" s="10">
        <f t="shared" si="4"/>
        <v>8823095.658605233</v>
      </c>
      <c r="AG22" s="10">
        <f>+Y22+AD22</f>
        <v>3164713.0074854186</v>
      </c>
      <c r="AH22" s="10">
        <f>+AE22+AF22+AG22</f>
        <v>31426607.89227629</v>
      </c>
    </row>
    <row r="23" spans="1:37" s="11" customFormat="1" ht="19.5" thickBot="1">
      <c r="A23" s="71" t="s">
        <v>233</v>
      </c>
      <c r="B23" s="13">
        <f>+'สรุปรวมคชจ.'!B24</f>
        <v>1961200</v>
      </c>
      <c r="C23" s="13">
        <f>+'สรุปรวมคชจ.'!C24</f>
        <v>2650709</v>
      </c>
      <c r="D23" s="13">
        <f>+'สรุปรวมคชจ.'!D24</f>
        <v>0</v>
      </c>
      <c r="E23" s="13">
        <f>+'สรุปรวมคชจ.'!E24</f>
        <v>0</v>
      </c>
      <c r="F23" s="13">
        <f>+'สรุปรวมคชจ.'!F24</f>
        <v>0</v>
      </c>
      <c r="G23" s="13">
        <f>+'สรุปรวมคชจ.'!G24</f>
        <v>0</v>
      </c>
      <c r="H23" s="13">
        <f>+'สรุปรวมคชจ.'!H24</f>
        <v>0</v>
      </c>
      <c r="I23" s="13">
        <f>+'สรุปรวมคชจ.'!I24</f>
        <v>0</v>
      </c>
      <c r="J23" s="13">
        <f>+'สรุปรวมคชจ.'!J24</f>
        <v>0</v>
      </c>
      <c r="K23" s="13">
        <f>+'สรุปรวมคชจ.'!K24</f>
        <v>11745016.66</v>
      </c>
      <c r="L23" s="13">
        <f>+'สรุปรวมคชจ.'!L24</f>
        <v>532110</v>
      </c>
      <c r="M23" s="13">
        <f>+'สรุปรวมคชจ.'!M24</f>
        <v>0</v>
      </c>
      <c r="N23" s="13">
        <f t="shared" si="0"/>
        <v>16889035.66</v>
      </c>
      <c r="O23" s="13">
        <f>+'สรุปรวมคชจ.'!Q24</f>
        <v>4375594.55</v>
      </c>
      <c r="P23" s="13">
        <f>+'สรุปรวมคชจ.'!R24</f>
        <v>2382493.43</v>
      </c>
      <c r="Q23" s="13">
        <f>+'สรุปรวมคชจ.'!S24</f>
        <v>0</v>
      </c>
      <c r="R23" s="13">
        <f>+'สรุปรวมคชจ.'!T24</f>
        <v>19394063.7</v>
      </c>
      <c r="S23" s="13">
        <f>+'สรุปรวมคชจ.'!U24</f>
        <v>1534476.97</v>
      </c>
      <c r="T23" s="13">
        <f>+'สรุปรวมคชจ.'!V24</f>
        <v>0</v>
      </c>
      <c r="U23" s="13">
        <f t="shared" si="1"/>
        <v>27686628.65</v>
      </c>
      <c r="V23" s="13">
        <f>+'สรุปรวมคชจ.'!Z24</f>
        <v>2483316.5</v>
      </c>
      <c r="W23" s="13">
        <f>+'สรุปรวมคชจ.'!AA24</f>
        <v>477238</v>
      </c>
      <c r="X23" s="13">
        <f>+'สรุปรวมคชจ.'!AB24</f>
        <v>0</v>
      </c>
      <c r="Y23" s="13">
        <f t="shared" si="2"/>
        <v>2960554.5</v>
      </c>
      <c r="Z23" s="26">
        <f t="shared" si="3"/>
        <v>47536218.81</v>
      </c>
      <c r="AA23" s="120">
        <v>424.42</v>
      </c>
      <c r="AB23" s="2">
        <f>AB6*AA23/AA24</f>
        <v>15778499.899476372</v>
      </c>
      <c r="AC23" s="2">
        <f>AC6*AB23/AB24</f>
        <v>6025308.41505029</v>
      </c>
      <c r="AD23" s="119">
        <f>AD6*AC23/AC24</f>
        <v>1482832.5985302445</v>
      </c>
      <c r="AE23" s="118">
        <f>+N23+AB23</f>
        <v>32667535.55947637</v>
      </c>
      <c r="AF23" s="10">
        <f t="shared" si="4"/>
        <v>33711937.06505029</v>
      </c>
      <c r="AG23" s="10">
        <f>+Y23+AD23</f>
        <v>4443387.098530244</v>
      </c>
      <c r="AH23" s="10">
        <f>+AE23+AF23+AG23</f>
        <v>70822859.72305691</v>
      </c>
      <c r="AI23" s="6"/>
      <c r="AJ23" s="6"/>
      <c r="AK23" s="6"/>
    </row>
    <row r="24" spans="1:34" ht="19.5" thickBot="1">
      <c r="A24" s="72" t="s">
        <v>22</v>
      </c>
      <c r="B24" s="13">
        <f>+'สรุปรวมคชจ.'!B25</f>
        <v>102879406.44</v>
      </c>
      <c r="C24" s="13">
        <f>+'สรุปรวมคชจ.'!C25</f>
        <v>45941579.559999995</v>
      </c>
      <c r="D24" s="13">
        <f>+'สรุปรวมคชจ.'!D25</f>
        <v>816726.49</v>
      </c>
      <c r="E24" s="13">
        <f>+'สรุปรวมคชจ.'!E25</f>
        <v>4728040.38</v>
      </c>
      <c r="F24" s="13">
        <f>+'สรุปรวมคชจ.'!F25</f>
        <v>332230.06</v>
      </c>
      <c r="G24" s="13">
        <f>+'สรุปรวมคชจ.'!G25</f>
        <v>0</v>
      </c>
      <c r="H24" s="13">
        <f>+'สรุปรวมคชจ.'!H25</f>
        <v>8357743.069999999</v>
      </c>
      <c r="I24" s="13">
        <f>+'สรุปรวมคชจ.'!I25</f>
        <v>2087242</v>
      </c>
      <c r="J24" s="13">
        <f>+'สรุปรวมคชจ.'!J25</f>
        <v>0</v>
      </c>
      <c r="K24" s="13">
        <f>+'สรุปรวมคชจ.'!K25</f>
        <v>75880154</v>
      </c>
      <c r="L24" s="13">
        <f>+'สรุปรวมคชจ.'!L25</f>
        <v>7685788</v>
      </c>
      <c r="M24" s="13">
        <f>+'สรุปรวมคชจ.'!M25</f>
        <v>0</v>
      </c>
      <c r="N24" s="13">
        <f t="shared" si="0"/>
        <v>248708910</v>
      </c>
      <c r="O24" s="13">
        <f>+'สรุปรวมคชจ.'!Q25</f>
        <v>62535667.99000001</v>
      </c>
      <c r="P24" s="13">
        <f>+'สรุปรวมคชจ.'!R25</f>
        <v>48300734.70000001</v>
      </c>
      <c r="Q24" s="13">
        <f>+'สรุปรวมคชจ.'!S25</f>
        <v>0</v>
      </c>
      <c r="R24" s="13">
        <f>+'สรุปรวมคชจ.'!T25</f>
        <v>172489962.99999997</v>
      </c>
      <c r="S24" s="13">
        <f>+'สรุปรวมคชจ.'!U25</f>
        <v>20904927.810000002</v>
      </c>
      <c r="T24" s="13">
        <f>+'สรุปรวมคชจ.'!V25</f>
        <v>0</v>
      </c>
      <c r="U24" s="13">
        <f t="shared" si="1"/>
        <v>304231293.5</v>
      </c>
      <c r="V24" s="13">
        <f>+'สรุปรวมคชจ.'!Z25</f>
        <v>19432885.47</v>
      </c>
      <c r="W24" s="13">
        <f>+'สรุปรวมคชจ.'!AA25</f>
        <v>26615335.240000002</v>
      </c>
      <c r="X24" s="13">
        <f>+'สรุปรวมคชจ.'!AB25</f>
        <v>0</v>
      </c>
      <c r="Y24" s="13">
        <f t="shared" si="2"/>
        <v>46048220.71</v>
      </c>
      <c r="Z24" s="26">
        <f t="shared" si="3"/>
        <v>598988424.21</v>
      </c>
      <c r="AA24" s="24">
        <f>SUM(AA7:AA23)</f>
        <v>13442.239999999996</v>
      </c>
      <c r="AB24" s="2">
        <f>SUM(AB7:AB23)</f>
        <v>499737011.66000015</v>
      </c>
      <c r="AC24" s="2">
        <f>SUM(AC7:AC23)</f>
        <v>190833706.68000004</v>
      </c>
      <c r="AD24" s="119">
        <f>SUM(AD7:AD23)</f>
        <v>46964308.160000004</v>
      </c>
      <c r="AE24" s="118">
        <f t="shared" si="7"/>
        <v>748445921.6600001</v>
      </c>
      <c r="AF24" s="10">
        <f t="shared" si="4"/>
        <v>495065000.18000007</v>
      </c>
      <c r="AG24" s="10">
        <f>+Y24+AD24</f>
        <v>93012528.87</v>
      </c>
      <c r="AH24" s="10">
        <f>+AE24+AF24+AG24</f>
        <v>1336523450.71</v>
      </c>
    </row>
    <row r="25" spans="1:34" ht="20.25" thickBot="1" thickTop="1">
      <c r="A25" s="61" t="s">
        <v>23</v>
      </c>
      <c r="B25" s="13">
        <f>+'สรุปรวมคชจ.'!B26</f>
        <v>0</v>
      </c>
      <c r="C25" s="13">
        <f>+'สรุปรวมคชจ.'!C26</f>
        <v>0</v>
      </c>
      <c r="D25" s="13">
        <f>+'สรุปรวมคชจ.'!D26</f>
        <v>0</v>
      </c>
      <c r="E25" s="13">
        <f>+'สรุปรวมคชจ.'!E26</f>
        <v>0</v>
      </c>
      <c r="F25" s="13">
        <f>+'สรุปรวมคชจ.'!F26</f>
        <v>0</v>
      </c>
      <c r="G25" s="13">
        <f>+'สรุปรวมคชจ.'!G26</f>
        <v>0</v>
      </c>
      <c r="H25" s="13">
        <f>+'สรุปรวมคชจ.'!H26</f>
        <v>0</v>
      </c>
      <c r="I25" s="13">
        <f>+'สรุปรวมคชจ.'!I26</f>
        <v>0</v>
      </c>
      <c r="J25" s="13">
        <f>+'สรุปรวมคชจ.'!J26</f>
        <v>0</v>
      </c>
      <c r="K25" s="13">
        <f>+'สรุปรวมคชจ.'!K26</f>
        <v>0</v>
      </c>
      <c r="L25" s="13">
        <f>+'สรุปรวมคชจ.'!L26</f>
        <v>0</v>
      </c>
      <c r="M25" s="13">
        <f>+'สรุปรวมคชจ.'!M26</f>
        <v>0</v>
      </c>
      <c r="N25" s="13">
        <f t="shared" si="0"/>
        <v>0</v>
      </c>
      <c r="O25" s="13">
        <f>+'สรุปรวมคชจ.'!Q26</f>
        <v>0</v>
      </c>
      <c r="P25" s="13">
        <f>+'สรุปรวมคชจ.'!R26</f>
        <v>0</v>
      </c>
      <c r="Q25" s="13">
        <f>+'สรุปรวมคชจ.'!S26</f>
        <v>0</v>
      </c>
      <c r="R25" s="13">
        <f>+'สรุปรวมคชจ.'!T26</f>
        <v>0</v>
      </c>
      <c r="S25" s="13">
        <f>+'สรุปรวมคชจ.'!U26</f>
        <v>0</v>
      </c>
      <c r="T25" s="13">
        <f>+'สรุปรวมคชจ.'!V26</f>
        <v>0</v>
      </c>
      <c r="U25" s="13">
        <f t="shared" si="1"/>
        <v>0</v>
      </c>
      <c r="V25" s="13">
        <f>+'สรุปรวมคชจ.'!Z26</f>
        <v>0</v>
      </c>
      <c r="W25" s="13">
        <f>+'สรุปรวมคชจ.'!AA26</f>
        <v>0</v>
      </c>
      <c r="X25" s="13">
        <f>+'สรุปรวมคชจ.'!AB26</f>
        <v>0</v>
      </c>
      <c r="Y25" s="13">
        <f t="shared" si="2"/>
        <v>0</v>
      </c>
      <c r="Z25" s="13">
        <f t="shared" si="3"/>
        <v>0</v>
      </c>
      <c r="AA25" s="216" t="s">
        <v>224</v>
      </c>
      <c r="AB25" s="216"/>
      <c r="AC25" s="216"/>
      <c r="AD25" s="216"/>
      <c r="AE25" s="57">
        <f>+AE24*100/AH24</f>
        <v>55.99946048551591</v>
      </c>
      <c r="AF25" s="57">
        <f>+AF24*100/AH24</f>
        <v>37.04125056069964</v>
      </c>
      <c r="AG25" s="57">
        <f>+AG24*100/AH24</f>
        <v>6.9592889537844655</v>
      </c>
      <c r="AH25" s="57">
        <f>+AE25+AF25+AG25</f>
        <v>100.00000000000001</v>
      </c>
    </row>
    <row r="26" spans="1:34" ht="19.5" thickTop="1">
      <c r="A26" s="2" t="s">
        <v>234</v>
      </c>
      <c r="B26" s="13">
        <f>+'สรุปรวมคชจ.'!B27</f>
        <v>440888361.93</v>
      </c>
      <c r="C26" s="13">
        <f>+'สรุปรวมคชจ.'!C27</f>
        <v>3365818.65</v>
      </c>
      <c r="D26" s="13">
        <f>+'สรุปรวมคชจ.'!D27</f>
        <v>13672042.99</v>
      </c>
      <c r="E26" s="13">
        <f>+'สรุปรวมคชจ.'!E27</f>
        <v>1880261.34</v>
      </c>
      <c r="F26" s="13">
        <f>+'สรุปรวมคชจ.'!F27</f>
        <v>0</v>
      </c>
      <c r="G26" s="13">
        <f>+'สรุปรวมคชจ.'!G27</f>
        <v>0</v>
      </c>
      <c r="H26" s="13">
        <f>+'สรุปรวมคชจ.'!H27</f>
        <v>1756405.43</v>
      </c>
      <c r="I26" s="13">
        <f>+'สรุปรวมคชจ.'!I27</f>
        <v>0</v>
      </c>
      <c r="J26" s="13">
        <f>+'สรุปรวมคชจ.'!J27</f>
        <v>0</v>
      </c>
      <c r="K26" s="13">
        <f>+'สรุปรวมคชจ.'!K27</f>
        <v>0</v>
      </c>
      <c r="L26" s="13">
        <f>+'สรุปรวมคชจ.'!L27</f>
        <v>4134739.5</v>
      </c>
      <c r="M26" s="13">
        <f>+'สรุปรวมคชจ.'!M27</f>
        <v>0</v>
      </c>
      <c r="N26" s="13">
        <f t="shared" si="0"/>
        <v>465697629.84</v>
      </c>
      <c r="O26" s="13">
        <f>+'สรุปรวมคชจ.'!Q27</f>
        <v>49382162.75</v>
      </c>
      <c r="P26" s="13">
        <f>+'สรุปรวมคชจ.'!R27</f>
        <v>28391392.66</v>
      </c>
      <c r="Q26" s="13">
        <f>+'สรุปรวมคชจ.'!S27</f>
        <v>0</v>
      </c>
      <c r="R26" s="13">
        <f>+'สรุปรวมคชจ.'!T27</f>
        <v>14346538.35</v>
      </c>
      <c r="S26" s="13">
        <f>+'สรุปรวมคชจ.'!U27</f>
        <v>7057330.33</v>
      </c>
      <c r="T26" s="13">
        <f>+'สรุปรวมคชจ.'!V27</f>
        <v>0</v>
      </c>
      <c r="U26" s="13">
        <f t="shared" si="1"/>
        <v>99177424.08999999</v>
      </c>
      <c r="V26" s="13">
        <f>+'สรุปรวมคชจ.'!Z27</f>
        <v>24173799.4</v>
      </c>
      <c r="W26" s="13">
        <f>+'สรุปรวมคชจ.'!AA27</f>
        <v>4064954.15</v>
      </c>
      <c r="X26" s="13">
        <f>+'สรุปรวมคชจ.'!AB27</f>
        <v>0</v>
      </c>
      <c r="Y26" s="13">
        <f t="shared" si="2"/>
        <v>28238753.549999997</v>
      </c>
      <c r="Z26" s="13">
        <f t="shared" si="3"/>
        <v>593113807.4799999</v>
      </c>
      <c r="AA26" s="153"/>
      <c r="AH26" s="121"/>
    </row>
    <row r="27" spans="1:27" ht="18.75">
      <c r="A27" s="2" t="s">
        <v>24</v>
      </c>
      <c r="B27" s="13">
        <f>+'สรุปรวมคชจ.'!B28</f>
        <v>0</v>
      </c>
      <c r="C27" s="13">
        <f>+'สรุปรวมคชจ.'!C28</f>
        <v>1687900</v>
      </c>
      <c r="D27" s="13">
        <f>+'สรุปรวมคชจ.'!D28</f>
        <v>0</v>
      </c>
      <c r="E27" s="13">
        <f>+'สรุปรวมคชจ.'!E28</f>
        <v>0</v>
      </c>
      <c r="F27" s="13">
        <f>+'สรุปรวมคชจ.'!F28</f>
        <v>0</v>
      </c>
      <c r="G27" s="13">
        <f>+'สรุปรวมคชจ.'!G28</f>
        <v>0</v>
      </c>
      <c r="H27" s="13">
        <f>+'สรุปรวมคชจ.'!H28</f>
        <v>0</v>
      </c>
      <c r="I27" s="13">
        <f>+'สรุปรวมคชจ.'!I28</f>
        <v>0</v>
      </c>
      <c r="J27" s="13">
        <f>+'สรุปรวมคชจ.'!J28</f>
        <v>0</v>
      </c>
      <c r="K27" s="13">
        <f>+'สรุปรวมคชจ.'!K28</f>
        <v>0</v>
      </c>
      <c r="L27" s="13">
        <f>+'สรุปรวมคชจ.'!L28</f>
        <v>0</v>
      </c>
      <c r="M27" s="13">
        <f>+'สรุปรวมคชจ.'!M28</f>
        <v>0</v>
      </c>
      <c r="N27" s="13">
        <f t="shared" si="0"/>
        <v>1687900</v>
      </c>
      <c r="O27" s="13">
        <f>+'สรุปรวมคชจ.'!Q28</f>
        <v>10645503.93</v>
      </c>
      <c r="P27" s="13">
        <f>+'สรุปรวมคชจ.'!R28</f>
        <v>3487508</v>
      </c>
      <c r="Q27" s="13">
        <f>+'สรุปรวมคชจ.'!S28</f>
        <v>0</v>
      </c>
      <c r="R27" s="13">
        <f>+'สรุปรวมคชจ.'!T28</f>
        <v>0</v>
      </c>
      <c r="S27" s="13">
        <f>+'สรุปรวมคชจ.'!U28</f>
        <v>0</v>
      </c>
      <c r="T27" s="13">
        <f>+'สรุปรวมคชจ.'!V28</f>
        <v>0</v>
      </c>
      <c r="U27" s="13">
        <f t="shared" si="1"/>
        <v>14133011.93</v>
      </c>
      <c r="V27" s="13">
        <f>+'สรุปรวมคชจ.'!Z28</f>
        <v>0</v>
      </c>
      <c r="W27" s="13">
        <f>+'สรุปรวมคชจ.'!AA28</f>
        <v>1963723</v>
      </c>
      <c r="X27" s="13">
        <f>+'สรุปรวมคชจ.'!AB28</f>
        <v>0</v>
      </c>
      <c r="Y27" s="13">
        <f t="shared" si="2"/>
        <v>1963723</v>
      </c>
      <c r="Z27" s="13">
        <f t="shared" si="3"/>
        <v>17784634.93</v>
      </c>
      <c r="AA27" s="153"/>
    </row>
    <row r="28" spans="1:27" ht="18.75">
      <c r="A28" s="2" t="s">
        <v>25</v>
      </c>
      <c r="B28" s="13">
        <f>+'สรุปรวมคชจ.'!B29</f>
        <v>222780</v>
      </c>
      <c r="C28" s="13">
        <f>+'สรุปรวมคชจ.'!C29</f>
        <v>4260720.44</v>
      </c>
      <c r="D28" s="13">
        <f>+'สรุปรวมคชจ.'!D29</f>
        <v>0</v>
      </c>
      <c r="E28" s="13">
        <f>+'สรุปรวมคชจ.'!E29</f>
        <v>25680</v>
      </c>
      <c r="F28" s="13">
        <f>+'สรุปรวมคชจ.'!F29</f>
        <v>28585</v>
      </c>
      <c r="G28" s="13">
        <f>+'สรุปรวมคชจ.'!G29</f>
        <v>0</v>
      </c>
      <c r="H28" s="13">
        <f>+'สรุปรวมคชจ.'!H29</f>
        <v>1406249</v>
      </c>
      <c r="I28" s="13">
        <f>+'สรุปรวมคชจ.'!I29</f>
        <v>818191.07</v>
      </c>
      <c r="J28" s="13">
        <f>+'สรุปรวมคชจ.'!J29</f>
        <v>0</v>
      </c>
      <c r="K28" s="13">
        <f>+'สรุปรวมคชจ.'!K29</f>
        <v>1523440</v>
      </c>
      <c r="L28" s="13">
        <f>+'สรุปรวมคชจ.'!L29</f>
        <v>122000</v>
      </c>
      <c r="M28" s="13">
        <f>+'สรุปรวมคชจ.'!M29</f>
        <v>0</v>
      </c>
      <c r="N28" s="13">
        <f t="shared" si="0"/>
        <v>8407645.510000002</v>
      </c>
      <c r="O28" s="13">
        <f>+'สรุปรวมคชจ.'!Q29</f>
        <v>1526243</v>
      </c>
      <c r="P28" s="13">
        <f>+'สรุปรวมคชจ.'!R29</f>
        <v>3489891.05</v>
      </c>
      <c r="Q28" s="13">
        <f>+'สรุปรวมคชจ.'!S29</f>
        <v>0</v>
      </c>
      <c r="R28" s="13">
        <f>+'สรุปรวมคชจ.'!T29</f>
        <v>8596386.24</v>
      </c>
      <c r="S28" s="13">
        <f>+'สรุปรวมคชจ.'!U29</f>
        <v>4508079.65</v>
      </c>
      <c r="T28" s="13">
        <f>+'สรุปรวมคชจ.'!V29</f>
        <v>0</v>
      </c>
      <c r="U28" s="13">
        <f t="shared" si="1"/>
        <v>18120599.939999998</v>
      </c>
      <c r="V28" s="13">
        <f>+'สรุปรวมคชจ.'!Z29</f>
        <v>1943531.61</v>
      </c>
      <c r="W28" s="13">
        <f>+'สรุปรวมคชจ.'!AA29</f>
        <v>338000</v>
      </c>
      <c r="X28" s="13">
        <f>+'สรุปรวมคชจ.'!AB29</f>
        <v>0</v>
      </c>
      <c r="Y28" s="13">
        <f t="shared" si="2"/>
        <v>2281531.6100000003</v>
      </c>
      <c r="Z28" s="13">
        <f t="shared" si="3"/>
        <v>28809777.06</v>
      </c>
      <c r="AA28" s="153"/>
    </row>
    <row r="29" spans="1:27" ht="18.75">
      <c r="A29" s="2" t="s">
        <v>26</v>
      </c>
      <c r="B29" s="13">
        <f>+'สรุปรวมคชจ.'!B30</f>
        <v>3372406</v>
      </c>
      <c r="C29" s="13">
        <f>+'สรุปรวมคชจ.'!C30</f>
        <v>2300234</v>
      </c>
      <c r="D29" s="13">
        <f>+'สรุปรวมคชจ.'!D30</f>
        <v>0</v>
      </c>
      <c r="E29" s="13">
        <f>+'สรุปรวมคชจ.'!E30</f>
        <v>675019.77</v>
      </c>
      <c r="F29" s="13">
        <f>+'สรุปรวมคชจ.'!F30</f>
        <v>235729</v>
      </c>
      <c r="G29" s="13">
        <f>+'สรุปรวมคชจ.'!G30</f>
        <v>0</v>
      </c>
      <c r="H29" s="13">
        <f>+'สรุปรวมคชจ.'!H30</f>
        <v>662585.81</v>
      </c>
      <c r="I29" s="13">
        <f>+'สรุปรวมคชจ.'!I30</f>
        <v>0</v>
      </c>
      <c r="J29" s="13">
        <f>+'สรุปรวมคชจ.'!J30</f>
        <v>0</v>
      </c>
      <c r="K29" s="13">
        <f>+'สรุปรวมคชจ.'!K30</f>
        <v>26363</v>
      </c>
      <c r="L29" s="13">
        <f>+'สรุปรวมคชจ.'!L30</f>
        <v>0</v>
      </c>
      <c r="M29" s="13">
        <f>+'สรุปรวมคชจ.'!M30</f>
        <v>0</v>
      </c>
      <c r="N29" s="13">
        <f t="shared" si="0"/>
        <v>7272337.58</v>
      </c>
      <c r="O29" s="13">
        <f>+'สรุปรวมคชจ.'!Q30</f>
        <v>6157963.82</v>
      </c>
      <c r="P29" s="13">
        <f>+'สรุปรวมคชจ.'!R30</f>
        <v>367138.11</v>
      </c>
      <c r="Q29" s="13">
        <f>+'สรุปรวมคชจ.'!S30</f>
        <v>0</v>
      </c>
      <c r="R29" s="13">
        <f>+'สรุปรวมคชจ.'!T30</f>
        <v>13451814.21</v>
      </c>
      <c r="S29" s="13">
        <f>+'สรุปรวมคชจ.'!U30</f>
        <v>1028200.22</v>
      </c>
      <c r="T29" s="13">
        <f>+'สรุปรวมคชจ.'!V30</f>
        <v>0</v>
      </c>
      <c r="U29" s="13">
        <f t="shared" si="1"/>
        <v>21005116.36</v>
      </c>
      <c r="V29" s="13">
        <f>+'สรุปรวมคชจ.'!Z30</f>
        <v>5000</v>
      </c>
      <c r="W29" s="13">
        <f>+'สรุปรวมคชจ.'!AA30</f>
        <v>9300</v>
      </c>
      <c r="X29" s="13">
        <f>+'สรุปรวมคชจ.'!AB30</f>
        <v>0</v>
      </c>
      <c r="Y29" s="13">
        <f t="shared" si="2"/>
        <v>14300</v>
      </c>
      <c r="Z29" s="13">
        <f t="shared" si="3"/>
        <v>28291753.939999998</v>
      </c>
      <c r="AA29" s="153"/>
    </row>
    <row r="30" spans="1:27" ht="18.75">
      <c r="A30" s="2" t="s">
        <v>27</v>
      </c>
      <c r="B30" s="13">
        <f>+'สรุปรวมคชจ.'!B31</f>
        <v>5215870</v>
      </c>
      <c r="C30" s="13">
        <f>+'สรุปรวมคชจ.'!C31</f>
        <v>5419009.92</v>
      </c>
      <c r="D30" s="13">
        <f>+'สรุปรวมคชจ.'!D31</f>
        <v>75110</v>
      </c>
      <c r="E30" s="13">
        <f>+'สรุปรวมคชจ.'!E31</f>
        <v>4122</v>
      </c>
      <c r="F30" s="13">
        <f>+'สรุปรวมคชจ.'!F31</f>
        <v>0</v>
      </c>
      <c r="G30" s="13">
        <f>+'สรุปรวมคชจ.'!G31</f>
        <v>0</v>
      </c>
      <c r="H30" s="13">
        <f>+'สรุปรวมคชจ.'!H31</f>
        <v>394745.7</v>
      </c>
      <c r="I30" s="13">
        <f>+'สรุปรวมคชจ.'!I31</f>
        <v>219915.04</v>
      </c>
      <c r="J30" s="13">
        <f>+'สรุปรวมคชจ.'!J31</f>
        <v>0</v>
      </c>
      <c r="K30" s="13">
        <f>+'สรุปรวมคชจ.'!K31</f>
        <v>0</v>
      </c>
      <c r="L30" s="13">
        <f>+'สรุปรวมคชจ.'!L31</f>
        <v>0</v>
      </c>
      <c r="M30" s="13">
        <f>+'สรุปรวมคชจ.'!M31</f>
        <v>0</v>
      </c>
      <c r="N30" s="13">
        <f t="shared" si="0"/>
        <v>11328772.659999998</v>
      </c>
      <c r="O30" s="13">
        <f>+'สรุปรวมคชจ.'!Q31</f>
        <v>9425495.5</v>
      </c>
      <c r="P30" s="13">
        <f>+'สรุปรวมคชจ.'!R31</f>
        <v>1228084.92</v>
      </c>
      <c r="Q30" s="13">
        <f>+'สรุปรวมคชจ.'!S31</f>
        <v>0</v>
      </c>
      <c r="R30" s="13">
        <f>+'สรุปรวมคชจ.'!T31</f>
        <v>16523832.55</v>
      </c>
      <c r="S30" s="13">
        <f>+'สรุปรวมคชจ.'!U31</f>
        <v>3184833.76</v>
      </c>
      <c r="T30" s="13">
        <f>+'สรุปรวมคชจ.'!V31</f>
        <v>0</v>
      </c>
      <c r="U30" s="13">
        <f t="shared" si="1"/>
        <v>30362246.729999997</v>
      </c>
      <c r="V30" s="13">
        <f>+'สรุปรวมคชจ.'!Z31</f>
        <v>0</v>
      </c>
      <c r="W30" s="13">
        <f>+'สรุปรวมคชจ.'!AA31</f>
        <v>12050000</v>
      </c>
      <c r="X30" s="13">
        <f>+'สรุปรวมคชจ.'!AB31</f>
        <v>0</v>
      </c>
      <c r="Y30" s="13">
        <f t="shared" si="2"/>
        <v>12050000</v>
      </c>
      <c r="Z30" s="13">
        <f t="shared" si="3"/>
        <v>53741019.38999999</v>
      </c>
      <c r="AA30" s="153"/>
    </row>
    <row r="31" spans="1:27" ht="18.75">
      <c r="A31" s="2" t="s">
        <v>28</v>
      </c>
      <c r="B31" s="13">
        <f>+'สรุปรวมคชจ.'!B32</f>
        <v>1100820</v>
      </c>
      <c r="C31" s="13">
        <f>+'สรุปรวมคชจ.'!C32</f>
        <v>180824</v>
      </c>
      <c r="D31" s="13">
        <f>+'สรุปรวมคชจ.'!D32</f>
        <v>12300</v>
      </c>
      <c r="E31" s="13">
        <f>+'สรุปรวมคชจ.'!E32</f>
        <v>122724</v>
      </c>
      <c r="F31" s="13">
        <f>+'สรุปรวมคชจ.'!F32</f>
        <v>0</v>
      </c>
      <c r="G31" s="13">
        <f>+'สรุปรวมคชจ.'!G32</f>
        <v>0</v>
      </c>
      <c r="H31" s="13">
        <f>+'สรุปรวมคชจ.'!H32</f>
        <v>572862</v>
      </c>
      <c r="I31" s="13">
        <f>+'สรุปรวมคชจ.'!I32</f>
        <v>0</v>
      </c>
      <c r="J31" s="13">
        <f>+'สรุปรวมคชจ.'!J32</f>
        <v>0</v>
      </c>
      <c r="K31" s="13">
        <f>+'สรุปรวมคชจ.'!K32</f>
        <v>0</v>
      </c>
      <c r="L31" s="13">
        <f>+'สรุปรวมคชจ.'!L32</f>
        <v>0</v>
      </c>
      <c r="M31" s="13">
        <f>+'สรุปรวมคชจ.'!M32</f>
        <v>0</v>
      </c>
      <c r="N31" s="13">
        <f t="shared" si="0"/>
        <v>1989530</v>
      </c>
      <c r="O31" s="13">
        <f>+'สรุปรวมคชจ.'!Q32</f>
        <v>2510545.52</v>
      </c>
      <c r="P31" s="13">
        <f>+'สรุปรวมคชจ.'!R32</f>
        <v>158513.1</v>
      </c>
      <c r="Q31" s="13">
        <f>+'สรุปรวมคชจ.'!S32</f>
        <v>0</v>
      </c>
      <c r="R31" s="13">
        <f>+'สรุปรวมคชจ.'!T32</f>
        <v>55577.95</v>
      </c>
      <c r="S31" s="13">
        <f>+'สรุปรวมคชจ.'!U32</f>
        <v>134121.06</v>
      </c>
      <c r="T31" s="13">
        <f>+'สรุปรวมคชจ.'!V32</f>
        <v>0</v>
      </c>
      <c r="U31" s="13">
        <f t="shared" si="1"/>
        <v>2858757.6300000004</v>
      </c>
      <c r="V31" s="13">
        <f>+'สรุปรวมคชจ.'!Z32</f>
        <v>0</v>
      </c>
      <c r="W31" s="13">
        <f>+'สรุปรวมคชจ.'!AA32</f>
        <v>0</v>
      </c>
      <c r="X31" s="13">
        <f>+'สรุปรวมคชจ.'!AB32</f>
        <v>0</v>
      </c>
      <c r="Y31" s="13">
        <f t="shared" si="2"/>
        <v>0</v>
      </c>
      <c r="Z31" s="13">
        <f t="shared" si="3"/>
        <v>4848287.630000001</v>
      </c>
      <c r="AA31" s="153"/>
    </row>
    <row r="32" spans="1:27" s="6" customFormat="1" ht="19.5" thickBot="1">
      <c r="A32" s="10" t="s">
        <v>29</v>
      </c>
      <c r="B32" s="17">
        <f>+'สรุปรวมคชจ.'!B33</f>
        <v>2104500</v>
      </c>
      <c r="C32" s="17">
        <f>+'สรุปรวมคชจ.'!C33</f>
        <v>1095701.07</v>
      </c>
      <c r="D32" s="17">
        <f>+'สรุปรวมคชจ.'!D33</f>
        <v>5500</v>
      </c>
      <c r="E32" s="17">
        <f>+'สรุปรวมคชจ.'!E33</f>
        <v>1400</v>
      </c>
      <c r="F32" s="17">
        <f>+'สรุปรวมคชจ.'!F33</f>
        <v>0</v>
      </c>
      <c r="G32" s="17">
        <f>+'สรุปรวมคชจ.'!G33</f>
        <v>0</v>
      </c>
      <c r="H32" s="17">
        <f>+'สรุปรวมคชจ.'!H33</f>
        <v>0</v>
      </c>
      <c r="I32" s="17">
        <f>+'สรุปรวมคชจ.'!I33</f>
        <v>78095</v>
      </c>
      <c r="J32" s="17">
        <f>+'สรุปรวมคชจ.'!J33</f>
        <v>0</v>
      </c>
      <c r="K32" s="17">
        <f>+'สรุปรวมคชจ.'!K33</f>
        <v>0</v>
      </c>
      <c r="L32" s="17">
        <f>+'สรุปรวมคชจ.'!L33</f>
        <v>68000</v>
      </c>
      <c r="M32" s="17">
        <f>+'สรุปรวมคชจ.'!M33</f>
        <v>0</v>
      </c>
      <c r="N32" s="17">
        <f t="shared" si="0"/>
        <v>3353196.0700000003</v>
      </c>
      <c r="O32" s="17">
        <f>+'สรุปรวมคชจ.'!Q33</f>
        <v>3399787.66</v>
      </c>
      <c r="P32" s="17">
        <f>+'สรุปรวมคชจ.'!R33</f>
        <v>656589.59</v>
      </c>
      <c r="Q32" s="17">
        <f>+'สรุปรวมคชจ.'!S33</f>
        <v>0</v>
      </c>
      <c r="R32" s="17">
        <f>+'สรุปรวมคชจ.'!T33</f>
        <v>1034870.78</v>
      </c>
      <c r="S32" s="17">
        <f>+'สรุปรวมคชจ.'!U33</f>
        <v>85301.97</v>
      </c>
      <c r="T32" s="17">
        <f>+'สรุปรวมคชจ.'!V33</f>
        <v>0</v>
      </c>
      <c r="U32" s="17">
        <f t="shared" si="1"/>
        <v>5176550</v>
      </c>
      <c r="V32" s="17">
        <f>+'สรุปรวมคชจ.'!Z33</f>
        <v>0</v>
      </c>
      <c r="W32" s="17">
        <f>+'สรุปรวมคชจ.'!AA33</f>
        <v>2416000</v>
      </c>
      <c r="X32" s="17">
        <f>+'สรุปรวมคชจ.'!AB33</f>
        <v>0</v>
      </c>
      <c r="Y32" s="17">
        <f t="shared" si="2"/>
        <v>2416000</v>
      </c>
      <c r="Z32" s="17">
        <f t="shared" si="3"/>
        <v>10945746.07</v>
      </c>
      <c r="AA32" s="154"/>
    </row>
    <row r="33" spans="1:27" s="6" customFormat="1" ht="19.5" thickBot="1">
      <c r="A33" s="76" t="s">
        <v>22</v>
      </c>
      <c r="B33" s="56">
        <f>+'สรุปรวมคชจ.'!B34</f>
        <v>452904737.93</v>
      </c>
      <c r="C33" s="56">
        <f>+'สรุปรวมคชจ.'!C34</f>
        <v>18310208.08</v>
      </c>
      <c r="D33" s="56">
        <f>+'สรุปรวมคชจ.'!D34</f>
        <v>13764952.99</v>
      </c>
      <c r="E33" s="56">
        <f>+'สรุปรวมคชจ.'!E34</f>
        <v>2709207.1100000003</v>
      </c>
      <c r="F33" s="56">
        <f>+'สรุปรวมคชจ.'!F34</f>
        <v>264314</v>
      </c>
      <c r="G33" s="56">
        <f>+'สรุปรวมคชจ.'!G34</f>
        <v>0</v>
      </c>
      <c r="H33" s="56">
        <f>+'สรุปรวมคชจ.'!H34</f>
        <v>4792847.9399999995</v>
      </c>
      <c r="I33" s="56">
        <f>+'สรุปรวมคชจ.'!I34</f>
        <v>1116201.1099999999</v>
      </c>
      <c r="J33" s="56">
        <f>+'สรุปรวมคชจ.'!J34</f>
        <v>0</v>
      </c>
      <c r="K33" s="56">
        <f>+'สรุปรวมคชจ.'!K34</f>
        <v>1549803</v>
      </c>
      <c r="L33" s="56">
        <f>+'สรุปรวมคชจ.'!L34</f>
        <v>4324739.5</v>
      </c>
      <c r="M33" s="56">
        <f>+'สรุปรวมคชจ.'!M34</f>
        <v>0</v>
      </c>
      <c r="N33" s="56">
        <f t="shared" si="0"/>
        <v>499737011.66</v>
      </c>
      <c r="O33" s="56">
        <f>+'สรุปรวมคชจ.'!Q34</f>
        <v>83047702.17999999</v>
      </c>
      <c r="P33" s="56">
        <f>+'สรุปรวมคชจ.'!R34</f>
        <v>37779117.43000001</v>
      </c>
      <c r="Q33" s="56">
        <f>+'สรุปรวมคชจ.'!S34</f>
        <v>0</v>
      </c>
      <c r="R33" s="56">
        <f>+'สรุปรวมคชจ.'!T34</f>
        <v>54009020.08</v>
      </c>
      <c r="S33" s="56">
        <f>+'สรุปรวมคชจ.'!U34</f>
        <v>15997866.990000002</v>
      </c>
      <c r="T33" s="56">
        <f>+'สรุปรวมคชจ.'!V34</f>
        <v>0</v>
      </c>
      <c r="U33" s="56">
        <f t="shared" si="1"/>
        <v>190833706.68</v>
      </c>
      <c r="V33" s="56">
        <f>+'สรุปรวมคชจ.'!Z34</f>
        <v>26122331.009999998</v>
      </c>
      <c r="W33" s="56">
        <f>+'สรุปรวมคชจ.'!AA34</f>
        <v>20841977.15</v>
      </c>
      <c r="X33" s="56">
        <f>+'สรุปรวมคชจ.'!AB34</f>
        <v>0</v>
      </c>
      <c r="Y33" s="56">
        <f t="shared" si="2"/>
        <v>46964308.16</v>
      </c>
      <c r="Z33" s="94">
        <f>+N33+U33+Y33</f>
        <v>737535026.5</v>
      </c>
      <c r="AA33" s="154"/>
    </row>
    <row r="34" spans="1:26" ht="20.25" thickBot="1" thickTop="1">
      <c r="A34" s="84" t="s">
        <v>4</v>
      </c>
      <c r="B34" s="93">
        <f>+B24+B33</f>
        <v>555784144.37</v>
      </c>
      <c r="C34" s="93">
        <f aca="true" t="shared" si="8" ref="C34:Z34">+C24+C33</f>
        <v>64251787.63999999</v>
      </c>
      <c r="D34" s="93">
        <f t="shared" si="8"/>
        <v>14581679.48</v>
      </c>
      <c r="E34" s="93">
        <f t="shared" si="8"/>
        <v>7437247.49</v>
      </c>
      <c r="F34" s="93">
        <f t="shared" si="8"/>
        <v>596544.06</v>
      </c>
      <c r="G34" s="93">
        <f t="shared" si="8"/>
        <v>0</v>
      </c>
      <c r="H34" s="93">
        <f t="shared" si="8"/>
        <v>13150591.009999998</v>
      </c>
      <c r="I34" s="93">
        <f t="shared" si="8"/>
        <v>3203443.11</v>
      </c>
      <c r="J34" s="93">
        <f t="shared" si="8"/>
        <v>0</v>
      </c>
      <c r="K34" s="93">
        <f t="shared" si="8"/>
        <v>77429957</v>
      </c>
      <c r="L34" s="93">
        <f t="shared" si="8"/>
        <v>12010527.5</v>
      </c>
      <c r="M34" s="93">
        <f t="shared" si="8"/>
        <v>0</v>
      </c>
      <c r="N34" s="93">
        <f t="shared" si="8"/>
        <v>748445921.6600001</v>
      </c>
      <c r="O34" s="93">
        <f t="shared" si="8"/>
        <v>145583370.17000002</v>
      </c>
      <c r="P34" s="93">
        <f t="shared" si="8"/>
        <v>86079852.13000003</v>
      </c>
      <c r="Q34" s="93">
        <f t="shared" si="8"/>
        <v>0</v>
      </c>
      <c r="R34" s="93">
        <f t="shared" si="8"/>
        <v>226498983.07999998</v>
      </c>
      <c r="S34" s="93">
        <f t="shared" si="8"/>
        <v>36902794.800000004</v>
      </c>
      <c r="T34" s="93">
        <f t="shared" si="8"/>
        <v>0</v>
      </c>
      <c r="U34" s="93">
        <f t="shared" si="8"/>
        <v>495065000.18</v>
      </c>
      <c r="V34" s="93">
        <f t="shared" si="8"/>
        <v>45555216.48</v>
      </c>
      <c r="W34" s="93">
        <f t="shared" si="8"/>
        <v>47457312.39</v>
      </c>
      <c r="X34" s="93">
        <f t="shared" si="8"/>
        <v>0</v>
      </c>
      <c r="Y34" s="93">
        <f t="shared" si="8"/>
        <v>93012528.87</v>
      </c>
      <c r="Z34" s="93">
        <f t="shared" si="8"/>
        <v>1336523450.71</v>
      </c>
    </row>
    <row r="35" spans="1:34" s="58" customFormat="1" ht="19.5" hidden="1" thickTop="1">
      <c r="A35" s="87" t="s">
        <v>154</v>
      </c>
      <c r="B35" s="59"/>
      <c r="C35" s="59"/>
      <c r="D35" s="15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155"/>
      <c r="AB35" s="59"/>
      <c r="AC35" s="59"/>
      <c r="AD35" s="59"/>
      <c r="AE35" s="59"/>
      <c r="AF35" s="59"/>
      <c r="AG35" s="59"/>
      <c r="AH35" s="143"/>
    </row>
    <row r="36" ht="19.5" hidden="1" thickTop="1">
      <c r="A36" s="77" t="s">
        <v>30</v>
      </c>
    </row>
    <row r="37" ht="19.5" hidden="1" thickTop="1">
      <c r="A37" s="77" t="s">
        <v>31</v>
      </c>
    </row>
    <row r="38" ht="19.5" hidden="1" thickTop="1">
      <c r="A38" s="77" t="s">
        <v>32</v>
      </c>
    </row>
    <row r="39" ht="19.5" hidden="1" thickTop="1">
      <c r="A39" s="77" t="s">
        <v>197</v>
      </c>
    </row>
    <row r="40" ht="19.5" hidden="1" thickTop="1">
      <c r="A40" s="77" t="s">
        <v>198</v>
      </c>
    </row>
    <row r="41" ht="19.5" hidden="1" thickTop="1">
      <c r="A41" s="77" t="s">
        <v>33</v>
      </c>
    </row>
    <row r="42" ht="19.5" hidden="1" thickTop="1">
      <c r="A42" s="15" t="s">
        <v>235</v>
      </c>
    </row>
    <row r="43" ht="19.5" hidden="1" thickTop="1">
      <c r="A43" s="15" t="s">
        <v>236</v>
      </c>
    </row>
    <row r="44" ht="19.5" hidden="1" thickTop="1">
      <c r="A44" s="77" t="s">
        <v>237</v>
      </c>
    </row>
    <row r="45" ht="19.5" hidden="1" thickTop="1">
      <c r="A45" s="78" t="s">
        <v>238</v>
      </c>
    </row>
    <row r="46" ht="20.25" hidden="1" thickBot="1" thickTop="1">
      <c r="A46" s="20" t="s">
        <v>22</v>
      </c>
    </row>
    <row r="47" ht="20.25" hidden="1" thickBot="1" thickTop="1">
      <c r="A47" s="20" t="s">
        <v>34</v>
      </c>
    </row>
    <row r="48" ht="19.5" thickTop="1"/>
  </sheetData>
  <sheetProtection/>
  <mergeCells count="15">
    <mergeCell ref="A1:AH1"/>
    <mergeCell ref="A2:AH2"/>
    <mergeCell ref="A3:AH3"/>
    <mergeCell ref="V4:X4"/>
    <mergeCell ref="O4:Q4"/>
    <mergeCell ref="K4:M4"/>
    <mergeCell ref="AE4:AG4"/>
    <mergeCell ref="AA4:AD4"/>
    <mergeCell ref="A4:A5"/>
    <mergeCell ref="B4:D4"/>
    <mergeCell ref="AA25:AD25"/>
    <mergeCell ref="E4:G4"/>
    <mergeCell ref="H4:J4"/>
    <mergeCell ref="AH4:AH5"/>
    <mergeCell ref="R4:T4"/>
  </mergeCells>
  <printOptions horizontalCentered="1"/>
  <pageMargins left="0.15748031496062992" right="0.1968503937007874" top="0.4330708661417323" bottom="0.2755905511811024" header="0.2755905511811024" footer="0.1574803149606299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zoomScale="90" zoomScaleNormal="90" zoomScalePageLayoutView="0" workbookViewId="0" topLeftCell="A40">
      <selection activeCell="C151" sqref="C151"/>
    </sheetView>
  </sheetViews>
  <sheetFormatPr defaultColWidth="9.140625" defaultRowHeight="20.25" customHeight="1"/>
  <cols>
    <col min="1" max="1" width="32.8515625" style="65" customWidth="1"/>
    <col min="2" max="2" width="30.57421875" style="65" customWidth="1"/>
    <col min="3" max="3" width="51.28125" style="65" customWidth="1"/>
    <col min="4" max="4" width="9.8515625" style="65" customWidth="1"/>
    <col min="5" max="5" width="9.140625" style="65" customWidth="1"/>
    <col min="6" max="6" width="15.7109375" style="7" customWidth="1"/>
    <col min="7" max="7" width="13.421875" style="7" customWidth="1"/>
    <col min="8" max="8" width="12.28125" style="7" customWidth="1"/>
    <col min="9" max="9" width="14.28125" style="7" bestFit="1" customWidth="1"/>
    <col min="10" max="10" width="15.140625" style="7" bestFit="1" customWidth="1"/>
    <col min="11" max="11" width="12.7109375" style="7" customWidth="1"/>
    <col min="12" max="12" width="12.28125" style="7" customWidth="1"/>
    <col min="13" max="13" width="13.421875" style="7" customWidth="1"/>
    <col min="14" max="14" width="12.7109375" style="65" bestFit="1" customWidth="1"/>
    <col min="15" max="16384" width="9.00390625" style="65" customWidth="1"/>
  </cols>
  <sheetData>
    <row r="1" spans="1:13" s="62" customFormat="1" ht="20.25" customHeight="1">
      <c r="A1" s="223" t="s">
        <v>431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62" customFormat="1" ht="20.25" customHeight="1">
      <c r="A2" s="223" t="s">
        <v>422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2:13" s="62" customFormat="1" ht="20.25" customHeight="1">
      <c r="B3" s="160"/>
      <c r="C3" s="160"/>
      <c r="D3" s="160"/>
      <c r="E3" s="160"/>
      <c r="F3" s="30"/>
      <c r="G3" s="30"/>
      <c r="H3" s="30"/>
      <c r="I3" s="30"/>
      <c r="J3" s="30"/>
      <c r="K3" s="30"/>
      <c r="L3" s="30"/>
      <c r="M3" s="30"/>
    </row>
    <row r="4" spans="1:13" s="63" customFormat="1" ht="60" customHeight="1">
      <c r="A4" s="51" t="s">
        <v>48</v>
      </c>
      <c r="B4" s="51" t="s">
        <v>46</v>
      </c>
      <c r="C4" s="51" t="s">
        <v>47</v>
      </c>
      <c r="D4" s="167" t="s">
        <v>428</v>
      </c>
      <c r="E4" s="167" t="s">
        <v>429</v>
      </c>
      <c r="F4" s="159" t="s">
        <v>403</v>
      </c>
      <c r="G4" s="159" t="s">
        <v>404</v>
      </c>
      <c r="H4" s="159" t="s">
        <v>405</v>
      </c>
      <c r="I4" s="158" t="s">
        <v>49</v>
      </c>
      <c r="J4" s="52" t="s">
        <v>190</v>
      </c>
      <c r="K4" s="52" t="s">
        <v>191</v>
      </c>
      <c r="L4" s="52" t="s">
        <v>192</v>
      </c>
      <c r="M4" s="159" t="s">
        <v>189</v>
      </c>
    </row>
    <row r="5" spans="1:13" ht="20.25" customHeight="1">
      <c r="A5" s="231" t="s">
        <v>50</v>
      </c>
      <c r="B5" s="232"/>
      <c r="C5" s="233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0.25" customHeight="1">
      <c r="A6" s="64" t="s">
        <v>53</v>
      </c>
      <c r="B6" s="64" t="s">
        <v>51</v>
      </c>
      <c r="C6" s="64" t="s">
        <v>52</v>
      </c>
      <c r="D6" s="13">
        <v>60</v>
      </c>
      <c r="E6" s="13">
        <v>56.03</v>
      </c>
      <c r="F6" s="53">
        <f>22563136.03*E6/E11</f>
        <v>3243233.7397662904</v>
      </c>
      <c r="G6" s="53">
        <f>18737310.9*E6/E11</f>
        <v>2693308.182983581</v>
      </c>
      <c r="H6" s="53">
        <f>3325162.08*E6/E11</f>
        <v>477960.059883017</v>
      </c>
      <c r="I6" s="2">
        <f>+F6+G6+H6</f>
        <v>6414501.9826328885</v>
      </c>
      <c r="J6" s="2">
        <f aca="true" t="shared" si="0" ref="J6:J11">+F6/D6</f>
        <v>54053.89566277151</v>
      </c>
      <c r="K6" s="2">
        <f aca="true" t="shared" si="1" ref="K6:K11">+G6/D6</f>
        <v>44888.46971639302</v>
      </c>
      <c r="L6" s="2">
        <f aca="true" t="shared" si="2" ref="L6:L11">+H6/D6</f>
        <v>7966.000998050283</v>
      </c>
      <c r="M6" s="2">
        <f aca="true" t="shared" si="3" ref="M6:M11">SUM(J6:L6)</f>
        <v>106908.3663772148</v>
      </c>
    </row>
    <row r="7" spans="1:13" ht="20.25" customHeight="1">
      <c r="A7" s="64" t="s">
        <v>53</v>
      </c>
      <c r="B7" s="64" t="s">
        <v>51</v>
      </c>
      <c r="C7" s="64" t="s">
        <v>54</v>
      </c>
      <c r="D7" s="13">
        <v>111</v>
      </c>
      <c r="E7" s="13">
        <v>101.5</v>
      </c>
      <c r="F7" s="53">
        <f>22563136.03*E7/E11</f>
        <v>5875213.717406362</v>
      </c>
      <c r="G7" s="53">
        <f>18737310.9*E7/E11</f>
        <v>4879007.32773217</v>
      </c>
      <c r="H7" s="53">
        <f>3325162.08*E7/E11</f>
        <v>865838.7663417137</v>
      </c>
      <c r="I7" s="2">
        <f aca="true" t="shared" si="4" ref="I7:I70">+F7+G7+H7</f>
        <v>11620059.811480246</v>
      </c>
      <c r="J7" s="2">
        <f t="shared" si="0"/>
        <v>52929.85330996723</v>
      </c>
      <c r="K7" s="2">
        <f t="shared" si="1"/>
        <v>43955.020970560094</v>
      </c>
      <c r="L7" s="2">
        <f t="shared" si="2"/>
        <v>7800.349246321745</v>
      </c>
      <c r="M7" s="2">
        <f t="shared" si="3"/>
        <v>104685.22352684906</v>
      </c>
    </row>
    <row r="8" spans="1:13" ht="20.25" customHeight="1">
      <c r="A8" s="64" t="s">
        <v>53</v>
      </c>
      <c r="B8" s="64" t="s">
        <v>51</v>
      </c>
      <c r="C8" s="64" t="s">
        <v>55</v>
      </c>
      <c r="D8" s="13">
        <v>71</v>
      </c>
      <c r="E8" s="13">
        <v>60.97</v>
      </c>
      <c r="F8" s="53">
        <f>22563136.03*E8/E11</f>
        <v>3529180.101973063</v>
      </c>
      <c r="G8" s="53">
        <f>18737310.9*E8/E11</f>
        <v>2930769.229279117</v>
      </c>
      <c r="H8" s="53">
        <f>3325162.08*E8/E11</f>
        <v>520100.38998871215</v>
      </c>
      <c r="I8" s="2">
        <f t="shared" si="4"/>
        <v>6980049.721240892</v>
      </c>
      <c r="J8" s="2">
        <f t="shared" si="0"/>
        <v>49706.761999620605</v>
      </c>
      <c r="K8" s="2">
        <f t="shared" si="1"/>
        <v>41278.439849001654</v>
      </c>
      <c r="L8" s="2">
        <f t="shared" si="2"/>
        <v>7325.357605474819</v>
      </c>
      <c r="M8" s="2">
        <f t="shared" si="3"/>
        <v>98310.55945409709</v>
      </c>
    </row>
    <row r="9" spans="1:13" ht="20.25" customHeight="1">
      <c r="A9" s="64" t="s">
        <v>53</v>
      </c>
      <c r="B9" s="64" t="s">
        <v>51</v>
      </c>
      <c r="C9" s="64" t="s">
        <v>56</v>
      </c>
      <c r="D9" s="13">
        <v>138</v>
      </c>
      <c r="E9" s="13">
        <v>118.61</v>
      </c>
      <c r="F9" s="53">
        <f>22563136.03*E9/E11</f>
        <v>6865606.886912006</v>
      </c>
      <c r="G9" s="53">
        <f>18737310.9*E9/E11</f>
        <v>5701468.56297845</v>
      </c>
      <c r="H9" s="53">
        <f>3325162.08*E9/E11</f>
        <v>1011794.4440964597</v>
      </c>
      <c r="I9" s="2">
        <f t="shared" si="4"/>
        <v>13578869.893986916</v>
      </c>
      <c r="J9" s="2">
        <f t="shared" si="0"/>
        <v>49750.77454284062</v>
      </c>
      <c r="K9" s="2">
        <f t="shared" si="1"/>
        <v>41314.989586800366</v>
      </c>
      <c r="L9" s="2">
        <f t="shared" si="2"/>
        <v>7331.843797800432</v>
      </c>
      <c r="M9" s="2">
        <f>SUM(J9:L9)</f>
        <v>98397.60792744142</v>
      </c>
    </row>
    <row r="10" spans="1:13" ht="20.25" customHeight="1" thickBot="1">
      <c r="A10" s="174" t="s">
        <v>53</v>
      </c>
      <c r="B10" s="174" t="s">
        <v>51</v>
      </c>
      <c r="C10" s="174" t="s">
        <v>160</v>
      </c>
      <c r="D10" s="17">
        <v>60</v>
      </c>
      <c r="E10" s="17">
        <v>52.69</v>
      </c>
      <c r="F10" s="175">
        <f>22563136.03*E10/E11</f>
        <v>3049901.5839422783</v>
      </c>
      <c r="G10" s="175">
        <f>18737310.9*E10/E11</f>
        <v>2532757.59702668</v>
      </c>
      <c r="H10" s="175">
        <f>3325162.08*E10/E11</f>
        <v>449468.4196900975</v>
      </c>
      <c r="I10" s="10">
        <f t="shared" si="4"/>
        <v>6032127.600659057</v>
      </c>
      <c r="J10" s="10">
        <f t="shared" si="0"/>
        <v>50831.69306570464</v>
      </c>
      <c r="K10" s="10">
        <f t="shared" si="1"/>
        <v>42212.62661711134</v>
      </c>
      <c r="L10" s="10">
        <f t="shared" si="2"/>
        <v>7491.1403281682915</v>
      </c>
      <c r="M10" s="10">
        <f t="shared" si="3"/>
        <v>100535.46001098427</v>
      </c>
    </row>
    <row r="11" spans="1:13" s="67" customFormat="1" ht="20.25" customHeight="1" thickBot="1" thickTop="1">
      <c r="A11" s="176"/>
      <c r="B11" s="177"/>
      <c r="C11" s="178" t="s">
        <v>194</v>
      </c>
      <c r="D11" s="20">
        <f>SUM(D6:D10)</f>
        <v>440</v>
      </c>
      <c r="E11" s="20">
        <f>SUM(E6:E10)</f>
        <v>389.8</v>
      </c>
      <c r="F11" s="179">
        <f>SUM(F6:F10)</f>
        <v>22563136.03</v>
      </c>
      <c r="G11" s="179">
        <f>SUM(G6:G10)</f>
        <v>18737310.9</v>
      </c>
      <c r="H11" s="179">
        <f>SUM(H6:H10)</f>
        <v>3325162.08</v>
      </c>
      <c r="I11" s="179">
        <f t="shared" si="4"/>
        <v>44625609.01</v>
      </c>
      <c r="J11" s="179">
        <f t="shared" si="0"/>
        <v>51279.854613636366</v>
      </c>
      <c r="K11" s="179">
        <f t="shared" si="1"/>
        <v>42584.79749999999</v>
      </c>
      <c r="L11" s="179">
        <f t="shared" si="2"/>
        <v>7557.186545454546</v>
      </c>
      <c r="M11" s="179">
        <f t="shared" si="3"/>
        <v>101421.8386590909</v>
      </c>
    </row>
    <row r="12" spans="1:13" ht="20.25" customHeight="1" thickTop="1">
      <c r="A12" s="228" t="s">
        <v>57</v>
      </c>
      <c r="B12" s="229"/>
      <c r="C12" s="230"/>
      <c r="D12" s="12"/>
      <c r="E12" s="12"/>
      <c r="F12" s="122"/>
      <c r="G12" s="122"/>
      <c r="H12" s="122"/>
      <c r="I12" s="12"/>
      <c r="J12" s="12"/>
      <c r="K12" s="12"/>
      <c r="L12" s="12"/>
      <c r="M12" s="12"/>
    </row>
    <row r="13" spans="1:13" ht="20.25" customHeight="1">
      <c r="A13" s="64" t="s">
        <v>59</v>
      </c>
      <c r="B13" s="64" t="s">
        <v>58</v>
      </c>
      <c r="C13" s="64" t="s">
        <v>52</v>
      </c>
      <c r="D13" s="2">
        <v>750</v>
      </c>
      <c r="E13" s="2">
        <v>546.97</v>
      </c>
      <c r="F13" s="53">
        <f>121578279.76*E13/E21</f>
        <v>22811671.290881876</v>
      </c>
      <c r="G13" s="53">
        <f>75305476.22*E13/E21</f>
        <v>14129528.50891663</v>
      </c>
      <c r="H13" s="53">
        <f>13282994.85*E13/E21</f>
        <v>2492281.621970835</v>
      </c>
      <c r="I13" s="2">
        <f t="shared" si="4"/>
        <v>39433481.421769336</v>
      </c>
      <c r="J13" s="2">
        <f aca="true" t="shared" si="5" ref="J13:J59">+F13/D13</f>
        <v>30415.561721175836</v>
      </c>
      <c r="K13" s="2">
        <f aca="true" t="shared" si="6" ref="K13:K59">+G13/D13</f>
        <v>18839.37134522217</v>
      </c>
      <c r="L13" s="2">
        <f aca="true" t="shared" si="7" ref="L13:L59">+H13/D13</f>
        <v>3323.0421626277803</v>
      </c>
      <c r="M13" s="2">
        <f>SUM(J13:L13)</f>
        <v>52577.97522902579</v>
      </c>
    </row>
    <row r="14" spans="1:13" ht="20.25" customHeight="1">
      <c r="A14" s="64" t="s">
        <v>59</v>
      </c>
      <c r="B14" s="64" t="s">
        <v>58</v>
      </c>
      <c r="C14" s="64" t="s">
        <v>201</v>
      </c>
      <c r="D14" s="2">
        <v>322</v>
      </c>
      <c r="E14" s="2">
        <v>217.55</v>
      </c>
      <c r="F14" s="53">
        <f>121578279.76*E14/E21</f>
        <v>9073037.07576531</v>
      </c>
      <c r="G14" s="53">
        <f>75305476.22*E14/E21</f>
        <v>5619830.936093045</v>
      </c>
      <c r="H14" s="53">
        <f>13282994.85*E14/E21</f>
        <v>991271.6727786813</v>
      </c>
      <c r="I14" s="2">
        <f t="shared" si="4"/>
        <v>15684139.684637036</v>
      </c>
      <c r="J14" s="2">
        <f t="shared" si="5"/>
        <v>28177.133775668663</v>
      </c>
      <c r="K14" s="2">
        <f t="shared" si="6"/>
        <v>17452.89110587902</v>
      </c>
      <c r="L14" s="2">
        <f t="shared" si="7"/>
        <v>3078.4834558344137</v>
      </c>
      <c r="M14" s="2">
        <f aca="true" t="shared" si="8" ref="M14:M21">SUM(J14:L14)</f>
        <v>48708.508337382096</v>
      </c>
    </row>
    <row r="15" spans="1:13" ht="20.25" customHeight="1">
      <c r="A15" s="64" t="s">
        <v>59</v>
      </c>
      <c r="B15" s="64" t="s">
        <v>58</v>
      </c>
      <c r="C15" s="64" t="s">
        <v>202</v>
      </c>
      <c r="D15" s="2">
        <v>589</v>
      </c>
      <c r="E15" s="2">
        <v>420.53</v>
      </c>
      <c r="F15" s="53">
        <f>121578279.76*E15/E21</f>
        <v>17538424.644778606</v>
      </c>
      <c r="G15" s="53">
        <f>75305476.22*E15/E21</f>
        <v>10863284.318801232</v>
      </c>
      <c r="H15" s="53">
        <f>13282994.85*E15/E21</f>
        <v>1916154.7991432715</v>
      </c>
      <c r="I15" s="2">
        <f t="shared" si="4"/>
        <v>30317863.76272311</v>
      </c>
      <c r="J15" s="2">
        <f t="shared" si="5"/>
        <v>29776.612300133456</v>
      </c>
      <c r="K15" s="2">
        <f t="shared" si="6"/>
        <v>18443.60665331279</v>
      </c>
      <c r="L15" s="2">
        <f t="shared" si="7"/>
        <v>3253.2339544028378</v>
      </c>
      <c r="M15" s="2">
        <f t="shared" si="8"/>
        <v>51473.45290784908</v>
      </c>
    </row>
    <row r="16" spans="1:13" ht="20.25" customHeight="1">
      <c r="A16" s="64" t="s">
        <v>59</v>
      </c>
      <c r="B16" s="64" t="s">
        <v>58</v>
      </c>
      <c r="C16" s="64" t="s">
        <v>203</v>
      </c>
      <c r="D16" s="2">
        <v>394</v>
      </c>
      <c r="E16" s="2">
        <v>321.08</v>
      </c>
      <c r="F16" s="53">
        <f>121578279.76*E16/E21</f>
        <v>13390810.132322343</v>
      </c>
      <c r="G16" s="53">
        <f>75305476.22*E16/E21</f>
        <v>8294255.651393954</v>
      </c>
      <c r="H16" s="53">
        <f>13282994.85*E16/E21</f>
        <v>1463008.5437636357</v>
      </c>
      <c r="I16" s="2">
        <f t="shared" si="4"/>
        <v>23148074.327479936</v>
      </c>
      <c r="J16" s="2">
        <f t="shared" si="5"/>
        <v>33986.827747011026</v>
      </c>
      <c r="K16" s="2">
        <f t="shared" si="6"/>
        <v>21051.41028272577</v>
      </c>
      <c r="L16" s="2">
        <f t="shared" si="7"/>
        <v>3713.2196542224256</v>
      </c>
      <c r="M16" s="2">
        <f t="shared" si="8"/>
        <v>58751.45768395922</v>
      </c>
    </row>
    <row r="17" spans="1:13" ht="20.25" customHeight="1">
      <c r="A17" s="64" t="s">
        <v>59</v>
      </c>
      <c r="B17" s="64" t="s">
        <v>58</v>
      </c>
      <c r="C17" s="64" t="s">
        <v>204</v>
      </c>
      <c r="D17" s="2">
        <v>246</v>
      </c>
      <c r="E17" s="2">
        <v>166.44</v>
      </c>
      <c r="F17" s="53">
        <f>121578279.76*E17/E21</f>
        <v>6941467.66669905</v>
      </c>
      <c r="G17" s="53">
        <f>75305476.22*E17/E21</f>
        <v>4299538.777307866</v>
      </c>
      <c r="H17" s="53">
        <f>13282994.85*E17/E21</f>
        <v>758387.7601346067</v>
      </c>
      <c r="I17" s="2">
        <f t="shared" si="4"/>
        <v>11999394.204141524</v>
      </c>
      <c r="J17" s="2">
        <f t="shared" si="5"/>
        <v>28217.348238614024</v>
      </c>
      <c r="K17" s="2">
        <f t="shared" si="6"/>
        <v>17477.799907755554</v>
      </c>
      <c r="L17" s="2">
        <f t="shared" si="7"/>
        <v>3082.8770737179134</v>
      </c>
      <c r="M17" s="2">
        <f t="shared" si="8"/>
        <v>48778.0252200875</v>
      </c>
    </row>
    <row r="18" spans="1:13" ht="20.25" customHeight="1">
      <c r="A18" s="64" t="s">
        <v>59</v>
      </c>
      <c r="B18" s="64" t="s">
        <v>58</v>
      </c>
      <c r="C18" s="64" t="s">
        <v>60</v>
      </c>
      <c r="D18" s="2">
        <v>764</v>
      </c>
      <c r="E18" s="2">
        <v>538.72</v>
      </c>
      <c r="F18" s="53">
        <f>121578279.76*E18/E21</f>
        <v>22467600.705383997</v>
      </c>
      <c r="G18" s="53">
        <f>75305476.22*E18/E21</f>
        <v>13916411.500308184</v>
      </c>
      <c r="H18" s="53">
        <f>13282994.85*E18/E21</f>
        <v>2454690.303651258</v>
      </c>
      <c r="I18" s="2">
        <f t="shared" si="4"/>
        <v>38838702.50934344</v>
      </c>
      <c r="J18" s="2">
        <f t="shared" si="5"/>
        <v>29407.854326418845</v>
      </c>
      <c r="K18" s="2">
        <f t="shared" si="6"/>
        <v>18215.1982988327</v>
      </c>
      <c r="L18" s="2">
        <f t="shared" si="7"/>
        <v>3212.945423627301</v>
      </c>
      <c r="M18" s="2">
        <f t="shared" si="8"/>
        <v>50835.99804887884</v>
      </c>
    </row>
    <row r="19" spans="1:13" ht="20.25" customHeight="1">
      <c r="A19" s="64" t="s">
        <v>59</v>
      </c>
      <c r="B19" s="64" t="s">
        <v>58</v>
      </c>
      <c r="C19" s="64" t="s">
        <v>61</v>
      </c>
      <c r="D19" s="2">
        <v>179</v>
      </c>
      <c r="E19" s="2">
        <v>143.92</v>
      </c>
      <c r="F19" s="53">
        <f>121578279.76*E19/E21</f>
        <v>6002259.232103624</v>
      </c>
      <c r="G19" s="53">
        <f>75305476.22*E19/E21</f>
        <v>3717793.924718506</v>
      </c>
      <c r="H19" s="53">
        <f>13282994.85*E19/E21</f>
        <v>655774.8524307413</v>
      </c>
      <c r="I19" s="2">
        <f t="shared" si="4"/>
        <v>10375828.009252872</v>
      </c>
      <c r="J19" s="2">
        <f t="shared" si="5"/>
        <v>33532.17448102583</v>
      </c>
      <c r="K19" s="2">
        <f t="shared" si="6"/>
        <v>20769.79846211456</v>
      </c>
      <c r="L19" s="2">
        <f t="shared" si="7"/>
        <v>3663.546661624253</v>
      </c>
      <c r="M19" s="2">
        <f t="shared" si="8"/>
        <v>57965.519604764646</v>
      </c>
    </row>
    <row r="20" spans="1:13" ht="20.25" customHeight="1" thickBot="1">
      <c r="A20" s="174" t="s">
        <v>59</v>
      </c>
      <c r="B20" s="174" t="s">
        <v>62</v>
      </c>
      <c r="C20" s="174" t="s">
        <v>54</v>
      </c>
      <c r="D20" s="10">
        <v>790</v>
      </c>
      <c r="E20" s="10">
        <v>559.95</v>
      </c>
      <c r="F20" s="175">
        <f>121578279.76*E20/E21</f>
        <v>23353009.012065206</v>
      </c>
      <c r="G20" s="175">
        <f>75305476.22*E20/E21</f>
        <v>14464832.602460586</v>
      </c>
      <c r="H20" s="175">
        <f>13282994.85*E20/E21</f>
        <v>2551425.296126971</v>
      </c>
      <c r="I20" s="10">
        <f t="shared" si="4"/>
        <v>40369266.910652764</v>
      </c>
      <c r="J20" s="10">
        <f t="shared" si="5"/>
        <v>29560.77090134836</v>
      </c>
      <c r="K20" s="10">
        <f t="shared" si="6"/>
        <v>18309.91468665897</v>
      </c>
      <c r="L20" s="10">
        <f t="shared" si="7"/>
        <v>3229.6522735784442</v>
      </c>
      <c r="M20" s="10">
        <f t="shared" si="8"/>
        <v>51100.33786158577</v>
      </c>
    </row>
    <row r="21" spans="1:13" s="67" customFormat="1" ht="20.25" customHeight="1" thickBot="1" thickTop="1">
      <c r="A21" s="176"/>
      <c r="B21" s="176"/>
      <c r="C21" s="178" t="s">
        <v>168</v>
      </c>
      <c r="D21" s="20">
        <f>SUM(D13:D20)</f>
        <v>4034</v>
      </c>
      <c r="E21" s="20">
        <f>SUM(E13:E20)</f>
        <v>2915.16</v>
      </c>
      <c r="F21" s="179">
        <f>SUM(F13:F20)</f>
        <v>121578279.76000002</v>
      </c>
      <c r="G21" s="179">
        <f>SUM(G13:G20)</f>
        <v>75305476.22</v>
      </c>
      <c r="H21" s="179">
        <f>SUM(H13:H20)</f>
        <v>13282994.85</v>
      </c>
      <c r="I21" s="179">
        <f t="shared" si="4"/>
        <v>210166750.83</v>
      </c>
      <c r="J21" s="179">
        <f t="shared" si="5"/>
        <v>30138.393594447203</v>
      </c>
      <c r="K21" s="179">
        <f t="shared" si="6"/>
        <v>18667.693658899356</v>
      </c>
      <c r="L21" s="179">
        <f t="shared" si="7"/>
        <v>3292.7602503718394</v>
      </c>
      <c r="M21" s="179">
        <f t="shared" si="8"/>
        <v>52098.847503718396</v>
      </c>
    </row>
    <row r="22" spans="1:13" ht="20.25" customHeight="1" thickTop="1">
      <c r="A22" s="180" t="s">
        <v>65</v>
      </c>
      <c r="B22" s="180" t="s">
        <v>63</v>
      </c>
      <c r="C22" s="181" t="s">
        <v>182</v>
      </c>
      <c r="D22" s="182">
        <v>471</v>
      </c>
      <c r="E22" s="182">
        <v>361.14</v>
      </c>
      <c r="F22" s="122">
        <f>65675902.9693709*E22/E32</f>
        <v>19576413.742795385</v>
      </c>
      <c r="G22" s="122">
        <f>35399423.2663199*E22/E32</f>
        <v>10551720.26246834</v>
      </c>
      <c r="H22" s="122">
        <f>6225907.37533078*E22/E32</f>
        <v>1855793.8786260448</v>
      </c>
      <c r="I22" s="12">
        <f t="shared" si="4"/>
        <v>31983927.88388977</v>
      </c>
      <c r="J22" s="12">
        <f t="shared" si="5"/>
        <v>41563.511131200394</v>
      </c>
      <c r="K22" s="12">
        <f t="shared" si="6"/>
        <v>22402.80310502832</v>
      </c>
      <c r="L22" s="12">
        <f t="shared" si="7"/>
        <v>3940.114391987356</v>
      </c>
      <c r="M22" s="12">
        <f>SUM(J22:L22)</f>
        <v>67906.42862821608</v>
      </c>
    </row>
    <row r="23" spans="1:13" ht="20.25" customHeight="1">
      <c r="A23" s="64" t="s">
        <v>65</v>
      </c>
      <c r="B23" s="64" t="s">
        <v>58</v>
      </c>
      <c r="C23" s="66" t="s">
        <v>183</v>
      </c>
      <c r="D23" s="15">
        <v>106</v>
      </c>
      <c r="E23" s="15">
        <v>67.44</v>
      </c>
      <c r="F23" s="53">
        <f>65675902.9693709*E23/E32</f>
        <v>3655738.3364183437</v>
      </c>
      <c r="G23" s="53">
        <f>35399423.2663199*E23/E32</f>
        <v>1970449.1734531343</v>
      </c>
      <c r="H23" s="53">
        <f>6225907.37533078*E23/E32</f>
        <v>346554.6302667677</v>
      </c>
      <c r="I23" s="2">
        <f t="shared" si="4"/>
        <v>5972742.140138246</v>
      </c>
      <c r="J23" s="2">
        <f t="shared" si="5"/>
        <v>34488.0975133806</v>
      </c>
      <c r="K23" s="2">
        <f t="shared" si="6"/>
        <v>18589.143145784285</v>
      </c>
      <c r="L23" s="2">
        <f t="shared" si="7"/>
        <v>3269.3833044034686</v>
      </c>
      <c r="M23" s="2">
        <f aca="true" t="shared" si="9" ref="M23:M30">SUM(J23:L23)</f>
        <v>56346.62396356835</v>
      </c>
    </row>
    <row r="24" spans="1:13" ht="20.25" customHeight="1">
      <c r="A24" s="64" t="s">
        <v>65</v>
      </c>
      <c r="B24" s="64" t="s">
        <v>58</v>
      </c>
      <c r="C24" s="66" t="s">
        <v>66</v>
      </c>
      <c r="D24" s="15">
        <v>184</v>
      </c>
      <c r="E24" s="15">
        <v>95.89</v>
      </c>
      <c r="F24" s="53">
        <f>65675902.9693709*E24/E32</f>
        <v>5197935.18800645</v>
      </c>
      <c r="G24" s="53">
        <f>35399423.2663199*E24/E32</f>
        <v>2801695.896239932</v>
      </c>
      <c r="H24" s="53">
        <f>6225907.37533078*E24/E32</f>
        <v>492750.94152254384</v>
      </c>
      <c r="I24" s="2">
        <f t="shared" si="4"/>
        <v>8492382.025768926</v>
      </c>
      <c r="J24" s="2">
        <f t="shared" si="5"/>
        <v>28249.647760904623</v>
      </c>
      <c r="K24" s="2">
        <f t="shared" si="6"/>
        <v>15226.608131738762</v>
      </c>
      <c r="L24" s="2">
        <f t="shared" si="7"/>
        <v>2677.9942474051295</v>
      </c>
      <c r="M24" s="2">
        <f t="shared" si="9"/>
        <v>46154.25014004851</v>
      </c>
    </row>
    <row r="25" spans="1:13" ht="20.25" customHeight="1">
      <c r="A25" s="64" t="s">
        <v>65</v>
      </c>
      <c r="B25" s="64" t="s">
        <v>58</v>
      </c>
      <c r="C25" s="66" t="s">
        <v>67</v>
      </c>
      <c r="D25" s="15">
        <v>12</v>
      </c>
      <c r="E25" s="15">
        <v>4.42</v>
      </c>
      <c r="F25" s="53">
        <f>65675902.9693709*E25/E32</f>
        <v>239596.1365208938</v>
      </c>
      <c r="G25" s="53">
        <f>35399423.2663199*E25/E32</f>
        <v>129142.7245946449</v>
      </c>
      <c r="H25" s="53">
        <f>6225907.37533078*E25/E32</f>
        <v>22713.10002638068</v>
      </c>
      <c r="I25" s="2">
        <f t="shared" si="4"/>
        <v>391451.96114191937</v>
      </c>
      <c r="J25" s="2">
        <f t="shared" si="5"/>
        <v>19966.344710074485</v>
      </c>
      <c r="K25" s="2">
        <f t="shared" si="6"/>
        <v>10761.893716220407</v>
      </c>
      <c r="L25" s="2">
        <f t="shared" si="7"/>
        <v>1892.7583355317236</v>
      </c>
      <c r="M25" s="2">
        <f t="shared" si="9"/>
        <v>32620.996761826613</v>
      </c>
    </row>
    <row r="26" spans="1:13" ht="20.25" customHeight="1">
      <c r="A26" s="64" t="s">
        <v>65</v>
      </c>
      <c r="B26" s="64" t="s">
        <v>58</v>
      </c>
      <c r="C26" s="66" t="s">
        <v>68</v>
      </c>
      <c r="D26" s="15">
        <v>395</v>
      </c>
      <c r="E26" s="15">
        <v>257.86</v>
      </c>
      <c r="F26" s="53">
        <f>65675902.9693709*E26/E32</f>
        <v>13977886.824270971</v>
      </c>
      <c r="G26" s="53">
        <f>35399423.2663199*E26/E32</f>
        <v>7534104.7429808015</v>
      </c>
      <c r="H26" s="53">
        <f>6225907.37533078*E26/E32</f>
        <v>1325067.867149892</v>
      </c>
      <c r="I26" s="2">
        <f t="shared" si="4"/>
        <v>22837059.434401665</v>
      </c>
      <c r="J26" s="2">
        <f t="shared" si="5"/>
        <v>35387.05525131892</v>
      </c>
      <c r="K26" s="2">
        <f t="shared" si="6"/>
        <v>19073.68289362228</v>
      </c>
      <c r="L26" s="2">
        <f t="shared" si="7"/>
        <v>3354.602195316182</v>
      </c>
      <c r="M26" s="2">
        <f t="shared" si="9"/>
        <v>57815.34034025738</v>
      </c>
    </row>
    <row r="27" spans="1:13" ht="20.25" customHeight="1">
      <c r="A27" s="64" t="s">
        <v>65</v>
      </c>
      <c r="B27" s="64" t="s">
        <v>58</v>
      </c>
      <c r="C27" s="66" t="s">
        <v>205</v>
      </c>
      <c r="D27" s="15">
        <v>58</v>
      </c>
      <c r="E27" s="15">
        <v>37.97</v>
      </c>
      <c r="F27" s="53">
        <f>65675902.9693709*E27/E32</f>
        <v>2058250.0687100315</v>
      </c>
      <c r="G27" s="53">
        <f>35399423.2663199*E27/E32</f>
        <v>1109400.2834521872</v>
      </c>
      <c r="H27" s="53">
        <f>6225907.37533078*E27/E32</f>
        <v>195116.8343895191</v>
      </c>
      <c r="I27" s="2">
        <f t="shared" si="4"/>
        <v>3362767.1865517376</v>
      </c>
      <c r="J27" s="2">
        <f t="shared" si="5"/>
        <v>35487.070150172956</v>
      </c>
      <c r="K27" s="2">
        <f t="shared" si="6"/>
        <v>19127.591094003226</v>
      </c>
      <c r="L27" s="2">
        <f t="shared" si="7"/>
        <v>3364.0833515434324</v>
      </c>
      <c r="M27" s="2">
        <f t="shared" si="9"/>
        <v>57978.74459571962</v>
      </c>
    </row>
    <row r="28" spans="1:13" ht="20.25" customHeight="1">
      <c r="A28" s="64" t="s">
        <v>65</v>
      </c>
      <c r="B28" s="64" t="s">
        <v>58</v>
      </c>
      <c r="C28" s="64" t="s">
        <v>206</v>
      </c>
      <c r="D28" s="2">
        <v>36</v>
      </c>
      <c r="E28" s="2">
        <v>27.83</v>
      </c>
      <c r="F28" s="53">
        <f>65675902.9693709*E28/E32</f>
        <v>1508588.3437503336</v>
      </c>
      <c r="G28" s="53">
        <f>35399423.2663199*E28/E32</f>
        <v>813131.6799703547</v>
      </c>
      <c r="H28" s="53">
        <f>6225907.37533078*E28/E32</f>
        <v>143010.31079958694</v>
      </c>
      <c r="I28" s="2">
        <f t="shared" si="4"/>
        <v>2464730.3345202752</v>
      </c>
      <c r="J28" s="2">
        <f t="shared" si="5"/>
        <v>41905.2317708426</v>
      </c>
      <c r="K28" s="2">
        <f t="shared" si="6"/>
        <v>22586.99111028763</v>
      </c>
      <c r="L28" s="2">
        <f t="shared" si="7"/>
        <v>3972.508633321859</v>
      </c>
      <c r="M28" s="2">
        <f t="shared" si="9"/>
        <v>68464.73151445208</v>
      </c>
    </row>
    <row r="29" spans="1:13" ht="20.25" customHeight="1">
      <c r="A29" s="64" t="s">
        <v>65</v>
      </c>
      <c r="B29" s="64" t="s">
        <v>58</v>
      </c>
      <c r="C29" s="64" t="s">
        <v>207</v>
      </c>
      <c r="D29" s="2">
        <v>63</v>
      </c>
      <c r="E29" s="2">
        <v>55.94</v>
      </c>
      <c r="F29" s="53">
        <f>65675902.9693709*E29/E32</f>
        <v>3032354.723298371</v>
      </c>
      <c r="G29" s="53">
        <f>35399423.2663199*E29/E32</f>
        <v>1634444.3470191034</v>
      </c>
      <c r="H29" s="53">
        <f>6225907.37533078*E29/E32</f>
        <v>287459.4605148722</v>
      </c>
      <c r="I29" s="2">
        <f t="shared" si="4"/>
        <v>4954258.5308323465</v>
      </c>
      <c r="J29" s="2">
        <f t="shared" si="5"/>
        <v>48132.614655529695</v>
      </c>
      <c r="K29" s="2">
        <f t="shared" si="6"/>
        <v>25943.561063795292</v>
      </c>
      <c r="L29" s="2">
        <f t="shared" si="7"/>
        <v>4562.848579601146</v>
      </c>
      <c r="M29" s="2">
        <f t="shared" si="9"/>
        <v>78639.02429892615</v>
      </c>
    </row>
    <row r="30" spans="1:13" ht="20.25" customHeight="1">
      <c r="A30" s="64" t="s">
        <v>65</v>
      </c>
      <c r="B30" s="64" t="s">
        <v>58</v>
      </c>
      <c r="C30" s="64" t="s">
        <v>70</v>
      </c>
      <c r="D30" s="2">
        <v>247</v>
      </c>
      <c r="E30" s="2">
        <v>199.44</v>
      </c>
      <c r="F30" s="53">
        <f>65675902.9693709*E30/E32</f>
        <v>10811098.069621509</v>
      </c>
      <c r="G30" s="53">
        <f>35399423.2663199*E30/E32</f>
        <v>5827200.224695924</v>
      </c>
      <c r="H30" s="53">
        <f>6225907.37533078*E30/E32</f>
        <v>1024864.4048102632</v>
      </c>
      <c r="I30" s="2">
        <f t="shared" si="4"/>
        <v>17663162.699127696</v>
      </c>
      <c r="J30" s="2">
        <f t="shared" si="5"/>
        <v>43769.62781223283</v>
      </c>
      <c r="K30" s="2">
        <f t="shared" si="6"/>
        <v>23591.903743708193</v>
      </c>
      <c r="L30" s="2">
        <f t="shared" si="7"/>
        <v>4149.248602470701</v>
      </c>
      <c r="M30" s="2">
        <f t="shared" si="9"/>
        <v>71510.78015841173</v>
      </c>
    </row>
    <row r="31" spans="1:13" ht="20.25" customHeight="1" thickBot="1">
      <c r="A31" s="174" t="s">
        <v>65</v>
      </c>
      <c r="B31" s="174" t="s">
        <v>58</v>
      </c>
      <c r="C31" s="174" t="s">
        <v>69</v>
      </c>
      <c r="D31" s="10">
        <v>137</v>
      </c>
      <c r="E31" s="10">
        <v>103.64</v>
      </c>
      <c r="F31" s="175">
        <f>65675902.9693709*E31/E32</f>
        <v>5618041.535978606</v>
      </c>
      <c r="G31" s="175">
        <f>35399423.2663199*E31/E32</f>
        <v>3028133.9314454747</v>
      </c>
      <c r="H31" s="175">
        <f>6225907.37533078*E31/E32</f>
        <v>532575.9472249082</v>
      </c>
      <c r="I31" s="10">
        <f t="shared" si="4"/>
        <v>9178751.414648987</v>
      </c>
      <c r="J31" s="10">
        <f t="shared" si="5"/>
        <v>41007.60245239858</v>
      </c>
      <c r="K31" s="10">
        <f t="shared" si="6"/>
        <v>22103.167382813685</v>
      </c>
      <c r="L31" s="10">
        <f t="shared" si="7"/>
        <v>3887.415673174512</v>
      </c>
      <c r="M31" s="10">
        <f aca="true" t="shared" si="10" ref="M31:M56">SUM(J31:L31)</f>
        <v>66998.18550838678</v>
      </c>
    </row>
    <row r="32" spans="1:13" s="67" customFormat="1" ht="20.25" customHeight="1" thickBot="1" thickTop="1">
      <c r="A32" s="176"/>
      <c r="B32" s="176"/>
      <c r="C32" s="178" t="s">
        <v>170</v>
      </c>
      <c r="D32" s="179">
        <f>SUM(D22:D31)</f>
        <v>1709</v>
      </c>
      <c r="E32" s="179">
        <f>SUM(E22:E31)</f>
        <v>1211.5700000000002</v>
      </c>
      <c r="F32" s="179">
        <f>SUM(F22:F31)</f>
        <v>65675902.969370894</v>
      </c>
      <c r="G32" s="179">
        <f>SUM(G22:G31)</f>
        <v>35399423.26631989</v>
      </c>
      <c r="H32" s="179">
        <f>SUM(H22:H31)</f>
        <v>6225907.375330779</v>
      </c>
      <c r="I32" s="179">
        <f t="shared" si="4"/>
        <v>107301233.61102156</v>
      </c>
      <c r="J32" s="179">
        <f t="shared" si="5"/>
        <v>38429.43415410819</v>
      </c>
      <c r="K32" s="179">
        <f t="shared" si="6"/>
        <v>20713.530290415387</v>
      </c>
      <c r="L32" s="179">
        <f t="shared" si="7"/>
        <v>3643.0119223702627</v>
      </c>
      <c r="M32" s="179">
        <f t="shared" si="10"/>
        <v>62785.97636689384</v>
      </c>
    </row>
    <row r="33" spans="1:13" ht="20.25" customHeight="1" thickTop="1">
      <c r="A33" s="180" t="s">
        <v>73</v>
      </c>
      <c r="B33" s="180" t="s">
        <v>71</v>
      </c>
      <c r="C33" s="180" t="s">
        <v>72</v>
      </c>
      <c r="D33" s="12">
        <v>456</v>
      </c>
      <c r="E33" s="12">
        <v>386.58</v>
      </c>
      <c r="F33" s="122">
        <f>39131066.1099212*E33/E37</f>
        <v>21534425.00999806</v>
      </c>
      <c r="G33" s="122">
        <f>17766684.968624*E33/E37</f>
        <v>9777278.852008862</v>
      </c>
      <c r="H33" s="122">
        <f>7276289.75941176*E33/E37</f>
        <v>4004253.6979421154</v>
      </c>
      <c r="I33" s="12">
        <f t="shared" si="4"/>
        <v>35315957.55994904</v>
      </c>
      <c r="J33" s="12">
        <f t="shared" si="5"/>
        <v>47224.61624999575</v>
      </c>
      <c r="K33" s="12">
        <f t="shared" si="6"/>
        <v>21441.400991247505</v>
      </c>
      <c r="L33" s="12">
        <f t="shared" si="7"/>
        <v>8781.258109522183</v>
      </c>
      <c r="M33" s="12">
        <f t="shared" si="10"/>
        <v>77447.27535076544</v>
      </c>
    </row>
    <row r="34" spans="1:13" ht="20.25" customHeight="1">
      <c r="A34" s="64" t="s">
        <v>73</v>
      </c>
      <c r="B34" s="64" t="s">
        <v>71</v>
      </c>
      <c r="C34" s="64" t="s">
        <v>74</v>
      </c>
      <c r="D34" s="2">
        <v>14</v>
      </c>
      <c r="E34" s="2">
        <v>5.78</v>
      </c>
      <c r="F34" s="53">
        <f>39131066.1099212*E34/E37</f>
        <v>321974.69232187077</v>
      </c>
      <c r="G34" s="53">
        <f>17766684.968624*E34/E37</f>
        <v>146186.2273387429</v>
      </c>
      <c r="H34" s="53">
        <f>7276289.75941176*E34/E37</f>
        <v>59870.108060700055</v>
      </c>
      <c r="I34" s="2">
        <f t="shared" si="4"/>
        <v>528031.0277213136</v>
      </c>
      <c r="J34" s="2">
        <f t="shared" si="5"/>
        <v>22998.192308705056</v>
      </c>
      <c r="K34" s="2">
        <f t="shared" si="6"/>
        <v>10441.873381338779</v>
      </c>
      <c r="L34" s="2">
        <f t="shared" si="7"/>
        <v>4276.436290050004</v>
      </c>
      <c r="M34" s="2">
        <f t="shared" si="10"/>
        <v>37716.50198009384</v>
      </c>
    </row>
    <row r="35" spans="1:13" ht="20.25" customHeight="1">
      <c r="A35" s="64" t="s">
        <v>73</v>
      </c>
      <c r="B35" s="64" t="s">
        <v>71</v>
      </c>
      <c r="C35" s="64" t="s">
        <v>75</v>
      </c>
      <c r="D35" s="2">
        <v>61</v>
      </c>
      <c r="E35" s="2">
        <v>44.14</v>
      </c>
      <c r="F35" s="53">
        <f>39131066.1099212*E35/E37</f>
        <v>2458817.1140289577</v>
      </c>
      <c r="G35" s="53">
        <f>17766684.968624*E35/E37</f>
        <v>1116377.175559189</v>
      </c>
      <c r="H35" s="53">
        <f>7276289.75941176*E35/E37</f>
        <v>457208.749100225</v>
      </c>
      <c r="I35" s="2">
        <f t="shared" si="4"/>
        <v>4032403.038688372</v>
      </c>
      <c r="J35" s="2">
        <f t="shared" si="5"/>
        <v>40308.47727916324</v>
      </c>
      <c r="K35" s="2">
        <f t="shared" si="6"/>
        <v>18301.26517310146</v>
      </c>
      <c r="L35" s="2">
        <f t="shared" si="7"/>
        <v>7495.225395085656</v>
      </c>
      <c r="M35" s="2">
        <f t="shared" si="10"/>
        <v>66104.96784735036</v>
      </c>
    </row>
    <row r="36" spans="1:13" ht="20.25" customHeight="1" thickBot="1">
      <c r="A36" s="174" t="s">
        <v>73</v>
      </c>
      <c r="B36" s="174" t="s">
        <v>63</v>
      </c>
      <c r="C36" s="174" t="s">
        <v>64</v>
      </c>
      <c r="D36" s="10">
        <v>359</v>
      </c>
      <c r="E36" s="10">
        <v>265.97</v>
      </c>
      <c r="F36" s="175">
        <f>39131066.1099212*E36/E37</f>
        <v>14815849.293572312</v>
      </c>
      <c r="G36" s="175">
        <f>17766684.968624*E36/E37</f>
        <v>6726842.713717206</v>
      </c>
      <c r="H36" s="175">
        <f>7276289.75941176*E36/E37</f>
        <v>2754957.204308719</v>
      </c>
      <c r="I36" s="10">
        <f t="shared" si="4"/>
        <v>24297649.211598236</v>
      </c>
      <c r="J36" s="10">
        <f t="shared" si="5"/>
        <v>41269.77519100923</v>
      </c>
      <c r="K36" s="10">
        <f t="shared" si="6"/>
        <v>18737.72343653818</v>
      </c>
      <c r="L36" s="10">
        <f t="shared" si="7"/>
        <v>7673.975499467184</v>
      </c>
      <c r="M36" s="10">
        <f t="shared" si="10"/>
        <v>67681.47412701459</v>
      </c>
    </row>
    <row r="37" spans="1:13" s="67" customFormat="1" ht="20.25" customHeight="1" thickBot="1" thickTop="1">
      <c r="A37" s="176"/>
      <c r="B37" s="176"/>
      <c r="C37" s="178" t="s">
        <v>171</v>
      </c>
      <c r="D37" s="179">
        <f>SUM(D33:D36)</f>
        <v>890</v>
      </c>
      <c r="E37" s="179">
        <f>SUM(E33:E36)</f>
        <v>702.47</v>
      </c>
      <c r="F37" s="179">
        <f>SUM(F33:F36)</f>
        <v>39131066.1099212</v>
      </c>
      <c r="G37" s="179">
        <f>SUM(G33:G36)</f>
        <v>17766684.968624</v>
      </c>
      <c r="H37" s="179">
        <f>SUM(H33:H36)</f>
        <v>7276289.75941176</v>
      </c>
      <c r="I37" s="179">
        <f t="shared" si="4"/>
        <v>64174040.83795696</v>
      </c>
      <c r="J37" s="179">
        <f t="shared" si="5"/>
        <v>43967.49001114742</v>
      </c>
      <c r="K37" s="179">
        <f t="shared" si="6"/>
        <v>19962.567380476405</v>
      </c>
      <c r="L37" s="179">
        <f t="shared" si="7"/>
        <v>8175.606471249168</v>
      </c>
      <c r="M37" s="179">
        <f t="shared" si="10"/>
        <v>72105.66386287299</v>
      </c>
    </row>
    <row r="38" spans="1:13" ht="20.25" customHeight="1" thickTop="1">
      <c r="A38" s="180" t="s">
        <v>76</v>
      </c>
      <c r="B38" s="180" t="s">
        <v>71</v>
      </c>
      <c r="C38" s="180" t="s">
        <v>74</v>
      </c>
      <c r="D38" s="12">
        <v>381</v>
      </c>
      <c r="E38" s="12">
        <v>261.03</v>
      </c>
      <c r="F38" s="122">
        <f>64396677.4090068*E38/E43</f>
        <v>13732549.633247588</v>
      </c>
      <c r="G38" s="122">
        <f>40883127.780789*E38/E43</f>
        <v>8718300.44656255</v>
      </c>
      <c r="H38" s="122">
        <f>7619169.33083486*E38/E43</f>
        <v>1624782.9113179285</v>
      </c>
      <c r="I38" s="12">
        <f t="shared" si="4"/>
        <v>24075632.991128065</v>
      </c>
      <c r="J38" s="12">
        <f t="shared" si="5"/>
        <v>36043.43735760522</v>
      </c>
      <c r="K38" s="12">
        <f t="shared" si="6"/>
        <v>22882.67833743451</v>
      </c>
      <c r="L38" s="12">
        <f t="shared" si="7"/>
        <v>4264.522076949944</v>
      </c>
      <c r="M38" s="12">
        <f t="shared" si="10"/>
        <v>63190.63777198967</v>
      </c>
    </row>
    <row r="39" spans="1:13" ht="20.25" customHeight="1">
      <c r="A39" s="64" t="s">
        <v>76</v>
      </c>
      <c r="B39" s="64" t="s">
        <v>71</v>
      </c>
      <c r="C39" s="64" t="s">
        <v>77</v>
      </c>
      <c r="D39" s="2">
        <v>517</v>
      </c>
      <c r="E39" s="2">
        <v>359.44</v>
      </c>
      <c r="F39" s="53">
        <f>64396677.4090068*E39/E43</f>
        <v>18909809.75433672</v>
      </c>
      <c r="G39" s="53">
        <f>40883127.780789*E39/E43</f>
        <v>12005156.160259137</v>
      </c>
      <c r="H39" s="53">
        <f>7619169.33083486*E39/E43</f>
        <v>2237336.5883006407</v>
      </c>
      <c r="I39" s="2">
        <f t="shared" si="4"/>
        <v>33152302.5028965</v>
      </c>
      <c r="J39" s="2">
        <f t="shared" si="5"/>
        <v>36576.034341076826</v>
      </c>
      <c r="K39" s="2">
        <f t="shared" si="6"/>
        <v>23220.804952145332</v>
      </c>
      <c r="L39" s="2">
        <f t="shared" si="7"/>
        <v>4327.536921277835</v>
      </c>
      <c r="M39" s="2">
        <f t="shared" si="10"/>
        <v>64124.37621449999</v>
      </c>
    </row>
    <row r="40" spans="1:13" ht="20.25" customHeight="1">
      <c r="A40" s="64" t="s">
        <v>76</v>
      </c>
      <c r="B40" s="64" t="s">
        <v>84</v>
      </c>
      <c r="C40" s="64" t="s">
        <v>78</v>
      </c>
      <c r="D40" s="2">
        <v>163</v>
      </c>
      <c r="E40" s="2">
        <v>115.42</v>
      </c>
      <c r="F40" s="53">
        <f>64396677.4090068*E40/E43</f>
        <v>6072140.668388449</v>
      </c>
      <c r="G40" s="53">
        <f>40883127.780789*E40/E43</f>
        <v>3854983.0959745985</v>
      </c>
      <c r="H40" s="53">
        <f>7619169.33083486*E40/E43</f>
        <v>718432.5312198418</v>
      </c>
      <c r="I40" s="2">
        <f t="shared" si="4"/>
        <v>10645556.295582889</v>
      </c>
      <c r="J40" s="2">
        <f t="shared" si="5"/>
        <v>37252.39673857944</v>
      </c>
      <c r="K40" s="2">
        <f t="shared" si="6"/>
        <v>23650.203042788948</v>
      </c>
      <c r="L40" s="2">
        <f t="shared" si="7"/>
        <v>4407.561541226023</v>
      </c>
      <c r="M40" s="2">
        <f t="shared" si="10"/>
        <v>65310.16132259441</v>
      </c>
    </row>
    <row r="41" spans="1:13" ht="20.25" customHeight="1">
      <c r="A41" s="64" t="s">
        <v>76</v>
      </c>
      <c r="B41" s="64" t="s">
        <v>71</v>
      </c>
      <c r="C41" s="64" t="s">
        <v>79</v>
      </c>
      <c r="D41" s="2">
        <v>292</v>
      </c>
      <c r="E41" s="2">
        <v>202.42</v>
      </c>
      <c r="F41" s="53">
        <f>64396677.4090068*E41/E43</f>
        <v>10649131.121947581</v>
      </c>
      <c r="G41" s="53">
        <f>40883127.780789*E41/E43</f>
        <v>6760749.248719269</v>
      </c>
      <c r="H41" s="53">
        <f>7619169.33083486*E41/E43</f>
        <v>1259964.5899282652</v>
      </c>
      <c r="I41" s="2">
        <f t="shared" si="4"/>
        <v>18669844.960595116</v>
      </c>
      <c r="J41" s="2">
        <f t="shared" si="5"/>
        <v>36469.627129957466</v>
      </c>
      <c r="K41" s="2">
        <f t="shared" si="6"/>
        <v>23153.25085177832</v>
      </c>
      <c r="L41" s="2">
        <f t="shared" si="7"/>
        <v>4314.94722578173</v>
      </c>
      <c r="M41" s="2">
        <f t="shared" si="10"/>
        <v>63937.82520751752</v>
      </c>
    </row>
    <row r="42" spans="1:13" ht="20.25" customHeight="1" thickBot="1">
      <c r="A42" s="174" t="s">
        <v>76</v>
      </c>
      <c r="B42" s="174" t="s">
        <v>84</v>
      </c>
      <c r="C42" s="174" t="s">
        <v>80</v>
      </c>
      <c r="D42" s="10">
        <v>404</v>
      </c>
      <c r="E42" s="10">
        <v>285.75</v>
      </c>
      <c r="F42" s="175">
        <f>64396677.4090068*E42/E43</f>
        <v>15033046.23108646</v>
      </c>
      <c r="G42" s="175">
        <f>40883127.780789*E42/E43</f>
        <v>9543938.82927345</v>
      </c>
      <c r="H42" s="175">
        <f>7619169.33083486*E42/E43</f>
        <v>1778652.710068184</v>
      </c>
      <c r="I42" s="10">
        <f t="shared" si="4"/>
        <v>26355637.770428095</v>
      </c>
      <c r="J42" s="10">
        <f t="shared" si="5"/>
        <v>37210.51047298629</v>
      </c>
      <c r="K42" s="10">
        <f t="shared" si="6"/>
        <v>23623.61096354814</v>
      </c>
      <c r="L42" s="10">
        <f t="shared" si="7"/>
        <v>4402.605717990555</v>
      </c>
      <c r="M42" s="10">
        <f t="shared" si="10"/>
        <v>65236.72715452498</v>
      </c>
    </row>
    <row r="43" spans="1:13" s="67" customFormat="1" ht="20.25" customHeight="1" thickBot="1" thickTop="1">
      <c r="A43" s="176"/>
      <c r="B43" s="176"/>
      <c r="C43" s="178" t="s">
        <v>172</v>
      </c>
      <c r="D43" s="179">
        <f>SUM(D38:D42)</f>
        <v>1757</v>
      </c>
      <c r="E43" s="179">
        <f>SUM(E38:E42)</f>
        <v>1224.06</v>
      </c>
      <c r="F43" s="179">
        <f>SUM(F38:F42)</f>
        <v>64396677.4090068</v>
      </c>
      <c r="G43" s="179">
        <f>SUM(G38:G42)</f>
        <v>40883127.780789</v>
      </c>
      <c r="H43" s="179">
        <f>SUM(H38:H42)</f>
        <v>7619169.330834861</v>
      </c>
      <c r="I43" s="179">
        <f t="shared" si="4"/>
        <v>112898974.52063066</v>
      </c>
      <c r="J43" s="179">
        <f t="shared" si="5"/>
        <v>36651.495394995334</v>
      </c>
      <c r="K43" s="179">
        <f t="shared" si="6"/>
        <v>23268.712453494027</v>
      </c>
      <c r="L43" s="179">
        <f t="shared" si="7"/>
        <v>4336.4651854495505</v>
      </c>
      <c r="M43" s="179">
        <f t="shared" si="10"/>
        <v>64256.67303393891</v>
      </c>
    </row>
    <row r="44" spans="1:13" ht="20.25" customHeight="1" thickTop="1">
      <c r="A44" s="180" t="s">
        <v>82</v>
      </c>
      <c r="B44" s="180" t="s">
        <v>81</v>
      </c>
      <c r="C44" s="180" t="s">
        <v>83</v>
      </c>
      <c r="D44" s="12">
        <v>31</v>
      </c>
      <c r="E44" s="12">
        <v>22.78</v>
      </c>
      <c r="F44" s="122">
        <f>8415555.99957296*E44/E47</f>
        <v>2611091.8778299107</v>
      </c>
      <c r="G44" s="122">
        <f>7439882.34978557*E44/E47</f>
        <v>2308369.9254714698</v>
      </c>
      <c r="H44" s="122">
        <f>848517.718503583*E44/E47</f>
        <v>263269.3220854211</v>
      </c>
      <c r="I44" s="12">
        <f t="shared" si="4"/>
        <v>5182731.1253868025</v>
      </c>
      <c r="J44" s="12">
        <f t="shared" si="5"/>
        <v>84228.77025257777</v>
      </c>
      <c r="K44" s="12">
        <f t="shared" si="6"/>
        <v>74463.54598295064</v>
      </c>
      <c r="L44" s="12">
        <f t="shared" si="7"/>
        <v>8492.558776949068</v>
      </c>
      <c r="M44" s="12">
        <f t="shared" si="10"/>
        <v>167184.87501247748</v>
      </c>
    </row>
    <row r="45" spans="1:13" ht="20.25" customHeight="1">
      <c r="A45" s="64" t="s">
        <v>82</v>
      </c>
      <c r="B45" s="64" t="s">
        <v>84</v>
      </c>
      <c r="C45" s="64" t="s">
        <v>80</v>
      </c>
      <c r="D45" s="2">
        <v>40</v>
      </c>
      <c r="E45" s="2">
        <v>20.31</v>
      </c>
      <c r="F45" s="53">
        <f>8415555.99957296*E45/E47</f>
        <v>2327975.243139837</v>
      </c>
      <c r="G45" s="53">
        <f>7439882.34978557*E45/E47</f>
        <v>2058076.961647302</v>
      </c>
      <c r="H45" s="53">
        <f>848517.718503583*E45/E47</f>
        <v>234723.43861083858</v>
      </c>
      <c r="I45" s="2">
        <f t="shared" si="4"/>
        <v>4620775.643397978</v>
      </c>
      <c r="J45" s="2">
        <f t="shared" si="5"/>
        <v>58199.38107849592</v>
      </c>
      <c r="K45" s="2">
        <f t="shared" si="6"/>
        <v>51451.924041182545</v>
      </c>
      <c r="L45" s="2">
        <f t="shared" si="7"/>
        <v>5868.085965270964</v>
      </c>
      <c r="M45" s="2">
        <f t="shared" si="10"/>
        <v>115519.39108494943</v>
      </c>
    </row>
    <row r="46" spans="1:13" ht="20.25" customHeight="1" thickBot="1">
      <c r="A46" s="174" t="s">
        <v>82</v>
      </c>
      <c r="B46" s="174" t="s">
        <v>81</v>
      </c>
      <c r="C46" s="174" t="s">
        <v>226</v>
      </c>
      <c r="D46" s="10">
        <v>38</v>
      </c>
      <c r="E46" s="10">
        <v>30.33</v>
      </c>
      <c r="F46" s="175">
        <f>8415555.99957296*E46/E47</f>
        <v>3476488.8786032125</v>
      </c>
      <c r="G46" s="175">
        <f>7439882.34978557*E46/E47</f>
        <v>3073435.4626667984</v>
      </c>
      <c r="H46" s="175">
        <f>848517.718503583*E46/E47</f>
        <v>350524.9578073232</v>
      </c>
      <c r="I46" s="10">
        <f t="shared" si="4"/>
        <v>6900449.299077334</v>
      </c>
      <c r="J46" s="10">
        <f t="shared" si="5"/>
        <v>91486.54943692665</v>
      </c>
      <c r="K46" s="10">
        <f t="shared" si="6"/>
        <v>80879.8805964947</v>
      </c>
      <c r="L46" s="10">
        <f t="shared" si="7"/>
        <v>9224.340994929558</v>
      </c>
      <c r="M46" s="10">
        <f t="shared" si="10"/>
        <v>181590.7710283509</v>
      </c>
    </row>
    <row r="47" spans="1:13" s="67" customFormat="1" ht="20.25" customHeight="1" thickBot="1" thickTop="1">
      <c r="A47" s="176"/>
      <c r="B47" s="176"/>
      <c r="C47" s="178" t="s">
        <v>173</v>
      </c>
      <c r="D47" s="179">
        <f>SUM(D44:D46)</f>
        <v>109</v>
      </c>
      <c r="E47" s="179">
        <f>SUM(E44:E46)</f>
        <v>73.42</v>
      </c>
      <c r="F47" s="179">
        <f>SUM(F44:F46)</f>
        <v>8415555.99957296</v>
      </c>
      <c r="G47" s="179">
        <f>SUM(G44:G46)</f>
        <v>7439882.34978557</v>
      </c>
      <c r="H47" s="179">
        <f>SUM(H44:H46)</f>
        <v>848517.7185035829</v>
      </c>
      <c r="I47" s="179">
        <f t="shared" si="4"/>
        <v>16703956.067862114</v>
      </c>
      <c r="J47" s="179">
        <f t="shared" si="5"/>
        <v>77206.93577589872</v>
      </c>
      <c r="K47" s="179">
        <f t="shared" si="6"/>
        <v>68255.80137417954</v>
      </c>
      <c r="L47" s="179">
        <f t="shared" si="7"/>
        <v>7784.566224803512</v>
      </c>
      <c r="M47" s="179">
        <f t="shared" si="10"/>
        <v>153247.30337488177</v>
      </c>
    </row>
    <row r="48" spans="1:14" ht="20.25" customHeight="1" thickTop="1">
      <c r="A48" s="180" t="s">
        <v>86</v>
      </c>
      <c r="B48" s="180" t="s">
        <v>81</v>
      </c>
      <c r="C48" s="180" t="s">
        <v>85</v>
      </c>
      <c r="D48" s="12">
        <f>225+92</f>
        <v>317</v>
      </c>
      <c r="E48" s="12">
        <f>167.64+71.72</f>
        <v>239.35999999999999</v>
      </c>
      <c r="F48" s="122">
        <f>59021339.47*E48/E55</f>
        <v>16588598.118360318</v>
      </c>
      <c r="G48" s="122">
        <f>35047136.21*E48/E55</f>
        <v>9850383.996836184</v>
      </c>
      <c r="H48" s="122">
        <f>6086083.68*E48/E55</f>
        <v>1710560.9121858084</v>
      </c>
      <c r="I48" s="12">
        <f t="shared" si="4"/>
        <v>28149543.02738231</v>
      </c>
      <c r="J48" s="12">
        <f t="shared" si="5"/>
        <v>52329.962518486805</v>
      </c>
      <c r="K48" s="12">
        <f t="shared" si="6"/>
        <v>31073.766551533703</v>
      </c>
      <c r="L48" s="12">
        <f t="shared" si="7"/>
        <v>5396.091205633465</v>
      </c>
      <c r="M48" s="12">
        <f t="shared" si="10"/>
        <v>88799.82027565397</v>
      </c>
      <c r="N48" s="7"/>
    </row>
    <row r="49" spans="1:13" ht="20.25" customHeight="1">
      <c r="A49" s="64" t="s">
        <v>86</v>
      </c>
      <c r="B49" s="64" t="s">
        <v>81</v>
      </c>
      <c r="C49" s="64" t="s">
        <v>87</v>
      </c>
      <c r="D49" s="2">
        <f>179+148</f>
        <v>327</v>
      </c>
      <c r="E49" s="2">
        <f>127+118.5</f>
        <v>245.5</v>
      </c>
      <c r="F49" s="53">
        <f>59021339.47*E49/E55</f>
        <v>17014124.490547538</v>
      </c>
      <c r="G49" s="53">
        <f>35047136.21*E49/E55</f>
        <v>10103063.466006365</v>
      </c>
      <c r="H49" s="53">
        <f>6086083.68*E49/E55</f>
        <v>1754439.7724833551</v>
      </c>
      <c r="I49" s="2">
        <f t="shared" si="4"/>
        <v>28871627.72903726</v>
      </c>
      <c r="J49" s="2">
        <f t="shared" si="5"/>
        <v>52030.96174479369</v>
      </c>
      <c r="K49" s="2">
        <f t="shared" si="6"/>
        <v>30896.21855047818</v>
      </c>
      <c r="L49" s="2">
        <f t="shared" si="7"/>
        <v>5365.259243068364</v>
      </c>
      <c r="M49" s="2">
        <f t="shared" si="10"/>
        <v>88292.43953834023</v>
      </c>
    </row>
    <row r="50" spans="1:13" ht="20.25" customHeight="1">
      <c r="A50" s="64" t="s">
        <v>86</v>
      </c>
      <c r="B50" s="64" t="s">
        <v>81</v>
      </c>
      <c r="C50" s="64" t="s">
        <v>88</v>
      </c>
      <c r="D50" s="2">
        <v>166</v>
      </c>
      <c r="E50" s="2">
        <v>120.69</v>
      </c>
      <c r="F50" s="53">
        <f>59021339.47*E50/E55</f>
        <v>8364296.068285874</v>
      </c>
      <c r="G50" s="53">
        <f>35047136.21*E50/E55</f>
        <v>4966756.536506346</v>
      </c>
      <c r="H50" s="53">
        <f>6086083.68*E50/E55</f>
        <v>862498.314220025</v>
      </c>
      <c r="I50" s="2">
        <f t="shared" si="4"/>
        <v>14193550.919012245</v>
      </c>
      <c r="J50" s="2">
        <f t="shared" si="5"/>
        <v>50387.32571256551</v>
      </c>
      <c r="K50" s="2">
        <f t="shared" si="6"/>
        <v>29920.22009943582</v>
      </c>
      <c r="L50" s="2">
        <f t="shared" si="7"/>
        <v>5195.772977229066</v>
      </c>
      <c r="M50" s="2">
        <f t="shared" si="10"/>
        <v>85503.3187892304</v>
      </c>
    </row>
    <row r="51" spans="1:13" ht="20.25" customHeight="1">
      <c r="A51" s="64" t="s">
        <v>86</v>
      </c>
      <c r="B51" s="64" t="s">
        <v>81</v>
      </c>
      <c r="C51" s="64" t="s">
        <v>411</v>
      </c>
      <c r="D51" s="2">
        <v>28</v>
      </c>
      <c r="E51" s="2">
        <v>17.28</v>
      </c>
      <c r="F51" s="53">
        <f>59021339.47*E51/E55</f>
        <v>1197572.5914324296</v>
      </c>
      <c r="G51" s="53">
        <f>35047136.21*E51/E55</f>
        <v>711123.978381222</v>
      </c>
      <c r="H51" s="53">
        <f>6086083.68*E51/E55</f>
        <v>123489.69152143536</v>
      </c>
      <c r="I51" s="2">
        <f t="shared" si="4"/>
        <v>2032186.2613350868</v>
      </c>
      <c r="J51" s="2">
        <f t="shared" si="5"/>
        <v>42770.44969401534</v>
      </c>
      <c r="K51" s="2">
        <f t="shared" si="6"/>
        <v>25397.2849421865</v>
      </c>
      <c r="L51" s="2">
        <f t="shared" si="7"/>
        <v>4410.346125765549</v>
      </c>
      <c r="M51" s="2">
        <f t="shared" si="10"/>
        <v>72578.08076196739</v>
      </c>
    </row>
    <row r="52" spans="1:13" ht="20.25" customHeight="1">
      <c r="A52" s="64" t="s">
        <v>86</v>
      </c>
      <c r="B52" s="64" t="s">
        <v>81</v>
      </c>
      <c r="C52" s="64" t="s">
        <v>90</v>
      </c>
      <c r="D52" s="2">
        <v>53</v>
      </c>
      <c r="E52" s="2">
        <v>36.08</v>
      </c>
      <c r="F52" s="53">
        <f>59021339.47*E52/E55</f>
        <v>2500487.2163704894</v>
      </c>
      <c r="G52" s="53">
        <f>35047136.21*E52/E55</f>
        <v>1484800.528934866</v>
      </c>
      <c r="H52" s="53">
        <f>6086083.68*E52/E55</f>
        <v>257841.90220447845</v>
      </c>
      <c r="I52" s="2">
        <f t="shared" si="4"/>
        <v>4243129.647509834</v>
      </c>
      <c r="J52" s="2">
        <f t="shared" si="5"/>
        <v>47179.00408246207</v>
      </c>
      <c r="K52" s="2">
        <f t="shared" si="6"/>
        <v>28015.104319525773</v>
      </c>
      <c r="L52" s="2">
        <f t="shared" si="7"/>
        <v>4864.941551027895</v>
      </c>
      <c r="M52" s="2">
        <f t="shared" si="10"/>
        <v>80059.04995301574</v>
      </c>
    </row>
    <row r="53" spans="1:13" ht="20.25" customHeight="1">
      <c r="A53" s="64" t="s">
        <v>86</v>
      </c>
      <c r="B53" s="64" t="s">
        <v>81</v>
      </c>
      <c r="C53" s="64" t="s">
        <v>208</v>
      </c>
      <c r="D53" s="2">
        <v>123</v>
      </c>
      <c r="E53" s="2">
        <v>89.83</v>
      </c>
      <c r="F53" s="53">
        <f>59021339.47*E53/E55</f>
        <v>6225575.572243932</v>
      </c>
      <c r="G53" s="53">
        <f>35047136.21*E53/E55</f>
        <v>3696774.7093741414</v>
      </c>
      <c r="H53" s="53">
        <f>6086083.68*E53/E55</f>
        <v>641960.5896626469</v>
      </c>
      <c r="I53" s="2">
        <f t="shared" si="4"/>
        <v>10564310.87128072</v>
      </c>
      <c r="J53" s="2">
        <f t="shared" si="5"/>
        <v>50614.43554669863</v>
      </c>
      <c r="K53" s="2">
        <f t="shared" si="6"/>
        <v>30055.07893800115</v>
      </c>
      <c r="L53" s="2">
        <f t="shared" si="7"/>
        <v>5219.191785875178</v>
      </c>
      <c r="M53" s="2">
        <f t="shared" si="10"/>
        <v>85888.70627057497</v>
      </c>
    </row>
    <row r="54" spans="1:13" ht="20.25" customHeight="1" thickBot="1">
      <c r="A54" s="174" t="s">
        <v>86</v>
      </c>
      <c r="B54" s="174" t="s">
        <v>81</v>
      </c>
      <c r="C54" s="174" t="s">
        <v>161</v>
      </c>
      <c r="D54" s="10">
        <v>124</v>
      </c>
      <c r="E54" s="10">
        <v>102.89</v>
      </c>
      <c r="F54" s="175">
        <f>59021339.47*E54/E55</f>
        <v>7130685.412759415</v>
      </c>
      <c r="G54" s="175">
        <f>35047136.21*E54/E55</f>
        <v>4234232.993960875</v>
      </c>
      <c r="H54" s="175">
        <f>6086083.68*E54/E55</f>
        <v>735292.4977222502</v>
      </c>
      <c r="I54" s="10">
        <f t="shared" si="4"/>
        <v>12100210.90444254</v>
      </c>
      <c r="J54" s="10">
        <f t="shared" si="5"/>
        <v>57505.527522253346</v>
      </c>
      <c r="K54" s="10">
        <f t="shared" si="6"/>
        <v>34147.040273878025</v>
      </c>
      <c r="L54" s="10">
        <f t="shared" si="7"/>
        <v>5929.778207437502</v>
      </c>
      <c r="M54" s="10">
        <f t="shared" si="10"/>
        <v>97582.34600356886</v>
      </c>
    </row>
    <row r="55" spans="1:13" s="67" customFormat="1" ht="20.25" customHeight="1" thickBot="1" thickTop="1">
      <c r="A55" s="176"/>
      <c r="B55" s="176"/>
      <c r="C55" s="178" t="s">
        <v>174</v>
      </c>
      <c r="D55" s="179">
        <f>SUM(D48:D54)</f>
        <v>1138</v>
      </c>
      <c r="E55" s="179">
        <f>SUM(E48:E54)</f>
        <v>851.63</v>
      </c>
      <c r="F55" s="179">
        <f>SUM(F48:F54)</f>
        <v>59021339.46999999</v>
      </c>
      <c r="G55" s="179">
        <f>SUM(G48:G54)</f>
        <v>35047136.20999999</v>
      </c>
      <c r="H55" s="179">
        <f>SUM(H48:H54)</f>
        <v>6086083.679999999</v>
      </c>
      <c r="I55" s="179">
        <f t="shared" si="4"/>
        <v>100154559.35999997</v>
      </c>
      <c r="J55" s="179">
        <f t="shared" si="5"/>
        <v>51864.094437609834</v>
      </c>
      <c r="K55" s="179">
        <f t="shared" si="6"/>
        <v>30797.131994727588</v>
      </c>
      <c r="L55" s="179">
        <f t="shared" si="7"/>
        <v>5348.052442882248</v>
      </c>
      <c r="M55" s="179">
        <f t="shared" si="10"/>
        <v>88009.27887521968</v>
      </c>
    </row>
    <row r="56" spans="1:14" ht="20.25" customHeight="1" thickTop="1">
      <c r="A56" s="180" t="s">
        <v>91</v>
      </c>
      <c r="B56" s="180" t="s">
        <v>81</v>
      </c>
      <c r="C56" s="180" t="s">
        <v>92</v>
      </c>
      <c r="D56" s="12">
        <v>62</v>
      </c>
      <c r="E56" s="12">
        <v>40.19</v>
      </c>
      <c r="F56" s="122">
        <f>(1711746.19+51398518.14)*E56/E66</f>
        <v>3012534.964042538</v>
      </c>
      <c r="G56" s="122">
        <f>(2555146.3+35737485.9)*E56/E66</f>
        <v>2172045.174750896</v>
      </c>
      <c r="H56" s="122">
        <f>(85183.45+4716883.19)*E56/E66</f>
        <v>272384.1395850623</v>
      </c>
      <c r="I56" s="12">
        <f t="shared" si="4"/>
        <v>5456964.278378496</v>
      </c>
      <c r="J56" s="12">
        <f t="shared" si="5"/>
        <v>48589.27361358932</v>
      </c>
      <c r="K56" s="12">
        <f t="shared" si="6"/>
        <v>35032.98668953058</v>
      </c>
      <c r="L56" s="12">
        <f t="shared" si="7"/>
        <v>4393.292573952617</v>
      </c>
      <c r="M56" s="12">
        <f t="shared" si="10"/>
        <v>88015.5528770725</v>
      </c>
      <c r="N56" s="7"/>
    </row>
    <row r="57" spans="1:13" ht="20.25" customHeight="1">
      <c r="A57" s="64" t="s">
        <v>91</v>
      </c>
      <c r="B57" s="64" t="s">
        <v>81</v>
      </c>
      <c r="C57" s="64" t="s">
        <v>93</v>
      </c>
      <c r="D57" s="2">
        <v>22</v>
      </c>
      <c r="E57" s="2">
        <v>16</v>
      </c>
      <c r="F57" s="53">
        <f>(1711746.19+51398518.14)*E57/E66</f>
        <v>1199317.2287803087</v>
      </c>
      <c r="G57" s="53">
        <f>(2555146.3+35737485.9)*E57/E66</f>
        <v>864710.6941033674</v>
      </c>
      <c r="H57" s="53">
        <f>(85183.45+4716883.19)*E57/E66</f>
        <v>108438.5726141079</v>
      </c>
      <c r="I57" s="2">
        <f t="shared" si="4"/>
        <v>2172466.495497784</v>
      </c>
      <c r="J57" s="2">
        <f t="shared" si="5"/>
        <v>54514.419490014036</v>
      </c>
      <c r="K57" s="2">
        <f t="shared" si="6"/>
        <v>39305.031550153064</v>
      </c>
      <c r="L57" s="2">
        <f t="shared" si="7"/>
        <v>4929.026027913996</v>
      </c>
      <c r="M57" s="2">
        <f aca="true" t="shared" si="11" ref="M57:M65">SUM(J57:L57)</f>
        <v>98748.47706808109</v>
      </c>
    </row>
    <row r="58" spans="1:13" ht="20.25" customHeight="1">
      <c r="A58" s="64" t="s">
        <v>91</v>
      </c>
      <c r="B58" s="64" t="s">
        <v>81</v>
      </c>
      <c r="C58" s="64" t="s">
        <v>94</v>
      </c>
      <c r="D58" s="2">
        <v>43</v>
      </c>
      <c r="E58" s="2">
        <v>31.56</v>
      </c>
      <c r="F58" s="53">
        <f>(1711746.19+51398518.14)*E58/E66</f>
        <v>2365653.233769159</v>
      </c>
      <c r="G58" s="53">
        <f>(2555146.3+35737485.9)*E58/E66</f>
        <v>1705641.8441188922</v>
      </c>
      <c r="H58" s="53">
        <f>(85183.45+4716883.19)*E58/E66</f>
        <v>213895.08448132782</v>
      </c>
      <c r="I58" s="2">
        <f t="shared" si="4"/>
        <v>4285190.162369379</v>
      </c>
      <c r="J58" s="2">
        <f t="shared" si="5"/>
        <v>55015.19148300369</v>
      </c>
      <c r="K58" s="2">
        <f t="shared" si="6"/>
        <v>39666.08939811377</v>
      </c>
      <c r="L58" s="2">
        <f t="shared" si="7"/>
        <v>4974.304290263438</v>
      </c>
      <c r="M58" s="2">
        <f t="shared" si="11"/>
        <v>99655.5851713809</v>
      </c>
    </row>
    <row r="59" spans="1:13" ht="20.25" customHeight="1">
      <c r="A59" s="64" t="s">
        <v>91</v>
      </c>
      <c r="B59" s="64" t="s">
        <v>81</v>
      </c>
      <c r="C59" s="64" t="s">
        <v>95</v>
      </c>
      <c r="D59" s="2">
        <f>349+30</f>
        <v>379</v>
      </c>
      <c r="E59" s="2">
        <f>282.31+21.17</f>
        <v>303.48</v>
      </c>
      <c r="F59" s="53">
        <f>(1711746.19+51398518.14)*E59/E66</f>
        <v>22748049.53689051</v>
      </c>
      <c r="G59" s="53">
        <f>(2555146.3+35737485.9)*E59/E66</f>
        <v>16401400.090405622</v>
      </c>
      <c r="H59" s="53">
        <f>(85183.45+4716883.19)*E59/E66</f>
        <v>2056808.6260580919</v>
      </c>
      <c r="I59" s="2">
        <f t="shared" si="4"/>
        <v>41206258.25335423</v>
      </c>
      <c r="J59" s="2">
        <f t="shared" si="5"/>
        <v>60021.23888361612</v>
      </c>
      <c r="K59" s="2">
        <f t="shared" si="6"/>
        <v>43275.46197996206</v>
      </c>
      <c r="L59" s="2">
        <f t="shared" si="7"/>
        <v>5426.93568880763</v>
      </c>
      <c r="M59" s="2">
        <f t="shared" si="11"/>
        <v>108723.63655238581</v>
      </c>
    </row>
    <row r="60" spans="1:13" ht="20.25" customHeight="1">
      <c r="A60" s="64" t="s">
        <v>91</v>
      </c>
      <c r="B60" s="64" t="s">
        <v>81</v>
      </c>
      <c r="C60" s="64" t="s">
        <v>210</v>
      </c>
      <c r="D60" s="2">
        <v>39</v>
      </c>
      <c r="E60" s="2">
        <v>30.67</v>
      </c>
      <c r="F60" s="53">
        <f>(1711746.19+51398518.14)*E60/E66</f>
        <v>2298941.2129182545</v>
      </c>
      <c r="G60" s="53">
        <f>(2555146.3+35737485.9)*E60/E66</f>
        <v>1657542.3117593925</v>
      </c>
      <c r="H60" s="53">
        <f>(85183.45+4716883.19)*E60/E66</f>
        <v>207863.1888796681</v>
      </c>
      <c r="I60" s="2">
        <f t="shared" si="4"/>
        <v>4164346.7135573155</v>
      </c>
      <c r="J60" s="2">
        <f>+F60/D60</f>
        <v>58947.210587647554</v>
      </c>
      <c r="K60" s="2">
        <f>+G60/D60</f>
        <v>42501.0849169075</v>
      </c>
      <c r="L60" s="2">
        <f>+H60/D60</f>
        <v>5329.8253558889255</v>
      </c>
      <c r="M60" s="2">
        <f>SUM(J60:L60)</f>
        <v>106778.12086044397</v>
      </c>
    </row>
    <row r="61" spans="1:13" ht="20.25" customHeight="1">
      <c r="A61" s="64" t="s">
        <v>91</v>
      </c>
      <c r="B61" s="64" t="s">
        <v>81</v>
      </c>
      <c r="C61" s="64" t="s">
        <v>406</v>
      </c>
      <c r="D61" s="2">
        <v>7</v>
      </c>
      <c r="E61" s="2">
        <v>1.42</v>
      </c>
      <c r="F61" s="53">
        <f>(1711746.19+51398518.14)*E61/E66</f>
        <v>106439.40405425242</v>
      </c>
      <c r="G61" s="53">
        <f>(2555146.3+35737485.9)*E61/E66</f>
        <v>76743.07410167386</v>
      </c>
      <c r="H61" s="53">
        <f>(85183.45+4716883.19)*E61/E66</f>
        <v>9623.923319502075</v>
      </c>
      <c r="I61" s="2">
        <f t="shared" si="4"/>
        <v>192806.40147542834</v>
      </c>
      <c r="J61" s="2">
        <f>+F61/D61</f>
        <v>15205.629150607489</v>
      </c>
      <c r="K61" s="2">
        <f>+G61/D61</f>
        <v>10963.296300239123</v>
      </c>
      <c r="L61" s="2">
        <f>+H61/D61</f>
        <v>1374.8461885002964</v>
      </c>
      <c r="M61" s="2">
        <f>SUM(J61:L61)</f>
        <v>27543.77163934691</v>
      </c>
    </row>
    <row r="62" spans="1:13" ht="20.25" customHeight="1">
      <c r="A62" s="64" t="s">
        <v>91</v>
      </c>
      <c r="B62" s="64" t="s">
        <v>96</v>
      </c>
      <c r="C62" s="64" t="s">
        <v>97</v>
      </c>
      <c r="D62" s="2">
        <v>52</v>
      </c>
      <c r="E62" s="2">
        <v>39</v>
      </c>
      <c r="F62" s="53">
        <f>(1711746.19+51398518.14)*E62/E66</f>
        <v>2923335.7451520027</v>
      </c>
      <c r="G62" s="53">
        <f>(2555146.3+35737485.9)*E62/E66</f>
        <v>2107732.316876958</v>
      </c>
      <c r="H62" s="53">
        <f>(85183.45+4716883.19)*E62/E66</f>
        <v>264319.020746888</v>
      </c>
      <c r="I62" s="2">
        <f t="shared" si="4"/>
        <v>5295387.082775849</v>
      </c>
      <c r="J62" s="2">
        <f>+F62/D62</f>
        <v>56217.99509907697</v>
      </c>
      <c r="K62" s="2">
        <f>+G62/D62</f>
        <v>40533.31378609535</v>
      </c>
      <c r="L62" s="2">
        <f>+H62/D62</f>
        <v>5083.058091286308</v>
      </c>
      <c r="M62" s="2">
        <f>SUM(J62:L62)</f>
        <v>101834.36697645864</v>
      </c>
    </row>
    <row r="63" spans="1:13" ht="20.25" customHeight="1">
      <c r="A63" s="64" t="s">
        <v>91</v>
      </c>
      <c r="B63" s="64" t="s">
        <v>71</v>
      </c>
      <c r="C63" s="64" t="s">
        <v>407</v>
      </c>
      <c r="D63" s="2">
        <v>68</v>
      </c>
      <c r="E63" s="2">
        <v>51.53</v>
      </c>
      <c r="F63" s="53">
        <f>(1711746.19+51398518.14)*E63/E66</f>
        <v>3862551.0499405824</v>
      </c>
      <c r="G63" s="53">
        <f>(2555146.3+35737485.9)*E63/E66</f>
        <v>2784908.879196658</v>
      </c>
      <c r="H63" s="53">
        <f>(85183.45+4716883.19)*E63/E66</f>
        <v>349239.97792531125</v>
      </c>
      <c r="I63" s="2">
        <f t="shared" si="4"/>
        <v>6996699.907062551</v>
      </c>
      <c r="J63" s="2">
        <f>+F63/D63</f>
        <v>56802.22132265562</v>
      </c>
      <c r="K63" s="2">
        <f>+G63/D63</f>
        <v>40954.54234112732</v>
      </c>
      <c r="L63" s="2">
        <f>+H63/D63</f>
        <v>5135.882028313401</v>
      </c>
      <c r="M63" s="2">
        <f>SUM(J63:L63)</f>
        <v>102892.64569209634</v>
      </c>
    </row>
    <row r="64" spans="1:13" ht="20.25" customHeight="1">
      <c r="A64" s="64" t="s">
        <v>91</v>
      </c>
      <c r="B64" s="64" t="s">
        <v>71</v>
      </c>
      <c r="C64" s="64" t="s">
        <v>77</v>
      </c>
      <c r="D64" s="2">
        <v>92</v>
      </c>
      <c r="E64" s="2">
        <v>67</v>
      </c>
      <c r="F64" s="53">
        <f>(1711746.19+51398518.14)*E64/E66</f>
        <v>5022140.895517543</v>
      </c>
      <c r="G64" s="53">
        <f>(2555146.3+35737485.9)*E64/E66</f>
        <v>3620976.031557851</v>
      </c>
      <c r="H64" s="53">
        <f>(85183.45+4716883.19)*E64/E66</f>
        <v>454086.52282157686</v>
      </c>
      <c r="I64" s="2">
        <f t="shared" si="4"/>
        <v>9097203.44989697</v>
      </c>
      <c r="J64" s="2">
        <f aca="true" t="shared" si="12" ref="J64:J69">+F64/D64</f>
        <v>54588.4879947559</v>
      </c>
      <c r="K64" s="2">
        <f aca="true" t="shared" si="13" ref="K64:K69">+G64/D64</f>
        <v>39358.435125628814</v>
      </c>
      <c r="L64" s="2">
        <f aca="true" t="shared" si="14" ref="L64:L69">+H64/D64</f>
        <v>4935.723074147574</v>
      </c>
      <c r="M64" s="2">
        <f t="shared" si="11"/>
        <v>98882.6461945323</v>
      </c>
    </row>
    <row r="65" spans="1:13" ht="20.25" customHeight="1" thickBot="1">
      <c r="A65" s="174" t="s">
        <v>91</v>
      </c>
      <c r="B65" s="174" t="s">
        <v>99</v>
      </c>
      <c r="C65" s="174" t="s">
        <v>100</v>
      </c>
      <c r="D65" s="10">
        <v>148</v>
      </c>
      <c r="E65" s="10">
        <v>127.69</v>
      </c>
      <c r="F65" s="175">
        <f>(1711746.19+51398518.14)*E65/E66</f>
        <v>9571301.058934852</v>
      </c>
      <c r="G65" s="175">
        <f>(2555146.3+35737485.9)*E65/E66</f>
        <v>6900931.783128686</v>
      </c>
      <c r="H65" s="175">
        <f>(85183.45+4716883.19)*E65/E66</f>
        <v>865407.5835684648</v>
      </c>
      <c r="I65" s="10">
        <f t="shared" si="4"/>
        <v>17337640.425632004</v>
      </c>
      <c r="J65" s="10">
        <f t="shared" si="12"/>
        <v>64670.95310091117</v>
      </c>
      <c r="K65" s="10">
        <f t="shared" si="13"/>
        <v>46627.917453572205</v>
      </c>
      <c r="L65" s="10">
        <f t="shared" si="14"/>
        <v>5847.348537624763</v>
      </c>
      <c r="M65" s="10">
        <f t="shared" si="11"/>
        <v>117146.21909210813</v>
      </c>
    </row>
    <row r="66" spans="1:13" s="67" customFormat="1" ht="20.25" customHeight="1" thickBot="1" thickTop="1">
      <c r="A66" s="176"/>
      <c r="B66" s="176"/>
      <c r="C66" s="178" t="s">
        <v>175</v>
      </c>
      <c r="D66" s="179">
        <f>SUM(D56:D65)</f>
        <v>912</v>
      </c>
      <c r="E66" s="179">
        <f>SUM(E56:E65)</f>
        <v>708.54</v>
      </c>
      <c r="F66" s="179">
        <f>SUM(F56:F65)</f>
        <v>53110264.33</v>
      </c>
      <c r="G66" s="179">
        <f>SUM(G56:G65)</f>
        <v>38292632.2</v>
      </c>
      <c r="H66" s="179">
        <f>SUM(H56:H65)</f>
        <v>4802066.6400000015</v>
      </c>
      <c r="I66" s="179">
        <f t="shared" si="4"/>
        <v>96204963.17</v>
      </c>
      <c r="J66" s="179">
        <f t="shared" si="12"/>
        <v>58234.93895833333</v>
      </c>
      <c r="K66" s="179">
        <f t="shared" si="13"/>
        <v>41987.53530701755</v>
      </c>
      <c r="L66" s="179">
        <f t="shared" si="14"/>
        <v>5265.423947368423</v>
      </c>
      <c r="M66" s="179">
        <f>SUM(J66:L66)</f>
        <v>105487.8982127193</v>
      </c>
    </row>
    <row r="67" spans="1:13" ht="20.25" customHeight="1" thickTop="1">
      <c r="A67" s="180" t="s">
        <v>101</v>
      </c>
      <c r="B67" s="180" t="s">
        <v>81</v>
      </c>
      <c r="C67" s="180" t="s">
        <v>219</v>
      </c>
      <c r="D67" s="12">
        <v>130</v>
      </c>
      <c r="E67" s="12">
        <v>84.53</v>
      </c>
      <c r="F67" s="122">
        <f>37370044.4486018*E67/E81</f>
        <v>9426989.337910144</v>
      </c>
      <c r="G67" s="122">
        <f>17827682.302215*E67/E81</f>
        <v>4497221.59720145</v>
      </c>
      <c r="H67" s="122">
        <f>4135866.31006547*E67/E81</f>
        <v>1043316.0619231673</v>
      </c>
      <c r="I67" s="12">
        <f t="shared" si="4"/>
        <v>14967526.99703476</v>
      </c>
      <c r="J67" s="12">
        <f t="shared" si="12"/>
        <v>72515.3025993088</v>
      </c>
      <c r="K67" s="12">
        <f t="shared" si="13"/>
        <v>34594.012286165</v>
      </c>
      <c r="L67" s="12">
        <f t="shared" si="14"/>
        <v>8025.508168639749</v>
      </c>
      <c r="M67" s="12">
        <f>SUM(J67:L67)</f>
        <v>115134.82305411354</v>
      </c>
    </row>
    <row r="68" spans="1:13" ht="20.25" customHeight="1">
      <c r="A68" s="64" t="s">
        <v>101</v>
      </c>
      <c r="B68" s="64" t="s">
        <v>81</v>
      </c>
      <c r="C68" s="64" t="s">
        <v>220</v>
      </c>
      <c r="D68" s="2">
        <v>64</v>
      </c>
      <c r="E68" s="2">
        <v>45.33</v>
      </c>
      <c r="F68" s="53">
        <f>37370044.4486018*E68/E81</f>
        <v>5055310.8563523805</v>
      </c>
      <c r="G68" s="53">
        <f>17827682.302215*E68/E81</f>
        <v>2411676.97860099</v>
      </c>
      <c r="H68" s="53">
        <f>4135866.31006547*E68/E81</f>
        <v>559487.9579673155</v>
      </c>
      <c r="I68" s="2">
        <f t="shared" si="4"/>
        <v>8026475.792920686</v>
      </c>
      <c r="J68" s="2">
        <f t="shared" si="12"/>
        <v>78989.23213050594</v>
      </c>
      <c r="K68" s="2">
        <f t="shared" si="13"/>
        <v>37682.45279064047</v>
      </c>
      <c r="L68" s="2">
        <f t="shared" si="14"/>
        <v>8741.999343239304</v>
      </c>
      <c r="M68" s="2">
        <f aca="true" t="shared" si="15" ref="M68:M77">SUM(J68:L68)</f>
        <v>125413.68426438572</v>
      </c>
    </row>
    <row r="69" spans="1:13" ht="20.25" customHeight="1">
      <c r="A69" s="64" t="s">
        <v>101</v>
      </c>
      <c r="B69" s="64" t="s">
        <v>81</v>
      </c>
      <c r="C69" s="64" t="s">
        <v>412</v>
      </c>
      <c r="D69" s="2">
        <v>83</v>
      </c>
      <c r="E69" s="2">
        <v>59.61</v>
      </c>
      <c r="F69" s="53">
        <f>37370044.4486018*E69/E81</f>
        <v>6647850.874634136</v>
      </c>
      <c r="G69" s="53">
        <f>17827682.302215*E69/E81</f>
        <v>3171411.0896625863</v>
      </c>
      <c r="H69" s="53">
        <f>4135866.31006547*E69/E81</f>
        <v>735739.6244083758</v>
      </c>
      <c r="I69" s="2">
        <f t="shared" si="4"/>
        <v>10555001.588705098</v>
      </c>
      <c r="J69" s="2">
        <f t="shared" si="12"/>
        <v>80094.58885101369</v>
      </c>
      <c r="K69" s="2">
        <f t="shared" si="13"/>
        <v>38209.77216460947</v>
      </c>
      <c r="L69" s="2">
        <f t="shared" si="14"/>
        <v>8864.3328241973</v>
      </c>
      <c r="M69" s="2">
        <f t="shared" si="15"/>
        <v>127168.69383982045</v>
      </c>
    </row>
    <row r="70" spans="1:13" ht="21" customHeight="1">
      <c r="A70" s="125" t="s">
        <v>365</v>
      </c>
      <c r="B70" s="64" t="s">
        <v>81</v>
      </c>
      <c r="C70" s="64" t="s">
        <v>163</v>
      </c>
      <c r="D70" s="2">
        <v>1</v>
      </c>
      <c r="E70" s="2">
        <v>0.25</v>
      </c>
      <c r="F70" s="53">
        <f>37370044.4486018*E70/E81</f>
        <v>27880.60256095511</v>
      </c>
      <c r="G70" s="53">
        <f>17827682.302215*E70/E81</f>
        <v>13300.667210462112</v>
      </c>
      <c r="H70" s="53">
        <f>4135866.31006547*E70/E81</f>
        <v>3085.6384180857904</v>
      </c>
      <c r="I70" s="2">
        <f t="shared" si="4"/>
        <v>44266.90818950302</v>
      </c>
      <c r="J70" s="2">
        <f aca="true" t="shared" si="16" ref="J70:J83">+F70/D70</f>
        <v>27880.60256095511</v>
      </c>
      <c r="K70" s="2">
        <f aca="true" t="shared" si="17" ref="K70:K83">+G70/D70</f>
        <v>13300.667210462112</v>
      </c>
      <c r="L70" s="2">
        <f aca="true" t="shared" si="18" ref="L70:L83">+H70/D70</f>
        <v>3085.6384180857904</v>
      </c>
      <c r="M70" s="2">
        <f>SUM(J70:L70)</f>
        <v>44266.90818950302</v>
      </c>
    </row>
    <row r="71" spans="1:13" ht="21" customHeight="1">
      <c r="A71" s="125" t="s">
        <v>365</v>
      </c>
      <c r="B71" s="64" t="s">
        <v>81</v>
      </c>
      <c r="C71" s="64" t="s">
        <v>217</v>
      </c>
      <c r="D71" s="2">
        <v>2</v>
      </c>
      <c r="E71" s="2">
        <v>0.5</v>
      </c>
      <c r="F71" s="53">
        <f>37370044.4486018*E71/E81</f>
        <v>55761.20512191022</v>
      </c>
      <c r="G71" s="53">
        <f>17827682.302215*E71/E81</f>
        <v>26601.334420924224</v>
      </c>
      <c r="H71" s="53">
        <f>4135866.31006547*E71/E81</f>
        <v>6171.276836171581</v>
      </c>
      <c r="I71" s="2">
        <f aca="true" t="shared" si="19" ref="I71:I134">+F71+G71+H71</f>
        <v>88533.81637900604</v>
      </c>
      <c r="J71" s="2">
        <f t="shared" si="16"/>
        <v>27880.60256095511</v>
      </c>
      <c r="K71" s="2">
        <f t="shared" si="17"/>
        <v>13300.667210462112</v>
      </c>
      <c r="L71" s="2">
        <f t="shared" si="18"/>
        <v>3085.6384180857904</v>
      </c>
      <c r="M71" s="2">
        <f>SUM(J71:L71)</f>
        <v>44266.90818950302</v>
      </c>
    </row>
    <row r="72" spans="1:13" ht="21" customHeight="1">
      <c r="A72" s="125" t="s">
        <v>365</v>
      </c>
      <c r="B72" s="64" t="s">
        <v>81</v>
      </c>
      <c r="C72" s="64" t="s">
        <v>399</v>
      </c>
      <c r="D72" s="2">
        <v>1</v>
      </c>
      <c r="E72" s="2">
        <v>0.17</v>
      </c>
      <c r="F72" s="53">
        <f>37370044.4486018*E72/E81</f>
        <v>18958.809741449477</v>
      </c>
      <c r="G72" s="53">
        <f>17827682.302215*E72/E81</f>
        <v>9044.453703114237</v>
      </c>
      <c r="H72" s="53">
        <f>4135866.31006547*E72/E81</f>
        <v>2098.2341242983375</v>
      </c>
      <c r="I72" s="2">
        <f t="shared" si="19"/>
        <v>30101.497568862054</v>
      </c>
      <c r="J72" s="2">
        <f t="shared" si="16"/>
        <v>18958.809741449477</v>
      </c>
      <c r="K72" s="2">
        <f t="shared" si="17"/>
        <v>9044.453703114237</v>
      </c>
      <c r="L72" s="2">
        <f t="shared" si="18"/>
        <v>2098.2341242983375</v>
      </c>
      <c r="M72" s="2">
        <f>SUM(J72:L72)</f>
        <v>30101.497568862054</v>
      </c>
    </row>
    <row r="73" spans="1:13" ht="20.25" customHeight="1">
      <c r="A73" s="64" t="s">
        <v>101</v>
      </c>
      <c r="B73" s="64" t="s">
        <v>222</v>
      </c>
      <c r="C73" s="64" t="s">
        <v>211</v>
      </c>
      <c r="D73" s="2">
        <v>48</v>
      </c>
      <c r="E73" s="2">
        <v>33.5</v>
      </c>
      <c r="F73" s="53">
        <f>37370044.4486018*E73/E81</f>
        <v>3736000.7431679848</v>
      </c>
      <c r="G73" s="53">
        <f>17827682.302215*E73/E81</f>
        <v>1782289.4062019233</v>
      </c>
      <c r="H73" s="53">
        <f>4135866.31006547*E73/E81</f>
        <v>413475.54802349594</v>
      </c>
      <c r="I73" s="2">
        <f t="shared" si="19"/>
        <v>5931765.697393404</v>
      </c>
      <c r="J73" s="2">
        <f t="shared" si="16"/>
        <v>77833.34881599968</v>
      </c>
      <c r="K73" s="2">
        <f t="shared" si="17"/>
        <v>37131.0292958734</v>
      </c>
      <c r="L73" s="2">
        <f t="shared" si="18"/>
        <v>8614.073917156165</v>
      </c>
      <c r="M73" s="2">
        <f>SUM(J73:L73)</f>
        <v>123578.45202902926</v>
      </c>
    </row>
    <row r="74" spans="1:13" ht="20.25" customHeight="1">
      <c r="A74" s="64" t="s">
        <v>101</v>
      </c>
      <c r="B74" s="64" t="s">
        <v>222</v>
      </c>
      <c r="C74" s="64" t="s">
        <v>212</v>
      </c>
      <c r="D74" s="2">
        <v>27</v>
      </c>
      <c r="E74" s="2">
        <v>13.39</v>
      </c>
      <c r="F74" s="53">
        <f>37370044.4486018*E74/E81</f>
        <v>1493285.073164756</v>
      </c>
      <c r="G74" s="53">
        <f>17827682.302215*E74/E81</f>
        <v>712383.7357923507</v>
      </c>
      <c r="H74" s="53">
        <f>4135866.31006547*E74/E81</f>
        <v>165266.79367267495</v>
      </c>
      <c r="I74" s="2">
        <f t="shared" si="19"/>
        <v>2370935.6026297812</v>
      </c>
      <c r="J74" s="2">
        <f t="shared" si="16"/>
        <v>55306.85456165763</v>
      </c>
      <c r="K74" s="2">
        <f t="shared" si="17"/>
        <v>26384.5828071241</v>
      </c>
      <c r="L74" s="2">
        <f t="shared" si="18"/>
        <v>6120.99235824722</v>
      </c>
      <c r="M74" s="2">
        <f>SUM(J74:L74)</f>
        <v>87812.42972702895</v>
      </c>
    </row>
    <row r="75" spans="1:13" ht="20.25" customHeight="1">
      <c r="A75" s="64" t="s">
        <v>101</v>
      </c>
      <c r="B75" s="64" t="s">
        <v>222</v>
      </c>
      <c r="C75" s="64" t="s">
        <v>213</v>
      </c>
      <c r="D75" s="2">
        <v>50</v>
      </c>
      <c r="E75" s="2">
        <v>22.08</v>
      </c>
      <c r="F75" s="53">
        <f>37370044.4486018*E75/E81</f>
        <v>2462414.8181835553</v>
      </c>
      <c r="G75" s="53">
        <f>17827682.302215*E75/E81</f>
        <v>1174714.9280280136</v>
      </c>
      <c r="H75" s="53">
        <f>4135866.31006547*E75/E81</f>
        <v>272523.585085337</v>
      </c>
      <c r="I75" s="2">
        <f t="shared" si="19"/>
        <v>3909653.331296906</v>
      </c>
      <c r="J75" s="2">
        <f t="shared" si="16"/>
        <v>49248.29636367111</v>
      </c>
      <c r="K75" s="2">
        <f t="shared" si="17"/>
        <v>23494.29856056027</v>
      </c>
      <c r="L75" s="2">
        <f t="shared" si="18"/>
        <v>5450.47170170674</v>
      </c>
      <c r="M75" s="2">
        <f t="shared" si="15"/>
        <v>78193.06662593813</v>
      </c>
    </row>
    <row r="76" spans="1:13" ht="20.25" customHeight="1">
      <c r="A76" s="64" t="s">
        <v>101</v>
      </c>
      <c r="B76" s="64" t="s">
        <v>222</v>
      </c>
      <c r="C76" s="64" t="s">
        <v>366</v>
      </c>
      <c r="D76" s="2">
        <v>24</v>
      </c>
      <c r="E76" s="2">
        <v>13.33</v>
      </c>
      <c r="F76" s="53">
        <f>37370044.4486018*E76/E81</f>
        <v>1486593.7285501265</v>
      </c>
      <c r="G76" s="53">
        <f>17827682.302215*E76/E81</f>
        <v>709191.5756618398</v>
      </c>
      <c r="H76" s="53">
        <f>4135866.31006547*E76/E81</f>
        <v>164526.2404523343</v>
      </c>
      <c r="I76" s="2">
        <f t="shared" si="19"/>
        <v>2360311.5446643005</v>
      </c>
      <c r="J76" s="2">
        <f t="shared" si="16"/>
        <v>61941.40535625527</v>
      </c>
      <c r="K76" s="2">
        <f t="shared" si="17"/>
        <v>29549.648985909993</v>
      </c>
      <c r="L76" s="2">
        <f t="shared" si="18"/>
        <v>6855.260018847263</v>
      </c>
      <c r="M76" s="2">
        <f t="shared" si="15"/>
        <v>98346.31436101253</v>
      </c>
    </row>
    <row r="77" spans="1:13" ht="20.25" customHeight="1">
      <c r="A77" s="64" t="s">
        <v>101</v>
      </c>
      <c r="B77" s="64" t="s">
        <v>222</v>
      </c>
      <c r="C77" s="64" t="s">
        <v>214</v>
      </c>
      <c r="D77" s="2">
        <v>34</v>
      </c>
      <c r="E77" s="2">
        <v>28.53</v>
      </c>
      <c r="F77" s="53">
        <f>37370044.4486018*E77/E81</f>
        <v>3181734.3642561976</v>
      </c>
      <c r="G77" s="53">
        <f>17827682.302215*E77/E81</f>
        <v>1517872.1420579362</v>
      </c>
      <c r="H77" s="53">
        <f>4135866.31006547*E77/E81</f>
        <v>352133.05627195037</v>
      </c>
      <c r="I77" s="2">
        <f t="shared" si="19"/>
        <v>5051739.562586085</v>
      </c>
      <c r="J77" s="2">
        <f t="shared" si="16"/>
        <v>93580.42247812345</v>
      </c>
      <c r="K77" s="2">
        <f t="shared" si="17"/>
        <v>44643.29829582165</v>
      </c>
      <c r="L77" s="2">
        <f t="shared" si="18"/>
        <v>10356.854596233834</v>
      </c>
      <c r="M77" s="2">
        <f t="shared" si="15"/>
        <v>148580.57537017894</v>
      </c>
    </row>
    <row r="78" spans="1:13" ht="20.25" customHeight="1">
      <c r="A78" s="64" t="s">
        <v>101</v>
      </c>
      <c r="B78" s="64" t="s">
        <v>222</v>
      </c>
      <c r="C78" s="161" t="s">
        <v>400</v>
      </c>
      <c r="D78" s="2">
        <v>8</v>
      </c>
      <c r="E78" s="2">
        <v>2.56</v>
      </c>
      <c r="F78" s="53">
        <f>37370044.4486018*E78/E81</f>
        <v>285497.37022418034</v>
      </c>
      <c r="G78" s="53">
        <f>17827682.302215*E78/E81</f>
        <v>136198.83223513205</v>
      </c>
      <c r="H78" s="53">
        <f>4135866.31006547*E78/E81</f>
        <v>31596.937401198495</v>
      </c>
      <c r="I78" s="2">
        <f t="shared" si="19"/>
        <v>453293.1398605109</v>
      </c>
      <c r="J78" s="2">
        <f t="shared" si="16"/>
        <v>35687.17127802254</v>
      </c>
      <c r="K78" s="2">
        <f t="shared" si="17"/>
        <v>17024.854029391507</v>
      </c>
      <c r="L78" s="2">
        <f t="shared" si="18"/>
        <v>3949.617175149812</v>
      </c>
      <c r="M78" s="2">
        <f aca="true" t="shared" si="20" ref="M78:M84">SUM(J78:L78)</f>
        <v>56661.64248256386</v>
      </c>
    </row>
    <row r="79" spans="1:13" ht="20.25" customHeight="1">
      <c r="A79" s="64" t="s">
        <v>101</v>
      </c>
      <c r="B79" s="64" t="s">
        <v>222</v>
      </c>
      <c r="C79" s="64" t="s">
        <v>215</v>
      </c>
      <c r="D79" s="2">
        <v>35</v>
      </c>
      <c r="E79" s="2">
        <v>22.75</v>
      </c>
      <c r="F79" s="53">
        <f>37370044.4486018*E79/E81</f>
        <v>2537134.833046915</v>
      </c>
      <c r="G79" s="53">
        <f>17827682.302215*E79/E81</f>
        <v>1210360.7161520524</v>
      </c>
      <c r="H79" s="53">
        <f>4135866.31006547*E79/E81</f>
        <v>280793.0960458069</v>
      </c>
      <c r="I79" s="2">
        <f t="shared" si="19"/>
        <v>4028288.6452447744</v>
      </c>
      <c r="J79" s="2">
        <f t="shared" si="16"/>
        <v>72489.56665848328</v>
      </c>
      <c r="K79" s="2">
        <f t="shared" si="17"/>
        <v>34581.734747201495</v>
      </c>
      <c r="L79" s="2">
        <f t="shared" si="18"/>
        <v>8022.659887023054</v>
      </c>
      <c r="M79" s="2">
        <f t="shared" si="20"/>
        <v>115093.96129270783</v>
      </c>
    </row>
    <row r="80" spans="1:13" ht="20.25" customHeight="1" thickBot="1">
      <c r="A80" s="174" t="s">
        <v>101</v>
      </c>
      <c r="B80" s="174" t="s">
        <v>222</v>
      </c>
      <c r="C80" s="174" t="s">
        <v>216</v>
      </c>
      <c r="D80" s="10">
        <v>9</v>
      </c>
      <c r="E80" s="10">
        <v>8.56</v>
      </c>
      <c r="F80" s="175">
        <f>37370044.4486018*E80/E81</f>
        <v>954631.8316871031</v>
      </c>
      <c r="G80" s="175">
        <f>17827682.302215*E80/E81</f>
        <v>455414.84528622276</v>
      </c>
      <c r="H80" s="175">
        <f>4135866.31006547*E80/E81</f>
        <v>105652.25943525747</v>
      </c>
      <c r="I80" s="10">
        <f t="shared" si="19"/>
        <v>1515698.9364085833</v>
      </c>
      <c r="J80" s="10">
        <f t="shared" si="16"/>
        <v>106070.20352078923</v>
      </c>
      <c r="K80" s="2">
        <f t="shared" si="17"/>
        <v>50601.649476246974</v>
      </c>
      <c r="L80" s="2">
        <f t="shared" si="18"/>
        <v>11739.13993725083</v>
      </c>
      <c r="M80" s="2">
        <f t="shared" si="20"/>
        <v>168410.99293428703</v>
      </c>
    </row>
    <row r="81" spans="1:14" s="67" customFormat="1" ht="20.25" customHeight="1" thickBot="1" thickTop="1">
      <c r="A81" s="176"/>
      <c r="B81" s="176"/>
      <c r="C81" s="178" t="s">
        <v>175</v>
      </c>
      <c r="D81" s="179">
        <f>SUM(D67:D80)</f>
        <v>516</v>
      </c>
      <c r="E81" s="179">
        <f>SUM(E67:E80)</f>
        <v>335.09000000000003</v>
      </c>
      <c r="F81" s="179">
        <f>SUM(F67:F80)</f>
        <v>37370044.44860179</v>
      </c>
      <c r="G81" s="179">
        <f>SUM(G67:G80)</f>
        <v>17827682.302215</v>
      </c>
      <c r="H81" s="179">
        <f>SUM(H67:H80)</f>
        <v>4135866.3100654692</v>
      </c>
      <c r="I81" s="179">
        <f t="shared" si="19"/>
        <v>59333593.06088226</v>
      </c>
      <c r="J81" s="179">
        <f t="shared" si="16"/>
        <v>72422.56676085618</v>
      </c>
      <c r="K81" s="179">
        <f t="shared" si="17"/>
        <v>34549.77190351744</v>
      </c>
      <c r="L81" s="179">
        <f t="shared" si="18"/>
        <v>8015.244786948584</v>
      </c>
      <c r="M81" s="179">
        <f t="shared" si="20"/>
        <v>114987.58345132219</v>
      </c>
      <c r="N81" s="156"/>
    </row>
    <row r="82" spans="1:13" s="134" customFormat="1" ht="21.75" customHeight="1" thickTop="1">
      <c r="A82" s="184" t="s">
        <v>367</v>
      </c>
      <c r="B82" s="181" t="s">
        <v>103</v>
      </c>
      <c r="C82" s="181" t="s">
        <v>408</v>
      </c>
      <c r="D82" s="182">
        <v>13</v>
      </c>
      <c r="E82" s="182">
        <v>6.97</v>
      </c>
      <c r="F82" s="122">
        <f>19438799.2261856*E82/E91</f>
        <v>441502.9673048541</v>
      </c>
      <c r="G82" s="122">
        <f>8823095.65860523*E82/E91</f>
        <v>200394.21513451</v>
      </c>
      <c r="H82" s="122">
        <f>3164713.00748542*E82/E91</f>
        <v>71878.42043200394</v>
      </c>
      <c r="I82" s="12">
        <f t="shared" si="19"/>
        <v>713775.6028713679</v>
      </c>
      <c r="J82" s="182">
        <f t="shared" si="16"/>
        <v>33961.76671575801</v>
      </c>
      <c r="K82" s="182">
        <f t="shared" si="17"/>
        <v>15414.93962573154</v>
      </c>
      <c r="L82" s="182">
        <f t="shared" si="18"/>
        <v>5529.1092640003035</v>
      </c>
      <c r="M82" s="182">
        <f t="shared" si="20"/>
        <v>54905.81560548985</v>
      </c>
    </row>
    <row r="83" spans="1:13" s="134" customFormat="1" ht="21.75" customHeight="1">
      <c r="A83" s="125" t="s">
        <v>367</v>
      </c>
      <c r="B83" s="66" t="s">
        <v>103</v>
      </c>
      <c r="C83" s="66" t="s">
        <v>369</v>
      </c>
      <c r="D83" s="15">
        <v>63</v>
      </c>
      <c r="E83" s="15">
        <v>53.69</v>
      </c>
      <c r="F83" s="53">
        <f>19438799.2261856*E83/E91</f>
        <v>3400903.0580484383</v>
      </c>
      <c r="G83" s="53">
        <f>8823095.65860523*E83/E91</f>
        <v>1543639.2267678396</v>
      </c>
      <c r="H83" s="53">
        <f>3164713.00748542*E83/E91</f>
        <v>553680.4007165412</v>
      </c>
      <c r="I83" s="2">
        <f t="shared" si="19"/>
        <v>5498222.6855328195</v>
      </c>
      <c r="J83" s="15">
        <f t="shared" si="16"/>
        <v>53982.588222991086</v>
      </c>
      <c r="K83" s="15">
        <f t="shared" si="17"/>
        <v>24502.20994869587</v>
      </c>
      <c r="L83" s="15">
        <f t="shared" si="18"/>
        <v>8788.577789151448</v>
      </c>
      <c r="M83" s="15">
        <f t="shared" si="20"/>
        <v>87273.3759608384</v>
      </c>
    </row>
    <row r="84" spans="1:13" s="134" customFormat="1" ht="21.75" customHeight="1">
      <c r="A84" s="125" t="s">
        <v>367</v>
      </c>
      <c r="B84" s="66" t="s">
        <v>103</v>
      </c>
      <c r="C84" s="66" t="s">
        <v>401</v>
      </c>
      <c r="D84" s="15">
        <v>12</v>
      </c>
      <c r="E84" s="15">
        <v>4.94</v>
      </c>
      <c r="F84" s="53">
        <f>19438799.2261856*E84/E91</f>
        <v>312916.01986886363</v>
      </c>
      <c r="G84" s="53">
        <f>8823095.65860523*E84/E91</f>
        <v>142029.75936362692</v>
      </c>
      <c r="H84" s="53">
        <f>3164713.00748542*E84/E91</f>
        <v>50943.95938796263</v>
      </c>
      <c r="I84" s="2">
        <f t="shared" si="19"/>
        <v>505889.7386204532</v>
      </c>
      <c r="J84" s="182">
        <f aca="true" t="shared" si="21" ref="J84:J90">+F84/D84</f>
        <v>26076.33498907197</v>
      </c>
      <c r="K84" s="182">
        <f aca="true" t="shared" si="22" ref="K84:K90">+G84/D84</f>
        <v>11835.813280302244</v>
      </c>
      <c r="L84" s="182">
        <f aca="true" t="shared" si="23" ref="L84:L90">+H84/D84</f>
        <v>4245.329948996886</v>
      </c>
      <c r="M84" s="182">
        <f t="shared" si="20"/>
        <v>42157.4782183711</v>
      </c>
    </row>
    <row r="85" spans="1:13" s="134" customFormat="1" ht="21.75" customHeight="1">
      <c r="A85" s="125" t="s">
        <v>367</v>
      </c>
      <c r="B85" s="66" t="s">
        <v>103</v>
      </c>
      <c r="C85" s="66" t="s">
        <v>370</v>
      </c>
      <c r="D85" s="15">
        <v>126</v>
      </c>
      <c r="E85" s="15">
        <v>101.78</v>
      </c>
      <c r="F85" s="53">
        <f>19438799.2261856*E85/E91</f>
        <v>6447083.50248035</v>
      </c>
      <c r="G85" s="53">
        <f>8823095.65860523*E85/E91</f>
        <v>2926273.0583056575</v>
      </c>
      <c r="H85" s="53">
        <f>3164713.00748542*E85/E91</f>
        <v>1049610.5640702099</v>
      </c>
      <c r="I85" s="2">
        <f t="shared" si="19"/>
        <v>10422967.124856219</v>
      </c>
      <c r="J85" s="15">
        <f t="shared" si="21"/>
        <v>51167.329384764686</v>
      </c>
      <c r="K85" s="15">
        <f t="shared" si="22"/>
        <v>23224.389351632202</v>
      </c>
      <c r="L85" s="15">
        <f t="shared" si="23"/>
        <v>8330.242571985793</v>
      </c>
      <c r="M85" s="15">
        <f aca="true" t="shared" si="24" ref="M85:M90">SUM(J85:L85)</f>
        <v>82721.96130838268</v>
      </c>
    </row>
    <row r="86" spans="1:13" s="134" customFormat="1" ht="21.75" customHeight="1">
      <c r="A86" s="125" t="s">
        <v>367</v>
      </c>
      <c r="B86" s="135" t="s">
        <v>222</v>
      </c>
      <c r="C86" s="66" t="s">
        <v>163</v>
      </c>
      <c r="D86" s="15">
        <v>78</v>
      </c>
      <c r="E86" s="15">
        <v>54.28</v>
      </c>
      <c r="F86" s="53">
        <f>19438799.2261856*E86/E91</f>
        <v>3438275.619125894</v>
      </c>
      <c r="G86" s="53">
        <f>8823095.65860523*E86/E91</f>
        <v>1560602.29519386</v>
      </c>
      <c r="H86" s="53">
        <f>3164713.00748542*E86/E91</f>
        <v>559764.8007244153</v>
      </c>
      <c r="I86" s="2">
        <f t="shared" si="19"/>
        <v>5558642.715044169</v>
      </c>
      <c r="J86" s="182">
        <f t="shared" si="21"/>
        <v>44080.45665546018</v>
      </c>
      <c r="K86" s="182">
        <f t="shared" si="22"/>
        <v>20007.721733254617</v>
      </c>
      <c r="L86" s="182">
        <f t="shared" si="23"/>
        <v>7176.471804159171</v>
      </c>
      <c r="M86" s="182">
        <f t="shared" si="24"/>
        <v>71264.65019287396</v>
      </c>
    </row>
    <row r="87" spans="1:13" s="134" customFormat="1" ht="21.75" customHeight="1">
      <c r="A87" s="125" t="s">
        <v>367</v>
      </c>
      <c r="B87" s="135" t="s">
        <v>222</v>
      </c>
      <c r="C87" s="66" t="s">
        <v>164</v>
      </c>
      <c r="D87" s="15">
        <v>78</v>
      </c>
      <c r="E87" s="15">
        <v>59.19</v>
      </c>
      <c r="F87" s="53">
        <f>19438799.2261856*E87/E91</f>
        <v>3749291.3392789545</v>
      </c>
      <c r="G87" s="53">
        <f>8823095.65860523*E87/E91</f>
        <v>1701769.5256544687</v>
      </c>
      <c r="H87" s="53">
        <f>3164713.00748542*E87/E91</f>
        <v>610399.3838407911</v>
      </c>
      <c r="I87" s="2">
        <f t="shared" si="19"/>
        <v>6061460.248774215</v>
      </c>
      <c r="J87" s="15">
        <f t="shared" si="21"/>
        <v>48067.83768306352</v>
      </c>
      <c r="K87" s="15">
        <f t="shared" si="22"/>
        <v>21817.558021211138</v>
      </c>
      <c r="L87" s="15">
        <f t="shared" si="23"/>
        <v>7825.633126163988</v>
      </c>
      <c r="M87" s="15">
        <f t="shared" si="24"/>
        <v>77711.02883043863</v>
      </c>
    </row>
    <row r="88" spans="1:13" s="134" customFormat="1" ht="21.75" customHeight="1">
      <c r="A88" s="125" t="s">
        <v>367</v>
      </c>
      <c r="B88" s="135" t="s">
        <v>222</v>
      </c>
      <c r="C88" s="66" t="s">
        <v>217</v>
      </c>
      <c r="D88" s="15">
        <v>19</v>
      </c>
      <c r="E88" s="15">
        <v>3.42</v>
      </c>
      <c r="F88" s="53">
        <f>19438799.2261856*E88/E91</f>
        <v>216634.16760152092</v>
      </c>
      <c r="G88" s="53">
        <f>8823095.65860523*E88/E91</f>
        <v>98328.2949440494</v>
      </c>
      <c r="H88" s="53">
        <f>3164713.00748542*E88/E91</f>
        <v>35268.8949608972</v>
      </c>
      <c r="I88" s="2">
        <f t="shared" si="19"/>
        <v>350231.35750646755</v>
      </c>
      <c r="J88" s="182">
        <f t="shared" si="21"/>
        <v>11401.79829481689</v>
      </c>
      <c r="K88" s="182">
        <f t="shared" si="22"/>
        <v>5175.173418107863</v>
      </c>
      <c r="L88" s="182">
        <f t="shared" si="23"/>
        <v>1856.2576295209055</v>
      </c>
      <c r="M88" s="182">
        <f t="shared" si="24"/>
        <v>18433.22934244566</v>
      </c>
    </row>
    <row r="89" spans="1:13" s="134" customFormat="1" ht="21.75" customHeight="1">
      <c r="A89" s="125" t="s">
        <v>367</v>
      </c>
      <c r="B89" s="135" t="s">
        <v>222</v>
      </c>
      <c r="C89" s="66" t="s">
        <v>399</v>
      </c>
      <c r="D89" s="15">
        <v>22</v>
      </c>
      <c r="E89" s="15">
        <v>19.94</v>
      </c>
      <c r="F89" s="53">
        <f>19438799.2261856*E89/E91</f>
        <v>1263065.8777702712</v>
      </c>
      <c r="G89" s="53">
        <f>8823095.65860523*E89/E91</f>
        <v>573294.2108726156</v>
      </c>
      <c r="H89" s="53">
        <f>3164713.00748542*E89/E91</f>
        <v>205632.09518137143</v>
      </c>
      <c r="I89" s="2">
        <f t="shared" si="19"/>
        <v>2041992.1838242584</v>
      </c>
      <c r="J89" s="15">
        <f t="shared" si="21"/>
        <v>57412.08535319415</v>
      </c>
      <c r="K89" s="15">
        <f t="shared" si="22"/>
        <v>26058.827766937073</v>
      </c>
      <c r="L89" s="15">
        <f t="shared" si="23"/>
        <v>9346.913417335065</v>
      </c>
      <c r="M89" s="15">
        <f t="shared" si="24"/>
        <v>92817.82653746627</v>
      </c>
    </row>
    <row r="90" spans="1:13" s="134" customFormat="1" ht="21.75" customHeight="1" thickBot="1">
      <c r="A90" s="185" t="s">
        <v>367</v>
      </c>
      <c r="B90" s="186" t="s">
        <v>222</v>
      </c>
      <c r="C90" s="187" t="s">
        <v>402</v>
      </c>
      <c r="D90" s="71">
        <v>9</v>
      </c>
      <c r="E90" s="71">
        <v>2.67</v>
      </c>
      <c r="F90" s="175">
        <f>19438799.2261856*E90/E91</f>
        <v>169126.67470645055</v>
      </c>
      <c r="G90" s="175">
        <f>8823095.65860523*E90/E91</f>
        <v>76765.07236859997</v>
      </c>
      <c r="H90" s="175">
        <f>3164713.00748542*E90/E91</f>
        <v>27534.488171226767</v>
      </c>
      <c r="I90" s="10">
        <f t="shared" si="19"/>
        <v>273426.2352462773</v>
      </c>
      <c r="J90" s="188">
        <f t="shared" si="21"/>
        <v>18791.852745161174</v>
      </c>
      <c r="K90" s="188">
        <f t="shared" si="22"/>
        <v>8529.452485399997</v>
      </c>
      <c r="L90" s="188">
        <f t="shared" si="23"/>
        <v>3059.387574580752</v>
      </c>
      <c r="M90" s="188">
        <f t="shared" si="24"/>
        <v>30380.692805141924</v>
      </c>
    </row>
    <row r="91" spans="1:13" s="67" customFormat="1" ht="20.25" customHeight="1" thickBot="1" thickTop="1">
      <c r="A91" s="176"/>
      <c r="B91" s="176"/>
      <c r="C91" s="178" t="s">
        <v>176</v>
      </c>
      <c r="D91" s="179">
        <f>SUM(D82:D90)</f>
        <v>420</v>
      </c>
      <c r="E91" s="179">
        <f>SUM(E82:E90)</f>
        <v>306.88000000000005</v>
      </c>
      <c r="F91" s="179">
        <f>SUM(F82:F90)</f>
        <v>19438799.226185597</v>
      </c>
      <c r="G91" s="179">
        <f>SUM(G82:G90)</f>
        <v>8823095.658605227</v>
      </c>
      <c r="H91" s="179">
        <f>SUM(H82:H90)</f>
        <v>3164713.0074854195</v>
      </c>
      <c r="I91" s="179">
        <f t="shared" si="19"/>
        <v>31426607.892276242</v>
      </c>
      <c r="J91" s="179">
        <f aca="true" t="shared" si="25" ref="J91:J130">+F91/D91</f>
        <v>46282.8553004419</v>
      </c>
      <c r="K91" s="179">
        <f aca="true" t="shared" si="26" ref="K91:K130">+G91/D91</f>
        <v>21007.37061572673</v>
      </c>
      <c r="L91" s="179">
        <f aca="true" t="shared" si="27" ref="L91:L124">+H91/D91</f>
        <v>7535.03097020338</v>
      </c>
      <c r="M91" s="179">
        <f>SUM(J91:L91)</f>
        <v>74825.25688637201</v>
      </c>
    </row>
    <row r="92" spans="1:13" ht="20.25" customHeight="1" thickBot="1" thickTop="1">
      <c r="A92" s="189" t="s">
        <v>105</v>
      </c>
      <c r="B92" s="189" t="s">
        <v>195</v>
      </c>
      <c r="C92" s="189" t="s">
        <v>104</v>
      </c>
      <c r="D92" s="190">
        <v>234</v>
      </c>
      <c r="E92" s="190">
        <v>226.58</v>
      </c>
      <c r="F92" s="191">
        <v>25382439.10983167</v>
      </c>
      <c r="G92" s="191">
        <v>27694677.58437231</v>
      </c>
      <c r="H92" s="191">
        <v>4103166.262202966</v>
      </c>
      <c r="I92" s="190">
        <f t="shared" si="19"/>
        <v>57180282.95640694</v>
      </c>
      <c r="J92" s="190">
        <f t="shared" si="25"/>
        <v>108471.96200782765</v>
      </c>
      <c r="K92" s="190">
        <f t="shared" si="26"/>
        <v>118353.32301013809</v>
      </c>
      <c r="L92" s="190">
        <f t="shared" si="27"/>
        <v>17534.898556422933</v>
      </c>
      <c r="M92" s="190">
        <f>SUM(J92:L92)</f>
        <v>244360.18357438868</v>
      </c>
    </row>
    <row r="93" spans="1:13" s="67" customFormat="1" ht="20.25" customHeight="1" thickBot="1" thickTop="1">
      <c r="A93" s="176"/>
      <c r="B93" s="176"/>
      <c r="C93" s="178" t="s">
        <v>177</v>
      </c>
      <c r="D93" s="179">
        <f>SUM(D92)</f>
        <v>234</v>
      </c>
      <c r="E93" s="179">
        <f>SUM(E92)</f>
        <v>226.58</v>
      </c>
      <c r="F93" s="179">
        <f>SUM(F92)</f>
        <v>25382439.10983167</v>
      </c>
      <c r="G93" s="179">
        <f>SUM(G92)</f>
        <v>27694677.58437231</v>
      </c>
      <c r="H93" s="179">
        <f>SUM(H92)</f>
        <v>4103166.262202966</v>
      </c>
      <c r="I93" s="179">
        <f t="shared" si="19"/>
        <v>57180282.95640694</v>
      </c>
      <c r="J93" s="179">
        <f t="shared" si="25"/>
        <v>108471.96200782765</v>
      </c>
      <c r="K93" s="179">
        <f t="shared" si="26"/>
        <v>118353.32301013809</v>
      </c>
      <c r="L93" s="179">
        <f t="shared" si="27"/>
        <v>17534.898556422933</v>
      </c>
      <c r="M93" s="179">
        <f>SUM(J93:L93)</f>
        <v>244360.18357438868</v>
      </c>
    </row>
    <row r="94" spans="1:13" ht="20.25" customHeight="1" thickTop="1">
      <c r="A94" s="180" t="s">
        <v>107</v>
      </c>
      <c r="B94" s="180" t="s">
        <v>103</v>
      </c>
      <c r="C94" s="180" t="s">
        <v>106</v>
      </c>
      <c r="D94" s="12">
        <v>345</v>
      </c>
      <c r="E94" s="12">
        <v>248.58</v>
      </c>
      <c r="F94" s="122">
        <f>112874867.777653*E94/E107</f>
        <v>11926057.13952862</v>
      </c>
      <c r="G94" s="122">
        <f>78577176.519209*E94/E107</f>
        <v>8302254.660239288</v>
      </c>
      <c r="H94" s="122">
        <f>13597080.8015848*E94/E107</f>
        <v>1436631.2516079184</v>
      </c>
      <c r="I94" s="12">
        <f t="shared" si="19"/>
        <v>21664943.051375825</v>
      </c>
      <c r="J94" s="12">
        <f t="shared" si="25"/>
        <v>34568.28156385107</v>
      </c>
      <c r="K94" s="12">
        <f t="shared" si="26"/>
        <v>24064.506261563154</v>
      </c>
      <c r="L94" s="12">
        <f t="shared" si="27"/>
        <v>4164.148555385271</v>
      </c>
      <c r="M94" s="12">
        <f>SUM(J94:L94)</f>
        <v>62796.936380799496</v>
      </c>
    </row>
    <row r="95" spans="1:13" ht="20.25" customHeight="1">
      <c r="A95" s="64" t="s">
        <v>107</v>
      </c>
      <c r="B95" s="64" t="s">
        <v>103</v>
      </c>
      <c r="C95" s="64" t="s">
        <v>108</v>
      </c>
      <c r="D95" s="2">
        <v>207</v>
      </c>
      <c r="E95" s="2">
        <v>145.78</v>
      </c>
      <c r="F95" s="53">
        <f>112874867.777653*E95/E107</f>
        <v>6994048.635451291</v>
      </c>
      <c r="G95" s="53">
        <f>78577176.519209*E95/E107</f>
        <v>4868865.895766688</v>
      </c>
      <c r="H95" s="53">
        <f>13597080.8015848*E95/E107</f>
        <v>842513.8943575603</v>
      </c>
      <c r="I95" s="2">
        <f t="shared" si="19"/>
        <v>12705428.425575538</v>
      </c>
      <c r="J95" s="2">
        <f t="shared" si="25"/>
        <v>33787.67456739754</v>
      </c>
      <c r="K95" s="2">
        <f t="shared" si="26"/>
        <v>23521.09128389704</v>
      </c>
      <c r="L95" s="2">
        <f t="shared" si="27"/>
        <v>4070.1154316790353</v>
      </c>
      <c r="M95" s="2">
        <f aca="true" t="shared" si="28" ref="M95:M106">SUM(J95:L95)</f>
        <v>61378.88128297361</v>
      </c>
    </row>
    <row r="96" spans="1:13" ht="20.25" customHeight="1">
      <c r="A96" s="64" t="s">
        <v>107</v>
      </c>
      <c r="B96" s="64" t="s">
        <v>103</v>
      </c>
      <c r="C96" s="64" t="s">
        <v>109</v>
      </c>
      <c r="D96" s="2">
        <v>224</v>
      </c>
      <c r="E96" s="2">
        <v>153.7</v>
      </c>
      <c r="F96" s="53">
        <f>112874867.777653*E96/E107</f>
        <v>7374024.387905496</v>
      </c>
      <c r="G96" s="53">
        <f>78577176.519209*E96/E107</f>
        <v>5133383.785013993</v>
      </c>
      <c r="H96" s="53">
        <f>13597080.8015848*E96/E107</f>
        <v>888286.3600134243</v>
      </c>
      <c r="I96" s="2">
        <f t="shared" si="19"/>
        <v>13395694.532932913</v>
      </c>
      <c r="J96" s="2">
        <f t="shared" si="25"/>
        <v>32919.751731720964</v>
      </c>
      <c r="K96" s="2">
        <f t="shared" si="26"/>
        <v>22916.8918973839</v>
      </c>
      <c r="L96" s="2">
        <f t="shared" si="27"/>
        <v>3965.564107202787</v>
      </c>
      <c r="M96" s="2">
        <f t="shared" si="28"/>
        <v>59802.207736307646</v>
      </c>
    </row>
    <row r="97" spans="1:13" ht="20.25" customHeight="1">
      <c r="A97" s="64" t="s">
        <v>107</v>
      </c>
      <c r="B97" s="64" t="s">
        <v>103</v>
      </c>
      <c r="C97" s="64" t="s">
        <v>110</v>
      </c>
      <c r="D97" s="2">
        <v>268</v>
      </c>
      <c r="E97" s="2">
        <v>233</v>
      </c>
      <c r="F97" s="53">
        <f>112874867.777653*E97/E107</f>
        <v>11178579.58608966</v>
      </c>
      <c r="G97" s="53">
        <f>78577176.519209*E97/E107</f>
        <v>7781902.549826027</v>
      </c>
      <c r="H97" s="53">
        <f>13597080.8015848*E97/E107</f>
        <v>1346588.9517444884</v>
      </c>
      <c r="I97" s="2">
        <f t="shared" si="19"/>
        <v>20307071.087660175</v>
      </c>
      <c r="J97" s="2">
        <f t="shared" si="25"/>
        <v>41711.117858543505</v>
      </c>
      <c r="K97" s="2">
        <f t="shared" si="26"/>
        <v>29036.94981278368</v>
      </c>
      <c r="L97" s="2">
        <f t="shared" si="27"/>
        <v>5024.585640837643</v>
      </c>
      <c r="M97" s="2">
        <f t="shared" si="28"/>
        <v>75772.65331216482</v>
      </c>
    </row>
    <row r="98" spans="1:13" ht="20.25" customHeight="1">
      <c r="A98" s="64" t="s">
        <v>107</v>
      </c>
      <c r="B98" s="64" t="s">
        <v>103</v>
      </c>
      <c r="C98" s="64" t="s">
        <v>372</v>
      </c>
      <c r="D98" s="2">
        <v>30</v>
      </c>
      <c r="E98" s="2">
        <v>17.5</v>
      </c>
      <c r="F98" s="53">
        <f>112874867.777653*E98/E107</f>
        <v>839592.8873672492</v>
      </c>
      <c r="G98" s="53">
        <f>78577176.519209*E98/E107</f>
        <v>584477.6593216973</v>
      </c>
      <c r="H98" s="53">
        <f>13597080.8015848*E98/E107</f>
        <v>101138.65517394227</v>
      </c>
      <c r="I98" s="2">
        <f t="shared" si="19"/>
        <v>1525209.2018628886</v>
      </c>
      <c r="J98" s="2">
        <f t="shared" si="25"/>
        <v>27986.429578908308</v>
      </c>
      <c r="K98" s="2">
        <f t="shared" si="26"/>
        <v>19482.588644056577</v>
      </c>
      <c r="L98" s="2">
        <f t="shared" si="27"/>
        <v>3371.2885057980757</v>
      </c>
      <c r="M98" s="2">
        <f t="shared" si="28"/>
        <v>50840.30672876296</v>
      </c>
    </row>
    <row r="99" spans="1:13" ht="20.25" customHeight="1">
      <c r="A99" s="64" t="s">
        <v>107</v>
      </c>
      <c r="B99" s="64" t="s">
        <v>103</v>
      </c>
      <c r="C99" s="64" t="s">
        <v>111</v>
      </c>
      <c r="D99" s="2">
        <v>371</v>
      </c>
      <c r="E99" s="2">
        <v>276.78</v>
      </c>
      <c r="F99" s="53">
        <f>112874867.777653*E99/E107</f>
        <v>13279001.106600411</v>
      </c>
      <c r="G99" s="53">
        <f>78577176.519209*E99/E107</f>
        <v>9244098.659831963</v>
      </c>
      <c r="H99" s="53">
        <f>13597080.8015848*E99/E107</f>
        <v>1599608.9702310709</v>
      </c>
      <c r="I99" s="2">
        <f t="shared" si="19"/>
        <v>24122708.736663446</v>
      </c>
      <c r="J99" s="2">
        <f t="shared" si="25"/>
        <v>35792.455812939115</v>
      </c>
      <c r="K99" s="2">
        <f t="shared" si="26"/>
        <v>24916.70797798373</v>
      </c>
      <c r="L99" s="2">
        <f t="shared" si="27"/>
        <v>4311.614475016364</v>
      </c>
      <c r="M99" s="2">
        <f t="shared" si="28"/>
        <v>65020.77826593921</v>
      </c>
    </row>
    <row r="100" spans="1:13" ht="20.25" customHeight="1">
      <c r="A100" s="64" t="s">
        <v>107</v>
      </c>
      <c r="B100" s="64" t="s">
        <v>103</v>
      </c>
      <c r="C100" s="64" t="s">
        <v>112</v>
      </c>
      <c r="D100" s="2">
        <v>274</v>
      </c>
      <c r="E100" s="2">
        <v>242.39</v>
      </c>
      <c r="F100" s="53">
        <f>112874867.777653*E100/E107</f>
        <v>11629081.141082715</v>
      </c>
      <c r="G100" s="53">
        <f>78577176.519209*E100/E107</f>
        <v>8095516.562456354</v>
      </c>
      <c r="H100" s="53">
        <f>13597080.8015848*E100/E107</f>
        <v>1400857.0644349637</v>
      </c>
      <c r="I100" s="2">
        <f t="shared" si="19"/>
        <v>21125454.767974034</v>
      </c>
      <c r="J100" s="2">
        <f t="shared" si="25"/>
        <v>42441.90197475444</v>
      </c>
      <c r="K100" s="2">
        <f t="shared" si="26"/>
        <v>29545.6808848772</v>
      </c>
      <c r="L100" s="2">
        <f t="shared" si="27"/>
        <v>5112.617023485269</v>
      </c>
      <c r="M100" s="2">
        <f t="shared" si="28"/>
        <v>77100.1998831169</v>
      </c>
    </row>
    <row r="101" spans="1:13" ht="20.25" customHeight="1">
      <c r="A101" s="64" t="s">
        <v>107</v>
      </c>
      <c r="B101" s="64" t="s">
        <v>103</v>
      </c>
      <c r="C101" s="64" t="s">
        <v>113</v>
      </c>
      <c r="D101" s="2">
        <v>332</v>
      </c>
      <c r="E101" s="2">
        <v>273.89</v>
      </c>
      <c r="F101" s="53">
        <f>112874867.777653*E101/E107</f>
        <v>13140348.338343764</v>
      </c>
      <c r="G101" s="53">
        <f>78577176.519209*E101/E107</f>
        <v>9147576.34923541</v>
      </c>
      <c r="H101" s="53">
        <f>13597080.8015848*E101/E107</f>
        <v>1582906.6437480599</v>
      </c>
      <c r="I101" s="2">
        <f t="shared" si="19"/>
        <v>23870831.331327233</v>
      </c>
      <c r="J101" s="2">
        <f t="shared" si="25"/>
        <v>39579.36246489085</v>
      </c>
      <c r="K101" s="2">
        <f t="shared" si="26"/>
        <v>27552.94081095003</v>
      </c>
      <c r="L101" s="2">
        <f t="shared" si="27"/>
        <v>4767.791095626686</v>
      </c>
      <c r="M101" s="2">
        <f t="shared" si="28"/>
        <v>71900.09437146757</v>
      </c>
    </row>
    <row r="102" spans="1:13" ht="20.25" customHeight="1">
      <c r="A102" s="64" t="s">
        <v>107</v>
      </c>
      <c r="B102" s="64" t="s">
        <v>103</v>
      </c>
      <c r="C102" s="64" t="s">
        <v>114</v>
      </c>
      <c r="D102" s="2">
        <v>154</v>
      </c>
      <c r="E102" s="2">
        <v>120.42</v>
      </c>
      <c r="F102" s="53">
        <f>112874867.777653*E102/E107</f>
        <v>5777358.599815094</v>
      </c>
      <c r="G102" s="53">
        <f>78577176.519209*E102/E107</f>
        <v>4021874.2706010737</v>
      </c>
      <c r="H102" s="53">
        <f>13597080.8015848*E102/E107</f>
        <v>695949.5346312074</v>
      </c>
      <c r="I102" s="2">
        <f t="shared" si="19"/>
        <v>10495182.405047376</v>
      </c>
      <c r="J102" s="2">
        <f t="shared" si="25"/>
        <v>37515.3155832149</v>
      </c>
      <c r="K102" s="2">
        <f t="shared" si="26"/>
        <v>26116.066692214765</v>
      </c>
      <c r="L102" s="2">
        <f t="shared" si="27"/>
        <v>4519.152822280567</v>
      </c>
      <c r="M102" s="2">
        <f t="shared" si="28"/>
        <v>68150.53509771024</v>
      </c>
    </row>
    <row r="103" spans="1:13" ht="20.25" customHeight="1">
      <c r="A103" s="64" t="s">
        <v>107</v>
      </c>
      <c r="B103" s="64" t="s">
        <v>103</v>
      </c>
      <c r="C103" s="64" t="s">
        <v>115</v>
      </c>
      <c r="D103" s="2">
        <v>70</v>
      </c>
      <c r="E103" s="2">
        <v>52.92</v>
      </c>
      <c r="F103" s="53">
        <f>112874867.777653*E103/E107</f>
        <v>2538928.8913985617</v>
      </c>
      <c r="G103" s="53">
        <f>78577176.519209*E103/E107</f>
        <v>1767460.4417888126</v>
      </c>
      <c r="H103" s="53">
        <f>13597080.8015848*E103/E107</f>
        <v>305843.2932460014</v>
      </c>
      <c r="I103" s="2">
        <f t="shared" si="19"/>
        <v>4612232.626433375</v>
      </c>
      <c r="J103" s="2">
        <f t="shared" si="25"/>
        <v>36270.41273426517</v>
      </c>
      <c r="K103" s="2">
        <f t="shared" si="26"/>
        <v>25249.434882697322</v>
      </c>
      <c r="L103" s="2">
        <f t="shared" si="27"/>
        <v>4369.189903514306</v>
      </c>
      <c r="M103" s="2">
        <f t="shared" si="28"/>
        <v>65889.03752047679</v>
      </c>
    </row>
    <row r="104" spans="1:13" ht="20.25" customHeight="1">
      <c r="A104" s="64" t="s">
        <v>107</v>
      </c>
      <c r="B104" s="64" t="s">
        <v>103</v>
      </c>
      <c r="C104" s="64" t="s">
        <v>116</v>
      </c>
      <c r="D104" s="2">
        <v>233</v>
      </c>
      <c r="E104" s="2">
        <v>209.22</v>
      </c>
      <c r="F104" s="53">
        <f>112874867.777653*E104/E107</f>
        <v>10037692.793998621</v>
      </c>
      <c r="G104" s="53">
        <f>78577176.519209*E104/E107</f>
        <v>6987680.9076163145</v>
      </c>
      <c r="H104" s="53">
        <f>13597080.8015848*E104/E107</f>
        <v>1209155.9677424114</v>
      </c>
      <c r="I104" s="2">
        <f t="shared" si="19"/>
        <v>18234529.669357345</v>
      </c>
      <c r="J104" s="2">
        <f t="shared" si="25"/>
        <v>43080.22658368507</v>
      </c>
      <c r="K104" s="2">
        <f t="shared" si="26"/>
        <v>29990.046813803925</v>
      </c>
      <c r="L104" s="2">
        <f t="shared" si="27"/>
        <v>5189.510591169148</v>
      </c>
      <c r="M104" s="2">
        <f t="shared" si="28"/>
        <v>78259.78398865815</v>
      </c>
    </row>
    <row r="105" spans="1:13" ht="20.25" customHeight="1">
      <c r="A105" s="64" t="s">
        <v>107</v>
      </c>
      <c r="B105" s="64" t="s">
        <v>96</v>
      </c>
      <c r="C105" s="64" t="s">
        <v>97</v>
      </c>
      <c r="D105" s="2">
        <v>226</v>
      </c>
      <c r="E105" s="2">
        <v>175.47</v>
      </c>
      <c r="F105" s="53">
        <f>112874867.777653*E105/E107</f>
        <v>8418477.939790355</v>
      </c>
      <c r="G105" s="53">
        <f>78577176.519209*E105/E107</f>
        <v>5860473.993210184</v>
      </c>
      <c r="H105" s="53">
        <f>13597080.8015848*E105/E107</f>
        <v>1014102.8470498086</v>
      </c>
      <c r="I105" s="2">
        <f t="shared" si="19"/>
        <v>15293054.780050347</v>
      </c>
      <c r="J105" s="2">
        <f t="shared" si="25"/>
        <v>37249.9023884529</v>
      </c>
      <c r="K105" s="2">
        <f t="shared" si="26"/>
        <v>25931.30085491232</v>
      </c>
      <c r="L105" s="2">
        <f t="shared" si="27"/>
        <v>4487.180739158445</v>
      </c>
      <c r="M105" s="2">
        <f t="shared" si="28"/>
        <v>67668.38398252366</v>
      </c>
    </row>
    <row r="106" spans="1:13" ht="20.25" customHeight="1" thickBot="1">
      <c r="A106" s="174" t="s">
        <v>107</v>
      </c>
      <c r="B106" s="174" t="s">
        <v>96</v>
      </c>
      <c r="C106" s="174" t="s">
        <v>117</v>
      </c>
      <c r="D106" s="10">
        <v>255</v>
      </c>
      <c r="E106" s="10">
        <v>203.05</v>
      </c>
      <c r="F106" s="175">
        <f>112874867.777653*E106/E107</f>
        <v>9741676.33028114</v>
      </c>
      <c r="G106" s="175">
        <f>78577176.519209*E106/E107</f>
        <v>6781610.784301179</v>
      </c>
      <c r="H106" s="175">
        <f>13597080.8015848*E106/E107</f>
        <v>1173497.3676039418</v>
      </c>
      <c r="I106" s="10">
        <f t="shared" si="19"/>
        <v>17696784.48218626</v>
      </c>
      <c r="J106" s="10">
        <f t="shared" si="25"/>
        <v>38202.652275612316</v>
      </c>
      <c r="K106" s="10">
        <f t="shared" si="26"/>
        <v>26594.552095298743</v>
      </c>
      <c r="L106" s="10">
        <f t="shared" si="27"/>
        <v>4601.950461191928</v>
      </c>
      <c r="M106" s="10">
        <f t="shared" si="28"/>
        <v>69399.15483210298</v>
      </c>
    </row>
    <row r="107" spans="1:13" s="67" customFormat="1" ht="20.25" customHeight="1" thickBot="1" thickTop="1">
      <c r="A107" s="176"/>
      <c r="B107" s="176"/>
      <c r="C107" s="178" t="s">
        <v>178</v>
      </c>
      <c r="D107" s="179">
        <f>SUM(D94:D106)</f>
        <v>2989</v>
      </c>
      <c r="E107" s="179">
        <f>SUM(E94:E106)</f>
        <v>2352.7000000000003</v>
      </c>
      <c r="F107" s="179">
        <f>SUM(F94:F106)</f>
        <v>112874867.777653</v>
      </c>
      <c r="G107" s="179">
        <f>SUM(G94:G106)</f>
        <v>78577176.51920898</v>
      </c>
      <c r="H107" s="179">
        <f>SUM(H94:H106)</f>
        <v>13597080.801584799</v>
      </c>
      <c r="I107" s="179">
        <f t="shared" si="19"/>
        <v>205049125.0984468</v>
      </c>
      <c r="J107" s="179">
        <f t="shared" si="25"/>
        <v>37763.421805839076</v>
      </c>
      <c r="K107" s="179">
        <f t="shared" si="26"/>
        <v>26288.78438247206</v>
      </c>
      <c r="L107" s="179">
        <f t="shared" si="27"/>
        <v>4549.040080824623</v>
      </c>
      <c r="M107" s="179">
        <f>SUM(J107:L107)</f>
        <v>68601.24626913575</v>
      </c>
    </row>
    <row r="108" spans="1:13" ht="20.25" customHeight="1" thickTop="1">
      <c r="A108" s="180" t="s">
        <v>118</v>
      </c>
      <c r="B108" s="180" t="s">
        <v>63</v>
      </c>
      <c r="C108" s="180" t="s">
        <v>182</v>
      </c>
      <c r="D108" s="12">
        <v>160</v>
      </c>
      <c r="E108" s="12">
        <v>130.33</v>
      </c>
      <c r="F108" s="122">
        <f>32667535.5594764*E108/E114</f>
        <v>10031478.039363272</v>
      </c>
      <c r="G108" s="122">
        <f>33711937.0650503*E108/E114</f>
        <v>10352190.654747669</v>
      </c>
      <c r="H108" s="122">
        <f>4443387.09853024*E108/E114</f>
        <v>1364465.9548358852</v>
      </c>
      <c r="I108" s="12">
        <f t="shared" si="19"/>
        <v>21748134.648946825</v>
      </c>
      <c r="J108" s="12">
        <f t="shared" si="25"/>
        <v>62696.73774602045</v>
      </c>
      <c r="K108" s="12">
        <f t="shared" si="26"/>
        <v>64701.19159217293</v>
      </c>
      <c r="L108" s="12">
        <f t="shared" si="27"/>
        <v>8527.912217724283</v>
      </c>
      <c r="M108" s="12">
        <f>SUM(J108:L108)</f>
        <v>135925.84155591766</v>
      </c>
    </row>
    <row r="109" spans="1:13" ht="20.25" customHeight="1">
      <c r="A109" s="64" t="s">
        <v>118</v>
      </c>
      <c r="B109" s="64" t="s">
        <v>58</v>
      </c>
      <c r="C109" s="64" t="s">
        <v>373</v>
      </c>
      <c r="D109" s="2">
        <v>120</v>
      </c>
      <c r="E109" s="2">
        <v>93.56</v>
      </c>
      <c r="F109" s="53">
        <f>32667535.5594764*E109/E114</f>
        <v>7201297.363330221</v>
      </c>
      <c r="G109" s="53">
        <f>33711937.0650503*E109/E114</f>
        <v>7431527.335672461</v>
      </c>
      <c r="H109" s="53">
        <f>4443387.09853024*E109/E114</f>
        <v>979509.2053590532</v>
      </c>
      <c r="I109" s="2">
        <f t="shared" si="19"/>
        <v>15612333.904361736</v>
      </c>
      <c r="J109" s="2">
        <f t="shared" si="25"/>
        <v>60010.81136108517</v>
      </c>
      <c r="K109" s="2">
        <f t="shared" si="26"/>
        <v>61929.39446393718</v>
      </c>
      <c r="L109" s="2">
        <f t="shared" si="27"/>
        <v>8162.576711325443</v>
      </c>
      <c r="M109" s="2">
        <f aca="true" t="shared" si="29" ref="M109:M114">SUM(J109:L109)</f>
        <v>130102.78253634779</v>
      </c>
    </row>
    <row r="110" spans="1:13" ht="20.25" customHeight="1">
      <c r="A110" s="64" t="s">
        <v>118</v>
      </c>
      <c r="B110" s="64" t="s">
        <v>58</v>
      </c>
      <c r="C110" s="64" t="s">
        <v>409</v>
      </c>
      <c r="D110" s="2">
        <v>41</v>
      </c>
      <c r="E110" s="2">
        <v>25.61</v>
      </c>
      <c r="F110" s="53">
        <f>32667535.5594764*E110/E114</f>
        <v>1971197.3650586463</v>
      </c>
      <c r="G110" s="53">
        <f>33711937.0650503*E110/E114</f>
        <v>2034217.775401579</v>
      </c>
      <c r="H110" s="53">
        <f>4443387.09853024*E110/E114</f>
        <v>268119.182869232</v>
      </c>
      <c r="I110" s="2">
        <f t="shared" si="19"/>
        <v>4273534.323329457</v>
      </c>
      <c r="J110" s="2">
        <f t="shared" si="25"/>
        <v>48077.98451362552</v>
      </c>
      <c r="K110" s="2">
        <f t="shared" si="26"/>
        <v>49615.06769272144</v>
      </c>
      <c r="L110" s="2">
        <f t="shared" si="27"/>
        <v>6539.49226510322</v>
      </c>
      <c r="M110" s="2">
        <f t="shared" si="29"/>
        <v>104232.54447145018</v>
      </c>
    </row>
    <row r="111" spans="1:13" ht="20.25" customHeight="1">
      <c r="A111" s="64" t="s">
        <v>118</v>
      </c>
      <c r="B111" s="64" t="s">
        <v>71</v>
      </c>
      <c r="C111" s="64" t="s">
        <v>413</v>
      </c>
      <c r="D111" s="2">
        <v>66</v>
      </c>
      <c r="E111" s="2">
        <v>52.75</v>
      </c>
      <c r="F111" s="53">
        <f>32667535.5594764*E111/E114</f>
        <v>4060158.5711379773</v>
      </c>
      <c r="G111" s="53">
        <f>33711937.0650503*E111/E114</f>
        <v>4189964.3753390587</v>
      </c>
      <c r="H111" s="53">
        <f>4443387.09853024*E111/E114</f>
        <v>552256.41922499</v>
      </c>
      <c r="I111" s="2">
        <f t="shared" si="19"/>
        <v>8802379.365702026</v>
      </c>
      <c r="J111" s="2">
        <f t="shared" si="25"/>
        <v>61517.55410815117</v>
      </c>
      <c r="K111" s="2">
        <f t="shared" si="26"/>
        <v>63484.308717258464</v>
      </c>
      <c r="L111" s="2">
        <f t="shared" si="27"/>
        <v>8367.521503408938</v>
      </c>
      <c r="M111" s="2">
        <f t="shared" si="29"/>
        <v>133369.38432881856</v>
      </c>
    </row>
    <row r="112" spans="1:13" ht="20.25" customHeight="1">
      <c r="A112" s="64" t="s">
        <v>118</v>
      </c>
      <c r="B112" s="64" t="s">
        <v>119</v>
      </c>
      <c r="C112" s="64" t="s">
        <v>370</v>
      </c>
      <c r="D112" s="2">
        <v>76</v>
      </c>
      <c r="E112" s="2">
        <v>55.64</v>
      </c>
      <c r="F112" s="53">
        <f>32667535.5594764*E112/E114</f>
        <v>4282601.381954826</v>
      </c>
      <c r="G112" s="53">
        <f>33711937.0650503*E112/E114</f>
        <v>4419518.821684648</v>
      </c>
      <c r="H112" s="53">
        <f>4443387.09853024*E112/E114</f>
        <v>582512.7424773163</v>
      </c>
      <c r="I112" s="2">
        <f t="shared" si="19"/>
        <v>9284632.94611679</v>
      </c>
      <c r="J112" s="2">
        <f t="shared" si="25"/>
        <v>56350.018183616136</v>
      </c>
      <c r="K112" s="2">
        <f t="shared" si="26"/>
        <v>58151.563443219056</v>
      </c>
      <c r="L112" s="2">
        <f t="shared" si="27"/>
        <v>7664.6413483857405</v>
      </c>
      <c r="M112" s="2">
        <f t="shared" si="29"/>
        <v>122166.22297522094</v>
      </c>
    </row>
    <row r="113" spans="1:13" ht="20.25" customHeight="1" thickBot="1">
      <c r="A113" s="174" t="s">
        <v>118</v>
      </c>
      <c r="B113" s="174" t="s">
        <v>119</v>
      </c>
      <c r="C113" s="174" t="s">
        <v>410</v>
      </c>
      <c r="D113" s="10">
        <v>84</v>
      </c>
      <c r="E113" s="10">
        <v>66.53</v>
      </c>
      <c r="F113" s="175">
        <f>32667535.5594764*E113/E114</f>
        <v>5120802.838631462</v>
      </c>
      <c r="G113" s="175">
        <f>33711937.0650503*E113/E114</f>
        <v>5284518.102204883</v>
      </c>
      <c r="H113" s="175">
        <f>4443387.09853024*E113/E114</f>
        <v>696523.5937637646</v>
      </c>
      <c r="I113" s="10">
        <f t="shared" si="19"/>
        <v>11101844.534600109</v>
      </c>
      <c r="J113" s="10">
        <f t="shared" si="25"/>
        <v>60961.938555136454</v>
      </c>
      <c r="K113" s="10">
        <f t="shared" si="26"/>
        <v>62910.929788153364</v>
      </c>
      <c r="L113" s="10">
        <f t="shared" si="27"/>
        <v>8291.94754480672</v>
      </c>
      <c r="M113" s="10">
        <f t="shared" si="29"/>
        <v>132164.81588809655</v>
      </c>
    </row>
    <row r="114" spans="1:13" s="67" customFormat="1" ht="20.25" customHeight="1" thickBot="1" thickTop="1">
      <c r="A114" s="176"/>
      <c r="B114" s="176"/>
      <c r="C114" s="178" t="s">
        <v>179</v>
      </c>
      <c r="D114" s="179">
        <f>SUM(D108:D113)</f>
        <v>547</v>
      </c>
      <c r="E114" s="179">
        <f>SUM(E108:E113)</f>
        <v>424.41999999999996</v>
      </c>
      <c r="F114" s="179">
        <f>SUM(F108:F113)</f>
        <v>32667535.559476405</v>
      </c>
      <c r="G114" s="179">
        <f>SUM(G108:G113)</f>
        <v>33711937.0650503</v>
      </c>
      <c r="H114" s="179">
        <f>SUM(H108:H113)</f>
        <v>4443387.098530241</v>
      </c>
      <c r="I114" s="179">
        <f t="shared" si="19"/>
        <v>70822859.72305694</v>
      </c>
      <c r="J114" s="179">
        <f t="shared" si="25"/>
        <v>59721.27158953639</v>
      </c>
      <c r="K114" s="179">
        <f t="shared" si="26"/>
        <v>61630.597925137656</v>
      </c>
      <c r="L114" s="179">
        <f t="shared" si="27"/>
        <v>8123.193964406291</v>
      </c>
      <c r="M114" s="179">
        <f t="shared" si="29"/>
        <v>129475.06347908033</v>
      </c>
    </row>
    <row r="115" spans="1:13" ht="20.25" customHeight="1" thickTop="1">
      <c r="A115" s="180" t="s">
        <v>53</v>
      </c>
      <c r="B115" s="180" t="s">
        <v>96</v>
      </c>
      <c r="C115" s="180" t="s">
        <v>414</v>
      </c>
      <c r="D115" s="12">
        <v>19</v>
      </c>
      <c r="E115" s="12">
        <v>13.36</v>
      </c>
      <c r="F115" s="12">
        <f>5996769.86*E115/E119</f>
        <v>773328.622872587</v>
      </c>
      <c r="G115" s="12">
        <f>4979952.31*E115/E119</f>
        <v>642202.3442239382</v>
      </c>
      <c r="H115" s="12">
        <f>883752.67*E115/E119</f>
        <v>113966.56053281853</v>
      </c>
      <c r="I115" s="12">
        <f t="shared" si="19"/>
        <v>1529497.5276293438</v>
      </c>
      <c r="J115" s="12">
        <f t="shared" si="25"/>
        <v>40701.50646697826</v>
      </c>
      <c r="K115" s="12">
        <f t="shared" si="26"/>
        <v>33800.123380207275</v>
      </c>
      <c r="L115" s="12">
        <f t="shared" si="27"/>
        <v>5998.240028043081</v>
      </c>
      <c r="M115" s="12">
        <f aca="true" t="shared" si="30" ref="M115:M131">SUM(J115:L115)</f>
        <v>80499.86987522861</v>
      </c>
    </row>
    <row r="116" spans="1:13" ht="20.25" customHeight="1">
      <c r="A116" s="64" t="s">
        <v>53</v>
      </c>
      <c r="B116" s="64" t="s">
        <v>96</v>
      </c>
      <c r="C116" s="64" t="s">
        <v>415</v>
      </c>
      <c r="D116" s="2">
        <v>41</v>
      </c>
      <c r="E116" s="2">
        <v>27.69</v>
      </c>
      <c r="F116" s="2">
        <f>5996769.86*E116/E119</f>
        <v>1602804.6083339772</v>
      </c>
      <c r="G116" s="2">
        <f>4979952.31*E116/E119</f>
        <v>1331031.65505695</v>
      </c>
      <c r="H116" s="2">
        <f>883752.67*E116/E119</f>
        <v>236207.6393079151</v>
      </c>
      <c r="I116" s="2">
        <f t="shared" si="19"/>
        <v>3170043.9026988423</v>
      </c>
      <c r="J116" s="2">
        <f t="shared" si="25"/>
        <v>39092.795325218955</v>
      </c>
      <c r="K116" s="2">
        <f t="shared" si="26"/>
        <v>32464.186708706096</v>
      </c>
      <c r="L116" s="2">
        <f t="shared" si="27"/>
        <v>5761.161934339392</v>
      </c>
      <c r="M116" s="2">
        <f t="shared" si="30"/>
        <v>77318.14396826444</v>
      </c>
    </row>
    <row r="117" spans="1:13" ht="20.25" customHeight="1">
      <c r="A117" s="64" t="s">
        <v>53</v>
      </c>
      <c r="B117" s="64" t="s">
        <v>96</v>
      </c>
      <c r="C117" s="64" t="s">
        <v>199</v>
      </c>
      <c r="D117" s="2">
        <v>32</v>
      </c>
      <c r="E117" s="2">
        <v>27.11</v>
      </c>
      <c r="F117" s="2">
        <f>5996769.86*E117/E119</f>
        <v>1569231.95853861</v>
      </c>
      <c r="G117" s="2">
        <f>4979952.31*E117/E119</f>
        <v>1303151.6131669886</v>
      </c>
      <c r="H117" s="2">
        <f>883752.67*E117/E119</f>
        <v>231259.98922490352</v>
      </c>
      <c r="I117" s="2">
        <f t="shared" si="19"/>
        <v>3103643.5609305017</v>
      </c>
      <c r="J117" s="2">
        <f t="shared" si="25"/>
        <v>49038.49870433156</v>
      </c>
      <c r="K117" s="2">
        <f t="shared" si="26"/>
        <v>40723.48791146839</v>
      </c>
      <c r="L117" s="2">
        <f t="shared" si="27"/>
        <v>7226.874663278235</v>
      </c>
      <c r="M117" s="2">
        <f t="shared" si="30"/>
        <v>96988.86127907818</v>
      </c>
    </row>
    <row r="118" spans="1:13" ht="20.25" customHeight="1" thickBot="1">
      <c r="A118" s="174" t="s">
        <v>53</v>
      </c>
      <c r="B118" s="174" t="s">
        <v>96</v>
      </c>
      <c r="C118" s="174" t="s">
        <v>200</v>
      </c>
      <c r="D118" s="10">
        <v>63</v>
      </c>
      <c r="E118" s="10">
        <v>35.44</v>
      </c>
      <c r="F118" s="10">
        <f>5996769.86*E118/E119</f>
        <v>2051404.6702548263</v>
      </c>
      <c r="G118" s="10">
        <f>4979952.31*E118/E119</f>
        <v>1703566.6975521233</v>
      </c>
      <c r="H118" s="10">
        <f>883752.67*E118/E119</f>
        <v>302318.480934363</v>
      </c>
      <c r="I118" s="10">
        <f t="shared" si="19"/>
        <v>4057289.8487413125</v>
      </c>
      <c r="J118" s="10">
        <f t="shared" si="25"/>
        <v>32561.978892933752</v>
      </c>
      <c r="K118" s="10">
        <f t="shared" si="26"/>
        <v>27040.741230986085</v>
      </c>
      <c r="L118" s="10">
        <f t="shared" si="27"/>
        <v>4798.70604657719</v>
      </c>
      <c r="M118" s="10">
        <f t="shared" si="30"/>
        <v>64401.42617049703</v>
      </c>
    </row>
    <row r="119" spans="1:13" s="67" customFormat="1" ht="20.25" customHeight="1" thickBot="1" thickTop="1">
      <c r="A119" s="176"/>
      <c r="B119" s="176"/>
      <c r="C119" s="178" t="s">
        <v>169</v>
      </c>
      <c r="D119" s="179">
        <f>SUM(D115:D118)</f>
        <v>155</v>
      </c>
      <c r="E119" s="179">
        <f>SUM(E115:E118)</f>
        <v>103.6</v>
      </c>
      <c r="F119" s="179">
        <f>SUM(F115:F118)</f>
        <v>5996769.86</v>
      </c>
      <c r="G119" s="179">
        <f>SUM(G115:G118)</f>
        <v>4979952.31</v>
      </c>
      <c r="H119" s="179">
        <f>SUM(H115:H118)</f>
        <v>883752.67</v>
      </c>
      <c r="I119" s="179">
        <f t="shared" si="19"/>
        <v>11860474.84</v>
      </c>
      <c r="J119" s="179">
        <f t="shared" si="25"/>
        <v>38688.837806451615</v>
      </c>
      <c r="K119" s="179">
        <f t="shared" si="26"/>
        <v>32128.724580645157</v>
      </c>
      <c r="L119" s="179">
        <f t="shared" si="27"/>
        <v>5701.630129032258</v>
      </c>
      <c r="M119" s="179">
        <f t="shared" si="30"/>
        <v>76519.19251612903</v>
      </c>
    </row>
    <row r="120" spans="1:13" ht="20.25" customHeight="1" thickTop="1">
      <c r="A120" s="180" t="s">
        <v>122</v>
      </c>
      <c r="B120" s="180" t="s">
        <v>223</v>
      </c>
      <c r="C120" s="180" t="s">
        <v>112</v>
      </c>
      <c r="D120" s="12">
        <v>161</v>
      </c>
      <c r="E120" s="12">
        <v>129.14</v>
      </c>
      <c r="F120" s="122">
        <f>46799819.955681*E120/E125</f>
        <v>6374165.487973174</v>
      </c>
      <c r="G120" s="122">
        <f>33592437.9836051*E120/E125</f>
        <v>4575311.5942486115</v>
      </c>
      <c r="H120" s="122">
        <f>6035618.02957174*E120/E125</f>
        <v>822055.0459193538</v>
      </c>
      <c r="I120" s="12">
        <f t="shared" si="19"/>
        <v>11771532.128141139</v>
      </c>
      <c r="J120" s="12">
        <f t="shared" si="25"/>
        <v>39591.08998741102</v>
      </c>
      <c r="K120" s="12">
        <f t="shared" si="26"/>
        <v>28418.08443632678</v>
      </c>
      <c r="L120" s="12">
        <f t="shared" si="27"/>
        <v>5105.931962232012</v>
      </c>
      <c r="M120" s="12">
        <f t="shared" si="30"/>
        <v>73115.10638596982</v>
      </c>
    </row>
    <row r="121" spans="1:13" ht="20.25" customHeight="1">
      <c r="A121" s="64" t="s">
        <v>122</v>
      </c>
      <c r="B121" s="64" t="s">
        <v>223</v>
      </c>
      <c r="C121" s="64" t="s">
        <v>123</v>
      </c>
      <c r="D121" s="2">
        <v>335</v>
      </c>
      <c r="E121" s="2">
        <v>261</v>
      </c>
      <c r="F121" s="122">
        <f>46799819.955681*E121/E125</f>
        <v>12882586.281252893</v>
      </c>
      <c r="G121" s="122">
        <f>33592437.9836051*E121/E125</f>
        <v>9246990.290373918</v>
      </c>
      <c r="H121" s="122">
        <f>6035618.02957174*E121/E125</f>
        <v>1661424.5546302567</v>
      </c>
      <c r="I121" s="2">
        <f t="shared" si="19"/>
        <v>23791001.12625707</v>
      </c>
      <c r="J121" s="2">
        <f t="shared" si="25"/>
        <v>38455.4814365758</v>
      </c>
      <c r="K121" s="2">
        <f t="shared" si="26"/>
        <v>27602.95609066841</v>
      </c>
      <c r="L121" s="2">
        <f t="shared" si="27"/>
        <v>4959.476282478378</v>
      </c>
      <c r="M121" s="2">
        <f t="shared" si="30"/>
        <v>71017.9138097226</v>
      </c>
    </row>
    <row r="122" spans="1:13" ht="20.25" customHeight="1">
      <c r="A122" s="64" t="s">
        <v>122</v>
      </c>
      <c r="B122" s="64" t="s">
        <v>223</v>
      </c>
      <c r="C122" s="64" t="s">
        <v>124</v>
      </c>
      <c r="D122" s="2">
        <v>157</v>
      </c>
      <c r="E122" s="2">
        <v>131.44</v>
      </c>
      <c r="F122" s="122">
        <f>46799819.955681*E122/E125</f>
        <v>6487690.194666209</v>
      </c>
      <c r="G122" s="122">
        <f>33592437.9836051*E122/E125</f>
        <v>4656798.481864934</v>
      </c>
      <c r="H122" s="122">
        <f>6035618.02957174*E122/E125</f>
        <v>836695.9519563254</v>
      </c>
      <c r="I122" s="2">
        <f t="shared" si="19"/>
        <v>11981184.62848747</v>
      </c>
      <c r="J122" s="2">
        <f t="shared" si="25"/>
        <v>41322.86748195037</v>
      </c>
      <c r="K122" s="2">
        <f t="shared" si="26"/>
        <v>29661.136827165185</v>
      </c>
      <c r="L122" s="2">
        <f t="shared" si="27"/>
        <v>5329.273579339652</v>
      </c>
      <c r="M122" s="2">
        <f t="shared" si="30"/>
        <v>76313.27788845521</v>
      </c>
    </row>
    <row r="123" spans="1:13" ht="20.25" customHeight="1">
      <c r="A123" s="64" t="s">
        <v>122</v>
      </c>
      <c r="B123" s="64" t="s">
        <v>102</v>
      </c>
      <c r="C123" s="64" t="s">
        <v>125</v>
      </c>
      <c r="D123" s="2">
        <v>434</v>
      </c>
      <c r="E123" s="2">
        <v>353.08</v>
      </c>
      <c r="F123" s="122">
        <f>46799819.955681*E123/E125</f>
        <v>17427523.234424412</v>
      </c>
      <c r="G123" s="122">
        <f>33592437.9836051*E123/E125</f>
        <v>12509300.121552577</v>
      </c>
      <c r="H123" s="122">
        <f>6035618.02957174*E123/E125</f>
        <v>2247570.045014755</v>
      </c>
      <c r="I123" s="2">
        <f t="shared" si="19"/>
        <v>32184393.400991745</v>
      </c>
      <c r="J123" s="2">
        <f t="shared" si="25"/>
        <v>40155.583489457174</v>
      </c>
      <c r="K123" s="2">
        <f t="shared" si="26"/>
        <v>28823.272169475986</v>
      </c>
      <c r="L123" s="2">
        <f t="shared" si="27"/>
        <v>5178.732822614643</v>
      </c>
      <c r="M123" s="2">
        <f t="shared" si="30"/>
        <v>74157.5884815478</v>
      </c>
    </row>
    <row r="124" spans="1:13" ht="20.25" customHeight="1" thickBot="1">
      <c r="A124" s="174" t="s">
        <v>122</v>
      </c>
      <c r="B124" s="174" t="s">
        <v>102</v>
      </c>
      <c r="C124" s="174" t="s">
        <v>145</v>
      </c>
      <c r="D124" s="10">
        <v>67</v>
      </c>
      <c r="E124" s="10">
        <v>73.5</v>
      </c>
      <c r="F124" s="191">
        <f>46799819.955681*E124/E125</f>
        <v>3627854.7573643206</v>
      </c>
      <c r="G124" s="191">
        <f>33592437.9836051*E124/E125</f>
        <v>2604037.4955650684</v>
      </c>
      <c r="H124" s="191">
        <f>6035618.02957174*E124/E125</f>
        <v>467872.43205104937</v>
      </c>
      <c r="I124" s="10">
        <f t="shared" si="19"/>
        <v>6699764.684980439</v>
      </c>
      <c r="J124" s="10">
        <f t="shared" si="25"/>
        <v>54147.085930810754</v>
      </c>
      <c r="K124" s="10">
        <f t="shared" si="26"/>
        <v>38866.23127709058</v>
      </c>
      <c r="L124" s="10">
        <f t="shared" si="27"/>
        <v>6983.170627627603</v>
      </c>
      <c r="M124" s="10">
        <f t="shared" si="30"/>
        <v>99996.48783552894</v>
      </c>
    </row>
    <row r="125" spans="1:13" s="67" customFormat="1" ht="20.25" customHeight="1" thickBot="1" thickTop="1">
      <c r="A125" s="176"/>
      <c r="B125" s="176"/>
      <c r="C125" s="178" t="s">
        <v>180</v>
      </c>
      <c r="D125" s="179">
        <f>SUM(D120:D124)</f>
        <v>1154</v>
      </c>
      <c r="E125" s="179">
        <f>SUM(E120:E124)</f>
        <v>948.1599999999999</v>
      </c>
      <c r="F125" s="179">
        <f>SUM(F120:F124)</f>
        <v>46799819.955681</v>
      </c>
      <c r="G125" s="179">
        <f>SUM(G120:G124)</f>
        <v>33592437.98360511</v>
      </c>
      <c r="H125" s="179">
        <f>SUM(H120:H124)</f>
        <v>6035618.02957174</v>
      </c>
      <c r="I125" s="179">
        <f t="shared" si="19"/>
        <v>86427875.96885785</v>
      </c>
      <c r="J125" s="179">
        <f t="shared" si="25"/>
        <v>40554.43670336309</v>
      </c>
      <c r="K125" s="179">
        <f t="shared" si="26"/>
        <v>29109.564977127477</v>
      </c>
      <c r="L125" s="179">
        <f>+H120/D125</f>
        <v>712.35272609996</v>
      </c>
      <c r="M125" s="179">
        <f t="shared" si="30"/>
        <v>70376.35440659052</v>
      </c>
    </row>
    <row r="126" spans="1:13" ht="20.25" customHeight="1" thickTop="1">
      <c r="A126" s="180" t="s">
        <v>126</v>
      </c>
      <c r="B126" s="180" t="s">
        <v>102</v>
      </c>
      <c r="C126" s="180" t="s">
        <v>127</v>
      </c>
      <c r="D126" s="12">
        <v>249</v>
      </c>
      <c r="E126" s="12">
        <v>183.09</v>
      </c>
      <c r="F126" s="122">
        <f>32081173.9282681*E126/E131</f>
        <v>9257422.70883167</v>
      </c>
      <c r="G126" s="122">
        <f>19792723.7418898*E126/E131</f>
        <v>5711437.201378436</v>
      </c>
      <c r="H126" s="122">
        <f>6964935.51603566*E126/E131</f>
        <v>2009818.9784409038</v>
      </c>
      <c r="I126" s="12">
        <f t="shared" si="19"/>
        <v>16978678.88865101</v>
      </c>
      <c r="J126" s="12">
        <f t="shared" si="25"/>
        <v>37178.404453139236</v>
      </c>
      <c r="K126" s="12">
        <f t="shared" si="26"/>
        <v>22937.49880071661</v>
      </c>
      <c r="L126" s="12">
        <f>+H126/D126</f>
        <v>8071.562162413268</v>
      </c>
      <c r="M126" s="12">
        <f t="shared" si="30"/>
        <v>68187.46541626911</v>
      </c>
    </row>
    <row r="127" spans="1:13" ht="20.25" customHeight="1">
      <c r="A127" s="64" t="s">
        <v>126</v>
      </c>
      <c r="B127" s="64" t="s">
        <v>128</v>
      </c>
      <c r="C127" s="64" t="s">
        <v>129</v>
      </c>
      <c r="D127" s="2">
        <v>44</v>
      </c>
      <c r="E127" s="2">
        <v>28.89</v>
      </c>
      <c r="F127" s="53">
        <f>32081173.9282681*E127/E131</f>
        <v>1460740.3029010158</v>
      </c>
      <c r="G127" s="53">
        <f>19792723.7418898*E127/E131</f>
        <v>901214.8164718063</v>
      </c>
      <c r="H127" s="53">
        <f>6964935.51603566*E127/E131</f>
        <v>317131.8492935589</v>
      </c>
      <c r="I127" s="2">
        <f t="shared" si="19"/>
        <v>2679086.968666381</v>
      </c>
      <c r="J127" s="2">
        <f t="shared" si="25"/>
        <v>33198.64324775036</v>
      </c>
      <c r="K127" s="2">
        <f t="shared" si="26"/>
        <v>20482.15491981378</v>
      </c>
      <c r="L127" s="2">
        <f>+H127/D127</f>
        <v>7207.542029399066</v>
      </c>
      <c r="M127" s="2">
        <f t="shared" si="30"/>
        <v>60888.34019696321</v>
      </c>
    </row>
    <row r="128" spans="1:13" ht="20.25" customHeight="1">
      <c r="A128" s="64" t="s">
        <v>126</v>
      </c>
      <c r="B128" s="64" t="s">
        <v>128</v>
      </c>
      <c r="C128" s="64" t="s">
        <v>130</v>
      </c>
      <c r="D128" s="2">
        <v>109</v>
      </c>
      <c r="E128" s="2">
        <v>90.67</v>
      </c>
      <c r="F128" s="53">
        <f>32081173.9282681*E128/E131</f>
        <v>4584469.479544309</v>
      </c>
      <c r="G128" s="53">
        <f>19792723.7418898*E128/E131</f>
        <v>2828423.240204177</v>
      </c>
      <c r="H128" s="53">
        <f>6964935.51603566*E128/E131</f>
        <v>995304.4228261333</v>
      </c>
      <c r="I128" s="2">
        <f t="shared" si="19"/>
        <v>8408197.14257462</v>
      </c>
      <c r="J128" s="2">
        <f t="shared" si="25"/>
        <v>42059.353023342286</v>
      </c>
      <c r="K128" s="2">
        <f t="shared" si="26"/>
        <v>25948.837066093365</v>
      </c>
      <c r="L128" s="2">
        <f>+H128/D128</f>
        <v>9131.233236937003</v>
      </c>
      <c r="M128" s="2">
        <f t="shared" si="30"/>
        <v>77139.42332637265</v>
      </c>
    </row>
    <row r="129" spans="1:13" ht="20.25" customHeight="1">
      <c r="A129" s="64" t="s">
        <v>126</v>
      </c>
      <c r="B129" s="64" t="s">
        <v>128</v>
      </c>
      <c r="C129" s="64" t="s">
        <v>221</v>
      </c>
      <c r="D129" s="2">
        <v>52</v>
      </c>
      <c r="E129" s="2">
        <v>38.64</v>
      </c>
      <c r="F129" s="53">
        <f>32081173.9282681*E129/E131</f>
        <v>1953721.1943265921</v>
      </c>
      <c r="G129" s="53">
        <f>19792723.7418898*E129/E131</f>
        <v>1205363.1190194045</v>
      </c>
      <c r="H129" s="53">
        <f>6964935.51603566*E129/E131</f>
        <v>424159.73197310895</v>
      </c>
      <c r="I129" s="2">
        <f t="shared" si="19"/>
        <v>3583244.0453191055</v>
      </c>
      <c r="J129" s="2">
        <f t="shared" si="25"/>
        <v>37571.56142935754</v>
      </c>
      <c r="K129" s="2">
        <f t="shared" si="26"/>
        <v>23180.059981142396</v>
      </c>
      <c r="L129" s="2">
        <f>+H129/D129</f>
        <v>8156.917922559787</v>
      </c>
      <c r="M129" s="2">
        <f t="shared" si="30"/>
        <v>68908.53933305973</v>
      </c>
    </row>
    <row r="130" spans="1:13" ht="20.25" customHeight="1" thickBot="1">
      <c r="A130" s="174" t="s">
        <v>126</v>
      </c>
      <c r="B130" s="174" t="s">
        <v>184</v>
      </c>
      <c r="C130" s="174" t="s">
        <v>185</v>
      </c>
      <c r="D130" s="10">
        <v>402</v>
      </c>
      <c r="E130" s="10">
        <v>293.2</v>
      </c>
      <c r="F130" s="175">
        <f>32081173.9282681*E130/E131</f>
        <v>14824820.242664514</v>
      </c>
      <c r="G130" s="175">
        <f>19792723.7418898*E130/E131</f>
        <v>9146285.364815976</v>
      </c>
      <c r="H130" s="175">
        <f>6964935.51603566*E130/E131</f>
        <v>3218520.533501955</v>
      </c>
      <c r="I130" s="10">
        <f t="shared" si="19"/>
        <v>27189626.140982445</v>
      </c>
      <c r="J130" s="10">
        <f t="shared" si="25"/>
        <v>36877.66229518536</v>
      </c>
      <c r="K130" s="10">
        <f t="shared" si="26"/>
        <v>22751.953643820838</v>
      </c>
      <c r="L130" s="10">
        <f>+H130/D130</f>
        <v>8006.269983835709</v>
      </c>
      <c r="M130" s="10">
        <f t="shared" si="30"/>
        <v>67635.8859228419</v>
      </c>
    </row>
    <row r="131" spans="1:13" s="67" customFormat="1" ht="20.25" customHeight="1" thickBot="1" thickTop="1">
      <c r="A131" s="176"/>
      <c r="B131" s="176"/>
      <c r="C131" s="178" t="s">
        <v>181</v>
      </c>
      <c r="D131" s="179">
        <f>SUM(D126:D130)</f>
        <v>856</v>
      </c>
      <c r="E131" s="179">
        <f>SUM(E126:E130)</f>
        <v>634.49</v>
      </c>
      <c r="F131" s="179">
        <f>SUM(F126:F130)</f>
        <v>32081173.928268097</v>
      </c>
      <c r="G131" s="179">
        <f>SUM(G126:G130)</f>
        <v>19792723.7418898</v>
      </c>
      <c r="H131" s="179">
        <f>SUM(H126:H130)</f>
        <v>6964935.51603566</v>
      </c>
      <c r="I131" s="179">
        <f t="shared" si="19"/>
        <v>58838833.186193556</v>
      </c>
      <c r="J131" s="179">
        <f>+F126/D131</f>
        <v>10814.746155177185</v>
      </c>
      <c r="K131" s="179">
        <f>+G126/D131</f>
        <v>6672.23972123649</v>
      </c>
      <c r="L131" s="179">
        <f>+H126/D131</f>
        <v>2347.9193673375044</v>
      </c>
      <c r="M131" s="179">
        <f t="shared" si="30"/>
        <v>19834.90524375118</v>
      </c>
    </row>
    <row r="132" spans="1:13" ht="20.25" customHeight="1" thickTop="1">
      <c r="A132" s="228" t="s">
        <v>131</v>
      </c>
      <c r="B132" s="229"/>
      <c r="C132" s="230"/>
      <c r="D132" s="12"/>
      <c r="E132" s="12"/>
      <c r="F132" s="122"/>
      <c r="G132" s="122"/>
      <c r="H132" s="122"/>
      <c r="I132" s="12">
        <f t="shared" si="19"/>
        <v>0</v>
      </c>
      <c r="J132" s="12"/>
      <c r="K132" s="12"/>
      <c r="L132" s="12"/>
      <c r="M132" s="12"/>
    </row>
    <row r="133" spans="1:13" ht="20.25" customHeight="1" thickBot="1">
      <c r="A133" s="174" t="s">
        <v>134</v>
      </c>
      <c r="B133" s="174" t="s">
        <v>132</v>
      </c>
      <c r="C133" s="174" t="s">
        <v>416</v>
      </c>
      <c r="D133" s="10">
        <v>8</v>
      </c>
      <c r="E133" s="10">
        <v>7.33</v>
      </c>
      <c r="F133" s="175">
        <v>305701.5</v>
      </c>
      <c r="G133" s="175">
        <v>189351.23</v>
      </c>
      <c r="H133" s="175">
        <v>33399.32</v>
      </c>
      <c r="I133" s="10">
        <f t="shared" si="19"/>
        <v>528452.0499999999</v>
      </c>
      <c r="J133" s="10">
        <f aca="true" t="shared" si="31" ref="J133:J144">+F133/D133</f>
        <v>38212.6875</v>
      </c>
      <c r="K133" s="10">
        <f aca="true" t="shared" si="32" ref="K133:K144">+G133/D133</f>
        <v>23668.90375</v>
      </c>
      <c r="L133" s="10">
        <f aca="true" t="shared" si="33" ref="L133:L144">+H133/D133</f>
        <v>4174.915</v>
      </c>
      <c r="M133" s="10">
        <f aca="true" t="shared" si="34" ref="M133:M144">SUM(J133:L133)</f>
        <v>66056.50624999999</v>
      </c>
    </row>
    <row r="134" spans="1:13" s="67" customFormat="1" ht="20.25" customHeight="1" thickBot="1" thickTop="1">
      <c r="A134" s="176"/>
      <c r="B134" s="176"/>
      <c r="C134" s="178" t="s">
        <v>374</v>
      </c>
      <c r="D134" s="179">
        <f>SUM(D133)</f>
        <v>8</v>
      </c>
      <c r="E134" s="179">
        <f>SUM(E133)</f>
        <v>7.33</v>
      </c>
      <c r="F134" s="179">
        <f>SUM(F133)</f>
        <v>305701.5</v>
      </c>
      <c r="G134" s="179">
        <f>SUM(G133)</f>
        <v>189351.23</v>
      </c>
      <c r="H134" s="179">
        <f>SUM(H133)</f>
        <v>33399.32</v>
      </c>
      <c r="I134" s="179">
        <f t="shared" si="19"/>
        <v>528452.0499999999</v>
      </c>
      <c r="J134" s="179">
        <f t="shared" si="31"/>
        <v>38212.6875</v>
      </c>
      <c r="K134" s="179">
        <f t="shared" si="32"/>
        <v>23668.90375</v>
      </c>
      <c r="L134" s="179">
        <f t="shared" si="33"/>
        <v>4174.915</v>
      </c>
      <c r="M134" s="179">
        <f t="shared" si="34"/>
        <v>66056.50624999999</v>
      </c>
    </row>
    <row r="135" spans="1:13" ht="20.25" customHeight="1" thickTop="1">
      <c r="A135" s="180" t="s">
        <v>136</v>
      </c>
      <c r="B135" s="180" t="s">
        <v>135</v>
      </c>
      <c r="C135" s="180" t="s">
        <v>87</v>
      </c>
      <c r="D135" s="12">
        <v>3</v>
      </c>
      <c r="E135" s="12">
        <v>1.39</v>
      </c>
      <c r="F135" s="122">
        <f>523938.01*E135/E138</f>
        <v>96332.51771164022</v>
      </c>
      <c r="G135" s="122">
        <f>311116.74*E135/E138</f>
        <v>57202.681031746026</v>
      </c>
      <c r="H135" s="122">
        <f>54026.74*E135/E138</f>
        <v>9933.487910052909</v>
      </c>
      <c r="I135" s="12">
        <f aca="true" t="shared" si="35" ref="I135:I143">+F135+G135+H135</f>
        <v>163468.68665343916</v>
      </c>
      <c r="J135" s="12">
        <f t="shared" si="31"/>
        <v>32110.839237213408</v>
      </c>
      <c r="K135" s="12">
        <f t="shared" si="32"/>
        <v>19067.560343915342</v>
      </c>
      <c r="L135" s="12">
        <f t="shared" si="33"/>
        <v>3311.162636684303</v>
      </c>
      <c r="M135" s="12">
        <f t="shared" si="34"/>
        <v>54489.56221781305</v>
      </c>
    </row>
    <row r="136" spans="1:13" ht="20.25" customHeight="1">
      <c r="A136" s="64" t="s">
        <v>136</v>
      </c>
      <c r="B136" s="64" t="s">
        <v>135</v>
      </c>
      <c r="C136" s="64" t="s">
        <v>137</v>
      </c>
      <c r="D136" s="2">
        <f>1+3</f>
        <v>4</v>
      </c>
      <c r="E136" s="2">
        <f>1+1.5</f>
        <v>2.5</v>
      </c>
      <c r="F136" s="53">
        <f>523938.01*E136/E138</f>
        <v>173259.92394179894</v>
      </c>
      <c r="G136" s="53">
        <f>311116.74*E136/E138</f>
        <v>102882.51984126984</v>
      </c>
      <c r="H136" s="53">
        <f>54026.74*E136/E138</f>
        <v>17865.98544973545</v>
      </c>
      <c r="I136" s="2">
        <f t="shared" si="35"/>
        <v>294008.4292328042</v>
      </c>
      <c r="J136" s="2">
        <f t="shared" si="31"/>
        <v>43314.980985449736</v>
      </c>
      <c r="K136" s="2">
        <f t="shared" si="32"/>
        <v>25720.62996031746</v>
      </c>
      <c r="L136" s="2">
        <f t="shared" si="33"/>
        <v>4466.4963624338625</v>
      </c>
      <c r="M136" s="2">
        <f t="shared" si="34"/>
        <v>73502.10730820106</v>
      </c>
    </row>
    <row r="137" spans="1:13" ht="20.25" customHeight="1" thickBot="1">
      <c r="A137" s="174" t="s">
        <v>136</v>
      </c>
      <c r="B137" s="174" t="s">
        <v>135</v>
      </c>
      <c r="C137" s="174" t="s">
        <v>138</v>
      </c>
      <c r="D137" s="10">
        <v>6</v>
      </c>
      <c r="E137" s="10">
        <v>3.67</v>
      </c>
      <c r="F137" s="175">
        <f>523938.01*E137/E138</f>
        <v>254345.56834656087</v>
      </c>
      <c r="G137" s="175">
        <f>311116.74*E137/E138</f>
        <v>151031.5391269841</v>
      </c>
      <c r="H137" s="175">
        <f>54026.74*E137/E138</f>
        <v>26227.26664021164</v>
      </c>
      <c r="I137" s="10">
        <f t="shared" si="35"/>
        <v>431604.37411375664</v>
      </c>
      <c r="J137" s="10">
        <f t="shared" si="31"/>
        <v>42390.928057760146</v>
      </c>
      <c r="K137" s="10">
        <f t="shared" si="32"/>
        <v>25171.923187830685</v>
      </c>
      <c r="L137" s="10">
        <f t="shared" si="33"/>
        <v>4371.2111067019405</v>
      </c>
      <c r="M137" s="10">
        <f t="shared" si="34"/>
        <v>71934.06235229278</v>
      </c>
    </row>
    <row r="138" spans="1:13" s="67" customFormat="1" ht="20.25" customHeight="1" thickBot="1" thickTop="1">
      <c r="A138" s="176"/>
      <c r="B138" s="176"/>
      <c r="C138" s="178" t="s">
        <v>375</v>
      </c>
      <c r="D138" s="179">
        <f>SUM(D135:D137)</f>
        <v>13</v>
      </c>
      <c r="E138" s="179">
        <f>SUM(E135:E137)</f>
        <v>7.56</v>
      </c>
      <c r="F138" s="179">
        <f>SUM(F135:F137)</f>
        <v>523938.01000000007</v>
      </c>
      <c r="G138" s="179">
        <f>SUM(G135:G137)</f>
        <v>311116.74</v>
      </c>
      <c r="H138" s="179">
        <f>SUM(H135:H137)</f>
        <v>54026.740000000005</v>
      </c>
      <c r="I138" s="179">
        <f t="shared" si="35"/>
        <v>889081.49</v>
      </c>
      <c r="J138" s="179">
        <f t="shared" si="31"/>
        <v>40302.92384615385</v>
      </c>
      <c r="K138" s="179">
        <f t="shared" si="32"/>
        <v>23932.05692307692</v>
      </c>
      <c r="L138" s="179">
        <f t="shared" si="33"/>
        <v>4155.903076923078</v>
      </c>
      <c r="M138" s="179">
        <f t="shared" si="34"/>
        <v>68390.88384615384</v>
      </c>
    </row>
    <row r="139" spans="1:13" ht="20.25" customHeight="1" thickTop="1">
      <c r="A139" s="180" t="s">
        <v>101</v>
      </c>
      <c r="B139" s="180" t="s">
        <v>135</v>
      </c>
      <c r="C139" s="180" t="s">
        <v>417</v>
      </c>
      <c r="D139" s="12">
        <v>2</v>
      </c>
      <c r="E139" s="12">
        <v>0.5</v>
      </c>
      <c r="F139" s="122">
        <f>371369.626111917*E139/E141</f>
        <v>55761.205121909465</v>
      </c>
      <c r="G139" s="122">
        <f>177164.887243357*E139/E141</f>
        <v>26601.33442092447</v>
      </c>
      <c r="H139" s="122">
        <f>41100.7037289021*E139/E141</f>
        <v>6171.276836171487</v>
      </c>
      <c r="I139" s="12">
        <f t="shared" si="35"/>
        <v>88533.81637900542</v>
      </c>
      <c r="J139" s="12">
        <f t="shared" si="31"/>
        <v>27880.602560954732</v>
      </c>
      <c r="K139" s="12">
        <f t="shared" si="32"/>
        <v>13300.667210462236</v>
      </c>
      <c r="L139" s="12">
        <f t="shared" si="33"/>
        <v>3085.6384180857435</v>
      </c>
      <c r="M139" s="12">
        <f t="shared" si="34"/>
        <v>44266.90818950271</v>
      </c>
    </row>
    <row r="140" spans="1:13" ht="20.25" customHeight="1" thickBot="1">
      <c r="A140" s="174" t="s">
        <v>101</v>
      </c>
      <c r="B140" s="174" t="s">
        <v>135</v>
      </c>
      <c r="C140" s="174" t="s">
        <v>218</v>
      </c>
      <c r="D140" s="10">
        <v>4</v>
      </c>
      <c r="E140" s="10">
        <v>2.83</v>
      </c>
      <c r="F140" s="175">
        <f>371369.626111917*E140/E141</f>
        <v>315608.4209900076</v>
      </c>
      <c r="G140" s="175">
        <f>177164.887243357*E140/E141</f>
        <v>150563.55282243254</v>
      </c>
      <c r="H140" s="175">
        <f>41100.7037289021*E140/E141</f>
        <v>34929.42689273062</v>
      </c>
      <c r="I140" s="10">
        <f t="shared" si="35"/>
        <v>501101.40070517076</v>
      </c>
      <c r="J140" s="10">
        <f t="shared" si="31"/>
        <v>78902.1052475019</v>
      </c>
      <c r="K140" s="10">
        <f t="shared" si="32"/>
        <v>37640.888205608135</v>
      </c>
      <c r="L140" s="10">
        <f t="shared" si="33"/>
        <v>8732.356723182655</v>
      </c>
      <c r="M140" s="10">
        <f t="shared" si="34"/>
        <v>125275.35017629269</v>
      </c>
    </row>
    <row r="141" spans="1:13" s="67" customFormat="1" ht="20.25" customHeight="1" thickBot="1" thickTop="1">
      <c r="A141" s="176"/>
      <c r="B141" s="176"/>
      <c r="C141" s="178" t="s">
        <v>376</v>
      </c>
      <c r="D141" s="179">
        <f>SUM(D139:D140)</f>
        <v>6</v>
      </c>
      <c r="E141" s="179">
        <f>SUM(E139:E140)</f>
        <v>3.33</v>
      </c>
      <c r="F141" s="179">
        <f>SUM(F139:F140)</f>
        <v>371369.626111917</v>
      </c>
      <c r="G141" s="179">
        <f>SUM(G139:G140)</f>
        <v>177164.88724335702</v>
      </c>
      <c r="H141" s="179">
        <f>SUM(H139:H140)</f>
        <v>41100.7037289021</v>
      </c>
      <c r="I141" s="179">
        <f t="shared" si="35"/>
        <v>589635.2170841761</v>
      </c>
      <c r="J141" s="179">
        <f t="shared" si="31"/>
        <v>61894.937685319506</v>
      </c>
      <c r="K141" s="179">
        <f t="shared" si="32"/>
        <v>29527.48120722617</v>
      </c>
      <c r="L141" s="179">
        <f t="shared" si="33"/>
        <v>6850.117288150351</v>
      </c>
      <c r="M141" s="179">
        <f t="shared" si="34"/>
        <v>98272.53618069603</v>
      </c>
    </row>
    <row r="142" spans="1:13" ht="20.25" customHeight="1" thickBot="1" thickTop="1">
      <c r="A142" s="189" t="s">
        <v>107</v>
      </c>
      <c r="B142" s="189" t="s">
        <v>140</v>
      </c>
      <c r="C142" s="189" t="s">
        <v>418</v>
      </c>
      <c r="D142" s="190">
        <v>23</v>
      </c>
      <c r="E142" s="190">
        <v>15.45</v>
      </c>
      <c r="F142" s="191">
        <v>741240.577704221</v>
      </c>
      <c r="G142" s="191">
        <f>516010.276372582-0.01</f>
        <v>516010.266372582</v>
      </c>
      <c r="H142" s="191">
        <f>89290.9841392804-0.01</f>
        <v>89290.9741392804</v>
      </c>
      <c r="I142" s="190">
        <f t="shared" si="35"/>
        <v>1346541.8182160833</v>
      </c>
      <c r="J142" s="190">
        <f t="shared" si="31"/>
        <v>32227.851204531347</v>
      </c>
      <c r="K142" s="190">
        <f t="shared" si="32"/>
        <v>22435.228972720957</v>
      </c>
      <c r="L142" s="190">
        <f t="shared" si="33"/>
        <v>3882.216266925235</v>
      </c>
      <c r="M142" s="190">
        <f t="shared" si="34"/>
        <v>58545.29644417754</v>
      </c>
    </row>
    <row r="143" spans="1:13" s="67" customFormat="1" ht="20.25" customHeight="1" thickBot="1" thickTop="1">
      <c r="A143" s="176"/>
      <c r="B143" s="176"/>
      <c r="C143" s="178" t="s">
        <v>377</v>
      </c>
      <c r="D143" s="179">
        <f>SUM(D142)</f>
        <v>23</v>
      </c>
      <c r="E143" s="179">
        <f>SUM(E142)</f>
        <v>15.45</v>
      </c>
      <c r="F143" s="179">
        <f>SUM(F142)</f>
        <v>741240.577704221</v>
      </c>
      <c r="G143" s="179">
        <f>SUM(G142)</f>
        <v>516010.266372582</v>
      </c>
      <c r="H143" s="179">
        <f>SUM(H142)</f>
        <v>89290.9741392804</v>
      </c>
      <c r="I143" s="179">
        <f t="shared" si="35"/>
        <v>1346541.8182160833</v>
      </c>
      <c r="J143" s="179">
        <f t="shared" si="31"/>
        <v>32227.851204531347</v>
      </c>
      <c r="K143" s="179">
        <f t="shared" si="32"/>
        <v>22435.228972720957</v>
      </c>
      <c r="L143" s="179">
        <f t="shared" si="33"/>
        <v>3882.216266925235</v>
      </c>
      <c r="M143" s="179">
        <f t="shared" si="34"/>
        <v>58545.29644417754</v>
      </c>
    </row>
    <row r="144" spans="1:13" s="67" customFormat="1" ht="20.25" customHeight="1" thickBot="1" thickTop="1">
      <c r="A144" s="225" t="s">
        <v>4</v>
      </c>
      <c r="B144" s="226"/>
      <c r="C144" s="227"/>
      <c r="D144" s="179">
        <f aca="true" t="shared" si="36" ref="D144:I144">+D11+D21+D32+D37+D43+D47+D55+D66+D81+D91+D93+D107+D114+D119+D125+D131+D134+D138+D141+D143</f>
        <v>17910</v>
      </c>
      <c r="E144" s="179">
        <f t="shared" si="36"/>
        <v>13442.240000000002</v>
      </c>
      <c r="F144" s="179">
        <f t="shared" si="36"/>
        <v>748445921.6573853</v>
      </c>
      <c r="G144" s="179">
        <f t="shared" si="36"/>
        <v>495065000.18408096</v>
      </c>
      <c r="H144" s="179">
        <f t="shared" si="36"/>
        <v>93012528.86742544</v>
      </c>
      <c r="I144" s="179">
        <f t="shared" si="36"/>
        <v>1336523450.7088919</v>
      </c>
      <c r="J144" s="183">
        <f t="shared" si="31"/>
        <v>41789.275357754625</v>
      </c>
      <c r="K144" s="183">
        <f t="shared" si="32"/>
        <v>27641.820222450082</v>
      </c>
      <c r="L144" s="183">
        <f t="shared" si="33"/>
        <v>5193.329361665295</v>
      </c>
      <c r="M144" s="183">
        <f t="shared" si="34"/>
        <v>74624.42494187</v>
      </c>
    </row>
    <row r="145" spans="1:9" ht="20.25" customHeight="1" thickTop="1">
      <c r="A145" s="224"/>
      <c r="B145" s="224"/>
      <c r="C145" s="224"/>
      <c r="D145" s="224"/>
      <c r="E145" s="224"/>
      <c r="F145" s="54"/>
      <c r="G145" s="54"/>
      <c r="H145" s="54"/>
      <c r="I145" s="54"/>
    </row>
    <row r="146" spans="1:13" s="136" customFormat="1" ht="18.75">
      <c r="A146" s="136" t="s">
        <v>225</v>
      </c>
      <c r="C146" s="137"/>
      <c r="D146" s="137"/>
      <c r="E146" s="137"/>
      <c r="F146" s="54"/>
      <c r="G146" s="54"/>
      <c r="H146" s="54"/>
      <c r="I146" s="44"/>
      <c r="J146" s="44"/>
      <c r="K146" s="44"/>
      <c r="L146" s="44"/>
      <c r="M146" s="44"/>
    </row>
    <row r="147" spans="3:13" s="136" customFormat="1" ht="18.75">
      <c r="C147" s="137"/>
      <c r="D147" s="137"/>
      <c r="E147" s="137"/>
      <c r="F147" s="54"/>
      <c r="G147" s="54"/>
      <c r="H147" s="54"/>
      <c r="I147" s="44"/>
      <c r="J147" s="44"/>
      <c r="K147" s="44"/>
      <c r="L147" s="44"/>
      <c r="M147" s="44"/>
    </row>
    <row r="148" spans="3:13" s="136" customFormat="1" ht="18.75">
      <c r="C148" s="137"/>
      <c r="D148" s="137"/>
      <c r="E148" s="137"/>
      <c r="F148" s="54"/>
      <c r="G148" s="54"/>
      <c r="H148" s="54"/>
      <c r="I148" s="54"/>
      <c r="J148" s="44"/>
      <c r="K148" s="44"/>
      <c r="L148" s="44"/>
      <c r="M148" s="44"/>
    </row>
    <row r="149" spans="3:13" s="136" customFormat="1" ht="18.75">
      <c r="C149" s="137"/>
      <c r="D149" s="137"/>
      <c r="E149" s="137"/>
      <c r="F149" s="54"/>
      <c r="G149" s="54"/>
      <c r="H149" s="54"/>
      <c r="I149" s="44"/>
      <c r="J149" s="44"/>
      <c r="K149" s="44"/>
      <c r="L149" s="44"/>
      <c r="M149" s="44"/>
    </row>
    <row r="150" spans="3:9" ht="20.25" customHeight="1">
      <c r="C150" s="68"/>
      <c r="D150" s="68"/>
      <c r="E150" s="68"/>
      <c r="F150" s="54"/>
      <c r="G150" s="54"/>
      <c r="H150" s="54"/>
      <c r="I150" s="54"/>
    </row>
    <row r="151" spans="6:9" ht="20.25" customHeight="1">
      <c r="F151" s="54"/>
      <c r="G151" s="54"/>
      <c r="H151" s="54"/>
      <c r="I151" s="54"/>
    </row>
    <row r="152" spans="6:9" ht="20.25" customHeight="1">
      <c r="F152" s="124"/>
      <c r="G152" s="124"/>
      <c r="H152" s="124"/>
      <c r="I152" s="54"/>
    </row>
    <row r="155" spans="6:8" ht="20.25" customHeight="1">
      <c r="F155" s="54"/>
      <c r="G155" s="54"/>
      <c r="H155" s="54"/>
    </row>
  </sheetData>
  <sheetProtection/>
  <autoFilter ref="A4:M145"/>
  <mergeCells count="7">
    <mergeCell ref="A2:M2"/>
    <mergeCell ref="A1:M1"/>
    <mergeCell ref="A145:E145"/>
    <mergeCell ref="A144:C144"/>
    <mergeCell ref="A132:C132"/>
    <mergeCell ref="A12:C12"/>
    <mergeCell ref="A5:C5"/>
  </mergeCells>
  <printOptions horizontalCentered="1"/>
  <pageMargins left="0.17" right="0.17" top="0.35433070866141736" bottom="0.35433070866141736" header="0.2755905511811024" footer="0.2755905511811024"/>
  <pageSetup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2"/>
  <sheetViews>
    <sheetView zoomScale="90" zoomScaleNormal="90" zoomScalePageLayoutView="0" workbookViewId="0" topLeftCell="E1">
      <selection activeCell="J9" sqref="J9"/>
    </sheetView>
  </sheetViews>
  <sheetFormatPr defaultColWidth="9.140625" defaultRowHeight="15"/>
  <cols>
    <col min="1" max="1" width="33.421875" style="127" customWidth="1"/>
    <col min="2" max="2" width="38.421875" style="127" customWidth="1"/>
    <col min="3" max="3" width="60.00390625" style="27" customWidth="1"/>
    <col min="4" max="4" width="10.8515625" style="114" bestFit="1" customWidth="1"/>
    <col min="5" max="5" width="10.140625" style="114" bestFit="1" customWidth="1"/>
    <col min="6" max="7" width="14.7109375" style="114" bestFit="1" customWidth="1"/>
    <col min="8" max="8" width="13.7109375" style="114" bestFit="1" customWidth="1"/>
    <col min="9" max="9" width="16.421875" style="114" bestFit="1" customWidth="1"/>
    <col min="10" max="10" width="12.421875" style="114" bestFit="1" customWidth="1"/>
    <col min="11" max="11" width="13.140625" style="114" bestFit="1" customWidth="1"/>
    <col min="12" max="12" width="12.28125" style="114" customWidth="1"/>
    <col min="13" max="13" width="12.00390625" style="114" customWidth="1"/>
    <col min="14" max="14" width="13.421875" style="114" customWidth="1"/>
    <col min="15" max="15" width="11.7109375" style="27" customWidth="1"/>
    <col min="16" max="16384" width="9.00390625" style="27" customWidth="1"/>
  </cols>
  <sheetData>
    <row r="1" spans="1:13" ht="21">
      <c r="A1" s="234" t="s">
        <v>421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21">
      <c r="A2" s="234" t="s">
        <v>422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4" spans="1:14" s="157" customFormat="1" ht="69.75" customHeight="1">
      <c r="A4" s="129" t="s">
        <v>46</v>
      </c>
      <c r="B4" s="129" t="s">
        <v>48</v>
      </c>
      <c r="C4" s="129" t="s">
        <v>47</v>
      </c>
      <c r="D4" s="128" t="s">
        <v>433</v>
      </c>
      <c r="E4" s="128" t="s">
        <v>429</v>
      </c>
      <c r="F4" s="128" t="s">
        <v>403</v>
      </c>
      <c r="G4" s="128" t="s">
        <v>404</v>
      </c>
      <c r="H4" s="128" t="s">
        <v>405</v>
      </c>
      <c r="I4" s="129" t="s">
        <v>49</v>
      </c>
      <c r="J4" s="128" t="s">
        <v>190</v>
      </c>
      <c r="K4" s="128" t="s">
        <v>191</v>
      </c>
      <c r="L4" s="128" t="s">
        <v>192</v>
      </c>
      <c r="M4" s="128" t="s">
        <v>419</v>
      </c>
      <c r="N4" s="163"/>
    </row>
    <row r="5" spans="1:13" ht="21">
      <c r="A5" s="168" t="s">
        <v>50</v>
      </c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21">
      <c r="A6" s="166" t="s">
        <v>51</v>
      </c>
      <c r="B6" s="166" t="s">
        <v>53</v>
      </c>
      <c r="C6" s="132" t="s">
        <v>52</v>
      </c>
      <c r="D6" s="132">
        <v>60</v>
      </c>
      <c r="E6" s="132">
        <v>56.03</v>
      </c>
      <c r="F6" s="132">
        <v>3243233.7397662904</v>
      </c>
      <c r="G6" s="132">
        <v>2693308.182983581</v>
      </c>
      <c r="H6" s="132">
        <v>477960.059883017</v>
      </c>
      <c r="I6" s="132">
        <f>SUM(F6:H6)</f>
        <v>6414501.9826328885</v>
      </c>
      <c r="J6" s="132">
        <f aca="true" t="shared" si="0" ref="J6:J11">+F6/D6</f>
        <v>54053.89566277151</v>
      </c>
      <c r="K6" s="132">
        <f aca="true" t="shared" si="1" ref="K6:K11">+G6/D6</f>
        <v>44888.46971639302</v>
      </c>
      <c r="L6" s="132">
        <f aca="true" t="shared" si="2" ref="L6:L11">+H6/D6</f>
        <v>7966.000998050283</v>
      </c>
      <c r="M6" s="132">
        <f aca="true" t="shared" si="3" ref="M6:M12">SUM(J6:L6)</f>
        <v>106908.3663772148</v>
      </c>
    </row>
    <row r="7" spans="1:13" ht="21">
      <c r="A7" s="166" t="s">
        <v>51</v>
      </c>
      <c r="B7" s="166" t="s">
        <v>53</v>
      </c>
      <c r="C7" s="132" t="s">
        <v>54</v>
      </c>
      <c r="D7" s="132">
        <v>111</v>
      </c>
      <c r="E7" s="132">
        <v>101.5</v>
      </c>
      <c r="F7" s="132">
        <v>5875213.717406362</v>
      </c>
      <c r="G7" s="132">
        <v>4879007.32773217</v>
      </c>
      <c r="H7" s="132">
        <v>865838.7663417137</v>
      </c>
      <c r="I7" s="132">
        <f aca="true" t="shared" si="4" ref="I7:I70">SUM(F7:H7)</f>
        <v>11620059.811480246</v>
      </c>
      <c r="J7" s="132">
        <f t="shared" si="0"/>
        <v>52929.85330996723</v>
      </c>
      <c r="K7" s="132">
        <f t="shared" si="1"/>
        <v>43955.020970560094</v>
      </c>
      <c r="L7" s="132">
        <f t="shared" si="2"/>
        <v>7800.349246321745</v>
      </c>
      <c r="M7" s="132">
        <f t="shared" si="3"/>
        <v>104685.22352684906</v>
      </c>
    </row>
    <row r="8" spans="1:13" ht="21">
      <c r="A8" s="166" t="s">
        <v>51</v>
      </c>
      <c r="B8" s="166" t="s">
        <v>53</v>
      </c>
      <c r="C8" s="132" t="s">
        <v>55</v>
      </c>
      <c r="D8" s="132">
        <v>71</v>
      </c>
      <c r="E8" s="132">
        <v>60.97</v>
      </c>
      <c r="F8" s="132">
        <v>3529180.101973063</v>
      </c>
      <c r="G8" s="132">
        <v>2930769.229279117</v>
      </c>
      <c r="H8" s="132">
        <v>520100.38998871215</v>
      </c>
      <c r="I8" s="132">
        <f t="shared" si="4"/>
        <v>6980049.721240892</v>
      </c>
      <c r="J8" s="132">
        <f t="shared" si="0"/>
        <v>49706.761999620605</v>
      </c>
      <c r="K8" s="132">
        <f t="shared" si="1"/>
        <v>41278.439849001654</v>
      </c>
      <c r="L8" s="132">
        <f t="shared" si="2"/>
        <v>7325.357605474819</v>
      </c>
      <c r="M8" s="132">
        <f t="shared" si="3"/>
        <v>98310.55945409709</v>
      </c>
    </row>
    <row r="9" spans="1:13" ht="21">
      <c r="A9" s="166" t="s">
        <v>51</v>
      </c>
      <c r="B9" s="166" t="s">
        <v>53</v>
      </c>
      <c r="C9" s="132" t="s">
        <v>56</v>
      </c>
      <c r="D9" s="132">
        <v>138</v>
      </c>
      <c r="E9" s="132">
        <v>118.61</v>
      </c>
      <c r="F9" s="132">
        <v>6865606.886912006</v>
      </c>
      <c r="G9" s="132">
        <v>5701468.56297845</v>
      </c>
      <c r="H9" s="132">
        <v>1011794.4440964597</v>
      </c>
      <c r="I9" s="132">
        <f t="shared" si="4"/>
        <v>13578869.893986916</v>
      </c>
      <c r="J9" s="132">
        <f t="shared" si="0"/>
        <v>49750.77454284062</v>
      </c>
      <c r="K9" s="132">
        <f t="shared" si="1"/>
        <v>41314.989586800366</v>
      </c>
      <c r="L9" s="132">
        <f t="shared" si="2"/>
        <v>7331.843797800432</v>
      </c>
      <c r="M9" s="132">
        <f t="shared" si="3"/>
        <v>98397.60792744142</v>
      </c>
    </row>
    <row r="10" spans="1:13" ht="21">
      <c r="A10" s="166" t="s">
        <v>51</v>
      </c>
      <c r="B10" s="166" t="s">
        <v>53</v>
      </c>
      <c r="C10" s="132" t="s">
        <v>160</v>
      </c>
      <c r="D10" s="132">
        <v>60</v>
      </c>
      <c r="E10" s="132">
        <v>52.69</v>
      </c>
      <c r="F10" s="132">
        <v>3049901.5839422783</v>
      </c>
      <c r="G10" s="132">
        <v>2532757.59702668</v>
      </c>
      <c r="H10" s="132">
        <v>449468.4196900975</v>
      </c>
      <c r="I10" s="132">
        <f t="shared" si="4"/>
        <v>6032127.600659057</v>
      </c>
      <c r="J10" s="132">
        <f t="shared" si="0"/>
        <v>50831.69306570464</v>
      </c>
      <c r="K10" s="132">
        <f t="shared" si="1"/>
        <v>42212.62661711134</v>
      </c>
      <c r="L10" s="132">
        <f t="shared" si="2"/>
        <v>7491.1403281682915</v>
      </c>
      <c r="M10" s="132">
        <f t="shared" si="3"/>
        <v>100535.46001098427</v>
      </c>
    </row>
    <row r="11" spans="1:14" s="28" customFormat="1" ht="21">
      <c r="A11" s="192"/>
      <c r="B11" s="192"/>
      <c r="C11" s="193" t="s">
        <v>188</v>
      </c>
      <c r="D11" s="194">
        <v>440</v>
      </c>
      <c r="E11" s="194">
        <v>389.8</v>
      </c>
      <c r="F11" s="194">
        <f>SUM(F6:F10)</f>
        <v>22563136.03</v>
      </c>
      <c r="G11" s="194">
        <f>SUM(G6:G10)</f>
        <v>18737310.9</v>
      </c>
      <c r="H11" s="194">
        <f>SUM(H6:H10)</f>
        <v>3325162.08</v>
      </c>
      <c r="I11" s="194">
        <f t="shared" si="4"/>
        <v>44625609.01</v>
      </c>
      <c r="J11" s="194">
        <f t="shared" si="0"/>
        <v>51279.854613636366</v>
      </c>
      <c r="K11" s="194">
        <f t="shared" si="1"/>
        <v>42584.79749999999</v>
      </c>
      <c r="L11" s="194">
        <f t="shared" si="2"/>
        <v>7557.186545454546</v>
      </c>
      <c r="M11" s="194">
        <f>SUM(J11:L11)</f>
        <v>101421.8386590909</v>
      </c>
      <c r="N11" s="164"/>
    </row>
    <row r="12" spans="1:14" s="28" customFormat="1" ht="21">
      <c r="A12" s="192"/>
      <c r="B12" s="192"/>
      <c r="C12" s="193" t="s">
        <v>186</v>
      </c>
      <c r="D12" s="194"/>
      <c r="E12" s="194"/>
      <c r="F12" s="194"/>
      <c r="G12" s="194"/>
      <c r="H12" s="194"/>
      <c r="I12" s="132"/>
      <c r="J12" s="194">
        <f>+J11*100/M11</f>
        <v>50.56095934723021</v>
      </c>
      <c r="K12" s="194">
        <f>+K11*100/M11</f>
        <v>41.98779874533749</v>
      </c>
      <c r="L12" s="194">
        <f>+L11*100/M11</f>
        <v>7.451241907432291</v>
      </c>
      <c r="M12" s="194">
        <f t="shared" si="3"/>
        <v>100</v>
      </c>
      <c r="N12" s="164"/>
    </row>
    <row r="13" spans="1:13" ht="21">
      <c r="A13" s="168" t="s">
        <v>57</v>
      </c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13" ht="21">
      <c r="A14" s="166" t="s">
        <v>58</v>
      </c>
      <c r="B14" s="166" t="s">
        <v>59</v>
      </c>
      <c r="C14" s="132" t="s">
        <v>52</v>
      </c>
      <c r="D14" s="132">
        <v>750</v>
      </c>
      <c r="E14" s="132">
        <v>546.97</v>
      </c>
      <c r="F14" s="132">
        <v>22811671.290881876</v>
      </c>
      <c r="G14" s="132">
        <v>14129528.50891663</v>
      </c>
      <c r="H14" s="132">
        <v>2492281.621970835</v>
      </c>
      <c r="I14" s="132">
        <f t="shared" si="4"/>
        <v>39433481.421769336</v>
      </c>
      <c r="J14" s="132">
        <f>+F14/D14</f>
        <v>30415.561721175836</v>
      </c>
      <c r="K14" s="132">
        <f>+G14/D14</f>
        <v>18839.37134522217</v>
      </c>
      <c r="L14" s="132">
        <f>+H14/D14</f>
        <v>3323.0421626277803</v>
      </c>
      <c r="M14" s="132">
        <f>SUM(J14:L14)</f>
        <v>52577.97522902579</v>
      </c>
    </row>
    <row r="15" spans="1:13" ht="21">
      <c r="A15" s="166" t="s">
        <v>58</v>
      </c>
      <c r="B15" s="166" t="s">
        <v>59</v>
      </c>
      <c r="C15" s="132" t="s">
        <v>201</v>
      </c>
      <c r="D15" s="132">
        <v>322</v>
      </c>
      <c r="E15" s="132">
        <v>217.55</v>
      </c>
      <c r="F15" s="132">
        <v>9073037.07576531</v>
      </c>
      <c r="G15" s="132">
        <v>5619830.936093045</v>
      </c>
      <c r="H15" s="132">
        <v>991271.6727786813</v>
      </c>
      <c r="I15" s="132">
        <f t="shared" si="4"/>
        <v>15684139.684637036</v>
      </c>
      <c r="J15" s="132">
        <f aca="true" t="shared" si="5" ref="J15:J32">+F15/D15</f>
        <v>28177.133775668663</v>
      </c>
      <c r="K15" s="132">
        <f aca="true" t="shared" si="6" ref="K15:K32">+G15/D15</f>
        <v>17452.89110587902</v>
      </c>
      <c r="L15" s="132">
        <f aca="true" t="shared" si="7" ref="L15:L32">+H15/D15</f>
        <v>3078.4834558344137</v>
      </c>
      <c r="M15" s="132">
        <f aca="true" t="shared" si="8" ref="M15:M30">SUM(J15:L15)</f>
        <v>48708.508337382096</v>
      </c>
    </row>
    <row r="16" spans="1:13" ht="21">
      <c r="A16" s="166" t="s">
        <v>58</v>
      </c>
      <c r="B16" s="166" t="s">
        <v>59</v>
      </c>
      <c r="C16" s="132" t="s">
        <v>202</v>
      </c>
      <c r="D16" s="132">
        <v>589</v>
      </c>
      <c r="E16" s="132">
        <v>420.53</v>
      </c>
      <c r="F16" s="132">
        <v>17538424.644778606</v>
      </c>
      <c r="G16" s="132">
        <v>10863284.318801232</v>
      </c>
      <c r="H16" s="132">
        <v>1916154.7991432715</v>
      </c>
      <c r="I16" s="132">
        <f t="shared" si="4"/>
        <v>30317863.76272311</v>
      </c>
      <c r="J16" s="132">
        <f t="shared" si="5"/>
        <v>29776.612300133456</v>
      </c>
      <c r="K16" s="132">
        <f t="shared" si="6"/>
        <v>18443.60665331279</v>
      </c>
      <c r="L16" s="132">
        <f t="shared" si="7"/>
        <v>3253.2339544028378</v>
      </c>
      <c r="M16" s="132">
        <f t="shared" si="8"/>
        <v>51473.45290784908</v>
      </c>
    </row>
    <row r="17" spans="1:13" ht="21">
      <c r="A17" s="166" t="s">
        <v>58</v>
      </c>
      <c r="B17" s="166" t="s">
        <v>59</v>
      </c>
      <c r="C17" s="132" t="s">
        <v>203</v>
      </c>
      <c r="D17" s="132">
        <v>394</v>
      </c>
      <c r="E17" s="132">
        <v>321.08</v>
      </c>
      <c r="F17" s="132">
        <v>13390810.132322343</v>
      </c>
      <c r="G17" s="132">
        <v>8294255.651393954</v>
      </c>
      <c r="H17" s="132">
        <v>1463008.5437636357</v>
      </c>
      <c r="I17" s="132">
        <f t="shared" si="4"/>
        <v>23148074.327479936</v>
      </c>
      <c r="J17" s="132">
        <f t="shared" si="5"/>
        <v>33986.827747011026</v>
      </c>
      <c r="K17" s="132">
        <f t="shared" si="6"/>
        <v>21051.41028272577</v>
      </c>
      <c r="L17" s="132">
        <f t="shared" si="7"/>
        <v>3713.2196542224256</v>
      </c>
      <c r="M17" s="132">
        <f t="shared" si="8"/>
        <v>58751.45768395922</v>
      </c>
    </row>
    <row r="18" spans="1:13" ht="21">
      <c r="A18" s="166" t="s">
        <v>58</v>
      </c>
      <c r="B18" s="166" t="s">
        <v>59</v>
      </c>
      <c r="C18" s="132" t="s">
        <v>204</v>
      </c>
      <c r="D18" s="132">
        <v>246</v>
      </c>
      <c r="E18" s="132">
        <v>166.44</v>
      </c>
      <c r="F18" s="132">
        <v>6941467.66669905</v>
      </c>
      <c r="G18" s="132">
        <v>4299538.777307866</v>
      </c>
      <c r="H18" s="132">
        <v>758387.7601346067</v>
      </c>
      <c r="I18" s="132">
        <f t="shared" si="4"/>
        <v>11999394.204141524</v>
      </c>
      <c r="J18" s="132">
        <f t="shared" si="5"/>
        <v>28217.348238614024</v>
      </c>
      <c r="K18" s="132">
        <f t="shared" si="6"/>
        <v>17477.799907755554</v>
      </c>
      <c r="L18" s="132">
        <f t="shared" si="7"/>
        <v>3082.8770737179134</v>
      </c>
      <c r="M18" s="132">
        <f t="shared" si="8"/>
        <v>48778.0252200875</v>
      </c>
    </row>
    <row r="19" spans="1:13" ht="21">
      <c r="A19" s="166" t="s">
        <v>58</v>
      </c>
      <c r="B19" s="166" t="s">
        <v>59</v>
      </c>
      <c r="C19" s="132" t="s">
        <v>60</v>
      </c>
      <c r="D19" s="132">
        <v>764</v>
      </c>
      <c r="E19" s="132">
        <v>538.72</v>
      </c>
      <c r="F19" s="132">
        <v>22467600.705383997</v>
      </c>
      <c r="G19" s="132">
        <v>13916411.500308184</v>
      </c>
      <c r="H19" s="132">
        <v>2454690.303651258</v>
      </c>
      <c r="I19" s="132">
        <f t="shared" si="4"/>
        <v>38838702.50934344</v>
      </c>
      <c r="J19" s="132">
        <f t="shared" si="5"/>
        <v>29407.854326418845</v>
      </c>
      <c r="K19" s="132">
        <f t="shared" si="6"/>
        <v>18215.1982988327</v>
      </c>
      <c r="L19" s="132">
        <f t="shared" si="7"/>
        <v>3212.945423627301</v>
      </c>
      <c r="M19" s="132">
        <f t="shared" si="8"/>
        <v>50835.99804887884</v>
      </c>
    </row>
    <row r="20" spans="1:13" ht="21">
      <c r="A20" s="166" t="s">
        <v>58</v>
      </c>
      <c r="B20" s="166" t="s">
        <v>59</v>
      </c>
      <c r="C20" s="132" t="s">
        <v>61</v>
      </c>
      <c r="D20" s="132">
        <v>179</v>
      </c>
      <c r="E20" s="132">
        <v>143.92</v>
      </c>
      <c r="F20" s="132">
        <v>6002259.232103624</v>
      </c>
      <c r="G20" s="132">
        <v>3717793.924718506</v>
      </c>
      <c r="H20" s="132">
        <v>655774.8524307413</v>
      </c>
      <c r="I20" s="132">
        <f t="shared" si="4"/>
        <v>10375828.009252872</v>
      </c>
      <c r="J20" s="132">
        <f t="shared" si="5"/>
        <v>33532.17448102583</v>
      </c>
      <c r="K20" s="132">
        <f t="shared" si="6"/>
        <v>20769.79846211456</v>
      </c>
      <c r="L20" s="132">
        <f t="shared" si="7"/>
        <v>3663.546661624253</v>
      </c>
      <c r="M20" s="132">
        <f t="shared" si="8"/>
        <v>57965.519604764646</v>
      </c>
    </row>
    <row r="21" spans="1:13" ht="21">
      <c r="A21" s="166" t="s">
        <v>58</v>
      </c>
      <c r="B21" s="166" t="s">
        <v>65</v>
      </c>
      <c r="C21" s="132" t="s">
        <v>183</v>
      </c>
      <c r="D21" s="132">
        <v>106</v>
      </c>
      <c r="E21" s="132">
        <v>67.44</v>
      </c>
      <c r="F21" s="132">
        <v>3655738.3364183437</v>
      </c>
      <c r="G21" s="132">
        <v>1970449.1734531343</v>
      </c>
      <c r="H21" s="132">
        <v>346554.6302667677</v>
      </c>
      <c r="I21" s="132">
        <f t="shared" si="4"/>
        <v>5972742.140138246</v>
      </c>
      <c r="J21" s="132">
        <f t="shared" si="5"/>
        <v>34488.0975133806</v>
      </c>
      <c r="K21" s="132">
        <f t="shared" si="6"/>
        <v>18589.143145784285</v>
      </c>
      <c r="L21" s="132">
        <f t="shared" si="7"/>
        <v>3269.3833044034686</v>
      </c>
      <c r="M21" s="132">
        <f t="shared" si="8"/>
        <v>56346.62396356835</v>
      </c>
    </row>
    <row r="22" spans="1:13" ht="21">
      <c r="A22" s="166" t="s">
        <v>58</v>
      </c>
      <c r="B22" s="166" t="s">
        <v>65</v>
      </c>
      <c r="C22" s="132" t="s">
        <v>66</v>
      </c>
      <c r="D22" s="132">
        <v>184</v>
      </c>
      <c r="E22" s="132">
        <v>95.89</v>
      </c>
      <c r="F22" s="132">
        <v>5197935.18800645</v>
      </c>
      <c r="G22" s="132">
        <v>2801695.896239932</v>
      </c>
      <c r="H22" s="132">
        <v>492750.94152254384</v>
      </c>
      <c r="I22" s="132">
        <f t="shared" si="4"/>
        <v>8492382.025768926</v>
      </c>
      <c r="J22" s="132">
        <f t="shared" si="5"/>
        <v>28249.647760904623</v>
      </c>
      <c r="K22" s="132">
        <f t="shared" si="6"/>
        <v>15226.608131738762</v>
      </c>
      <c r="L22" s="132">
        <f t="shared" si="7"/>
        <v>2677.9942474051295</v>
      </c>
      <c r="M22" s="132">
        <f t="shared" si="8"/>
        <v>46154.25014004851</v>
      </c>
    </row>
    <row r="23" spans="1:13" ht="21">
      <c r="A23" s="166" t="s">
        <v>58</v>
      </c>
      <c r="B23" s="166" t="s">
        <v>65</v>
      </c>
      <c r="C23" s="132" t="s">
        <v>67</v>
      </c>
      <c r="D23" s="132">
        <v>12</v>
      </c>
      <c r="E23" s="132">
        <v>4.42</v>
      </c>
      <c r="F23" s="132">
        <v>239596.1365208938</v>
      </c>
      <c r="G23" s="132">
        <v>129142.7245946449</v>
      </c>
      <c r="H23" s="132">
        <v>22713.10002638068</v>
      </c>
      <c r="I23" s="132">
        <f t="shared" si="4"/>
        <v>391451.96114191937</v>
      </c>
      <c r="J23" s="132">
        <f t="shared" si="5"/>
        <v>19966.344710074485</v>
      </c>
      <c r="K23" s="132">
        <f t="shared" si="6"/>
        <v>10761.893716220407</v>
      </c>
      <c r="L23" s="132">
        <f t="shared" si="7"/>
        <v>1892.7583355317236</v>
      </c>
      <c r="M23" s="132">
        <f t="shared" si="8"/>
        <v>32620.996761826613</v>
      </c>
    </row>
    <row r="24" spans="1:13" ht="21">
      <c r="A24" s="166" t="s">
        <v>58</v>
      </c>
      <c r="B24" s="166" t="s">
        <v>65</v>
      </c>
      <c r="C24" s="132" t="s">
        <v>68</v>
      </c>
      <c r="D24" s="132">
        <v>395</v>
      </c>
      <c r="E24" s="132">
        <v>257.86</v>
      </c>
      <c r="F24" s="132">
        <v>13977886.824270971</v>
      </c>
      <c r="G24" s="132">
        <v>7534104.7429808015</v>
      </c>
      <c r="H24" s="132">
        <v>1325067.867149892</v>
      </c>
      <c r="I24" s="132">
        <f t="shared" si="4"/>
        <v>22837059.434401665</v>
      </c>
      <c r="J24" s="132">
        <f t="shared" si="5"/>
        <v>35387.05525131892</v>
      </c>
      <c r="K24" s="132">
        <f t="shared" si="6"/>
        <v>19073.68289362228</v>
      </c>
      <c r="L24" s="132">
        <f t="shared" si="7"/>
        <v>3354.602195316182</v>
      </c>
      <c r="M24" s="132">
        <f t="shared" si="8"/>
        <v>57815.34034025738</v>
      </c>
    </row>
    <row r="25" spans="1:13" ht="21">
      <c r="A25" s="166" t="s">
        <v>58</v>
      </c>
      <c r="B25" s="166" t="s">
        <v>65</v>
      </c>
      <c r="C25" s="132" t="s">
        <v>205</v>
      </c>
      <c r="D25" s="132">
        <v>58</v>
      </c>
      <c r="E25" s="132">
        <v>37.97</v>
      </c>
      <c r="F25" s="132">
        <v>2058250.0687100315</v>
      </c>
      <c r="G25" s="132">
        <v>1109400.2834521872</v>
      </c>
      <c r="H25" s="132">
        <v>195116.8343895191</v>
      </c>
      <c r="I25" s="132">
        <f t="shared" si="4"/>
        <v>3362767.1865517376</v>
      </c>
      <c r="J25" s="132">
        <f t="shared" si="5"/>
        <v>35487.070150172956</v>
      </c>
      <c r="K25" s="132">
        <f t="shared" si="6"/>
        <v>19127.591094003226</v>
      </c>
      <c r="L25" s="132">
        <f t="shared" si="7"/>
        <v>3364.0833515434324</v>
      </c>
      <c r="M25" s="132">
        <f t="shared" si="8"/>
        <v>57978.74459571962</v>
      </c>
    </row>
    <row r="26" spans="1:13" ht="21">
      <c r="A26" s="166" t="s">
        <v>58</v>
      </c>
      <c r="B26" s="166" t="s">
        <v>65</v>
      </c>
      <c r="C26" s="132" t="s">
        <v>206</v>
      </c>
      <c r="D26" s="132">
        <v>36</v>
      </c>
      <c r="E26" s="132">
        <v>27.83</v>
      </c>
      <c r="F26" s="132">
        <v>1508588.3437503336</v>
      </c>
      <c r="G26" s="132">
        <v>813131.6799703547</v>
      </c>
      <c r="H26" s="132">
        <v>143010.31079958694</v>
      </c>
      <c r="I26" s="132">
        <f t="shared" si="4"/>
        <v>2464730.3345202752</v>
      </c>
      <c r="J26" s="132">
        <f t="shared" si="5"/>
        <v>41905.2317708426</v>
      </c>
      <c r="K26" s="132">
        <f t="shared" si="6"/>
        <v>22586.99111028763</v>
      </c>
      <c r="L26" s="132">
        <f t="shared" si="7"/>
        <v>3972.508633321859</v>
      </c>
      <c r="M26" s="132">
        <f t="shared" si="8"/>
        <v>68464.73151445208</v>
      </c>
    </row>
    <row r="27" spans="1:13" ht="21">
      <c r="A27" s="166" t="s">
        <v>58</v>
      </c>
      <c r="B27" s="166" t="s">
        <v>65</v>
      </c>
      <c r="C27" s="132" t="s">
        <v>207</v>
      </c>
      <c r="D27" s="132">
        <v>63</v>
      </c>
      <c r="E27" s="132">
        <v>55.94</v>
      </c>
      <c r="F27" s="132">
        <v>3032354.723298371</v>
      </c>
      <c r="G27" s="132">
        <v>1634444.3470191034</v>
      </c>
      <c r="H27" s="132">
        <v>287459.4605148722</v>
      </c>
      <c r="I27" s="132">
        <f t="shared" si="4"/>
        <v>4954258.5308323465</v>
      </c>
      <c r="J27" s="132">
        <f t="shared" si="5"/>
        <v>48132.614655529695</v>
      </c>
      <c r="K27" s="132">
        <f t="shared" si="6"/>
        <v>25943.561063795292</v>
      </c>
      <c r="L27" s="132">
        <f t="shared" si="7"/>
        <v>4562.848579601146</v>
      </c>
      <c r="M27" s="132">
        <f t="shared" si="8"/>
        <v>78639.02429892615</v>
      </c>
    </row>
    <row r="28" spans="1:13" ht="21">
      <c r="A28" s="166" t="s">
        <v>58</v>
      </c>
      <c r="B28" s="166" t="s">
        <v>65</v>
      </c>
      <c r="C28" s="132" t="s">
        <v>70</v>
      </c>
      <c r="D28" s="132">
        <v>247</v>
      </c>
      <c r="E28" s="132">
        <v>199.44</v>
      </c>
      <c r="F28" s="132">
        <v>10811098.069621509</v>
      </c>
      <c r="G28" s="132">
        <v>5827200.224695924</v>
      </c>
      <c r="H28" s="132">
        <v>1024864.4048102632</v>
      </c>
      <c r="I28" s="132">
        <f t="shared" si="4"/>
        <v>17663162.699127696</v>
      </c>
      <c r="J28" s="132">
        <f t="shared" si="5"/>
        <v>43769.62781223283</v>
      </c>
      <c r="K28" s="132">
        <f t="shared" si="6"/>
        <v>23591.903743708193</v>
      </c>
      <c r="L28" s="132">
        <f t="shared" si="7"/>
        <v>4149.248602470701</v>
      </c>
      <c r="M28" s="132">
        <f t="shared" si="8"/>
        <v>71510.78015841173</v>
      </c>
    </row>
    <row r="29" spans="1:13" ht="21">
      <c r="A29" s="166" t="s">
        <v>58</v>
      </c>
      <c r="B29" s="166" t="s">
        <v>65</v>
      </c>
      <c r="C29" s="132" t="s">
        <v>69</v>
      </c>
      <c r="D29" s="132">
        <v>137</v>
      </c>
      <c r="E29" s="132">
        <v>103.64</v>
      </c>
      <c r="F29" s="132">
        <v>5618041.535978606</v>
      </c>
      <c r="G29" s="132">
        <v>3028133.9314454747</v>
      </c>
      <c r="H29" s="132">
        <v>532575.9472249082</v>
      </c>
      <c r="I29" s="132">
        <f t="shared" si="4"/>
        <v>9178751.414648987</v>
      </c>
      <c r="J29" s="132">
        <f t="shared" si="5"/>
        <v>41007.60245239858</v>
      </c>
      <c r="K29" s="132">
        <f t="shared" si="6"/>
        <v>22103.167382813685</v>
      </c>
      <c r="L29" s="132">
        <f t="shared" si="7"/>
        <v>3887.415673174512</v>
      </c>
      <c r="M29" s="132">
        <f t="shared" si="8"/>
        <v>66998.18550838678</v>
      </c>
    </row>
    <row r="30" spans="1:13" ht="21">
      <c r="A30" s="166" t="s">
        <v>58</v>
      </c>
      <c r="B30" s="166" t="s">
        <v>118</v>
      </c>
      <c r="C30" s="132" t="s">
        <v>373</v>
      </c>
      <c r="D30" s="132">
        <v>120</v>
      </c>
      <c r="E30" s="132">
        <v>93.56</v>
      </c>
      <c r="F30" s="132">
        <v>7201297.363330221</v>
      </c>
      <c r="G30" s="132">
        <v>7431527.335672461</v>
      </c>
      <c r="H30" s="132">
        <v>979509.2053590532</v>
      </c>
      <c r="I30" s="132">
        <f t="shared" si="4"/>
        <v>15612333.904361736</v>
      </c>
      <c r="J30" s="132">
        <f t="shared" si="5"/>
        <v>60010.81136108517</v>
      </c>
      <c r="K30" s="132">
        <f t="shared" si="6"/>
        <v>61929.39446393718</v>
      </c>
      <c r="L30" s="132">
        <f t="shared" si="7"/>
        <v>8162.576711325443</v>
      </c>
      <c r="M30" s="132">
        <f t="shared" si="8"/>
        <v>130102.78253634779</v>
      </c>
    </row>
    <row r="31" spans="1:13" ht="21">
      <c r="A31" s="166" t="s">
        <v>58</v>
      </c>
      <c r="B31" s="166" t="s">
        <v>118</v>
      </c>
      <c r="C31" s="132" t="s">
        <v>409</v>
      </c>
      <c r="D31" s="132">
        <v>41</v>
      </c>
      <c r="E31" s="132">
        <v>25.61</v>
      </c>
      <c r="F31" s="132">
        <v>1971197.36505865</v>
      </c>
      <c r="G31" s="132">
        <v>2034217.775401579</v>
      </c>
      <c r="H31" s="132">
        <v>268119.182869232</v>
      </c>
      <c r="I31" s="132">
        <f t="shared" si="4"/>
        <v>4273534.323329461</v>
      </c>
      <c r="J31" s="132">
        <f t="shared" si="5"/>
        <v>48077.98451362561</v>
      </c>
      <c r="K31" s="132">
        <f t="shared" si="6"/>
        <v>49615.06769272144</v>
      </c>
      <c r="L31" s="132">
        <f t="shared" si="7"/>
        <v>6539.49226510322</v>
      </c>
      <c r="M31" s="132">
        <f>SUM(J31:L31)</f>
        <v>104232.54447145028</v>
      </c>
    </row>
    <row r="32" spans="1:14" s="28" customFormat="1" ht="21">
      <c r="A32" s="192"/>
      <c r="B32" s="192"/>
      <c r="C32" s="193" t="s">
        <v>188</v>
      </c>
      <c r="D32" s="194">
        <f>SUM(D14:D31)</f>
        <v>4643</v>
      </c>
      <c r="E32" s="194">
        <f>SUM(E14:E31)</f>
        <v>3324.81</v>
      </c>
      <c r="F32" s="194">
        <f>SUM(F14:F31)</f>
        <v>153497254.7028992</v>
      </c>
      <c r="G32" s="194">
        <f>SUM(G14:G31)</f>
        <v>95154091.73246503</v>
      </c>
      <c r="H32" s="194">
        <f>SUM(H14:H31)</f>
        <v>16349311.438806044</v>
      </c>
      <c r="I32" s="194">
        <f t="shared" si="4"/>
        <v>265000657.87417027</v>
      </c>
      <c r="J32" s="194">
        <f t="shared" si="5"/>
        <v>33059.9299381648</v>
      </c>
      <c r="K32" s="194">
        <f t="shared" si="6"/>
        <v>20494.096862473623</v>
      </c>
      <c r="L32" s="194">
        <f t="shared" si="7"/>
        <v>3521.2818089179505</v>
      </c>
      <c r="M32" s="194">
        <f>SUM(J32:L32)</f>
        <v>57075.30860955638</v>
      </c>
      <c r="N32" s="164"/>
    </row>
    <row r="33" spans="1:14" s="28" customFormat="1" ht="21">
      <c r="A33" s="192"/>
      <c r="B33" s="192"/>
      <c r="C33" s="193" t="s">
        <v>186</v>
      </c>
      <c r="D33" s="194"/>
      <c r="E33" s="194"/>
      <c r="F33" s="194"/>
      <c r="G33" s="194"/>
      <c r="H33" s="194"/>
      <c r="I33" s="194"/>
      <c r="J33" s="194">
        <f>+J32*100/M32</f>
        <v>57.92334854345304</v>
      </c>
      <c r="K33" s="194">
        <f>+K32*100/M32</f>
        <v>35.90711528635029</v>
      </c>
      <c r="L33" s="194">
        <f>+L32*100/M32</f>
        <v>6.169536170196662</v>
      </c>
      <c r="M33" s="194">
        <f>+J33+K33+L33</f>
        <v>100</v>
      </c>
      <c r="N33" s="164"/>
    </row>
    <row r="34" spans="1:13" ht="21">
      <c r="A34" s="166" t="s">
        <v>420</v>
      </c>
      <c r="B34" s="166" t="s">
        <v>59</v>
      </c>
      <c r="C34" s="132" t="s">
        <v>54</v>
      </c>
      <c r="D34" s="132">
        <v>790</v>
      </c>
      <c r="E34" s="132">
        <v>559.95</v>
      </c>
      <c r="F34" s="132">
        <v>23353009.012065206</v>
      </c>
      <c r="G34" s="132">
        <v>14464832.602460586</v>
      </c>
      <c r="H34" s="132">
        <v>2551425.296126971</v>
      </c>
      <c r="I34" s="132">
        <f t="shared" si="4"/>
        <v>40369266.910652764</v>
      </c>
      <c r="J34" s="132">
        <f>+F34/D34</f>
        <v>29560.77090134836</v>
      </c>
      <c r="K34" s="132">
        <f>+G34/D34</f>
        <v>18309.91468665897</v>
      </c>
      <c r="L34" s="132">
        <f>+H34/D34</f>
        <v>3229.6522735784442</v>
      </c>
      <c r="M34" s="132">
        <f aca="true" t="shared" si="9" ref="M34:M40">SUM(J34:L34)</f>
        <v>51100.33786158577</v>
      </c>
    </row>
    <row r="35" spans="1:13" ht="21">
      <c r="A35" s="166" t="s">
        <v>63</v>
      </c>
      <c r="B35" s="166" t="s">
        <v>65</v>
      </c>
      <c r="C35" s="132" t="s">
        <v>182</v>
      </c>
      <c r="D35" s="132">
        <v>471</v>
      </c>
      <c r="E35" s="132">
        <v>361.14</v>
      </c>
      <c r="F35" s="132">
        <v>19576413.742795385</v>
      </c>
      <c r="G35" s="132">
        <v>10551720.26246834</v>
      </c>
      <c r="H35" s="132">
        <v>1855793.8786260448</v>
      </c>
      <c r="I35" s="132">
        <f t="shared" si="4"/>
        <v>31983927.88388977</v>
      </c>
      <c r="J35" s="132">
        <f>+F35/D35</f>
        <v>41563.511131200394</v>
      </c>
      <c r="K35" s="132">
        <f>+G35/D35</f>
        <v>22402.80310502832</v>
      </c>
      <c r="L35" s="132">
        <f>+H35/D35</f>
        <v>3940.114391987356</v>
      </c>
      <c r="M35" s="132">
        <f t="shared" si="9"/>
        <v>67906.42862821608</v>
      </c>
    </row>
    <row r="36" spans="1:13" ht="21">
      <c r="A36" s="166" t="s">
        <v>63</v>
      </c>
      <c r="B36" s="166" t="s">
        <v>73</v>
      </c>
      <c r="C36" s="132" t="s">
        <v>64</v>
      </c>
      <c r="D36" s="132">
        <v>359</v>
      </c>
      <c r="E36" s="132">
        <v>265.97</v>
      </c>
      <c r="F36" s="132">
        <v>14815849.293572312</v>
      </c>
      <c r="G36" s="132">
        <v>6726842.713717206</v>
      </c>
      <c r="H36" s="132">
        <v>2754957.204308719</v>
      </c>
      <c r="I36" s="132">
        <f t="shared" si="4"/>
        <v>24297649.211598236</v>
      </c>
      <c r="J36" s="132">
        <f>+F36/D36</f>
        <v>41269.77519100923</v>
      </c>
      <c r="K36" s="132">
        <f>+G36/D36</f>
        <v>18737.72343653818</v>
      </c>
      <c r="L36" s="132">
        <f>+H36/D36</f>
        <v>7673.975499467184</v>
      </c>
      <c r="M36" s="132">
        <f t="shared" si="9"/>
        <v>67681.47412701459</v>
      </c>
    </row>
    <row r="37" spans="1:13" ht="21">
      <c r="A37" s="166" t="s">
        <v>63</v>
      </c>
      <c r="B37" s="166" t="s">
        <v>118</v>
      </c>
      <c r="C37" s="132" t="s">
        <v>182</v>
      </c>
      <c r="D37" s="132">
        <v>160</v>
      </c>
      <c r="E37" s="132">
        <v>130.33</v>
      </c>
      <c r="F37" s="132">
        <v>10031478.039363272</v>
      </c>
      <c r="G37" s="132">
        <v>10352190.654747669</v>
      </c>
      <c r="H37" s="132">
        <v>1364465.9548358852</v>
      </c>
      <c r="I37" s="132">
        <f t="shared" si="4"/>
        <v>21748134.648946825</v>
      </c>
      <c r="J37" s="132">
        <f>+F37/D37</f>
        <v>62696.73774602045</v>
      </c>
      <c r="K37" s="132">
        <f>+G37/D37</f>
        <v>64701.19159217293</v>
      </c>
      <c r="L37" s="132">
        <f>+H37/D37</f>
        <v>8527.912217724283</v>
      </c>
      <c r="M37" s="132">
        <f t="shared" si="9"/>
        <v>135925.84155591766</v>
      </c>
    </row>
    <row r="38" spans="1:14" s="28" customFormat="1" ht="21">
      <c r="A38" s="192"/>
      <c r="B38" s="192"/>
      <c r="C38" s="193" t="s">
        <v>188</v>
      </c>
      <c r="D38" s="194">
        <f>SUM(D34:D37)</f>
        <v>1780</v>
      </c>
      <c r="E38" s="194">
        <f>SUM(E34:E37)</f>
        <v>1317.3899999999999</v>
      </c>
      <c r="F38" s="194">
        <f>SUM(F34:F37)</f>
        <v>67776750.08779618</v>
      </c>
      <c r="G38" s="194">
        <f>SUM(G34:G37)</f>
        <v>42095586.2333938</v>
      </c>
      <c r="H38" s="194">
        <f>SUM(H34:H37)</f>
        <v>8526642.33389762</v>
      </c>
      <c r="I38" s="194">
        <f t="shared" si="4"/>
        <v>118398978.6550876</v>
      </c>
      <c r="J38" s="194">
        <f>+F38/D38</f>
        <v>38076.82589202033</v>
      </c>
      <c r="K38" s="194">
        <f>+G38/D38</f>
        <v>23649.205749097644</v>
      </c>
      <c r="L38" s="194">
        <f>+H38/D38</f>
        <v>4790.248502189675</v>
      </c>
      <c r="M38" s="194">
        <f t="shared" si="9"/>
        <v>66516.28014330765</v>
      </c>
      <c r="N38" s="164"/>
    </row>
    <row r="39" spans="1:14" s="28" customFormat="1" ht="21">
      <c r="A39" s="192"/>
      <c r="B39" s="192"/>
      <c r="C39" s="193" t="s">
        <v>186</v>
      </c>
      <c r="D39" s="194"/>
      <c r="E39" s="194"/>
      <c r="F39" s="194"/>
      <c r="G39" s="194"/>
      <c r="H39" s="194"/>
      <c r="I39" s="194"/>
      <c r="J39" s="195">
        <f>+J38*100/M38</f>
        <v>57.24437056610016</v>
      </c>
      <c r="K39" s="195">
        <f>+K38*100/M38</f>
        <v>35.55401128587772</v>
      </c>
      <c r="L39" s="195">
        <f>+L38*100/M38</f>
        <v>7.201618148022115</v>
      </c>
      <c r="M39" s="195">
        <f t="shared" si="9"/>
        <v>100</v>
      </c>
      <c r="N39" s="164"/>
    </row>
    <row r="40" spans="1:13" ht="21">
      <c r="A40" s="166" t="s">
        <v>71</v>
      </c>
      <c r="B40" s="166" t="s">
        <v>73</v>
      </c>
      <c r="C40" s="132" t="s">
        <v>72</v>
      </c>
      <c r="D40" s="132">
        <v>456</v>
      </c>
      <c r="E40" s="132">
        <v>386.58</v>
      </c>
      <c r="F40" s="132">
        <v>21534425.00999806</v>
      </c>
      <c r="G40" s="132">
        <v>9777278.852008862</v>
      </c>
      <c r="H40" s="132">
        <v>4004253.6979421154</v>
      </c>
      <c r="I40" s="132">
        <f t="shared" si="4"/>
        <v>35315957.55994904</v>
      </c>
      <c r="J40" s="132">
        <f>+F40/D40</f>
        <v>47224.61624999575</v>
      </c>
      <c r="K40" s="132">
        <f>+G40/D40</f>
        <v>21441.400991247505</v>
      </c>
      <c r="L40" s="132">
        <f>+H40/D40</f>
        <v>8781.258109522183</v>
      </c>
      <c r="M40" s="132">
        <f t="shared" si="9"/>
        <v>77447.27535076544</v>
      </c>
    </row>
    <row r="41" spans="1:13" ht="21">
      <c r="A41" s="166" t="s">
        <v>71</v>
      </c>
      <c r="B41" s="166" t="s">
        <v>73</v>
      </c>
      <c r="C41" s="132" t="s">
        <v>74</v>
      </c>
      <c r="D41" s="132">
        <v>14</v>
      </c>
      <c r="E41" s="132">
        <v>5.78</v>
      </c>
      <c r="F41" s="132">
        <v>321974.69232187077</v>
      </c>
      <c r="G41" s="132">
        <v>146186.2273387429</v>
      </c>
      <c r="H41" s="132">
        <v>59870.108060700055</v>
      </c>
      <c r="I41" s="132">
        <f t="shared" si="4"/>
        <v>528031.0277213136</v>
      </c>
      <c r="J41" s="132">
        <f aca="true" t="shared" si="10" ref="J41:J49">+F41/D41</f>
        <v>22998.192308705056</v>
      </c>
      <c r="K41" s="132">
        <f aca="true" t="shared" si="11" ref="K41:K49">+G41/D41</f>
        <v>10441.873381338779</v>
      </c>
      <c r="L41" s="132">
        <f aca="true" t="shared" si="12" ref="L41:L49">+H41/D41</f>
        <v>4276.436290050004</v>
      </c>
      <c r="M41" s="132">
        <f aca="true" t="shared" si="13" ref="M41:M49">SUM(J41:L41)</f>
        <v>37716.50198009384</v>
      </c>
    </row>
    <row r="42" spans="1:13" ht="21">
      <c r="A42" s="166" t="s">
        <v>71</v>
      </c>
      <c r="B42" s="166" t="s">
        <v>73</v>
      </c>
      <c r="C42" s="132" t="s">
        <v>75</v>
      </c>
      <c r="D42" s="132">
        <v>61</v>
      </c>
      <c r="E42" s="132">
        <v>44.14</v>
      </c>
      <c r="F42" s="132">
        <v>2458817.1140289577</v>
      </c>
      <c r="G42" s="132">
        <v>1116377.175559189</v>
      </c>
      <c r="H42" s="132">
        <v>457208.749100225</v>
      </c>
      <c r="I42" s="132">
        <f t="shared" si="4"/>
        <v>4032403.038688372</v>
      </c>
      <c r="J42" s="132">
        <f t="shared" si="10"/>
        <v>40308.47727916324</v>
      </c>
      <c r="K42" s="132">
        <f t="shared" si="11"/>
        <v>18301.26517310146</v>
      </c>
      <c r="L42" s="132">
        <f t="shared" si="12"/>
        <v>7495.225395085656</v>
      </c>
      <c r="M42" s="132">
        <f t="shared" si="13"/>
        <v>66104.96784735036</v>
      </c>
    </row>
    <row r="43" spans="1:13" ht="21">
      <c r="A43" s="166" t="s">
        <v>71</v>
      </c>
      <c r="B43" s="166" t="s">
        <v>76</v>
      </c>
      <c r="C43" s="132" t="s">
        <v>74</v>
      </c>
      <c r="D43" s="132">
        <v>381</v>
      </c>
      <c r="E43" s="132">
        <v>261.03</v>
      </c>
      <c r="F43" s="132">
        <v>13732549.633247588</v>
      </c>
      <c r="G43" s="132">
        <v>8718300.44656255</v>
      </c>
      <c r="H43" s="132">
        <v>1624782.9113179285</v>
      </c>
      <c r="I43" s="132">
        <f t="shared" si="4"/>
        <v>24075632.991128065</v>
      </c>
      <c r="J43" s="132">
        <f t="shared" si="10"/>
        <v>36043.43735760522</v>
      </c>
      <c r="K43" s="132">
        <f t="shared" si="11"/>
        <v>22882.67833743451</v>
      </c>
      <c r="L43" s="132">
        <f t="shared" si="12"/>
        <v>4264.522076949944</v>
      </c>
      <c r="M43" s="132">
        <f t="shared" si="13"/>
        <v>63190.63777198967</v>
      </c>
    </row>
    <row r="44" spans="1:13" ht="21">
      <c r="A44" s="166" t="s">
        <v>71</v>
      </c>
      <c r="B44" s="166" t="s">
        <v>76</v>
      </c>
      <c r="C44" s="132" t="s">
        <v>77</v>
      </c>
      <c r="D44" s="132">
        <v>517</v>
      </c>
      <c r="E44" s="132">
        <v>359.44</v>
      </c>
      <c r="F44" s="132">
        <v>18909809.75433672</v>
      </c>
      <c r="G44" s="132">
        <v>12005156.160259137</v>
      </c>
      <c r="H44" s="132">
        <v>2237336.5883006407</v>
      </c>
      <c r="I44" s="132">
        <f t="shared" si="4"/>
        <v>33152302.5028965</v>
      </c>
      <c r="J44" s="132">
        <f t="shared" si="10"/>
        <v>36576.034341076826</v>
      </c>
      <c r="K44" s="132">
        <f t="shared" si="11"/>
        <v>23220.804952145332</v>
      </c>
      <c r="L44" s="132">
        <f t="shared" si="12"/>
        <v>4327.536921277835</v>
      </c>
      <c r="M44" s="132">
        <f t="shared" si="13"/>
        <v>64124.37621449999</v>
      </c>
    </row>
    <row r="45" spans="1:13" ht="21">
      <c r="A45" s="166" t="s">
        <v>71</v>
      </c>
      <c r="B45" s="166" t="s">
        <v>76</v>
      </c>
      <c r="C45" s="132" t="s">
        <v>79</v>
      </c>
      <c r="D45" s="132">
        <v>292</v>
      </c>
      <c r="E45" s="132">
        <v>202.42</v>
      </c>
      <c r="F45" s="132">
        <v>10649131.121947581</v>
      </c>
      <c r="G45" s="132">
        <v>6760749.248719269</v>
      </c>
      <c r="H45" s="132">
        <v>1259964.5899282652</v>
      </c>
      <c r="I45" s="132">
        <f t="shared" si="4"/>
        <v>18669844.960595116</v>
      </c>
      <c r="J45" s="132">
        <f t="shared" si="10"/>
        <v>36469.627129957466</v>
      </c>
      <c r="K45" s="132">
        <f t="shared" si="11"/>
        <v>23153.25085177832</v>
      </c>
      <c r="L45" s="132">
        <f t="shared" si="12"/>
        <v>4314.94722578173</v>
      </c>
      <c r="M45" s="132">
        <f t="shared" si="13"/>
        <v>63937.82520751752</v>
      </c>
    </row>
    <row r="46" spans="1:13" ht="21">
      <c r="A46" s="166" t="s">
        <v>71</v>
      </c>
      <c r="B46" s="166" t="s">
        <v>91</v>
      </c>
      <c r="C46" s="132" t="s">
        <v>407</v>
      </c>
      <c r="D46" s="132">
        <v>68</v>
      </c>
      <c r="E46" s="132">
        <v>51.53</v>
      </c>
      <c r="F46" s="132">
        <v>3862551.0499405824</v>
      </c>
      <c r="G46" s="132">
        <v>2784908.879196658</v>
      </c>
      <c r="H46" s="132">
        <v>349239.97792531125</v>
      </c>
      <c r="I46" s="132">
        <f t="shared" si="4"/>
        <v>6996699.907062551</v>
      </c>
      <c r="J46" s="132">
        <f t="shared" si="10"/>
        <v>56802.22132265562</v>
      </c>
      <c r="K46" s="132">
        <f t="shared" si="11"/>
        <v>40954.54234112732</v>
      </c>
      <c r="L46" s="132">
        <f t="shared" si="12"/>
        <v>5135.882028313401</v>
      </c>
      <c r="M46" s="132">
        <f t="shared" si="13"/>
        <v>102892.64569209634</v>
      </c>
    </row>
    <row r="47" spans="1:13" ht="21">
      <c r="A47" s="166" t="s">
        <v>71</v>
      </c>
      <c r="B47" s="166" t="s">
        <v>91</v>
      </c>
      <c r="C47" s="132" t="s">
        <v>77</v>
      </c>
      <c r="D47" s="132">
        <v>92</v>
      </c>
      <c r="E47" s="132">
        <v>67</v>
      </c>
      <c r="F47" s="132">
        <v>5022140.895517543</v>
      </c>
      <c r="G47" s="132">
        <v>3620976.031557851</v>
      </c>
      <c r="H47" s="132">
        <v>454086.52282157686</v>
      </c>
      <c r="I47" s="132">
        <f t="shared" si="4"/>
        <v>9097203.44989697</v>
      </c>
      <c r="J47" s="132">
        <f t="shared" si="10"/>
        <v>54588.4879947559</v>
      </c>
      <c r="K47" s="132">
        <f t="shared" si="11"/>
        <v>39358.435125628814</v>
      </c>
      <c r="L47" s="132">
        <f t="shared" si="12"/>
        <v>4935.723074147574</v>
      </c>
      <c r="M47" s="132">
        <f t="shared" si="13"/>
        <v>98882.6461945323</v>
      </c>
    </row>
    <row r="48" spans="1:13" ht="21">
      <c r="A48" s="166" t="s">
        <v>71</v>
      </c>
      <c r="B48" s="166" t="s">
        <v>118</v>
      </c>
      <c r="C48" s="132" t="s">
        <v>413</v>
      </c>
      <c r="D48" s="132">
        <v>66</v>
      </c>
      <c r="E48" s="132">
        <v>52.75</v>
      </c>
      <c r="F48" s="132">
        <v>4060158.5711379773</v>
      </c>
      <c r="G48" s="132">
        <v>4189964.3753390587</v>
      </c>
      <c r="H48" s="132">
        <v>552256.41922499</v>
      </c>
      <c r="I48" s="132">
        <f t="shared" si="4"/>
        <v>8802379.365702026</v>
      </c>
      <c r="J48" s="132">
        <f t="shared" si="10"/>
        <v>61517.55410815117</v>
      </c>
      <c r="K48" s="132">
        <f t="shared" si="11"/>
        <v>63484.308717258464</v>
      </c>
      <c r="L48" s="132">
        <f t="shared" si="12"/>
        <v>8367.521503408938</v>
      </c>
      <c r="M48" s="132">
        <f t="shared" si="13"/>
        <v>133369.38432881856</v>
      </c>
    </row>
    <row r="49" spans="1:14" s="28" customFormat="1" ht="21">
      <c r="A49" s="192"/>
      <c r="B49" s="192"/>
      <c r="C49" s="193" t="s">
        <v>188</v>
      </c>
      <c r="D49" s="194">
        <f>SUM(D40:D48)</f>
        <v>1947</v>
      </c>
      <c r="E49" s="194">
        <f>SUM(E40:E48)</f>
        <v>1430.67</v>
      </c>
      <c r="F49" s="194">
        <f>SUM(F40:F48)</f>
        <v>80551557.84247689</v>
      </c>
      <c r="G49" s="194">
        <f>SUM(G40:G48)</f>
        <v>49119897.39654132</v>
      </c>
      <c r="H49" s="194">
        <f>SUM(H40:H48)</f>
        <v>10998999.564621754</v>
      </c>
      <c r="I49" s="194">
        <f t="shared" si="4"/>
        <v>140670454.80363995</v>
      </c>
      <c r="J49" s="194">
        <f t="shared" si="10"/>
        <v>41372.14064842162</v>
      </c>
      <c r="K49" s="194">
        <f t="shared" si="11"/>
        <v>25228.50405574798</v>
      </c>
      <c r="L49" s="194">
        <f t="shared" si="12"/>
        <v>5649.203679826273</v>
      </c>
      <c r="M49" s="194">
        <f t="shared" si="13"/>
        <v>72249.84838399586</v>
      </c>
      <c r="N49" s="164"/>
    </row>
    <row r="50" spans="1:14" s="28" customFormat="1" ht="21">
      <c r="A50" s="192"/>
      <c r="B50" s="192"/>
      <c r="C50" s="193" t="s">
        <v>186</v>
      </c>
      <c r="D50" s="194"/>
      <c r="E50" s="194"/>
      <c r="F50" s="194"/>
      <c r="G50" s="194"/>
      <c r="H50" s="194"/>
      <c r="I50" s="194"/>
      <c r="J50" s="194">
        <f>+J49*100/M49</f>
        <v>57.26259857119092</v>
      </c>
      <c r="K50" s="194">
        <f>+K49*100/M49</f>
        <v>34.918417989838126</v>
      </c>
      <c r="L50" s="194">
        <f>+L49*100/M49</f>
        <v>7.818983438970973</v>
      </c>
      <c r="M50" s="194">
        <f aca="true" t="shared" si="14" ref="M50:M56">SUM(J50:L50)</f>
        <v>100.00000000000003</v>
      </c>
      <c r="N50" s="164"/>
    </row>
    <row r="51" spans="1:13" ht="21">
      <c r="A51" s="166" t="s">
        <v>84</v>
      </c>
      <c r="B51" s="166" t="s">
        <v>76</v>
      </c>
      <c r="C51" s="132" t="s">
        <v>78</v>
      </c>
      <c r="D51" s="132">
        <v>163</v>
      </c>
      <c r="E51" s="132">
        <v>115.42</v>
      </c>
      <c r="F51" s="132">
        <v>6072140.668388449</v>
      </c>
      <c r="G51" s="132">
        <v>3854983.0959745985</v>
      </c>
      <c r="H51" s="132">
        <v>718432.5312198418</v>
      </c>
      <c r="I51" s="132">
        <f t="shared" si="4"/>
        <v>10645556.295582889</v>
      </c>
      <c r="J51" s="132">
        <f>+F51/D51</f>
        <v>37252.39673857944</v>
      </c>
      <c r="K51" s="132">
        <f>+G51/D51</f>
        <v>23650.203042788948</v>
      </c>
      <c r="L51" s="132">
        <f>+H51/D51</f>
        <v>4407.561541226023</v>
      </c>
      <c r="M51" s="132">
        <f t="shared" si="14"/>
        <v>65310.16132259441</v>
      </c>
    </row>
    <row r="52" spans="1:13" ht="21">
      <c r="A52" s="166" t="s">
        <v>84</v>
      </c>
      <c r="B52" s="166" t="s">
        <v>82</v>
      </c>
      <c r="C52" s="132" t="s">
        <v>80</v>
      </c>
      <c r="D52" s="132">
        <v>40</v>
      </c>
      <c r="E52" s="132">
        <v>20.31</v>
      </c>
      <c r="F52" s="132">
        <v>2327975.243139837</v>
      </c>
      <c r="G52" s="132">
        <v>2058076.961647302</v>
      </c>
      <c r="H52" s="132">
        <v>234723.43861083858</v>
      </c>
      <c r="I52" s="132">
        <f t="shared" si="4"/>
        <v>4620775.643397978</v>
      </c>
      <c r="J52" s="132">
        <f>+F52/D52</f>
        <v>58199.38107849592</v>
      </c>
      <c r="K52" s="132">
        <f>+G52/D52</f>
        <v>51451.924041182545</v>
      </c>
      <c r="L52" s="132">
        <f>+H52/D52</f>
        <v>5868.085965270964</v>
      </c>
      <c r="M52" s="132">
        <f t="shared" si="14"/>
        <v>115519.39108494943</v>
      </c>
    </row>
    <row r="53" spans="1:13" ht="21">
      <c r="A53" s="166" t="s">
        <v>84</v>
      </c>
      <c r="B53" s="166" t="s">
        <v>76</v>
      </c>
      <c r="C53" s="132" t="s">
        <v>80</v>
      </c>
      <c r="D53" s="132">
        <v>404</v>
      </c>
      <c r="E53" s="132">
        <v>285.75</v>
      </c>
      <c r="F53" s="132">
        <v>15033046.23108646</v>
      </c>
      <c r="G53" s="132">
        <v>9543938.82927345</v>
      </c>
      <c r="H53" s="132">
        <v>1778652.710068184</v>
      </c>
      <c r="I53" s="132">
        <f t="shared" si="4"/>
        <v>26355637.770428095</v>
      </c>
      <c r="J53" s="132">
        <f>+F53/D53</f>
        <v>37210.51047298629</v>
      </c>
      <c r="K53" s="132">
        <f>+G53/D53</f>
        <v>23623.61096354814</v>
      </c>
      <c r="L53" s="132">
        <f>+H53/D53</f>
        <v>4402.605717990555</v>
      </c>
      <c r="M53" s="132">
        <f t="shared" si="14"/>
        <v>65236.72715452498</v>
      </c>
    </row>
    <row r="54" spans="1:14" s="28" customFormat="1" ht="21">
      <c r="A54" s="192"/>
      <c r="B54" s="192"/>
      <c r="C54" s="193" t="s">
        <v>188</v>
      </c>
      <c r="D54" s="194">
        <f>SUM(D51:D53)</f>
        <v>607</v>
      </c>
      <c r="E54" s="194">
        <f>SUM(E51:E53)</f>
        <v>421.48</v>
      </c>
      <c r="F54" s="194">
        <f>SUM(F51:F53)</f>
        <v>23433162.142614745</v>
      </c>
      <c r="G54" s="194">
        <f>SUM(G51:G53)</f>
        <v>15456998.88689535</v>
      </c>
      <c r="H54" s="194">
        <f>SUM(H51:H53)</f>
        <v>2731808.6798988646</v>
      </c>
      <c r="I54" s="194">
        <f t="shared" si="4"/>
        <v>41621969.70940896</v>
      </c>
      <c r="J54" s="194">
        <f>+F54/D54</f>
        <v>38604.87997135872</v>
      </c>
      <c r="K54" s="194">
        <f>+G54/D54</f>
        <v>25464.5780673729</v>
      </c>
      <c r="L54" s="194">
        <f>+H54/D54</f>
        <v>4500.508533606037</v>
      </c>
      <c r="M54" s="194">
        <f t="shared" si="14"/>
        <v>68569.96657233767</v>
      </c>
      <c r="N54" s="164"/>
    </row>
    <row r="55" spans="1:14" s="28" customFormat="1" ht="21">
      <c r="A55" s="192"/>
      <c r="B55" s="192"/>
      <c r="C55" s="193" t="s">
        <v>186</v>
      </c>
      <c r="D55" s="194"/>
      <c r="E55" s="194"/>
      <c r="F55" s="194"/>
      <c r="G55" s="194"/>
      <c r="H55" s="194"/>
      <c r="I55" s="194"/>
      <c r="J55" s="194">
        <f>+J54*100/M54</f>
        <v>56.29998365338654</v>
      </c>
      <c r="K55" s="194">
        <f>+K54*100/M54</f>
        <v>37.136634798427565</v>
      </c>
      <c r="L55" s="194">
        <f>+L54*100/M54</f>
        <v>6.563381548185881</v>
      </c>
      <c r="M55" s="194">
        <f t="shared" si="14"/>
        <v>99.99999999999999</v>
      </c>
      <c r="N55" s="164"/>
    </row>
    <row r="56" spans="1:13" ht="21">
      <c r="A56" s="166" t="s">
        <v>81</v>
      </c>
      <c r="B56" s="166" t="s">
        <v>82</v>
      </c>
      <c r="C56" s="132" t="s">
        <v>83</v>
      </c>
      <c r="D56" s="132">
        <v>31</v>
      </c>
      <c r="E56" s="132">
        <v>22.78</v>
      </c>
      <c r="F56" s="132">
        <v>2611091.8778299107</v>
      </c>
      <c r="G56" s="132">
        <v>2308369.9254714698</v>
      </c>
      <c r="H56" s="132">
        <v>263269.3220854211</v>
      </c>
      <c r="I56" s="132">
        <f t="shared" si="4"/>
        <v>5182731.1253868025</v>
      </c>
      <c r="J56" s="132">
        <f>+F56/D56</f>
        <v>84228.77025257777</v>
      </c>
      <c r="K56" s="132">
        <f>+G56/D56</f>
        <v>74463.54598295064</v>
      </c>
      <c r="L56" s="132">
        <f>+H56/D56</f>
        <v>8492.558776949068</v>
      </c>
      <c r="M56" s="132">
        <f t="shared" si="14"/>
        <v>167184.87501247748</v>
      </c>
    </row>
    <row r="57" spans="1:13" ht="21">
      <c r="A57" s="166" t="s">
        <v>81</v>
      </c>
      <c r="B57" s="166" t="s">
        <v>82</v>
      </c>
      <c r="C57" s="132" t="s">
        <v>226</v>
      </c>
      <c r="D57" s="132">
        <v>38</v>
      </c>
      <c r="E57" s="132">
        <v>30.33</v>
      </c>
      <c r="F57" s="132">
        <v>3476488.8786032125</v>
      </c>
      <c r="G57" s="132">
        <v>3073435.4626667984</v>
      </c>
      <c r="H57" s="132">
        <v>350524.9578073232</v>
      </c>
      <c r="I57" s="132">
        <f t="shared" si="4"/>
        <v>6900449.299077334</v>
      </c>
      <c r="J57" s="132">
        <f aca="true" t="shared" si="15" ref="J57:J88">+F57/D57</f>
        <v>91486.54943692665</v>
      </c>
      <c r="K57" s="132">
        <f aca="true" t="shared" si="16" ref="K57:K89">+G57/D57</f>
        <v>80879.8805964947</v>
      </c>
      <c r="L57" s="132">
        <f aca="true" t="shared" si="17" ref="L57:L89">+H57/D57</f>
        <v>9224.340994929558</v>
      </c>
      <c r="M57" s="132">
        <f aca="true" t="shared" si="18" ref="M57:M90">SUM(J57:L57)</f>
        <v>181590.7710283509</v>
      </c>
    </row>
    <row r="58" spans="1:13" ht="21">
      <c r="A58" s="166" t="s">
        <v>81</v>
      </c>
      <c r="B58" s="166" t="s">
        <v>86</v>
      </c>
      <c r="C58" s="132" t="s">
        <v>85</v>
      </c>
      <c r="D58" s="132">
        <v>317</v>
      </c>
      <c r="E58" s="132">
        <v>239.35999999999999</v>
      </c>
      <c r="F58" s="132">
        <v>16588598.118360318</v>
      </c>
      <c r="G58" s="132">
        <v>9850383.996836184</v>
      </c>
      <c r="H58" s="132">
        <v>1710560.9121858084</v>
      </c>
      <c r="I58" s="132">
        <f t="shared" si="4"/>
        <v>28149543.02738231</v>
      </c>
      <c r="J58" s="132">
        <f t="shared" si="15"/>
        <v>52329.962518486805</v>
      </c>
      <c r="K58" s="132">
        <f t="shared" si="16"/>
        <v>31073.766551533703</v>
      </c>
      <c r="L58" s="132">
        <f t="shared" si="17"/>
        <v>5396.091205633465</v>
      </c>
      <c r="M58" s="132">
        <f t="shared" si="18"/>
        <v>88799.82027565397</v>
      </c>
    </row>
    <row r="59" spans="1:13" ht="21">
      <c r="A59" s="166" t="s">
        <v>81</v>
      </c>
      <c r="B59" s="166" t="s">
        <v>86</v>
      </c>
      <c r="C59" s="132" t="s">
        <v>87</v>
      </c>
      <c r="D59" s="132">
        <v>327</v>
      </c>
      <c r="E59" s="132">
        <v>245.5</v>
      </c>
      <c r="F59" s="132">
        <v>17014124.490547538</v>
      </c>
      <c r="G59" s="132">
        <v>10103063.466006365</v>
      </c>
      <c r="H59" s="132">
        <v>1754439.7724833551</v>
      </c>
      <c r="I59" s="132">
        <f t="shared" si="4"/>
        <v>28871627.72903726</v>
      </c>
      <c r="J59" s="132">
        <f t="shared" si="15"/>
        <v>52030.96174479369</v>
      </c>
      <c r="K59" s="132">
        <f t="shared" si="16"/>
        <v>30896.21855047818</v>
      </c>
      <c r="L59" s="132">
        <f t="shared" si="17"/>
        <v>5365.259243068364</v>
      </c>
      <c r="M59" s="132">
        <f t="shared" si="18"/>
        <v>88292.43953834023</v>
      </c>
    </row>
    <row r="60" spans="1:13" ht="21">
      <c r="A60" s="166" t="s">
        <v>81</v>
      </c>
      <c r="B60" s="166" t="s">
        <v>86</v>
      </c>
      <c r="C60" s="132" t="s">
        <v>88</v>
      </c>
      <c r="D60" s="132">
        <v>166</v>
      </c>
      <c r="E60" s="132">
        <v>120.69</v>
      </c>
      <c r="F60" s="132">
        <v>8364296.068285874</v>
      </c>
      <c r="G60" s="132">
        <v>4966756.536506346</v>
      </c>
      <c r="H60" s="132">
        <v>862498.314220025</v>
      </c>
      <c r="I60" s="132">
        <f t="shared" si="4"/>
        <v>14193550.919012245</v>
      </c>
      <c r="J60" s="132">
        <f t="shared" si="15"/>
        <v>50387.32571256551</v>
      </c>
      <c r="K60" s="132">
        <f t="shared" si="16"/>
        <v>29920.22009943582</v>
      </c>
      <c r="L60" s="132">
        <f t="shared" si="17"/>
        <v>5195.772977229066</v>
      </c>
      <c r="M60" s="132">
        <f t="shared" si="18"/>
        <v>85503.3187892304</v>
      </c>
    </row>
    <row r="61" spans="1:13" ht="21">
      <c r="A61" s="166" t="s">
        <v>81</v>
      </c>
      <c r="B61" s="166" t="s">
        <v>86</v>
      </c>
      <c r="C61" s="132" t="s">
        <v>411</v>
      </c>
      <c r="D61" s="132">
        <v>28</v>
      </c>
      <c r="E61" s="132">
        <v>17.28</v>
      </c>
      <c r="F61" s="132">
        <v>1197572.5914324296</v>
      </c>
      <c r="G61" s="132">
        <v>711123.978381222</v>
      </c>
      <c r="H61" s="132">
        <v>123489.69152143536</v>
      </c>
      <c r="I61" s="132">
        <f t="shared" si="4"/>
        <v>2032186.2613350868</v>
      </c>
      <c r="J61" s="132">
        <f t="shared" si="15"/>
        <v>42770.44969401534</v>
      </c>
      <c r="K61" s="132">
        <f t="shared" si="16"/>
        <v>25397.2849421865</v>
      </c>
      <c r="L61" s="132">
        <f t="shared" si="17"/>
        <v>4410.346125765549</v>
      </c>
      <c r="M61" s="132">
        <f t="shared" si="18"/>
        <v>72578.08076196739</v>
      </c>
    </row>
    <row r="62" spans="1:13" ht="21">
      <c r="A62" s="166" t="s">
        <v>81</v>
      </c>
      <c r="B62" s="166" t="s">
        <v>86</v>
      </c>
      <c r="C62" s="132" t="s">
        <v>90</v>
      </c>
      <c r="D62" s="132">
        <v>53</v>
      </c>
      <c r="E62" s="132">
        <v>36.08</v>
      </c>
      <c r="F62" s="132">
        <v>2500487.2163704894</v>
      </c>
      <c r="G62" s="132">
        <v>1484800.528934866</v>
      </c>
      <c r="H62" s="132">
        <v>257841.90220447845</v>
      </c>
      <c r="I62" s="132">
        <f t="shared" si="4"/>
        <v>4243129.647509834</v>
      </c>
      <c r="J62" s="132">
        <f t="shared" si="15"/>
        <v>47179.00408246207</v>
      </c>
      <c r="K62" s="132">
        <f t="shared" si="16"/>
        <v>28015.104319525773</v>
      </c>
      <c r="L62" s="132">
        <f t="shared" si="17"/>
        <v>4864.941551027895</v>
      </c>
      <c r="M62" s="132">
        <f t="shared" si="18"/>
        <v>80059.04995301574</v>
      </c>
    </row>
    <row r="63" spans="1:13" ht="21">
      <c r="A63" s="166" t="s">
        <v>81</v>
      </c>
      <c r="B63" s="166" t="s">
        <v>86</v>
      </c>
      <c r="C63" s="132" t="s">
        <v>208</v>
      </c>
      <c r="D63" s="132">
        <v>123</v>
      </c>
      <c r="E63" s="132">
        <v>89.83</v>
      </c>
      <c r="F63" s="132">
        <v>6225575.572243932</v>
      </c>
      <c r="G63" s="132">
        <v>3696774.7093741414</v>
      </c>
      <c r="H63" s="132">
        <v>641960.5896626469</v>
      </c>
      <c r="I63" s="132">
        <f t="shared" si="4"/>
        <v>10564310.87128072</v>
      </c>
      <c r="J63" s="132">
        <f t="shared" si="15"/>
        <v>50614.43554669863</v>
      </c>
      <c r="K63" s="132">
        <f t="shared" si="16"/>
        <v>30055.07893800115</v>
      </c>
      <c r="L63" s="132">
        <f t="shared" si="17"/>
        <v>5219.191785875178</v>
      </c>
      <c r="M63" s="132">
        <f t="shared" si="18"/>
        <v>85888.70627057497</v>
      </c>
    </row>
    <row r="64" spans="1:13" ht="21">
      <c r="A64" s="166" t="s">
        <v>81</v>
      </c>
      <c r="B64" s="166" t="s">
        <v>86</v>
      </c>
      <c r="C64" s="132" t="s">
        <v>161</v>
      </c>
      <c r="D64" s="132">
        <v>124</v>
      </c>
      <c r="E64" s="132">
        <v>102.89</v>
      </c>
      <c r="F64" s="132">
        <v>7130685.412759415</v>
      </c>
      <c r="G64" s="132">
        <v>4234232.993960875</v>
      </c>
      <c r="H64" s="132">
        <v>735292.4977222502</v>
      </c>
      <c r="I64" s="132">
        <f t="shared" si="4"/>
        <v>12100210.90444254</v>
      </c>
      <c r="J64" s="132">
        <f t="shared" si="15"/>
        <v>57505.527522253346</v>
      </c>
      <c r="K64" s="132">
        <f t="shared" si="16"/>
        <v>34147.040273878025</v>
      </c>
      <c r="L64" s="132">
        <f t="shared" si="17"/>
        <v>5929.778207437502</v>
      </c>
      <c r="M64" s="132">
        <f t="shared" si="18"/>
        <v>97582.34600356886</v>
      </c>
    </row>
    <row r="65" spans="1:13" ht="21">
      <c r="A65" s="166" t="s">
        <v>81</v>
      </c>
      <c r="B65" s="166" t="s">
        <v>91</v>
      </c>
      <c r="C65" s="132" t="s">
        <v>92</v>
      </c>
      <c r="D65" s="132">
        <v>62</v>
      </c>
      <c r="E65" s="132">
        <v>40.19</v>
      </c>
      <c r="F65" s="132">
        <v>3012534.964042538</v>
      </c>
      <c r="G65" s="132">
        <v>2172045.174750896</v>
      </c>
      <c r="H65" s="132">
        <v>272384.1395850623</v>
      </c>
      <c r="I65" s="132">
        <f t="shared" si="4"/>
        <v>5456964.278378496</v>
      </c>
      <c r="J65" s="132">
        <f t="shared" si="15"/>
        <v>48589.27361358932</v>
      </c>
      <c r="K65" s="132">
        <f t="shared" si="16"/>
        <v>35032.98668953058</v>
      </c>
      <c r="L65" s="132">
        <f t="shared" si="17"/>
        <v>4393.292573952617</v>
      </c>
      <c r="M65" s="132">
        <f t="shared" si="18"/>
        <v>88015.5528770725</v>
      </c>
    </row>
    <row r="66" spans="1:13" ht="21">
      <c r="A66" s="166" t="s">
        <v>81</v>
      </c>
      <c r="B66" s="166" t="s">
        <v>91</v>
      </c>
      <c r="C66" s="132" t="s">
        <v>93</v>
      </c>
      <c r="D66" s="132">
        <v>22</v>
      </c>
      <c r="E66" s="132">
        <v>16</v>
      </c>
      <c r="F66" s="132">
        <v>1199317.2287803087</v>
      </c>
      <c r="G66" s="132">
        <v>864710.6941033674</v>
      </c>
      <c r="H66" s="132">
        <v>108438.5726141079</v>
      </c>
      <c r="I66" s="132">
        <f t="shared" si="4"/>
        <v>2172466.495497784</v>
      </c>
      <c r="J66" s="132">
        <f t="shared" si="15"/>
        <v>54514.419490014036</v>
      </c>
      <c r="K66" s="132">
        <f t="shared" si="16"/>
        <v>39305.031550153064</v>
      </c>
      <c r="L66" s="132">
        <f t="shared" si="17"/>
        <v>4929.026027913996</v>
      </c>
      <c r="M66" s="132">
        <f t="shared" si="18"/>
        <v>98748.47706808109</v>
      </c>
    </row>
    <row r="67" spans="1:13" ht="21">
      <c r="A67" s="166" t="s">
        <v>81</v>
      </c>
      <c r="B67" s="166" t="s">
        <v>91</v>
      </c>
      <c r="C67" s="132" t="s">
        <v>94</v>
      </c>
      <c r="D67" s="132">
        <v>43</v>
      </c>
      <c r="E67" s="132">
        <v>31.56</v>
      </c>
      <c r="F67" s="132">
        <v>2365653.233769159</v>
      </c>
      <c r="G67" s="132">
        <v>1705641.8441188922</v>
      </c>
      <c r="H67" s="132">
        <v>213895.08448132782</v>
      </c>
      <c r="I67" s="132">
        <f t="shared" si="4"/>
        <v>4285190.162369379</v>
      </c>
      <c r="J67" s="132">
        <f t="shared" si="15"/>
        <v>55015.19148300369</v>
      </c>
      <c r="K67" s="132">
        <f t="shared" si="16"/>
        <v>39666.08939811377</v>
      </c>
      <c r="L67" s="132">
        <f t="shared" si="17"/>
        <v>4974.304290263438</v>
      </c>
      <c r="M67" s="132">
        <f t="shared" si="18"/>
        <v>99655.5851713809</v>
      </c>
    </row>
    <row r="68" spans="1:13" ht="21">
      <c r="A68" s="166" t="s">
        <v>81</v>
      </c>
      <c r="B68" s="166" t="s">
        <v>91</v>
      </c>
      <c r="C68" s="132" t="s">
        <v>95</v>
      </c>
      <c r="D68" s="132">
        <v>379</v>
      </c>
      <c r="E68" s="132">
        <v>303.48</v>
      </c>
      <c r="F68" s="132">
        <v>22748049.53689051</v>
      </c>
      <c r="G68" s="132">
        <v>16401400.090405622</v>
      </c>
      <c r="H68" s="132">
        <v>2056808.6260580919</v>
      </c>
      <c r="I68" s="132">
        <f t="shared" si="4"/>
        <v>41206258.25335423</v>
      </c>
      <c r="J68" s="132">
        <f t="shared" si="15"/>
        <v>60021.23888361612</v>
      </c>
      <c r="K68" s="132">
        <f t="shared" si="16"/>
        <v>43275.46197996206</v>
      </c>
      <c r="L68" s="132">
        <f t="shared" si="17"/>
        <v>5426.93568880763</v>
      </c>
      <c r="M68" s="132">
        <f t="shared" si="18"/>
        <v>108723.63655238581</v>
      </c>
    </row>
    <row r="69" spans="1:13" ht="21">
      <c r="A69" s="166" t="s">
        <v>81</v>
      </c>
      <c r="B69" s="166" t="s">
        <v>91</v>
      </c>
      <c r="C69" s="132" t="s">
        <v>210</v>
      </c>
      <c r="D69" s="132">
        <v>39</v>
      </c>
      <c r="E69" s="132">
        <v>30.67</v>
      </c>
      <c r="F69" s="132">
        <v>2298941.2129182545</v>
      </c>
      <c r="G69" s="132">
        <v>1657542.3117593925</v>
      </c>
      <c r="H69" s="132">
        <v>207863.1888796681</v>
      </c>
      <c r="I69" s="132">
        <f t="shared" si="4"/>
        <v>4164346.7135573155</v>
      </c>
      <c r="J69" s="132">
        <f t="shared" si="15"/>
        <v>58947.210587647554</v>
      </c>
      <c r="K69" s="132">
        <f t="shared" si="16"/>
        <v>42501.0849169075</v>
      </c>
      <c r="L69" s="132">
        <f t="shared" si="17"/>
        <v>5329.8253558889255</v>
      </c>
      <c r="M69" s="132">
        <f t="shared" si="18"/>
        <v>106778.12086044397</v>
      </c>
    </row>
    <row r="70" spans="1:13" ht="21">
      <c r="A70" s="166" t="s">
        <v>81</v>
      </c>
      <c r="B70" s="166" t="s">
        <v>91</v>
      </c>
      <c r="C70" s="132" t="s">
        <v>406</v>
      </c>
      <c r="D70" s="132">
        <v>7</v>
      </c>
      <c r="E70" s="132">
        <v>1.42</v>
      </c>
      <c r="F70" s="132">
        <v>106439.40405425242</v>
      </c>
      <c r="G70" s="132">
        <v>76743.07410167386</v>
      </c>
      <c r="H70" s="132">
        <v>9623.923319502075</v>
      </c>
      <c r="I70" s="132">
        <f t="shared" si="4"/>
        <v>192806.40147542834</v>
      </c>
      <c r="J70" s="132">
        <f t="shared" si="15"/>
        <v>15205.629150607489</v>
      </c>
      <c r="K70" s="132">
        <f t="shared" si="16"/>
        <v>10963.296300239123</v>
      </c>
      <c r="L70" s="132">
        <f t="shared" si="17"/>
        <v>1374.8461885002964</v>
      </c>
      <c r="M70" s="132">
        <f t="shared" si="18"/>
        <v>27543.77163934691</v>
      </c>
    </row>
    <row r="71" spans="1:13" ht="21">
      <c r="A71" s="166" t="s">
        <v>81</v>
      </c>
      <c r="B71" s="166" t="s">
        <v>101</v>
      </c>
      <c r="C71" s="132" t="s">
        <v>219</v>
      </c>
      <c r="D71" s="132">
        <v>130</v>
      </c>
      <c r="E71" s="132">
        <v>84.53</v>
      </c>
      <c r="F71" s="132">
        <v>9426989.337910144</v>
      </c>
      <c r="G71" s="132">
        <v>4497221.59720145</v>
      </c>
      <c r="H71" s="132">
        <v>1043316.0619231673</v>
      </c>
      <c r="I71" s="132">
        <f aca="true" t="shared" si="19" ref="I71:I134">SUM(F71:H71)</f>
        <v>14967526.99703476</v>
      </c>
      <c r="J71" s="132">
        <f t="shared" si="15"/>
        <v>72515.3025993088</v>
      </c>
      <c r="K71" s="132">
        <f t="shared" si="16"/>
        <v>34594.012286165</v>
      </c>
      <c r="L71" s="132">
        <f t="shared" si="17"/>
        <v>8025.508168639749</v>
      </c>
      <c r="M71" s="132">
        <f t="shared" si="18"/>
        <v>115134.82305411354</v>
      </c>
    </row>
    <row r="72" spans="1:13" ht="21">
      <c r="A72" s="166" t="s">
        <v>81</v>
      </c>
      <c r="B72" s="166" t="s">
        <v>101</v>
      </c>
      <c r="C72" s="132" t="s">
        <v>220</v>
      </c>
      <c r="D72" s="132">
        <v>64</v>
      </c>
      <c r="E72" s="132">
        <v>45.33</v>
      </c>
      <c r="F72" s="132">
        <v>5055310.8563523805</v>
      </c>
      <c r="G72" s="132">
        <v>2411676.97860099</v>
      </c>
      <c r="H72" s="132">
        <v>559487.9579673155</v>
      </c>
      <c r="I72" s="132">
        <f t="shared" si="19"/>
        <v>8026475.792920686</v>
      </c>
      <c r="J72" s="132">
        <f t="shared" si="15"/>
        <v>78989.23213050594</v>
      </c>
      <c r="K72" s="132">
        <f t="shared" si="16"/>
        <v>37682.45279064047</v>
      </c>
      <c r="L72" s="132">
        <f t="shared" si="17"/>
        <v>8741.999343239304</v>
      </c>
      <c r="M72" s="132">
        <f t="shared" si="18"/>
        <v>125413.68426438572</v>
      </c>
    </row>
    <row r="73" spans="1:13" ht="21">
      <c r="A73" s="166" t="s">
        <v>81</v>
      </c>
      <c r="B73" s="166" t="s">
        <v>101</v>
      </c>
      <c r="C73" s="132" t="s">
        <v>412</v>
      </c>
      <c r="D73" s="132">
        <v>83</v>
      </c>
      <c r="E73" s="132">
        <v>59.61</v>
      </c>
      <c r="F73" s="132">
        <v>6647850.874634136</v>
      </c>
      <c r="G73" s="132">
        <v>3171411.0896625863</v>
      </c>
      <c r="H73" s="132">
        <v>735739.6244083758</v>
      </c>
      <c r="I73" s="132">
        <f t="shared" si="19"/>
        <v>10555001.588705098</v>
      </c>
      <c r="J73" s="132">
        <f t="shared" si="15"/>
        <v>80094.58885101369</v>
      </c>
      <c r="K73" s="132">
        <f t="shared" si="16"/>
        <v>38209.77216460947</v>
      </c>
      <c r="L73" s="132">
        <f t="shared" si="17"/>
        <v>8864.3328241973</v>
      </c>
      <c r="M73" s="132">
        <f t="shared" si="18"/>
        <v>127168.69383982045</v>
      </c>
    </row>
    <row r="74" spans="1:13" ht="21">
      <c r="A74" s="166" t="s">
        <v>81</v>
      </c>
      <c r="B74" s="166" t="s">
        <v>365</v>
      </c>
      <c r="C74" s="132" t="s">
        <v>163</v>
      </c>
      <c r="D74" s="132">
        <v>1</v>
      </c>
      <c r="E74" s="132">
        <v>0.25</v>
      </c>
      <c r="F74" s="132">
        <v>27880.60256095511</v>
      </c>
      <c r="G74" s="132">
        <v>13300.667210462112</v>
      </c>
      <c r="H74" s="132">
        <v>3085.6384180857904</v>
      </c>
      <c r="I74" s="132">
        <f t="shared" si="19"/>
        <v>44266.90818950302</v>
      </c>
      <c r="J74" s="132">
        <f t="shared" si="15"/>
        <v>27880.60256095511</v>
      </c>
      <c r="K74" s="132">
        <f t="shared" si="16"/>
        <v>13300.667210462112</v>
      </c>
      <c r="L74" s="132">
        <f t="shared" si="17"/>
        <v>3085.6384180857904</v>
      </c>
      <c r="M74" s="132">
        <f t="shared" si="18"/>
        <v>44266.90818950302</v>
      </c>
    </row>
    <row r="75" spans="1:13" ht="21">
      <c r="A75" s="166" t="s">
        <v>81</v>
      </c>
      <c r="B75" s="166" t="s">
        <v>365</v>
      </c>
      <c r="C75" s="132" t="s">
        <v>217</v>
      </c>
      <c r="D75" s="132">
        <v>2</v>
      </c>
      <c r="E75" s="132">
        <v>0.5</v>
      </c>
      <c r="F75" s="132">
        <v>55761.20512191022</v>
      </c>
      <c r="G75" s="132">
        <v>26601.334420924224</v>
      </c>
      <c r="H75" s="132">
        <v>6171.276836171581</v>
      </c>
      <c r="I75" s="132">
        <f t="shared" si="19"/>
        <v>88533.81637900604</v>
      </c>
      <c r="J75" s="132">
        <f t="shared" si="15"/>
        <v>27880.60256095511</v>
      </c>
      <c r="K75" s="132">
        <f t="shared" si="16"/>
        <v>13300.667210462112</v>
      </c>
      <c r="L75" s="132">
        <f t="shared" si="17"/>
        <v>3085.6384180857904</v>
      </c>
      <c r="M75" s="132">
        <f t="shared" si="18"/>
        <v>44266.90818950302</v>
      </c>
    </row>
    <row r="76" spans="1:13" ht="21">
      <c r="A76" s="166" t="s">
        <v>81</v>
      </c>
      <c r="B76" s="166" t="s">
        <v>365</v>
      </c>
      <c r="C76" s="132" t="s">
        <v>399</v>
      </c>
      <c r="D76" s="132">
        <v>1</v>
      </c>
      <c r="E76" s="132">
        <v>0.17</v>
      </c>
      <c r="F76" s="132">
        <v>18958.809741449477</v>
      </c>
      <c r="G76" s="132">
        <v>9044.453703114237</v>
      </c>
      <c r="H76" s="132">
        <v>2098.2341242983375</v>
      </c>
      <c r="I76" s="132">
        <f t="shared" si="19"/>
        <v>30101.497568862054</v>
      </c>
      <c r="J76" s="132">
        <f t="shared" si="15"/>
        <v>18958.809741449477</v>
      </c>
      <c r="K76" s="132">
        <f t="shared" si="16"/>
        <v>9044.453703114237</v>
      </c>
      <c r="L76" s="132">
        <f t="shared" si="17"/>
        <v>2098.2341242983375</v>
      </c>
      <c r="M76" s="132">
        <f t="shared" si="18"/>
        <v>30101.497568862054</v>
      </c>
    </row>
    <row r="77" spans="1:13" ht="21">
      <c r="A77" s="166" t="s">
        <v>222</v>
      </c>
      <c r="B77" s="166" t="s">
        <v>101</v>
      </c>
      <c r="C77" s="132" t="s">
        <v>211</v>
      </c>
      <c r="D77" s="132">
        <v>48</v>
      </c>
      <c r="E77" s="132">
        <v>33.5</v>
      </c>
      <c r="F77" s="132">
        <v>3736000.7431679848</v>
      </c>
      <c r="G77" s="132">
        <v>1782289.4062019233</v>
      </c>
      <c r="H77" s="132">
        <v>413475.54802349594</v>
      </c>
      <c r="I77" s="132">
        <f t="shared" si="19"/>
        <v>5931765.697393404</v>
      </c>
      <c r="J77" s="132">
        <f t="shared" si="15"/>
        <v>77833.34881599968</v>
      </c>
      <c r="K77" s="132">
        <f t="shared" si="16"/>
        <v>37131.0292958734</v>
      </c>
      <c r="L77" s="132">
        <f t="shared" si="17"/>
        <v>8614.073917156165</v>
      </c>
      <c r="M77" s="132">
        <f t="shared" si="18"/>
        <v>123578.45202902926</v>
      </c>
    </row>
    <row r="78" spans="1:13" ht="21">
      <c r="A78" s="166" t="s">
        <v>222</v>
      </c>
      <c r="B78" s="166" t="s">
        <v>101</v>
      </c>
      <c r="C78" s="132" t="s">
        <v>212</v>
      </c>
      <c r="D78" s="132">
        <v>27</v>
      </c>
      <c r="E78" s="132">
        <v>13.39</v>
      </c>
      <c r="F78" s="132">
        <v>1493285.073164756</v>
      </c>
      <c r="G78" s="132">
        <v>712383.7357923507</v>
      </c>
      <c r="H78" s="132">
        <v>165266.79367267495</v>
      </c>
      <c r="I78" s="132">
        <f t="shared" si="19"/>
        <v>2370935.6026297812</v>
      </c>
      <c r="J78" s="132">
        <f t="shared" si="15"/>
        <v>55306.85456165763</v>
      </c>
      <c r="K78" s="132">
        <f t="shared" si="16"/>
        <v>26384.5828071241</v>
      </c>
      <c r="L78" s="132">
        <f t="shared" si="17"/>
        <v>6120.99235824722</v>
      </c>
      <c r="M78" s="132">
        <f t="shared" si="18"/>
        <v>87812.42972702895</v>
      </c>
    </row>
    <row r="79" spans="1:13" ht="21">
      <c r="A79" s="166" t="s">
        <v>222</v>
      </c>
      <c r="B79" s="166" t="s">
        <v>101</v>
      </c>
      <c r="C79" s="132" t="s">
        <v>213</v>
      </c>
      <c r="D79" s="132">
        <v>50</v>
      </c>
      <c r="E79" s="132">
        <v>22.08</v>
      </c>
      <c r="F79" s="132">
        <v>2462414.8181835553</v>
      </c>
      <c r="G79" s="132">
        <v>1174714.9280280136</v>
      </c>
      <c r="H79" s="132">
        <v>272523.585085337</v>
      </c>
      <c r="I79" s="132">
        <f t="shared" si="19"/>
        <v>3909653.331296906</v>
      </c>
      <c r="J79" s="132">
        <f t="shared" si="15"/>
        <v>49248.29636367111</v>
      </c>
      <c r="K79" s="132">
        <f t="shared" si="16"/>
        <v>23494.29856056027</v>
      </c>
      <c r="L79" s="132">
        <f t="shared" si="17"/>
        <v>5450.47170170674</v>
      </c>
      <c r="M79" s="132">
        <f t="shared" si="18"/>
        <v>78193.06662593813</v>
      </c>
    </row>
    <row r="80" spans="1:13" ht="21">
      <c r="A80" s="166" t="s">
        <v>222</v>
      </c>
      <c r="B80" s="166" t="s">
        <v>101</v>
      </c>
      <c r="C80" s="132" t="s">
        <v>366</v>
      </c>
      <c r="D80" s="132">
        <v>24</v>
      </c>
      <c r="E80" s="132">
        <v>13.33</v>
      </c>
      <c r="F80" s="132">
        <v>1486593.7285501265</v>
      </c>
      <c r="G80" s="132">
        <v>709191.5756618398</v>
      </c>
      <c r="H80" s="132">
        <v>164526.2404523343</v>
      </c>
      <c r="I80" s="132">
        <f t="shared" si="19"/>
        <v>2360311.5446643005</v>
      </c>
      <c r="J80" s="132">
        <f t="shared" si="15"/>
        <v>61941.40535625527</v>
      </c>
      <c r="K80" s="132">
        <f t="shared" si="16"/>
        <v>29549.648985909993</v>
      </c>
      <c r="L80" s="132">
        <f t="shared" si="17"/>
        <v>6855.260018847263</v>
      </c>
      <c r="M80" s="132">
        <f t="shared" si="18"/>
        <v>98346.31436101253</v>
      </c>
    </row>
    <row r="81" spans="1:13" ht="21">
      <c r="A81" s="166" t="s">
        <v>222</v>
      </c>
      <c r="B81" s="166" t="s">
        <v>101</v>
      </c>
      <c r="C81" s="132" t="s">
        <v>214</v>
      </c>
      <c r="D81" s="132">
        <v>34</v>
      </c>
      <c r="E81" s="132">
        <v>28.53</v>
      </c>
      <c r="F81" s="132">
        <v>3181734.3642561976</v>
      </c>
      <c r="G81" s="132">
        <v>1517872.1420579362</v>
      </c>
      <c r="H81" s="132">
        <v>352133.05627195037</v>
      </c>
      <c r="I81" s="132">
        <f t="shared" si="19"/>
        <v>5051739.562586085</v>
      </c>
      <c r="J81" s="132">
        <f t="shared" si="15"/>
        <v>93580.42247812345</v>
      </c>
      <c r="K81" s="132">
        <f t="shared" si="16"/>
        <v>44643.29829582165</v>
      </c>
      <c r="L81" s="132">
        <f t="shared" si="17"/>
        <v>10356.854596233834</v>
      </c>
      <c r="M81" s="132">
        <f t="shared" si="18"/>
        <v>148580.57537017894</v>
      </c>
    </row>
    <row r="82" spans="1:13" ht="21">
      <c r="A82" s="166" t="s">
        <v>222</v>
      </c>
      <c r="B82" s="166" t="s">
        <v>101</v>
      </c>
      <c r="C82" s="132" t="s">
        <v>400</v>
      </c>
      <c r="D82" s="132">
        <v>8</v>
      </c>
      <c r="E82" s="132">
        <v>2.56</v>
      </c>
      <c r="F82" s="132">
        <v>285497.37022418034</v>
      </c>
      <c r="G82" s="132">
        <v>136198.83223513205</v>
      </c>
      <c r="H82" s="132">
        <v>31596.937401198495</v>
      </c>
      <c r="I82" s="132">
        <f t="shared" si="19"/>
        <v>453293.1398605109</v>
      </c>
      <c r="J82" s="132">
        <f t="shared" si="15"/>
        <v>35687.17127802254</v>
      </c>
      <c r="K82" s="132">
        <f t="shared" si="16"/>
        <v>17024.854029391507</v>
      </c>
      <c r="L82" s="132">
        <f t="shared" si="17"/>
        <v>3949.617175149812</v>
      </c>
      <c r="M82" s="132">
        <f t="shared" si="18"/>
        <v>56661.64248256386</v>
      </c>
    </row>
    <row r="83" spans="1:13" ht="21">
      <c r="A83" s="166" t="s">
        <v>222</v>
      </c>
      <c r="B83" s="166" t="s">
        <v>101</v>
      </c>
      <c r="C83" s="132" t="s">
        <v>215</v>
      </c>
      <c r="D83" s="132">
        <v>35</v>
      </c>
      <c r="E83" s="132">
        <v>22.75</v>
      </c>
      <c r="F83" s="132">
        <v>2537134.833046915</v>
      </c>
      <c r="G83" s="132">
        <v>1210360.7161520524</v>
      </c>
      <c r="H83" s="132">
        <v>280793.0960458069</v>
      </c>
      <c r="I83" s="132">
        <f t="shared" si="19"/>
        <v>4028288.6452447744</v>
      </c>
      <c r="J83" s="132">
        <f t="shared" si="15"/>
        <v>72489.56665848328</v>
      </c>
      <c r="K83" s="132">
        <f t="shared" si="16"/>
        <v>34581.734747201495</v>
      </c>
      <c r="L83" s="132">
        <f t="shared" si="17"/>
        <v>8022.659887023054</v>
      </c>
      <c r="M83" s="132">
        <f t="shared" si="18"/>
        <v>115093.96129270783</v>
      </c>
    </row>
    <row r="84" spans="1:13" ht="21">
      <c r="A84" s="166" t="s">
        <v>222</v>
      </c>
      <c r="B84" s="166" t="s">
        <v>101</v>
      </c>
      <c r="C84" s="132" t="s">
        <v>216</v>
      </c>
      <c r="D84" s="132">
        <v>9</v>
      </c>
      <c r="E84" s="132">
        <v>8.56</v>
      </c>
      <c r="F84" s="132">
        <v>954631.8316871031</v>
      </c>
      <c r="G84" s="132">
        <v>455414.84528622276</v>
      </c>
      <c r="H84" s="132">
        <v>105652.25943525747</v>
      </c>
      <c r="I84" s="132">
        <f t="shared" si="19"/>
        <v>1515698.9364085833</v>
      </c>
      <c r="J84" s="132">
        <f t="shared" si="15"/>
        <v>106070.20352078923</v>
      </c>
      <c r="K84" s="132">
        <f t="shared" si="16"/>
        <v>50601.649476246974</v>
      </c>
      <c r="L84" s="132">
        <f t="shared" si="17"/>
        <v>11739.13993725083</v>
      </c>
      <c r="M84" s="132">
        <f t="shared" si="18"/>
        <v>168410.99293428703</v>
      </c>
    </row>
    <row r="85" spans="1:13" ht="21">
      <c r="A85" s="166" t="s">
        <v>222</v>
      </c>
      <c r="B85" s="166" t="s">
        <v>367</v>
      </c>
      <c r="C85" s="132" t="s">
        <v>163</v>
      </c>
      <c r="D85" s="132">
        <v>78</v>
      </c>
      <c r="E85" s="132">
        <v>54.28</v>
      </c>
      <c r="F85" s="132">
        <v>3438275.619125894</v>
      </c>
      <c r="G85" s="132">
        <v>1560602.29519386</v>
      </c>
      <c r="H85" s="132">
        <v>559764.8007244153</v>
      </c>
      <c r="I85" s="132">
        <f t="shared" si="19"/>
        <v>5558642.715044169</v>
      </c>
      <c r="J85" s="132">
        <f>+F85/D85</f>
        <v>44080.45665546018</v>
      </c>
      <c r="K85" s="132">
        <f t="shared" si="16"/>
        <v>20007.721733254617</v>
      </c>
      <c r="L85" s="132">
        <f t="shared" si="17"/>
        <v>7176.471804159171</v>
      </c>
      <c r="M85" s="132">
        <f t="shared" si="18"/>
        <v>71264.65019287396</v>
      </c>
    </row>
    <row r="86" spans="1:13" ht="21">
      <c r="A86" s="166" t="s">
        <v>222</v>
      </c>
      <c r="B86" s="166" t="s">
        <v>367</v>
      </c>
      <c r="C86" s="132" t="s">
        <v>164</v>
      </c>
      <c r="D86" s="132">
        <v>78</v>
      </c>
      <c r="E86" s="132">
        <v>59.19</v>
      </c>
      <c r="F86" s="132">
        <v>3749291.3392789545</v>
      </c>
      <c r="G86" s="132">
        <v>1701769.5256544687</v>
      </c>
      <c r="H86" s="132">
        <v>610399.3838407911</v>
      </c>
      <c r="I86" s="132">
        <f t="shared" si="19"/>
        <v>6061460.248774215</v>
      </c>
      <c r="J86" s="132">
        <f t="shared" si="15"/>
        <v>48067.83768306352</v>
      </c>
      <c r="K86" s="132">
        <f t="shared" si="16"/>
        <v>21817.558021211138</v>
      </c>
      <c r="L86" s="132">
        <f t="shared" si="17"/>
        <v>7825.633126163988</v>
      </c>
      <c r="M86" s="132">
        <f t="shared" si="18"/>
        <v>77711.02883043863</v>
      </c>
    </row>
    <row r="87" spans="1:13" ht="21">
      <c r="A87" s="166" t="s">
        <v>222</v>
      </c>
      <c r="B87" s="166" t="s">
        <v>367</v>
      </c>
      <c r="C87" s="132" t="s">
        <v>217</v>
      </c>
      <c r="D87" s="132">
        <v>19</v>
      </c>
      <c r="E87" s="132">
        <v>3.42</v>
      </c>
      <c r="F87" s="132">
        <v>216634.16760152092</v>
      </c>
      <c r="G87" s="132">
        <v>98328.2949440494</v>
      </c>
      <c r="H87" s="132">
        <v>35268.8949608972</v>
      </c>
      <c r="I87" s="132">
        <f t="shared" si="19"/>
        <v>350231.35750646755</v>
      </c>
      <c r="J87" s="132">
        <f t="shared" si="15"/>
        <v>11401.79829481689</v>
      </c>
      <c r="K87" s="132">
        <f t="shared" si="16"/>
        <v>5175.173418107863</v>
      </c>
      <c r="L87" s="132">
        <f t="shared" si="17"/>
        <v>1856.2576295209055</v>
      </c>
      <c r="M87" s="132">
        <f t="shared" si="18"/>
        <v>18433.22934244566</v>
      </c>
    </row>
    <row r="88" spans="1:13" ht="21">
      <c r="A88" s="166" t="s">
        <v>222</v>
      </c>
      <c r="B88" s="166" t="s">
        <v>367</v>
      </c>
      <c r="C88" s="132" t="s">
        <v>399</v>
      </c>
      <c r="D88" s="132">
        <v>22</v>
      </c>
      <c r="E88" s="132">
        <v>19.94</v>
      </c>
      <c r="F88" s="132">
        <v>1263065.8777702712</v>
      </c>
      <c r="G88" s="132">
        <v>573294.2108726156</v>
      </c>
      <c r="H88" s="132">
        <v>205632.09518137143</v>
      </c>
      <c r="I88" s="132">
        <f t="shared" si="19"/>
        <v>2041992.1838242584</v>
      </c>
      <c r="J88" s="132">
        <f t="shared" si="15"/>
        <v>57412.08535319415</v>
      </c>
      <c r="K88" s="132">
        <f t="shared" si="16"/>
        <v>26058.827766937073</v>
      </c>
      <c r="L88" s="132">
        <f t="shared" si="17"/>
        <v>9346.913417335065</v>
      </c>
      <c r="M88" s="132">
        <f t="shared" si="18"/>
        <v>92817.82653746627</v>
      </c>
    </row>
    <row r="89" spans="1:13" ht="21">
      <c r="A89" s="166" t="s">
        <v>222</v>
      </c>
      <c r="B89" s="166" t="s">
        <v>367</v>
      </c>
      <c r="C89" s="132" t="s">
        <v>402</v>
      </c>
      <c r="D89" s="132">
        <v>9</v>
      </c>
      <c r="E89" s="132">
        <v>2.67</v>
      </c>
      <c r="F89" s="132">
        <v>169126.67470645055</v>
      </c>
      <c r="G89" s="132">
        <v>76765.07236859997</v>
      </c>
      <c r="H89" s="132">
        <v>27534.488171226767</v>
      </c>
      <c r="I89" s="132">
        <f t="shared" si="19"/>
        <v>273426.2352462773</v>
      </c>
      <c r="J89" s="132">
        <f>+F89/D89</f>
        <v>18791.852745161174</v>
      </c>
      <c r="K89" s="132">
        <f t="shared" si="16"/>
        <v>8529.452485399997</v>
      </c>
      <c r="L89" s="132">
        <f t="shared" si="17"/>
        <v>3059.387574580752</v>
      </c>
      <c r="M89" s="132">
        <f t="shared" si="18"/>
        <v>30380.692805141924</v>
      </c>
    </row>
    <row r="90" spans="1:14" s="28" customFormat="1" ht="21">
      <c r="A90" s="192"/>
      <c r="B90" s="192"/>
      <c r="C90" s="193" t="s">
        <v>188</v>
      </c>
      <c r="D90" s="194">
        <f>SUM(D56:D89)</f>
        <v>2481</v>
      </c>
      <c r="E90" s="194">
        <f>SUM(E56:E89)</f>
        <v>1802.65</v>
      </c>
      <c r="F90" s="194">
        <f>SUM(F56:F89)</f>
        <v>143046293.93397304</v>
      </c>
      <c r="G90" s="194">
        <f>SUM(G56:G89)</f>
        <v>85145466.48862672</v>
      </c>
      <c r="H90" s="194">
        <f>SUM(H56:H89)</f>
        <v>15143357.467774674</v>
      </c>
      <c r="I90" s="194">
        <f>SUM(F90:H90)</f>
        <v>243335117.89037442</v>
      </c>
      <c r="J90" s="194">
        <f>+F90/D90</f>
        <v>57656.70855863484</v>
      </c>
      <c r="K90" s="194">
        <f>+G90/D90</f>
        <v>34319.01107965608</v>
      </c>
      <c r="L90" s="194">
        <f>+H90/D90</f>
        <v>6103.731345334411</v>
      </c>
      <c r="M90" s="194">
        <f t="shared" si="18"/>
        <v>98079.45098362533</v>
      </c>
      <c r="N90" s="164"/>
    </row>
    <row r="91" spans="1:14" s="28" customFormat="1" ht="21">
      <c r="A91" s="192"/>
      <c r="B91" s="192"/>
      <c r="C91" s="193" t="s">
        <v>186</v>
      </c>
      <c r="D91" s="194"/>
      <c r="E91" s="194"/>
      <c r="F91" s="194"/>
      <c r="G91" s="194"/>
      <c r="H91" s="194"/>
      <c r="I91" s="194"/>
      <c r="J91" s="194">
        <f>+J90*100/M90</f>
        <v>58.78571706958352</v>
      </c>
      <c r="K91" s="194">
        <f>+K90*100/M90</f>
        <v>34.99103098098066</v>
      </c>
      <c r="L91" s="194">
        <f>+L90*100/M90</f>
        <v>6.223251949435819</v>
      </c>
      <c r="M91" s="194">
        <f aca="true" t="shared" si="20" ref="M91:M98">SUM(J91:L91)</f>
        <v>100</v>
      </c>
      <c r="N91" s="164"/>
    </row>
    <row r="92" spans="1:13" ht="21">
      <c r="A92" s="166" t="s">
        <v>96</v>
      </c>
      <c r="B92" s="166" t="s">
        <v>91</v>
      </c>
      <c r="C92" s="132" t="s">
        <v>97</v>
      </c>
      <c r="D92" s="132">
        <v>52</v>
      </c>
      <c r="E92" s="132">
        <v>39</v>
      </c>
      <c r="F92" s="132">
        <v>2923335.7451520027</v>
      </c>
      <c r="G92" s="132">
        <v>2107732.316876958</v>
      </c>
      <c r="H92" s="132">
        <v>264319.020746888</v>
      </c>
      <c r="I92" s="132">
        <f t="shared" si="19"/>
        <v>5295387.082775849</v>
      </c>
      <c r="J92" s="132">
        <f>+F92/D92</f>
        <v>56217.99509907697</v>
      </c>
      <c r="K92" s="132">
        <f>+G92/D92</f>
        <v>40533.31378609535</v>
      </c>
      <c r="L92" s="132">
        <f>+H92/D92</f>
        <v>5083.058091286308</v>
      </c>
      <c r="M92" s="132">
        <f t="shared" si="20"/>
        <v>101834.36697645864</v>
      </c>
    </row>
    <row r="93" spans="1:14" s="28" customFormat="1" ht="21">
      <c r="A93" s="192"/>
      <c r="B93" s="192"/>
      <c r="C93" s="193" t="s">
        <v>188</v>
      </c>
      <c r="D93" s="194">
        <f>SUM(D92)</f>
        <v>52</v>
      </c>
      <c r="E93" s="194">
        <f>SUM(E92)</f>
        <v>39</v>
      </c>
      <c r="F93" s="194">
        <f>SUM(F92)</f>
        <v>2923335.7451520027</v>
      </c>
      <c r="G93" s="194">
        <f>SUM(G92)</f>
        <v>2107732.316876958</v>
      </c>
      <c r="H93" s="194">
        <f>SUM(H92)</f>
        <v>264319.020746888</v>
      </c>
      <c r="I93" s="194">
        <f>SUM(F93:H93)</f>
        <v>5295387.082775849</v>
      </c>
      <c r="J93" s="194">
        <f>+F93/D93</f>
        <v>56217.99509907697</v>
      </c>
      <c r="K93" s="194">
        <f>+G93/D93</f>
        <v>40533.31378609535</v>
      </c>
      <c r="L93" s="194">
        <f>+H93/D93</f>
        <v>5083.058091286308</v>
      </c>
      <c r="M93" s="194">
        <f t="shared" si="20"/>
        <v>101834.36697645864</v>
      </c>
      <c r="N93" s="164"/>
    </row>
    <row r="94" spans="1:14" s="28" customFormat="1" ht="21">
      <c r="A94" s="192"/>
      <c r="B94" s="192"/>
      <c r="C94" s="193" t="s">
        <v>186</v>
      </c>
      <c r="D94" s="194"/>
      <c r="E94" s="194"/>
      <c r="F94" s="194"/>
      <c r="G94" s="194"/>
      <c r="H94" s="194"/>
      <c r="I94" s="194"/>
      <c r="J94" s="194">
        <f>+J93*100/M93</f>
        <v>55.20532681474129</v>
      </c>
      <c r="K94" s="194">
        <f>+K93*100/M93</f>
        <v>39.80317744349072</v>
      </c>
      <c r="L94" s="194">
        <f>+L93*100/M93</f>
        <v>4.991495741767977</v>
      </c>
      <c r="M94" s="194">
        <f t="shared" si="20"/>
        <v>99.99999999999999</v>
      </c>
      <c r="N94" s="164"/>
    </row>
    <row r="95" spans="1:13" ht="21">
      <c r="A95" s="166" t="s">
        <v>99</v>
      </c>
      <c r="B95" s="166" t="s">
        <v>91</v>
      </c>
      <c r="C95" s="132" t="s">
        <v>100</v>
      </c>
      <c r="D95" s="132">
        <v>148</v>
      </c>
      <c r="E95" s="132">
        <v>127.69</v>
      </c>
      <c r="F95" s="132">
        <v>9571301.058934852</v>
      </c>
      <c r="G95" s="132">
        <v>6900931.783128686</v>
      </c>
      <c r="H95" s="132">
        <v>865407.5835684648</v>
      </c>
      <c r="I95" s="132">
        <f t="shared" si="19"/>
        <v>17337640.425632004</v>
      </c>
      <c r="J95" s="132">
        <f>+F95/D95</f>
        <v>64670.95310091117</v>
      </c>
      <c r="K95" s="132">
        <f>+G95/D95</f>
        <v>46627.917453572205</v>
      </c>
      <c r="L95" s="132">
        <f>+H95/D95</f>
        <v>5847.348537624763</v>
      </c>
      <c r="M95" s="132">
        <f t="shared" si="20"/>
        <v>117146.21909210813</v>
      </c>
    </row>
    <row r="96" spans="1:14" s="28" customFormat="1" ht="21">
      <c r="A96" s="192"/>
      <c r="B96" s="192"/>
      <c r="C96" s="193" t="s">
        <v>188</v>
      </c>
      <c r="D96" s="194">
        <f>SUM(D95)</f>
        <v>148</v>
      </c>
      <c r="E96" s="194">
        <f>SUM(E95)</f>
        <v>127.69</v>
      </c>
      <c r="F96" s="194">
        <f>SUM(F95)</f>
        <v>9571301.058934852</v>
      </c>
      <c r="G96" s="194">
        <f>SUM(G95)</f>
        <v>6900931.783128686</v>
      </c>
      <c r="H96" s="194">
        <f>SUM(H95)</f>
        <v>865407.5835684648</v>
      </c>
      <c r="I96" s="194">
        <f>SUM(F96:H96)</f>
        <v>17337640.425632004</v>
      </c>
      <c r="J96" s="194">
        <f>+F96/D96</f>
        <v>64670.95310091117</v>
      </c>
      <c r="K96" s="194">
        <f>+G96/D96</f>
        <v>46627.917453572205</v>
      </c>
      <c r="L96" s="194">
        <f>+H96/D96</f>
        <v>5847.348537624763</v>
      </c>
      <c r="M96" s="194">
        <f t="shared" si="20"/>
        <v>117146.21909210813</v>
      </c>
      <c r="N96" s="164"/>
    </row>
    <row r="97" spans="1:14" s="28" customFormat="1" ht="21">
      <c r="A97" s="192"/>
      <c r="B97" s="192"/>
      <c r="C97" s="193" t="s">
        <v>186</v>
      </c>
      <c r="D97" s="194"/>
      <c r="E97" s="194"/>
      <c r="F97" s="194"/>
      <c r="G97" s="194"/>
      <c r="H97" s="194"/>
      <c r="I97" s="194"/>
      <c r="J97" s="194">
        <f>+J96*100/M96</f>
        <v>55.2053268147413</v>
      </c>
      <c r="K97" s="194">
        <f>+K96*100/M96</f>
        <v>39.80317744349072</v>
      </c>
      <c r="L97" s="194">
        <f>+L96*100/M96</f>
        <v>4.991495741767977</v>
      </c>
      <c r="M97" s="194">
        <f t="shared" si="20"/>
        <v>100</v>
      </c>
      <c r="N97" s="164"/>
    </row>
    <row r="98" spans="1:13" ht="21">
      <c r="A98" s="166" t="s">
        <v>103</v>
      </c>
      <c r="B98" s="166" t="s">
        <v>367</v>
      </c>
      <c r="C98" s="132" t="s">
        <v>408</v>
      </c>
      <c r="D98" s="132">
        <v>13</v>
      </c>
      <c r="E98" s="132">
        <v>6.97</v>
      </c>
      <c r="F98" s="132">
        <v>441502.9673048541</v>
      </c>
      <c r="G98" s="132">
        <v>200394.21513451</v>
      </c>
      <c r="H98" s="132">
        <v>71878.42043200394</v>
      </c>
      <c r="I98" s="132">
        <f t="shared" si="19"/>
        <v>713775.6028713679</v>
      </c>
      <c r="J98" s="132">
        <f>+F98/D98</f>
        <v>33961.76671575801</v>
      </c>
      <c r="K98" s="132">
        <f>+G98/D98</f>
        <v>15414.93962573154</v>
      </c>
      <c r="L98" s="132">
        <f>+H98/D98</f>
        <v>5529.1092640003035</v>
      </c>
      <c r="M98" s="132">
        <f t="shared" si="20"/>
        <v>54905.81560548985</v>
      </c>
    </row>
    <row r="99" spans="1:13" ht="21">
      <c r="A99" s="166" t="s">
        <v>103</v>
      </c>
      <c r="B99" s="166" t="s">
        <v>367</v>
      </c>
      <c r="C99" s="132" t="s">
        <v>369</v>
      </c>
      <c r="D99" s="132">
        <v>63</v>
      </c>
      <c r="E99" s="132">
        <v>53.69</v>
      </c>
      <c r="F99" s="132">
        <v>3400903.0580484383</v>
      </c>
      <c r="G99" s="132">
        <v>1543639.2267678396</v>
      </c>
      <c r="H99" s="132">
        <v>553680.4007165412</v>
      </c>
      <c r="I99" s="132">
        <f t="shared" si="19"/>
        <v>5498222.6855328195</v>
      </c>
      <c r="J99" s="132">
        <f aca="true" t="shared" si="21" ref="J99:J114">+F99/D99</f>
        <v>53982.588222991086</v>
      </c>
      <c r="K99" s="132">
        <f aca="true" t="shared" si="22" ref="K99:K114">+G99/D99</f>
        <v>24502.20994869587</v>
      </c>
      <c r="L99" s="132">
        <f aca="true" t="shared" si="23" ref="L99:L114">+H99/D99</f>
        <v>8788.577789151448</v>
      </c>
      <c r="M99" s="132">
        <f aca="true" t="shared" si="24" ref="M99:M114">SUM(J99:L99)</f>
        <v>87273.3759608384</v>
      </c>
    </row>
    <row r="100" spans="1:13" ht="21">
      <c r="A100" s="166" t="s">
        <v>103</v>
      </c>
      <c r="B100" s="166" t="s">
        <v>367</v>
      </c>
      <c r="C100" s="132" t="s">
        <v>401</v>
      </c>
      <c r="D100" s="132">
        <v>12</v>
      </c>
      <c r="E100" s="132">
        <v>4.94</v>
      </c>
      <c r="F100" s="132">
        <v>312916.01986886363</v>
      </c>
      <c r="G100" s="132">
        <v>142029.75936362692</v>
      </c>
      <c r="H100" s="132">
        <v>50943.95938796263</v>
      </c>
      <c r="I100" s="132">
        <f t="shared" si="19"/>
        <v>505889.7386204532</v>
      </c>
      <c r="J100" s="132">
        <f t="shared" si="21"/>
        <v>26076.33498907197</v>
      </c>
      <c r="K100" s="132">
        <f t="shared" si="22"/>
        <v>11835.813280302244</v>
      </c>
      <c r="L100" s="132">
        <f t="shared" si="23"/>
        <v>4245.329948996886</v>
      </c>
      <c r="M100" s="132">
        <f t="shared" si="24"/>
        <v>42157.4782183711</v>
      </c>
    </row>
    <row r="101" spans="1:13" ht="21">
      <c r="A101" s="166" t="s">
        <v>103</v>
      </c>
      <c r="B101" s="166" t="s">
        <v>367</v>
      </c>
      <c r="C101" s="132" t="s">
        <v>370</v>
      </c>
      <c r="D101" s="132">
        <v>126</v>
      </c>
      <c r="E101" s="132">
        <v>101.78</v>
      </c>
      <c r="F101" s="132">
        <v>6447083.50248035</v>
      </c>
      <c r="G101" s="132">
        <v>2926273.0583056575</v>
      </c>
      <c r="H101" s="132">
        <v>1049610.5640702099</v>
      </c>
      <c r="I101" s="132">
        <f t="shared" si="19"/>
        <v>10422967.124856219</v>
      </c>
      <c r="J101" s="132">
        <f t="shared" si="21"/>
        <v>51167.329384764686</v>
      </c>
      <c r="K101" s="132">
        <f t="shared" si="22"/>
        <v>23224.389351632202</v>
      </c>
      <c r="L101" s="132">
        <f t="shared" si="23"/>
        <v>8330.242571985793</v>
      </c>
      <c r="M101" s="132">
        <f t="shared" si="24"/>
        <v>82721.96130838268</v>
      </c>
    </row>
    <row r="102" spans="1:13" ht="21">
      <c r="A102" s="166" t="s">
        <v>103</v>
      </c>
      <c r="B102" s="166" t="s">
        <v>107</v>
      </c>
      <c r="C102" s="132" t="s">
        <v>106</v>
      </c>
      <c r="D102" s="132">
        <v>345</v>
      </c>
      <c r="E102" s="132">
        <v>248.58</v>
      </c>
      <c r="F102" s="132">
        <v>11926057.13952862</v>
      </c>
      <c r="G102" s="132">
        <v>8302254.660239288</v>
      </c>
      <c r="H102" s="132">
        <v>1436631.2516079184</v>
      </c>
      <c r="I102" s="132">
        <f t="shared" si="19"/>
        <v>21664943.051375825</v>
      </c>
      <c r="J102" s="132">
        <f t="shared" si="21"/>
        <v>34568.28156385107</v>
      </c>
      <c r="K102" s="132">
        <f t="shared" si="22"/>
        <v>24064.506261563154</v>
      </c>
      <c r="L102" s="132">
        <f t="shared" si="23"/>
        <v>4164.148555385271</v>
      </c>
      <c r="M102" s="132">
        <f t="shared" si="24"/>
        <v>62796.936380799496</v>
      </c>
    </row>
    <row r="103" spans="1:13" ht="21">
      <c r="A103" s="166" t="s">
        <v>103</v>
      </c>
      <c r="B103" s="166" t="s">
        <v>107</v>
      </c>
      <c r="C103" s="132" t="s">
        <v>108</v>
      </c>
      <c r="D103" s="132">
        <v>207</v>
      </c>
      <c r="E103" s="132">
        <v>145.78</v>
      </c>
      <c r="F103" s="132">
        <v>6994048.635451291</v>
      </c>
      <c r="G103" s="132">
        <v>4868865.895766688</v>
      </c>
      <c r="H103" s="132">
        <v>842513.8943575603</v>
      </c>
      <c r="I103" s="132">
        <f t="shared" si="19"/>
        <v>12705428.425575538</v>
      </c>
      <c r="J103" s="132">
        <f t="shared" si="21"/>
        <v>33787.67456739754</v>
      </c>
      <c r="K103" s="132">
        <f t="shared" si="22"/>
        <v>23521.09128389704</v>
      </c>
      <c r="L103" s="132">
        <f t="shared" si="23"/>
        <v>4070.1154316790353</v>
      </c>
      <c r="M103" s="132">
        <f t="shared" si="24"/>
        <v>61378.88128297361</v>
      </c>
    </row>
    <row r="104" spans="1:13" ht="21">
      <c r="A104" s="166" t="s">
        <v>103</v>
      </c>
      <c r="B104" s="166" t="s">
        <v>107</v>
      </c>
      <c r="C104" s="132" t="s">
        <v>109</v>
      </c>
      <c r="D104" s="132">
        <v>224</v>
      </c>
      <c r="E104" s="132">
        <v>153.7</v>
      </c>
      <c r="F104" s="132">
        <v>7374024.387905496</v>
      </c>
      <c r="G104" s="132">
        <v>5133383.785013993</v>
      </c>
      <c r="H104" s="132">
        <v>888286.3600134243</v>
      </c>
      <c r="I104" s="132">
        <f t="shared" si="19"/>
        <v>13395694.532932913</v>
      </c>
      <c r="J104" s="132">
        <f t="shared" si="21"/>
        <v>32919.751731720964</v>
      </c>
      <c r="K104" s="132">
        <f t="shared" si="22"/>
        <v>22916.8918973839</v>
      </c>
      <c r="L104" s="132">
        <f t="shared" si="23"/>
        <v>3965.564107202787</v>
      </c>
      <c r="M104" s="132">
        <f t="shared" si="24"/>
        <v>59802.207736307646</v>
      </c>
    </row>
    <row r="105" spans="1:13" ht="21">
      <c r="A105" s="166" t="s">
        <v>103</v>
      </c>
      <c r="B105" s="166" t="s">
        <v>107</v>
      </c>
      <c r="C105" s="132" t="s">
        <v>110</v>
      </c>
      <c r="D105" s="132">
        <v>268</v>
      </c>
      <c r="E105" s="132">
        <v>233</v>
      </c>
      <c r="F105" s="132">
        <v>11178579.58608966</v>
      </c>
      <c r="G105" s="132">
        <v>7781902.549826027</v>
      </c>
      <c r="H105" s="132">
        <v>1346588.9517444884</v>
      </c>
      <c r="I105" s="132">
        <f t="shared" si="19"/>
        <v>20307071.087660175</v>
      </c>
      <c r="J105" s="132">
        <f t="shared" si="21"/>
        <v>41711.117858543505</v>
      </c>
      <c r="K105" s="132">
        <f t="shared" si="22"/>
        <v>29036.94981278368</v>
      </c>
      <c r="L105" s="132">
        <f t="shared" si="23"/>
        <v>5024.585640837643</v>
      </c>
      <c r="M105" s="132">
        <f t="shared" si="24"/>
        <v>75772.65331216482</v>
      </c>
    </row>
    <row r="106" spans="1:13" ht="21">
      <c r="A106" s="166" t="s">
        <v>103</v>
      </c>
      <c r="B106" s="166" t="s">
        <v>107</v>
      </c>
      <c r="C106" s="132" t="s">
        <v>372</v>
      </c>
      <c r="D106" s="132">
        <v>30</v>
      </c>
      <c r="E106" s="132">
        <v>17.5</v>
      </c>
      <c r="F106" s="132">
        <v>839592.8873672492</v>
      </c>
      <c r="G106" s="132">
        <v>584477.6593216973</v>
      </c>
      <c r="H106" s="132">
        <v>101138.65517394227</v>
      </c>
      <c r="I106" s="132">
        <f t="shared" si="19"/>
        <v>1525209.2018628886</v>
      </c>
      <c r="J106" s="132">
        <f t="shared" si="21"/>
        <v>27986.429578908308</v>
      </c>
      <c r="K106" s="132">
        <f t="shared" si="22"/>
        <v>19482.588644056577</v>
      </c>
      <c r="L106" s="132">
        <f t="shared" si="23"/>
        <v>3371.2885057980757</v>
      </c>
      <c r="M106" s="132">
        <f t="shared" si="24"/>
        <v>50840.30672876296</v>
      </c>
    </row>
    <row r="107" spans="1:13" ht="21">
      <c r="A107" s="166" t="s">
        <v>103</v>
      </c>
      <c r="B107" s="166" t="s">
        <v>107</v>
      </c>
      <c r="C107" s="132" t="s">
        <v>111</v>
      </c>
      <c r="D107" s="132">
        <v>371</v>
      </c>
      <c r="E107" s="132">
        <v>276.78</v>
      </c>
      <c r="F107" s="132">
        <v>13279001.106600411</v>
      </c>
      <c r="G107" s="132">
        <v>9244098.659831963</v>
      </c>
      <c r="H107" s="132">
        <v>1599608.9702310709</v>
      </c>
      <c r="I107" s="132">
        <f t="shared" si="19"/>
        <v>24122708.736663446</v>
      </c>
      <c r="J107" s="132">
        <f t="shared" si="21"/>
        <v>35792.455812939115</v>
      </c>
      <c r="K107" s="132">
        <f t="shared" si="22"/>
        <v>24916.70797798373</v>
      </c>
      <c r="L107" s="132">
        <f t="shared" si="23"/>
        <v>4311.614475016364</v>
      </c>
      <c r="M107" s="132">
        <f t="shared" si="24"/>
        <v>65020.77826593921</v>
      </c>
    </row>
    <row r="108" spans="1:13" ht="21">
      <c r="A108" s="166" t="s">
        <v>103</v>
      </c>
      <c r="B108" s="166" t="s">
        <v>107</v>
      </c>
      <c r="C108" s="132" t="s">
        <v>112</v>
      </c>
      <c r="D108" s="132">
        <v>274</v>
      </c>
      <c r="E108" s="132">
        <v>242.39</v>
      </c>
      <c r="F108" s="132">
        <v>11629081.141082715</v>
      </c>
      <c r="G108" s="132">
        <v>8095516.562456354</v>
      </c>
      <c r="H108" s="132">
        <v>1400857.0644349637</v>
      </c>
      <c r="I108" s="132">
        <f t="shared" si="19"/>
        <v>21125454.767974034</v>
      </c>
      <c r="J108" s="132">
        <f t="shared" si="21"/>
        <v>42441.90197475444</v>
      </c>
      <c r="K108" s="132">
        <f t="shared" si="22"/>
        <v>29545.6808848772</v>
      </c>
      <c r="L108" s="132">
        <f t="shared" si="23"/>
        <v>5112.617023485269</v>
      </c>
      <c r="M108" s="132">
        <f t="shared" si="24"/>
        <v>77100.1998831169</v>
      </c>
    </row>
    <row r="109" spans="1:13" ht="21">
      <c r="A109" s="166" t="s">
        <v>103</v>
      </c>
      <c r="B109" s="166" t="s">
        <v>107</v>
      </c>
      <c r="C109" s="132" t="s">
        <v>113</v>
      </c>
      <c r="D109" s="132">
        <v>332</v>
      </c>
      <c r="E109" s="132">
        <v>273.89</v>
      </c>
      <c r="F109" s="132">
        <v>13140348.338343764</v>
      </c>
      <c r="G109" s="132">
        <v>9147576.34923541</v>
      </c>
      <c r="H109" s="132">
        <v>1582906.6437480599</v>
      </c>
      <c r="I109" s="132">
        <f t="shared" si="19"/>
        <v>23870831.331327233</v>
      </c>
      <c r="J109" s="132">
        <f t="shared" si="21"/>
        <v>39579.36246489085</v>
      </c>
      <c r="K109" s="132">
        <f t="shared" si="22"/>
        <v>27552.94081095003</v>
      </c>
      <c r="L109" s="132">
        <f t="shared" si="23"/>
        <v>4767.791095626686</v>
      </c>
      <c r="M109" s="132">
        <f t="shared" si="24"/>
        <v>71900.09437146757</v>
      </c>
    </row>
    <row r="110" spans="1:13" ht="21">
      <c r="A110" s="166" t="s">
        <v>103</v>
      </c>
      <c r="B110" s="166" t="s">
        <v>107</v>
      </c>
      <c r="C110" s="132" t="s">
        <v>114</v>
      </c>
      <c r="D110" s="132">
        <v>154</v>
      </c>
      <c r="E110" s="132">
        <v>120.42</v>
      </c>
      <c r="F110" s="132">
        <v>5777358.599815094</v>
      </c>
      <c r="G110" s="132">
        <v>4021874.2706010737</v>
      </c>
      <c r="H110" s="132">
        <v>695949.5346312074</v>
      </c>
      <c r="I110" s="132">
        <f t="shared" si="19"/>
        <v>10495182.405047376</v>
      </c>
      <c r="J110" s="132">
        <f t="shared" si="21"/>
        <v>37515.3155832149</v>
      </c>
      <c r="K110" s="132">
        <f t="shared" si="22"/>
        <v>26116.066692214765</v>
      </c>
      <c r="L110" s="132">
        <f t="shared" si="23"/>
        <v>4519.152822280567</v>
      </c>
      <c r="M110" s="132">
        <f t="shared" si="24"/>
        <v>68150.53509771024</v>
      </c>
    </row>
    <row r="111" spans="1:13" ht="21">
      <c r="A111" s="166" t="s">
        <v>103</v>
      </c>
      <c r="B111" s="166" t="s">
        <v>107</v>
      </c>
      <c r="C111" s="132" t="s">
        <v>115</v>
      </c>
      <c r="D111" s="132">
        <v>70</v>
      </c>
      <c r="E111" s="132">
        <v>52.92</v>
      </c>
      <c r="F111" s="132">
        <v>2538928.8913985617</v>
      </c>
      <c r="G111" s="132">
        <v>1767460.4417888126</v>
      </c>
      <c r="H111" s="132">
        <v>305843.2932460014</v>
      </c>
      <c r="I111" s="132">
        <f t="shared" si="19"/>
        <v>4612232.626433375</v>
      </c>
      <c r="J111" s="132">
        <f t="shared" si="21"/>
        <v>36270.41273426517</v>
      </c>
      <c r="K111" s="132">
        <f t="shared" si="22"/>
        <v>25249.434882697322</v>
      </c>
      <c r="L111" s="132">
        <f t="shared" si="23"/>
        <v>4369.189903514306</v>
      </c>
      <c r="M111" s="132">
        <f t="shared" si="24"/>
        <v>65889.03752047679</v>
      </c>
    </row>
    <row r="112" spans="1:13" ht="21">
      <c r="A112" s="166" t="s">
        <v>103</v>
      </c>
      <c r="B112" s="166" t="s">
        <v>107</v>
      </c>
      <c r="C112" s="132" t="s">
        <v>116</v>
      </c>
      <c r="D112" s="132">
        <v>233</v>
      </c>
      <c r="E112" s="132">
        <v>209.22</v>
      </c>
      <c r="F112" s="132">
        <v>10037692.793998621</v>
      </c>
      <c r="G112" s="132">
        <v>6987680.9076163145</v>
      </c>
      <c r="H112" s="132">
        <v>1209155.9677424114</v>
      </c>
      <c r="I112" s="132">
        <f t="shared" si="19"/>
        <v>18234529.669357345</v>
      </c>
      <c r="J112" s="132">
        <f t="shared" si="21"/>
        <v>43080.22658368507</v>
      </c>
      <c r="K112" s="132">
        <f t="shared" si="22"/>
        <v>29990.046813803925</v>
      </c>
      <c r="L112" s="132">
        <f t="shared" si="23"/>
        <v>5189.510591169148</v>
      </c>
      <c r="M112" s="132">
        <f t="shared" si="24"/>
        <v>78259.78398865815</v>
      </c>
    </row>
    <row r="113" spans="1:13" ht="21">
      <c r="A113" s="166" t="s">
        <v>119</v>
      </c>
      <c r="B113" s="166" t="s">
        <v>118</v>
      </c>
      <c r="C113" s="132" t="s">
        <v>370</v>
      </c>
      <c r="D113" s="132">
        <v>76</v>
      </c>
      <c r="E113" s="132">
        <v>55.64</v>
      </c>
      <c r="F113" s="132">
        <v>4282601.381954826</v>
      </c>
      <c r="G113" s="132">
        <v>4419518.821684648</v>
      </c>
      <c r="H113" s="132">
        <v>582512.7424773163</v>
      </c>
      <c r="I113" s="132">
        <f t="shared" si="19"/>
        <v>9284632.94611679</v>
      </c>
      <c r="J113" s="132">
        <f t="shared" si="21"/>
        <v>56350.018183616136</v>
      </c>
      <c r="K113" s="132">
        <f t="shared" si="22"/>
        <v>58151.563443219056</v>
      </c>
      <c r="L113" s="132">
        <f t="shared" si="23"/>
        <v>7664.6413483857405</v>
      </c>
      <c r="M113" s="132">
        <f t="shared" si="24"/>
        <v>122166.22297522094</v>
      </c>
    </row>
    <row r="114" spans="1:13" ht="21">
      <c r="A114" s="166" t="s">
        <v>119</v>
      </c>
      <c r="B114" s="166" t="s">
        <v>118</v>
      </c>
      <c r="C114" s="132" t="s">
        <v>410</v>
      </c>
      <c r="D114" s="132">
        <v>84</v>
      </c>
      <c r="E114" s="132">
        <v>66.53</v>
      </c>
      <c r="F114" s="132">
        <v>5120802.838631462</v>
      </c>
      <c r="G114" s="132">
        <v>5284518.102204883</v>
      </c>
      <c r="H114" s="132">
        <v>696523.5937637646</v>
      </c>
      <c r="I114" s="132">
        <f t="shared" si="19"/>
        <v>11101844.534600109</v>
      </c>
      <c r="J114" s="132">
        <f t="shared" si="21"/>
        <v>60961.938555136454</v>
      </c>
      <c r="K114" s="132">
        <f t="shared" si="22"/>
        <v>62910.929788153364</v>
      </c>
      <c r="L114" s="132">
        <f t="shared" si="23"/>
        <v>8291.94754480672</v>
      </c>
      <c r="M114" s="132">
        <f t="shared" si="24"/>
        <v>132164.81588809655</v>
      </c>
    </row>
    <row r="115" spans="1:14" s="28" customFormat="1" ht="21">
      <c r="A115" s="192"/>
      <c r="B115" s="192"/>
      <c r="C115" s="193" t="s">
        <v>188</v>
      </c>
      <c r="D115" s="194">
        <f>SUM(D98:D114)</f>
        <v>2882</v>
      </c>
      <c r="E115" s="194">
        <f>SUM(E98:E114)</f>
        <v>2263.73</v>
      </c>
      <c r="F115" s="194">
        <f>SUM(F98:F114)</f>
        <v>114720523.27587028</v>
      </c>
      <c r="G115" s="194">
        <f>SUM(G98:G114)</f>
        <v>80451464.92515878</v>
      </c>
      <c r="H115" s="194">
        <f>SUM(H98:H114)</f>
        <v>14414630.267778847</v>
      </c>
      <c r="I115" s="194">
        <f>SUM(F115:H115)</f>
        <v>209586618.4688079</v>
      </c>
      <c r="J115" s="194">
        <f>+F115/D115</f>
        <v>39805.87205963577</v>
      </c>
      <c r="K115" s="194">
        <f>+G115/D115</f>
        <v>27915.15091088091</v>
      </c>
      <c r="L115" s="194">
        <f>+H115/D115</f>
        <v>5001.606616161987</v>
      </c>
      <c r="M115" s="194">
        <f aca="true" t="shared" si="25" ref="M115:M145">SUM(J115:L115)</f>
        <v>72722.62958667865</v>
      </c>
      <c r="N115" s="164"/>
    </row>
    <row r="116" spans="1:14" s="28" customFormat="1" ht="21">
      <c r="A116" s="192"/>
      <c r="B116" s="192"/>
      <c r="C116" s="193" t="s">
        <v>186</v>
      </c>
      <c r="D116" s="194"/>
      <c r="E116" s="194"/>
      <c r="F116" s="194"/>
      <c r="G116" s="194"/>
      <c r="H116" s="194"/>
      <c r="I116" s="194"/>
      <c r="J116" s="194">
        <f>+J115*100/M115</f>
        <v>54.7365686387768</v>
      </c>
      <c r="K116" s="194">
        <f>+K115*100/M115</f>
        <v>38.385783173047436</v>
      </c>
      <c r="L116" s="194">
        <f>+L115*100/M115</f>
        <v>6.877648188175779</v>
      </c>
      <c r="M116" s="194">
        <f t="shared" si="25"/>
        <v>100.00000000000003</v>
      </c>
      <c r="N116" s="164"/>
    </row>
    <row r="117" spans="1:13" ht="21">
      <c r="A117" s="166" t="s">
        <v>195</v>
      </c>
      <c r="B117" s="166" t="s">
        <v>105</v>
      </c>
      <c r="C117" s="132" t="s">
        <v>104</v>
      </c>
      <c r="D117" s="132">
        <v>234</v>
      </c>
      <c r="E117" s="132">
        <v>226.58</v>
      </c>
      <c r="F117" s="132">
        <v>25382439.10983167</v>
      </c>
      <c r="G117" s="132">
        <v>27694677.58437231</v>
      </c>
      <c r="H117" s="132">
        <v>4103166.262202966</v>
      </c>
      <c r="I117" s="132">
        <f t="shared" si="19"/>
        <v>57180282.95640694</v>
      </c>
      <c r="J117" s="132">
        <f>+F117/D117</f>
        <v>108471.96200782765</v>
      </c>
      <c r="K117" s="132">
        <f>+G117/D117</f>
        <v>118353.32301013809</v>
      </c>
      <c r="L117" s="132">
        <f>+H117/D117</f>
        <v>17534.898556422933</v>
      </c>
      <c r="M117" s="132">
        <f t="shared" si="25"/>
        <v>244360.18357438868</v>
      </c>
    </row>
    <row r="118" spans="1:14" s="28" customFormat="1" ht="21">
      <c r="A118" s="192"/>
      <c r="B118" s="192"/>
      <c r="C118" s="193" t="s">
        <v>188</v>
      </c>
      <c r="D118" s="194">
        <f>SUM(D117)</f>
        <v>234</v>
      </c>
      <c r="E118" s="194">
        <f>SUM(E117)</f>
        <v>226.58</v>
      </c>
      <c r="F118" s="194">
        <f>SUM(F117)</f>
        <v>25382439.10983167</v>
      </c>
      <c r="G118" s="194">
        <f>SUM(G117)</f>
        <v>27694677.58437231</v>
      </c>
      <c r="H118" s="194">
        <f>SUM(H117)</f>
        <v>4103166.262202966</v>
      </c>
      <c r="I118" s="194">
        <f>SUM(F118:H118)</f>
        <v>57180282.95640694</v>
      </c>
      <c r="J118" s="194">
        <f>+F118/D118</f>
        <v>108471.96200782765</v>
      </c>
      <c r="K118" s="194">
        <f>+G118/D118</f>
        <v>118353.32301013809</v>
      </c>
      <c r="L118" s="194">
        <f>+H118/D118</f>
        <v>17534.898556422933</v>
      </c>
      <c r="M118" s="194">
        <f t="shared" si="25"/>
        <v>244360.18357438868</v>
      </c>
      <c r="N118" s="164"/>
    </row>
    <row r="119" spans="1:14" s="28" customFormat="1" ht="21">
      <c r="A119" s="192"/>
      <c r="B119" s="192"/>
      <c r="C119" s="193" t="s">
        <v>186</v>
      </c>
      <c r="D119" s="194"/>
      <c r="E119" s="194"/>
      <c r="F119" s="194"/>
      <c r="G119" s="194"/>
      <c r="H119" s="194"/>
      <c r="I119" s="194"/>
      <c r="J119" s="194">
        <f>+J118*100/M118</f>
        <v>44.3901950068745</v>
      </c>
      <c r="K119" s="194">
        <f>+K118*100/M118</f>
        <v>48.43396386388321</v>
      </c>
      <c r="L119" s="194">
        <f>+L118*100/M118</f>
        <v>7.1758411292422855</v>
      </c>
      <c r="M119" s="194">
        <f t="shared" si="25"/>
        <v>100</v>
      </c>
      <c r="N119" s="164"/>
    </row>
    <row r="120" spans="1:13" ht="21">
      <c r="A120" s="166" t="s">
        <v>96</v>
      </c>
      <c r="B120" s="166" t="s">
        <v>107</v>
      </c>
      <c r="C120" s="132" t="s">
        <v>97</v>
      </c>
      <c r="D120" s="132">
        <v>226</v>
      </c>
      <c r="E120" s="132">
        <v>175.47</v>
      </c>
      <c r="F120" s="132">
        <v>8418477.939790355</v>
      </c>
      <c r="G120" s="132">
        <v>5860473.993210184</v>
      </c>
      <c r="H120" s="132">
        <v>1014102.8470498086</v>
      </c>
      <c r="I120" s="132">
        <f t="shared" si="19"/>
        <v>15293054.780050347</v>
      </c>
      <c r="J120" s="132">
        <f aca="true" t="shared" si="26" ref="J120:J126">+F120/D120</f>
        <v>37249.9023884529</v>
      </c>
      <c r="K120" s="132">
        <f aca="true" t="shared" si="27" ref="K120:K126">+G120/D120</f>
        <v>25931.30085491232</v>
      </c>
      <c r="L120" s="132">
        <f aca="true" t="shared" si="28" ref="L120:L126">+H120/D120</f>
        <v>4487.180739158445</v>
      </c>
      <c r="M120" s="132">
        <f t="shared" si="25"/>
        <v>67668.38398252366</v>
      </c>
    </row>
    <row r="121" spans="1:13" ht="21">
      <c r="A121" s="166" t="s">
        <v>96</v>
      </c>
      <c r="B121" s="166" t="s">
        <v>107</v>
      </c>
      <c r="C121" s="132" t="s">
        <v>117</v>
      </c>
      <c r="D121" s="132">
        <v>255</v>
      </c>
      <c r="E121" s="132">
        <v>203.05</v>
      </c>
      <c r="F121" s="132">
        <v>9741676.33028114</v>
      </c>
      <c r="G121" s="132">
        <v>6781610.784301179</v>
      </c>
      <c r="H121" s="132">
        <v>1173497.3676039418</v>
      </c>
      <c r="I121" s="132">
        <f t="shared" si="19"/>
        <v>17696784.48218626</v>
      </c>
      <c r="J121" s="132">
        <f t="shared" si="26"/>
        <v>38202.652275612316</v>
      </c>
      <c r="K121" s="132">
        <f t="shared" si="27"/>
        <v>26594.552095298743</v>
      </c>
      <c r="L121" s="132">
        <f t="shared" si="28"/>
        <v>4601.950461191928</v>
      </c>
      <c r="M121" s="132">
        <f t="shared" si="25"/>
        <v>69399.15483210298</v>
      </c>
    </row>
    <row r="122" spans="1:13" ht="21">
      <c r="A122" s="166" t="s">
        <v>96</v>
      </c>
      <c r="B122" s="166" t="s">
        <v>53</v>
      </c>
      <c r="C122" s="132" t="s">
        <v>415</v>
      </c>
      <c r="D122" s="132">
        <v>41</v>
      </c>
      <c r="E122" s="132">
        <v>27.69</v>
      </c>
      <c r="F122" s="132">
        <v>1602804.6083339772</v>
      </c>
      <c r="G122" s="132">
        <v>1331031.65505695</v>
      </c>
      <c r="H122" s="132">
        <v>236207.6393079151</v>
      </c>
      <c r="I122" s="132">
        <f t="shared" si="19"/>
        <v>3170043.9026988423</v>
      </c>
      <c r="J122" s="132">
        <f t="shared" si="26"/>
        <v>39092.795325218955</v>
      </c>
      <c r="K122" s="132">
        <f t="shared" si="27"/>
        <v>32464.186708706096</v>
      </c>
      <c r="L122" s="132">
        <f t="shared" si="28"/>
        <v>5761.161934339392</v>
      </c>
      <c r="M122" s="132">
        <f t="shared" si="25"/>
        <v>77318.14396826444</v>
      </c>
    </row>
    <row r="123" spans="1:13" ht="21">
      <c r="A123" s="166" t="s">
        <v>96</v>
      </c>
      <c r="B123" s="166" t="s">
        <v>53</v>
      </c>
      <c r="C123" s="132" t="s">
        <v>199</v>
      </c>
      <c r="D123" s="132">
        <v>32</v>
      </c>
      <c r="E123" s="132">
        <v>27.11</v>
      </c>
      <c r="F123" s="132">
        <v>1569231.95853861</v>
      </c>
      <c r="G123" s="132">
        <v>1303151.6131669886</v>
      </c>
      <c r="H123" s="132">
        <v>231259.98922490352</v>
      </c>
      <c r="I123" s="132">
        <f t="shared" si="19"/>
        <v>3103643.5609305017</v>
      </c>
      <c r="J123" s="132">
        <f t="shared" si="26"/>
        <v>49038.49870433156</v>
      </c>
      <c r="K123" s="132">
        <f t="shared" si="27"/>
        <v>40723.48791146839</v>
      </c>
      <c r="L123" s="132">
        <f t="shared" si="28"/>
        <v>7226.874663278235</v>
      </c>
      <c r="M123" s="132">
        <f t="shared" si="25"/>
        <v>96988.86127907818</v>
      </c>
    </row>
    <row r="124" spans="1:13" ht="21">
      <c r="A124" s="166" t="s">
        <v>96</v>
      </c>
      <c r="B124" s="166" t="s">
        <v>53</v>
      </c>
      <c r="C124" s="132" t="s">
        <v>200</v>
      </c>
      <c r="D124" s="132">
        <v>63</v>
      </c>
      <c r="E124" s="132">
        <v>35.44</v>
      </c>
      <c r="F124" s="132">
        <v>2051404.6702548263</v>
      </c>
      <c r="G124" s="132">
        <v>1703566.6975521233</v>
      </c>
      <c r="H124" s="132">
        <v>302318.480934363</v>
      </c>
      <c r="I124" s="132">
        <f t="shared" si="19"/>
        <v>4057289.8487413125</v>
      </c>
      <c r="J124" s="132">
        <f t="shared" si="26"/>
        <v>32561.978892933752</v>
      </c>
      <c r="K124" s="132">
        <f t="shared" si="27"/>
        <v>27040.741230986085</v>
      </c>
      <c r="L124" s="132">
        <f t="shared" si="28"/>
        <v>4798.70604657719</v>
      </c>
      <c r="M124" s="132">
        <f t="shared" si="25"/>
        <v>64401.42617049703</v>
      </c>
    </row>
    <row r="125" spans="1:13" ht="21">
      <c r="A125" s="166" t="s">
        <v>96</v>
      </c>
      <c r="B125" s="166" t="s">
        <v>53</v>
      </c>
      <c r="C125" s="132" t="s">
        <v>414</v>
      </c>
      <c r="D125" s="132">
        <v>19</v>
      </c>
      <c r="E125" s="132">
        <v>13.36</v>
      </c>
      <c r="F125" s="132">
        <v>773328.622872587</v>
      </c>
      <c r="G125" s="132">
        <v>642202.3442239382</v>
      </c>
      <c r="H125" s="132">
        <v>113966.56053281853</v>
      </c>
      <c r="I125" s="132">
        <f t="shared" si="19"/>
        <v>1529497.5276293438</v>
      </c>
      <c r="J125" s="132">
        <f t="shared" si="26"/>
        <v>40701.50646697826</v>
      </c>
      <c r="K125" s="132">
        <f t="shared" si="27"/>
        <v>33800.123380207275</v>
      </c>
      <c r="L125" s="132">
        <f t="shared" si="28"/>
        <v>5998.240028043081</v>
      </c>
      <c r="M125" s="132">
        <f t="shared" si="25"/>
        <v>80499.86987522861</v>
      </c>
    </row>
    <row r="126" spans="1:14" s="28" customFormat="1" ht="21">
      <c r="A126" s="192"/>
      <c r="B126" s="192"/>
      <c r="C126" s="193" t="s">
        <v>188</v>
      </c>
      <c r="D126" s="194">
        <f>SUM(D120:D125)</f>
        <v>636</v>
      </c>
      <c r="E126" s="194">
        <f>SUM(E120:E125)</f>
        <v>482.12</v>
      </c>
      <c r="F126" s="194">
        <f>SUM(F120:F125)</f>
        <v>24156924.1300715</v>
      </c>
      <c r="G126" s="194">
        <f>SUM(G120:G125)</f>
        <v>17622037.087511364</v>
      </c>
      <c r="H126" s="194">
        <f>SUM(H120:H125)</f>
        <v>3071352.884653751</v>
      </c>
      <c r="I126" s="194">
        <f>SUM(F126:H126)</f>
        <v>44850314.10223661</v>
      </c>
      <c r="J126" s="194">
        <f t="shared" si="26"/>
        <v>37982.585110175314</v>
      </c>
      <c r="K126" s="194">
        <f t="shared" si="27"/>
        <v>27707.605483508436</v>
      </c>
      <c r="L126" s="194">
        <f t="shared" si="28"/>
        <v>4829.171202285772</v>
      </c>
      <c r="M126" s="194">
        <f t="shared" si="25"/>
        <v>70519.36179596951</v>
      </c>
      <c r="N126" s="164"/>
    </row>
    <row r="127" spans="1:14" s="28" customFormat="1" ht="21">
      <c r="A127" s="192"/>
      <c r="B127" s="192"/>
      <c r="C127" s="193" t="s">
        <v>186</v>
      </c>
      <c r="D127" s="194"/>
      <c r="E127" s="194"/>
      <c r="F127" s="194"/>
      <c r="G127" s="194"/>
      <c r="H127" s="194"/>
      <c r="I127" s="194"/>
      <c r="J127" s="194">
        <f>+J126*100/M126</f>
        <v>53.86121505192945</v>
      </c>
      <c r="K127" s="194">
        <f>+K126*100/M126</f>
        <v>39.290777423189965</v>
      </c>
      <c r="L127" s="194">
        <f>+L126*100/M126</f>
        <v>6.8480075248806065</v>
      </c>
      <c r="M127" s="194">
        <f t="shared" si="25"/>
        <v>100.00000000000001</v>
      </c>
      <c r="N127" s="164"/>
    </row>
    <row r="128" spans="1:13" ht="21">
      <c r="A128" s="166" t="s">
        <v>223</v>
      </c>
      <c r="B128" s="166" t="s">
        <v>122</v>
      </c>
      <c r="C128" s="132" t="s">
        <v>112</v>
      </c>
      <c r="D128" s="132">
        <v>161</v>
      </c>
      <c r="E128" s="132">
        <v>129.14</v>
      </c>
      <c r="F128" s="132">
        <v>6374165.487973174</v>
      </c>
      <c r="G128" s="132">
        <v>4575311.5942486115</v>
      </c>
      <c r="H128" s="132">
        <v>822055.0459193538</v>
      </c>
      <c r="I128" s="132">
        <f t="shared" si="19"/>
        <v>11771532.128141139</v>
      </c>
      <c r="J128" s="132">
        <f>+F128/D128</f>
        <v>39591.08998741102</v>
      </c>
      <c r="K128" s="132">
        <f>+G128/D128</f>
        <v>28418.08443632678</v>
      </c>
      <c r="L128" s="132">
        <f>+H128/D128</f>
        <v>5105.931962232012</v>
      </c>
      <c r="M128" s="132">
        <f t="shared" si="25"/>
        <v>73115.10638596982</v>
      </c>
    </row>
    <row r="129" spans="1:13" ht="21">
      <c r="A129" s="166" t="s">
        <v>223</v>
      </c>
      <c r="B129" s="166" t="s">
        <v>122</v>
      </c>
      <c r="C129" s="132" t="s">
        <v>123</v>
      </c>
      <c r="D129" s="132">
        <v>335</v>
      </c>
      <c r="E129" s="132">
        <v>261</v>
      </c>
      <c r="F129" s="132">
        <v>12882586.281252893</v>
      </c>
      <c r="G129" s="132">
        <v>9246990.290373918</v>
      </c>
      <c r="H129" s="132">
        <v>1661424.5546302567</v>
      </c>
      <c r="I129" s="132">
        <f t="shared" si="19"/>
        <v>23791001.12625707</v>
      </c>
      <c r="J129" s="132">
        <f>+F129/D129</f>
        <v>38455.4814365758</v>
      </c>
      <c r="K129" s="132">
        <f>+G129/D129</f>
        <v>27602.95609066841</v>
      </c>
      <c r="L129" s="132">
        <f>+H129/D129</f>
        <v>4959.476282478378</v>
      </c>
      <c r="M129" s="132">
        <f t="shared" si="25"/>
        <v>71017.9138097226</v>
      </c>
    </row>
    <row r="130" spans="1:13" ht="21">
      <c r="A130" s="166" t="s">
        <v>223</v>
      </c>
      <c r="B130" s="166" t="s">
        <v>122</v>
      </c>
      <c r="C130" s="132" t="s">
        <v>124</v>
      </c>
      <c r="D130" s="132">
        <v>157</v>
      </c>
      <c r="E130" s="132">
        <v>131.44</v>
      </c>
      <c r="F130" s="132">
        <v>6487690.194666209</v>
      </c>
      <c r="G130" s="132">
        <v>4656798.481864934</v>
      </c>
      <c r="H130" s="132">
        <v>836695.9519563254</v>
      </c>
      <c r="I130" s="132">
        <f t="shared" si="19"/>
        <v>11981184.62848747</v>
      </c>
      <c r="J130" s="132">
        <f>+F130/D130</f>
        <v>41322.86748195037</v>
      </c>
      <c r="K130" s="132">
        <f>+G130/D130</f>
        <v>29661.136827165185</v>
      </c>
      <c r="L130" s="132">
        <f>+H130/D130</f>
        <v>5329.273579339652</v>
      </c>
      <c r="M130" s="132">
        <f t="shared" si="25"/>
        <v>76313.27788845521</v>
      </c>
    </row>
    <row r="131" spans="1:14" s="28" customFormat="1" ht="21">
      <c r="A131" s="192"/>
      <c r="B131" s="192"/>
      <c r="C131" s="193" t="s">
        <v>188</v>
      </c>
      <c r="D131" s="194">
        <f>SUM(D128:D130)</f>
        <v>653</v>
      </c>
      <c r="E131" s="194">
        <f>SUM(E128:E130)</f>
        <v>521.5799999999999</v>
      </c>
      <c r="F131" s="194">
        <f>SUM(F128:F130)</f>
        <v>25744441.963892274</v>
      </c>
      <c r="G131" s="194">
        <f>SUM(G128:G130)</f>
        <v>18479100.366487462</v>
      </c>
      <c r="H131" s="194">
        <f>SUM(H128:H130)</f>
        <v>3320175.5525059355</v>
      </c>
      <c r="I131" s="194">
        <f>SUM(F131:H131)</f>
        <v>47543717.88288567</v>
      </c>
      <c r="J131" s="194">
        <f>+F131/D131</f>
        <v>39424.872839038704</v>
      </c>
      <c r="K131" s="194">
        <f>+G131/D131</f>
        <v>28298.775446382024</v>
      </c>
      <c r="L131" s="194">
        <f>+H131/D131</f>
        <v>5084.495486226548</v>
      </c>
      <c r="M131" s="194">
        <f t="shared" si="25"/>
        <v>72808.14377164727</v>
      </c>
      <c r="N131" s="164"/>
    </row>
    <row r="132" spans="1:14" s="28" customFormat="1" ht="21">
      <c r="A132" s="192"/>
      <c r="B132" s="192"/>
      <c r="C132" s="193" t="s">
        <v>186</v>
      </c>
      <c r="D132" s="194"/>
      <c r="E132" s="194"/>
      <c r="F132" s="194"/>
      <c r="G132" s="194"/>
      <c r="H132" s="194"/>
      <c r="I132" s="194"/>
      <c r="J132" s="194">
        <f>+J131*100/M131</f>
        <v>54.148987732319334</v>
      </c>
      <c r="K132" s="194">
        <f>+K131*100/M131</f>
        <v>38.867596371001085</v>
      </c>
      <c r="L132" s="194">
        <f>+L131*100/M131</f>
        <v>6.983415896679592</v>
      </c>
      <c r="M132" s="194">
        <f t="shared" si="25"/>
        <v>100</v>
      </c>
      <c r="N132" s="164"/>
    </row>
    <row r="133" spans="1:13" ht="21">
      <c r="A133" s="166" t="s">
        <v>102</v>
      </c>
      <c r="B133" s="166" t="s">
        <v>122</v>
      </c>
      <c r="C133" s="132" t="s">
        <v>125</v>
      </c>
      <c r="D133" s="132">
        <v>434</v>
      </c>
      <c r="E133" s="132">
        <v>353.08</v>
      </c>
      <c r="F133" s="132">
        <v>17427523.234424412</v>
      </c>
      <c r="G133" s="132">
        <v>12509300.121552577</v>
      </c>
      <c r="H133" s="132">
        <v>2247570.045014755</v>
      </c>
      <c r="I133" s="132">
        <f t="shared" si="19"/>
        <v>32184393.400991745</v>
      </c>
      <c r="J133" s="132">
        <f>+F133/D133</f>
        <v>40155.583489457174</v>
      </c>
      <c r="K133" s="132">
        <f>+G133/D133</f>
        <v>28823.272169475986</v>
      </c>
      <c r="L133" s="132">
        <f>+H133/D133</f>
        <v>5178.732822614643</v>
      </c>
      <c r="M133" s="132">
        <f t="shared" si="25"/>
        <v>74157.5884815478</v>
      </c>
    </row>
    <row r="134" spans="1:13" ht="21">
      <c r="A134" s="166" t="s">
        <v>102</v>
      </c>
      <c r="B134" s="166" t="s">
        <v>122</v>
      </c>
      <c r="C134" s="132" t="s">
        <v>145</v>
      </c>
      <c r="D134" s="132">
        <v>67</v>
      </c>
      <c r="E134" s="132">
        <v>73.5</v>
      </c>
      <c r="F134" s="132">
        <v>3627854.7573643206</v>
      </c>
      <c r="G134" s="132">
        <v>2604037.4955650684</v>
      </c>
      <c r="H134" s="132">
        <v>467872.43205104937</v>
      </c>
      <c r="I134" s="132">
        <f t="shared" si="19"/>
        <v>6699764.684980439</v>
      </c>
      <c r="J134" s="132">
        <f>+F134/D134</f>
        <v>54147.085930810754</v>
      </c>
      <c r="K134" s="132">
        <f>+G134/D134</f>
        <v>38866.23127709058</v>
      </c>
      <c r="L134" s="132">
        <f>+H134/D134</f>
        <v>6983.170627627603</v>
      </c>
      <c r="M134" s="132">
        <f t="shared" si="25"/>
        <v>99996.48783552894</v>
      </c>
    </row>
    <row r="135" spans="1:13" ht="21">
      <c r="A135" s="166" t="s">
        <v>102</v>
      </c>
      <c r="B135" s="166" t="s">
        <v>126</v>
      </c>
      <c r="C135" s="132" t="s">
        <v>127</v>
      </c>
      <c r="D135" s="132">
        <v>249</v>
      </c>
      <c r="E135" s="132">
        <v>183.09</v>
      </c>
      <c r="F135" s="132">
        <v>9257422.70883167</v>
      </c>
      <c r="G135" s="132">
        <v>5711437.201378436</v>
      </c>
      <c r="H135" s="132">
        <v>2009818.9784409038</v>
      </c>
      <c r="I135" s="132">
        <f aca="true" t="shared" si="29" ref="I135:I160">SUM(F135:H135)</f>
        <v>16978678.88865101</v>
      </c>
      <c r="J135" s="132">
        <f>+F135/D135</f>
        <v>37178.404453139236</v>
      </c>
      <c r="K135" s="132">
        <f>+G135/D135</f>
        <v>22937.49880071661</v>
      </c>
      <c r="L135" s="132">
        <f>+H135/D135</f>
        <v>8071.562162413268</v>
      </c>
      <c r="M135" s="132">
        <f t="shared" si="25"/>
        <v>68187.46541626911</v>
      </c>
    </row>
    <row r="136" spans="1:14" s="28" customFormat="1" ht="21">
      <c r="A136" s="192"/>
      <c r="B136" s="192"/>
      <c r="C136" s="193" t="s">
        <v>188</v>
      </c>
      <c r="D136" s="194">
        <f>SUM(D133:D135)</f>
        <v>750</v>
      </c>
      <c r="E136" s="194">
        <f>SUM(E133:E135)</f>
        <v>609.67</v>
      </c>
      <c r="F136" s="194">
        <f>SUM(F133:F135)</f>
        <v>30312800.700620405</v>
      </c>
      <c r="G136" s="194">
        <f>SUM(G133:G135)</f>
        <v>20824774.818496082</v>
      </c>
      <c r="H136" s="194">
        <f>SUM(H133:H135)</f>
        <v>4725261.4555067085</v>
      </c>
      <c r="I136" s="194">
        <f>SUM(F136:H136)</f>
        <v>55862836.9746232</v>
      </c>
      <c r="J136" s="194">
        <f>+F136/D136</f>
        <v>40417.067600827206</v>
      </c>
      <c r="K136" s="194">
        <f>+G136/D136</f>
        <v>27766.366424661443</v>
      </c>
      <c r="L136" s="194">
        <f>+H136/D136</f>
        <v>6300.348607342278</v>
      </c>
      <c r="M136" s="194">
        <f t="shared" si="25"/>
        <v>74483.78263283093</v>
      </c>
      <c r="N136" s="164"/>
    </row>
    <row r="137" spans="1:14" s="28" customFormat="1" ht="21">
      <c r="A137" s="192"/>
      <c r="B137" s="192"/>
      <c r="C137" s="193" t="s">
        <v>186</v>
      </c>
      <c r="D137" s="194"/>
      <c r="E137" s="194"/>
      <c r="F137" s="194"/>
      <c r="G137" s="194"/>
      <c r="H137" s="194"/>
      <c r="I137" s="194"/>
      <c r="J137" s="194">
        <f>+J136*100/M136</f>
        <v>54.26290955181993</v>
      </c>
      <c r="K137" s="194">
        <f>+K136*100/M136</f>
        <v>37.27840536984569</v>
      </c>
      <c r="L137" s="194">
        <f>+L136*100/M136</f>
        <v>8.458685078334371</v>
      </c>
      <c r="M137" s="194">
        <f t="shared" si="25"/>
        <v>99.99999999999999</v>
      </c>
      <c r="N137" s="164"/>
    </row>
    <row r="138" spans="1:13" ht="21">
      <c r="A138" s="166" t="s">
        <v>128</v>
      </c>
      <c r="B138" s="166" t="s">
        <v>126</v>
      </c>
      <c r="C138" s="132" t="s">
        <v>129</v>
      </c>
      <c r="D138" s="132">
        <v>44</v>
      </c>
      <c r="E138" s="132">
        <v>28.89</v>
      </c>
      <c r="F138" s="132">
        <v>1460740.3029010158</v>
      </c>
      <c r="G138" s="132">
        <v>901214.8164718063</v>
      </c>
      <c r="H138" s="132">
        <v>317131.8492935589</v>
      </c>
      <c r="I138" s="132">
        <f t="shared" si="29"/>
        <v>2679086.968666381</v>
      </c>
      <c r="J138" s="132">
        <f>+F138/D138</f>
        <v>33198.64324775036</v>
      </c>
      <c r="K138" s="132">
        <f>+G138/D138</f>
        <v>20482.15491981378</v>
      </c>
      <c r="L138" s="132">
        <f>+H138/D138</f>
        <v>7207.542029399066</v>
      </c>
      <c r="M138" s="132">
        <f t="shared" si="25"/>
        <v>60888.34019696321</v>
      </c>
    </row>
    <row r="139" spans="1:13" ht="21">
      <c r="A139" s="166" t="s">
        <v>128</v>
      </c>
      <c r="B139" s="166" t="s">
        <v>126</v>
      </c>
      <c r="C139" s="132" t="s">
        <v>130</v>
      </c>
      <c r="D139" s="132">
        <v>109</v>
      </c>
      <c r="E139" s="132">
        <v>90.67</v>
      </c>
      <c r="F139" s="132">
        <v>4584469.479544309</v>
      </c>
      <c r="G139" s="132">
        <v>2828423.240204177</v>
      </c>
      <c r="H139" s="132">
        <v>995304.4228261333</v>
      </c>
      <c r="I139" s="132">
        <f t="shared" si="29"/>
        <v>8408197.14257462</v>
      </c>
      <c r="J139" s="132">
        <f>+F139/D139</f>
        <v>42059.353023342286</v>
      </c>
      <c r="K139" s="132">
        <f>+G139/D139</f>
        <v>25948.837066093365</v>
      </c>
      <c r="L139" s="132">
        <f>+H139/D139</f>
        <v>9131.233236937003</v>
      </c>
      <c r="M139" s="132">
        <f t="shared" si="25"/>
        <v>77139.42332637265</v>
      </c>
    </row>
    <row r="140" spans="1:13" ht="21">
      <c r="A140" s="166" t="s">
        <v>128</v>
      </c>
      <c r="B140" s="166" t="s">
        <v>126</v>
      </c>
      <c r="C140" s="132" t="s">
        <v>221</v>
      </c>
      <c r="D140" s="132">
        <v>52</v>
      </c>
      <c r="E140" s="132">
        <v>38.64</v>
      </c>
      <c r="F140" s="132">
        <v>1953721.1943265921</v>
      </c>
      <c r="G140" s="132">
        <v>1205363.1190194045</v>
      </c>
      <c r="H140" s="132">
        <v>424159.73197310895</v>
      </c>
      <c r="I140" s="132">
        <f t="shared" si="29"/>
        <v>3583244.0453191055</v>
      </c>
      <c r="J140" s="132">
        <f>+F140/D140</f>
        <v>37571.56142935754</v>
      </c>
      <c r="K140" s="132">
        <f>+G140/D140</f>
        <v>23180.059981142396</v>
      </c>
      <c r="L140" s="132">
        <f>+H140/D140</f>
        <v>8156.917922559787</v>
      </c>
      <c r="M140" s="132">
        <f t="shared" si="25"/>
        <v>68908.53933305973</v>
      </c>
    </row>
    <row r="141" spans="1:14" s="28" customFormat="1" ht="21">
      <c r="A141" s="192"/>
      <c r="B141" s="192"/>
      <c r="C141" s="193" t="s">
        <v>188</v>
      </c>
      <c r="D141" s="194">
        <f>SUM(D138:D140)</f>
        <v>205</v>
      </c>
      <c r="E141" s="194">
        <f>SUM(E138:E140)</f>
        <v>158.2</v>
      </c>
      <c r="F141" s="194">
        <f>SUM(F138:F140)</f>
        <v>7998930.976771917</v>
      </c>
      <c r="G141" s="194">
        <f>SUM(G138:G140)</f>
        <v>4935001.175695388</v>
      </c>
      <c r="H141" s="194">
        <f>SUM(H138:H140)</f>
        <v>1736596.0040928014</v>
      </c>
      <c r="I141" s="194">
        <f>SUM(F141:H141)</f>
        <v>14670528.156560106</v>
      </c>
      <c r="J141" s="194">
        <f>+F141/D141</f>
        <v>39019.17549644838</v>
      </c>
      <c r="K141" s="194">
        <f>+G141/D141</f>
        <v>24073.17646680677</v>
      </c>
      <c r="L141" s="194">
        <f>+H141/D141</f>
        <v>8471.200019964885</v>
      </c>
      <c r="M141" s="194">
        <f t="shared" si="25"/>
        <v>71563.55198322004</v>
      </c>
      <c r="N141" s="164"/>
    </row>
    <row r="142" spans="1:14" s="28" customFormat="1" ht="21">
      <c r="A142" s="192"/>
      <c r="B142" s="192"/>
      <c r="C142" s="193" t="s">
        <v>186</v>
      </c>
      <c r="D142" s="194"/>
      <c r="E142" s="194"/>
      <c r="F142" s="194"/>
      <c r="G142" s="194"/>
      <c r="H142" s="194"/>
      <c r="I142" s="194"/>
      <c r="J142" s="194">
        <f>+J141*100/M141</f>
        <v>54.523810536399104</v>
      </c>
      <c r="K142" s="194">
        <f>+K141*100/M141</f>
        <v>33.638878730406454</v>
      </c>
      <c r="L142" s="194">
        <f>+L141*100/M141</f>
        <v>11.837310733194435</v>
      </c>
      <c r="M142" s="194">
        <f t="shared" si="25"/>
        <v>100</v>
      </c>
      <c r="N142" s="164"/>
    </row>
    <row r="143" spans="1:13" ht="21">
      <c r="A143" s="166" t="s">
        <v>184</v>
      </c>
      <c r="B143" s="166" t="s">
        <v>126</v>
      </c>
      <c r="C143" s="132" t="s">
        <v>185</v>
      </c>
      <c r="D143" s="132">
        <v>402</v>
      </c>
      <c r="E143" s="132">
        <v>293.2</v>
      </c>
      <c r="F143" s="132">
        <v>14824820.242664514</v>
      </c>
      <c r="G143" s="132">
        <v>9146285.364815976</v>
      </c>
      <c r="H143" s="132">
        <v>3218520.533501955</v>
      </c>
      <c r="I143" s="132">
        <f t="shared" si="29"/>
        <v>27189626.140982445</v>
      </c>
      <c r="J143" s="132">
        <f>+F143/D143</f>
        <v>36877.66229518536</v>
      </c>
      <c r="K143" s="132">
        <f>+G143/D143</f>
        <v>22751.953643820838</v>
      </c>
      <c r="L143" s="132">
        <f>+H143/D143</f>
        <v>8006.269983835709</v>
      </c>
      <c r="M143" s="132">
        <f t="shared" si="25"/>
        <v>67635.8859228419</v>
      </c>
    </row>
    <row r="144" spans="1:14" s="28" customFormat="1" ht="21">
      <c r="A144" s="192"/>
      <c r="B144" s="192"/>
      <c r="C144" s="193" t="s">
        <v>188</v>
      </c>
      <c r="D144" s="194">
        <f>SUM(D143)</f>
        <v>402</v>
      </c>
      <c r="E144" s="194">
        <f>SUM(E143)</f>
        <v>293.2</v>
      </c>
      <c r="F144" s="194">
        <f>SUM(F143)</f>
        <v>14824820.242664514</v>
      </c>
      <c r="G144" s="194">
        <f>SUM(G143)</f>
        <v>9146285.364815976</v>
      </c>
      <c r="H144" s="194">
        <f>SUM(H143)</f>
        <v>3218520.533501955</v>
      </c>
      <c r="I144" s="194">
        <f>SUM(F144:H144)</f>
        <v>27189626.140982445</v>
      </c>
      <c r="J144" s="194">
        <f>+F144/D144</f>
        <v>36877.66229518536</v>
      </c>
      <c r="K144" s="194">
        <f>+G144/D144</f>
        <v>22751.953643820838</v>
      </c>
      <c r="L144" s="194">
        <f>+H144/D144</f>
        <v>8006.269983835709</v>
      </c>
      <c r="M144" s="194">
        <f t="shared" si="25"/>
        <v>67635.8859228419</v>
      </c>
      <c r="N144" s="164"/>
    </row>
    <row r="145" spans="1:14" s="28" customFormat="1" ht="21">
      <c r="A145" s="192"/>
      <c r="B145" s="192"/>
      <c r="C145" s="193" t="s">
        <v>186</v>
      </c>
      <c r="D145" s="194"/>
      <c r="E145" s="194"/>
      <c r="F145" s="194"/>
      <c r="G145" s="194"/>
      <c r="H145" s="194"/>
      <c r="I145" s="194"/>
      <c r="J145" s="194">
        <f>+J144*100/M144</f>
        <v>54.52381053639911</v>
      </c>
      <c r="K145" s="194">
        <f>+K144*100/M144</f>
        <v>33.63887873040646</v>
      </c>
      <c r="L145" s="194">
        <f>+L144*100/M144</f>
        <v>11.837310733194435</v>
      </c>
      <c r="M145" s="194">
        <f t="shared" si="25"/>
        <v>100</v>
      </c>
      <c r="N145" s="164"/>
    </row>
    <row r="146" spans="1:14" s="162" customFormat="1" ht="21">
      <c r="A146" s="196" t="s">
        <v>131</v>
      </c>
      <c r="B146" s="197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65"/>
    </row>
    <row r="147" spans="1:13" ht="21">
      <c r="A147" s="166" t="s">
        <v>132</v>
      </c>
      <c r="B147" s="166" t="s">
        <v>134</v>
      </c>
      <c r="C147" s="132" t="s">
        <v>416</v>
      </c>
      <c r="D147" s="132">
        <v>8</v>
      </c>
      <c r="E147" s="132">
        <v>7.33</v>
      </c>
      <c r="F147" s="132">
        <v>305701.5</v>
      </c>
      <c r="G147" s="132">
        <v>189351.23</v>
      </c>
      <c r="H147" s="132">
        <v>33399.32</v>
      </c>
      <c r="I147" s="132">
        <f t="shared" si="29"/>
        <v>528452.0499999999</v>
      </c>
      <c r="J147" s="132">
        <f>+F147/D147</f>
        <v>38212.6875</v>
      </c>
      <c r="K147" s="132">
        <f>+G147/D147</f>
        <v>23668.90375</v>
      </c>
      <c r="L147" s="132">
        <f>+H147/D147</f>
        <v>4174.915</v>
      </c>
      <c r="M147" s="132">
        <f aca="true" t="shared" si="30" ref="M147:M159">SUM(J147:L147)</f>
        <v>66056.50624999999</v>
      </c>
    </row>
    <row r="148" spans="1:14" s="28" customFormat="1" ht="21">
      <c r="A148" s="192"/>
      <c r="B148" s="192"/>
      <c r="C148" s="193" t="s">
        <v>188</v>
      </c>
      <c r="D148" s="194">
        <f>SUM(D147)</f>
        <v>8</v>
      </c>
      <c r="E148" s="194">
        <f>SUM(E147)</f>
        <v>7.33</v>
      </c>
      <c r="F148" s="194">
        <f>SUM(F147)</f>
        <v>305701.5</v>
      </c>
      <c r="G148" s="194">
        <f>SUM(G147)</f>
        <v>189351.23</v>
      </c>
      <c r="H148" s="194">
        <f>SUM(H147)</f>
        <v>33399.32</v>
      </c>
      <c r="I148" s="194">
        <f>SUM(F148:H148)</f>
        <v>528452.0499999999</v>
      </c>
      <c r="J148" s="194">
        <f>+F148/D148</f>
        <v>38212.6875</v>
      </c>
      <c r="K148" s="194">
        <f>+G148/D148</f>
        <v>23668.90375</v>
      </c>
      <c r="L148" s="194">
        <f>+H148/D148</f>
        <v>4174.915</v>
      </c>
      <c r="M148" s="194">
        <f t="shared" si="30"/>
        <v>66056.50624999999</v>
      </c>
      <c r="N148" s="164"/>
    </row>
    <row r="149" spans="1:14" s="28" customFormat="1" ht="21">
      <c r="A149" s="192"/>
      <c r="B149" s="192"/>
      <c r="C149" s="193" t="s">
        <v>186</v>
      </c>
      <c r="D149" s="194"/>
      <c r="E149" s="194"/>
      <c r="F149" s="194"/>
      <c r="G149" s="194"/>
      <c r="H149" s="194"/>
      <c r="I149" s="194"/>
      <c r="J149" s="194">
        <f>+J148*100/M148</f>
        <v>57.84848407722139</v>
      </c>
      <c r="K149" s="194">
        <f>+K148*100/M148</f>
        <v>35.83129822279997</v>
      </c>
      <c r="L149" s="194">
        <f>+L148*100/M148</f>
        <v>6.320217699978646</v>
      </c>
      <c r="M149" s="194">
        <f t="shared" si="30"/>
        <v>100.00000000000001</v>
      </c>
      <c r="N149" s="164"/>
    </row>
    <row r="150" spans="1:13" ht="21">
      <c r="A150" s="166" t="s">
        <v>135</v>
      </c>
      <c r="B150" s="166" t="s">
        <v>136</v>
      </c>
      <c r="C150" s="132" t="s">
        <v>87</v>
      </c>
      <c r="D150" s="132">
        <v>3</v>
      </c>
      <c r="E150" s="132">
        <v>1.39</v>
      </c>
      <c r="F150" s="132">
        <v>96332.51771164022</v>
      </c>
      <c r="G150" s="132">
        <v>57202.681031746026</v>
      </c>
      <c r="H150" s="132">
        <v>9933.487910052909</v>
      </c>
      <c r="I150" s="132">
        <f t="shared" si="29"/>
        <v>163468.68665343916</v>
      </c>
      <c r="J150" s="132">
        <f aca="true" t="shared" si="31" ref="J150:J155">+F150/D150</f>
        <v>32110.839237213408</v>
      </c>
      <c r="K150" s="132">
        <f aca="true" t="shared" si="32" ref="K150:K155">+G150/D150</f>
        <v>19067.560343915342</v>
      </c>
      <c r="L150" s="132">
        <f aca="true" t="shared" si="33" ref="L150:L155">+H150/D150</f>
        <v>3311.162636684303</v>
      </c>
      <c r="M150" s="132">
        <f t="shared" si="30"/>
        <v>54489.56221781305</v>
      </c>
    </row>
    <row r="151" spans="1:13" ht="21">
      <c r="A151" s="166" t="s">
        <v>135</v>
      </c>
      <c r="B151" s="166" t="s">
        <v>136</v>
      </c>
      <c r="C151" s="132" t="s">
        <v>137</v>
      </c>
      <c r="D151" s="132">
        <v>4</v>
      </c>
      <c r="E151" s="132">
        <v>2.5</v>
      </c>
      <c r="F151" s="132">
        <v>173259.92394179894</v>
      </c>
      <c r="G151" s="132">
        <v>102882.51984126984</v>
      </c>
      <c r="H151" s="132">
        <v>17865.98544973545</v>
      </c>
      <c r="I151" s="132">
        <f t="shared" si="29"/>
        <v>294008.4292328042</v>
      </c>
      <c r="J151" s="132">
        <f t="shared" si="31"/>
        <v>43314.980985449736</v>
      </c>
      <c r="K151" s="132">
        <f t="shared" si="32"/>
        <v>25720.62996031746</v>
      </c>
      <c r="L151" s="132">
        <f t="shared" si="33"/>
        <v>4466.4963624338625</v>
      </c>
      <c r="M151" s="132">
        <f t="shared" si="30"/>
        <v>73502.10730820106</v>
      </c>
    </row>
    <row r="152" spans="1:13" ht="21">
      <c r="A152" s="166" t="s">
        <v>135</v>
      </c>
      <c r="B152" s="166" t="s">
        <v>136</v>
      </c>
      <c r="C152" s="132" t="s">
        <v>138</v>
      </c>
      <c r="D152" s="132">
        <v>6</v>
      </c>
      <c r="E152" s="132">
        <v>3.67</v>
      </c>
      <c r="F152" s="132">
        <v>254345.56834656087</v>
      </c>
      <c r="G152" s="132">
        <v>151031.5391269841</v>
      </c>
      <c r="H152" s="132">
        <v>26227.26664021164</v>
      </c>
      <c r="I152" s="132">
        <f t="shared" si="29"/>
        <v>431604.37411375664</v>
      </c>
      <c r="J152" s="132">
        <f t="shared" si="31"/>
        <v>42390.928057760146</v>
      </c>
      <c r="K152" s="132">
        <f t="shared" si="32"/>
        <v>25171.923187830685</v>
      </c>
      <c r="L152" s="132">
        <f t="shared" si="33"/>
        <v>4371.2111067019405</v>
      </c>
      <c r="M152" s="132">
        <f t="shared" si="30"/>
        <v>71934.06235229278</v>
      </c>
    </row>
    <row r="153" spans="1:13" ht="21">
      <c r="A153" s="166" t="s">
        <v>135</v>
      </c>
      <c r="B153" s="166" t="s">
        <v>101</v>
      </c>
      <c r="C153" s="132" t="s">
        <v>417</v>
      </c>
      <c r="D153" s="132">
        <v>2</v>
      </c>
      <c r="E153" s="132">
        <v>0.5</v>
      </c>
      <c r="F153" s="132">
        <v>55761.205121909465</v>
      </c>
      <c r="G153" s="132">
        <v>26601.33442092447</v>
      </c>
      <c r="H153" s="132">
        <v>6171.276836171487</v>
      </c>
      <c r="I153" s="132">
        <f t="shared" si="29"/>
        <v>88533.81637900542</v>
      </c>
      <c r="J153" s="132">
        <f t="shared" si="31"/>
        <v>27880.602560954732</v>
      </c>
      <c r="K153" s="132">
        <f t="shared" si="32"/>
        <v>13300.667210462236</v>
      </c>
      <c r="L153" s="132">
        <f t="shared" si="33"/>
        <v>3085.6384180857435</v>
      </c>
      <c r="M153" s="132">
        <f t="shared" si="30"/>
        <v>44266.90818950271</v>
      </c>
    </row>
    <row r="154" spans="1:13" ht="21">
      <c r="A154" s="166" t="s">
        <v>135</v>
      </c>
      <c r="B154" s="166" t="s">
        <v>101</v>
      </c>
      <c r="C154" s="132" t="s">
        <v>218</v>
      </c>
      <c r="D154" s="132">
        <v>4</v>
      </c>
      <c r="E154" s="132">
        <v>2.83</v>
      </c>
      <c r="F154" s="132">
        <v>315608.4209900076</v>
      </c>
      <c r="G154" s="132">
        <v>150563.55282243254</v>
      </c>
      <c r="H154" s="132">
        <v>34929.42689273062</v>
      </c>
      <c r="I154" s="132">
        <f t="shared" si="29"/>
        <v>501101.40070517076</v>
      </c>
      <c r="J154" s="132">
        <f t="shared" si="31"/>
        <v>78902.1052475019</v>
      </c>
      <c r="K154" s="132">
        <f t="shared" si="32"/>
        <v>37640.888205608135</v>
      </c>
      <c r="L154" s="132">
        <f t="shared" si="33"/>
        <v>8732.356723182655</v>
      </c>
      <c r="M154" s="132">
        <f t="shared" si="30"/>
        <v>125275.35017629269</v>
      </c>
    </row>
    <row r="155" spans="1:14" s="28" customFormat="1" ht="21">
      <c r="A155" s="192"/>
      <c r="B155" s="192"/>
      <c r="C155" s="193" t="s">
        <v>188</v>
      </c>
      <c r="D155" s="194">
        <f>SUM(D150:D154)</f>
        <v>19</v>
      </c>
      <c r="E155" s="194">
        <f>SUM(E150:E154)</f>
        <v>10.889999999999999</v>
      </c>
      <c r="F155" s="194">
        <f>SUM(F150:F154)</f>
        <v>895307.6361119171</v>
      </c>
      <c r="G155" s="194">
        <f>SUM(G150:G154)</f>
        <v>488281.627243357</v>
      </c>
      <c r="H155" s="194">
        <f>SUM(H150:H154)</f>
        <v>95127.44372890212</v>
      </c>
      <c r="I155" s="194">
        <f>SUM(F155:H155)</f>
        <v>1478716.7070841764</v>
      </c>
      <c r="J155" s="194">
        <f t="shared" si="31"/>
        <v>47121.45453220616</v>
      </c>
      <c r="K155" s="194">
        <f t="shared" si="32"/>
        <v>25699.033012808264</v>
      </c>
      <c r="L155" s="194">
        <f t="shared" si="33"/>
        <v>5006.707564679059</v>
      </c>
      <c r="M155" s="194">
        <f t="shared" si="30"/>
        <v>77827.19510969348</v>
      </c>
      <c r="N155" s="164"/>
    </row>
    <row r="156" spans="1:14" s="28" customFormat="1" ht="21">
      <c r="A156" s="192"/>
      <c r="B156" s="192"/>
      <c r="C156" s="193" t="s">
        <v>186</v>
      </c>
      <c r="D156" s="194"/>
      <c r="E156" s="194"/>
      <c r="F156" s="194"/>
      <c r="G156" s="194"/>
      <c r="H156" s="194"/>
      <c r="I156" s="194"/>
      <c r="J156" s="194">
        <f>+J155*100/M155</f>
        <v>60.54625824018309</v>
      </c>
      <c r="K156" s="194">
        <f>+K155*100/M155</f>
        <v>33.020633695698244</v>
      </c>
      <c r="L156" s="194">
        <f>+L155*100/M155</f>
        <v>6.433108064118666</v>
      </c>
      <c r="M156" s="194">
        <f t="shared" si="30"/>
        <v>100</v>
      </c>
      <c r="N156" s="164"/>
    </row>
    <row r="157" spans="1:13" ht="21">
      <c r="A157" s="166" t="s">
        <v>140</v>
      </c>
      <c r="B157" s="166" t="s">
        <v>107</v>
      </c>
      <c r="C157" s="132" t="s">
        <v>418</v>
      </c>
      <c r="D157" s="132">
        <v>23</v>
      </c>
      <c r="E157" s="132">
        <v>15.45</v>
      </c>
      <c r="F157" s="132">
        <v>741240.577704221</v>
      </c>
      <c r="G157" s="132">
        <v>516010.266372582</v>
      </c>
      <c r="H157" s="132">
        <v>89290.9741392804</v>
      </c>
      <c r="I157" s="132">
        <f t="shared" si="29"/>
        <v>1346541.8182160833</v>
      </c>
      <c r="J157" s="132">
        <f>+F157/D157</f>
        <v>32227.851204531347</v>
      </c>
      <c r="K157" s="132">
        <f>+G157/D157</f>
        <v>22435.228972720957</v>
      </c>
      <c r="L157" s="132">
        <f>+H157/D157</f>
        <v>3882.216266925235</v>
      </c>
      <c r="M157" s="132">
        <f t="shared" si="30"/>
        <v>58545.29644417754</v>
      </c>
    </row>
    <row r="158" spans="1:14" s="28" customFormat="1" ht="21">
      <c r="A158" s="192"/>
      <c r="B158" s="192"/>
      <c r="C158" s="193" t="s">
        <v>188</v>
      </c>
      <c r="D158" s="194">
        <f>SUM(D157)</f>
        <v>23</v>
      </c>
      <c r="E158" s="194">
        <f>SUM(E157)</f>
        <v>15.45</v>
      </c>
      <c r="F158" s="194">
        <f>SUM(F157)</f>
        <v>741240.577704221</v>
      </c>
      <c r="G158" s="194">
        <f>SUM(G157)</f>
        <v>516010.266372582</v>
      </c>
      <c r="H158" s="194">
        <f>SUM(H157)</f>
        <v>89290.9741392804</v>
      </c>
      <c r="I158" s="194">
        <f>SUM(F158:H158)</f>
        <v>1346541.8182160833</v>
      </c>
      <c r="J158" s="194">
        <f>+F158/D158</f>
        <v>32227.851204531347</v>
      </c>
      <c r="K158" s="194">
        <f>+G158/D158</f>
        <v>22435.228972720957</v>
      </c>
      <c r="L158" s="194">
        <f>+H158/D158</f>
        <v>3882.216266925235</v>
      </c>
      <c r="M158" s="194">
        <f t="shared" si="30"/>
        <v>58545.29644417754</v>
      </c>
      <c r="N158" s="164"/>
    </row>
    <row r="159" spans="1:14" s="28" customFormat="1" ht="21">
      <c r="A159" s="192"/>
      <c r="B159" s="192"/>
      <c r="C159" s="193" t="s">
        <v>186</v>
      </c>
      <c r="D159" s="194"/>
      <c r="E159" s="194"/>
      <c r="F159" s="194"/>
      <c r="G159" s="194"/>
      <c r="H159" s="194"/>
      <c r="I159" s="194"/>
      <c r="J159" s="194">
        <f>+J158*100/M158</f>
        <v>55.047720588895366</v>
      </c>
      <c r="K159" s="194">
        <f>+K158*100/M158</f>
        <v>38.321146762170315</v>
      </c>
      <c r="L159" s="194">
        <f>+L158*100/M158</f>
        <v>6.631132648934311</v>
      </c>
      <c r="M159" s="194">
        <f t="shared" si="30"/>
        <v>100</v>
      </c>
      <c r="N159" s="164"/>
    </row>
    <row r="160" spans="1:13" ht="21">
      <c r="A160" s="199"/>
      <c r="B160" s="199" t="s">
        <v>4</v>
      </c>
      <c r="C160" s="200"/>
      <c r="D160" s="200">
        <v>17910</v>
      </c>
      <c r="E160" s="200">
        <v>13442.240000000002</v>
      </c>
      <c r="F160" s="200">
        <v>748445921.6573853</v>
      </c>
      <c r="G160" s="200">
        <v>495065000.18408096</v>
      </c>
      <c r="H160" s="200">
        <v>93012528.86742544</v>
      </c>
      <c r="I160" s="200">
        <f t="shared" si="29"/>
        <v>1336523450.7088919</v>
      </c>
      <c r="J160" s="200">
        <v>41789.275357754625</v>
      </c>
      <c r="K160" s="200">
        <v>27641.820222450082</v>
      </c>
      <c r="L160" s="200">
        <v>5193.329361665295</v>
      </c>
      <c r="M160" s="200">
        <v>74624.42494187</v>
      </c>
    </row>
    <row r="162" spans="1:2" ht="21">
      <c r="A162" s="1"/>
      <c r="B162" s="1"/>
    </row>
  </sheetData>
  <sheetProtection/>
  <mergeCells count="2">
    <mergeCell ref="A1:M1"/>
    <mergeCell ref="A2:M2"/>
  </mergeCells>
  <printOptions horizontalCentered="1"/>
  <pageMargins left="0.28" right="0.2755905511811024" top="0.5118110236220472" bottom="0.5118110236220472" header="0.31496062992125984" footer="0.31496062992125984"/>
  <pageSetup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D1">
      <selection activeCell="H13" sqref="H13"/>
    </sheetView>
  </sheetViews>
  <sheetFormatPr defaultColWidth="3.57421875" defaultRowHeight="15"/>
  <cols>
    <col min="1" max="1" width="4.7109375" style="126" customWidth="1"/>
    <col min="2" max="2" width="28.140625" style="127" bestFit="1" customWidth="1"/>
    <col min="3" max="3" width="34.8515625" style="27" bestFit="1" customWidth="1"/>
    <col min="4" max="4" width="46.57421875" style="27" bestFit="1" customWidth="1"/>
    <col min="5" max="5" width="10.7109375" style="27" customWidth="1"/>
    <col min="6" max="6" width="10.7109375" style="114" customWidth="1"/>
    <col min="7" max="9" width="14.7109375" style="114" customWidth="1"/>
    <col min="10" max="10" width="15.7109375" style="114" customWidth="1"/>
    <col min="11" max="14" width="14.7109375" style="114" customWidth="1"/>
    <col min="15" max="16384" width="3.421875" style="27" customWidth="1"/>
  </cols>
  <sheetData>
    <row r="1" spans="1:14" ht="21">
      <c r="A1" s="234" t="s">
        <v>380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21">
      <c r="A2" s="234" t="s">
        <v>430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4" spans="1:14" s="123" customFormat="1" ht="63">
      <c r="A4" s="55" t="s">
        <v>379</v>
      </c>
      <c r="B4" s="55" t="s">
        <v>46</v>
      </c>
      <c r="C4" s="55" t="s">
        <v>48</v>
      </c>
      <c r="D4" s="55" t="s">
        <v>47</v>
      </c>
      <c r="E4" s="144" t="s">
        <v>428</v>
      </c>
      <c r="F4" s="128" t="s">
        <v>429</v>
      </c>
      <c r="G4" s="128" t="s">
        <v>381</v>
      </c>
      <c r="H4" s="128" t="s">
        <v>382</v>
      </c>
      <c r="I4" s="128" t="s">
        <v>167</v>
      </c>
      <c r="J4" s="129" t="s">
        <v>49</v>
      </c>
      <c r="K4" s="128" t="s">
        <v>190</v>
      </c>
      <c r="L4" s="128" t="s">
        <v>191</v>
      </c>
      <c r="M4" s="128" t="s">
        <v>187</v>
      </c>
      <c r="N4" s="128" t="s">
        <v>378</v>
      </c>
    </row>
    <row r="5" spans="1:14" ht="21">
      <c r="A5" s="130">
        <v>1</v>
      </c>
      <c r="B5" s="36" t="s">
        <v>62</v>
      </c>
      <c r="C5" s="131" t="s">
        <v>59</v>
      </c>
      <c r="D5" s="131" t="s">
        <v>54</v>
      </c>
      <c r="E5" s="131">
        <v>610</v>
      </c>
      <c r="F5" s="132">
        <v>305.5</v>
      </c>
      <c r="G5" s="132">
        <v>25147461.24221179</v>
      </c>
      <c r="H5" s="132">
        <v>15577236.565162184</v>
      </c>
      <c r="I5" s="132">
        <v>2747536.872674702</v>
      </c>
      <c r="J5" s="132">
        <v>43472234.680048674</v>
      </c>
      <c r="K5" s="132">
        <f>+G5/E5</f>
        <v>41225.34629870785</v>
      </c>
      <c r="L5" s="132">
        <f>+H5/E5</f>
        <v>25536.453385511777</v>
      </c>
      <c r="M5" s="132">
        <f>+I5/E5</f>
        <v>4504.158807663446</v>
      </c>
      <c r="N5" s="132">
        <f>SUM(K5:M5)</f>
        <v>71265.95849188308</v>
      </c>
    </row>
    <row r="6" spans="1:14" ht="21">
      <c r="A6" s="130">
        <v>2</v>
      </c>
      <c r="B6" s="36" t="s">
        <v>58</v>
      </c>
      <c r="C6" s="131" t="s">
        <v>59</v>
      </c>
      <c r="D6" s="131" t="s">
        <v>60</v>
      </c>
      <c r="E6" s="131">
        <v>575</v>
      </c>
      <c r="F6" s="132">
        <v>256.14</v>
      </c>
      <c r="G6" s="132">
        <v>21084355.88405934</v>
      </c>
      <c r="H6" s="132">
        <v>13060403.84222796</v>
      </c>
      <c r="I6" s="132">
        <v>2303614.0575021217</v>
      </c>
      <c r="J6" s="132">
        <v>36448373.78378942</v>
      </c>
      <c r="K6" s="132">
        <f aca="true" t="shared" si="0" ref="K6:K69">+G6/E6</f>
        <v>36668.44501575537</v>
      </c>
      <c r="L6" s="132">
        <f aca="true" t="shared" si="1" ref="L6:L69">+H6/E6</f>
        <v>22713.745812570367</v>
      </c>
      <c r="M6" s="132">
        <f aca="true" t="shared" si="2" ref="M6:M69">+I6/E6</f>
        <v>4006.2853173949943</v>
      </c>
      <c r="N6" s="132">
        <f aca="true" t="shared" si="3" ref="N6:N69">SUM(K6:M6)</f>
        <v>63388.47614572073</v>
      </c>
    </row>
    <row r="7" spans="1:14" ht="21">
      <c r="A7" s="130">
        <v>3</v>
      </c>
      <c r="B7" s="36" t="s">
        <v>58</v>
      </c>
      <c r="C7" s="131" t="s">
        <v>59</v>
      </c>
      <c r="D7" s="131" t="s">
        <v>52</v>
      </c>
      <c r="E7" s="131">
        <v>562</v>
      </c>
      <c r="F7" s="132">
        <v>278.69</v>
      </c>
      <c r="G7" s="132">
        <v>22940576.018304434</v>
      </c>
      <c r="H7" s="132">
        <v>14210212.956939606</v>
      </c>
      <c r="I7" s="132">
        <v>2506419.152359125</v>
      </c>
      <c r="J7" s="132">
        <v>39657208.127603166</v>
      </c>
      <c r="K7" s="132">
        <f t="shared" si="0"/>
        <v>40819.53028168049</v>
      </c>
      <c r="L7" s="132">
        <f t="shared" si="1"/>
        <v>25285.0764358356</v>
      </c>
      <c r="M7" s="132">
        <f t="shared" si="2"/>
        <v>4459.820555799155</v>
      </c>
      <c r="N7" s="132">
        <f t="shared" si="3"/>
        <v>70564.42727331525</v>
      </c>
    </row>
    <row r="8" spans="1:14" ht="21">
      <c r="A8" s="130">
        <v>4</v>
      </c>
      <c r="B8" s="36" t="s">
        <v>58</v>
      </c>
      <c r="C8" s="131" t="s">
        <v>59</v>
      </c>
      <c r="D8" s="131" t="s">
        <v>202</v>
      </c>
      <c r="E8" s="131">
        <v>435</v>
      </c>
      <c r="F8" s="132">
        <v>209.31</v>
      </c>
      <c r="G8" s="132">
        <v>17229509.370236825</v>
      </c>
      <c r="H8" s="132">
        <v>10672574.093139434</v>
      </c>
      <c r="I8" s="132">
        <v>1882444.9846793518</v>
      </c>
      <c r="J8" s="132">
        <v>29784528.448055614</v>
      </c>
      <c r="K8" s="132">
        <f t="shared" si="0"/>
        <v>39608.06751778581</v>
      </c>
      <c r="L8" s="132">
        <f t="shared" si="1"/>
        <v>24534.65308767686</v>
      </c>
      <c r="M8" s="132">
        <f t="shared" si="2"/>
        <v>4327.459734895062</v>
      </c>
      <c r="N8" s="132">
        <f t="shared" si="3"/>
        <v>68470.18034035772</v>
      </c>
    </row>
    <row r="9" spans="1:14" ht="21">
      <c r="A9" s="130">
        <v>5</v>
      </c>
      <c r="B9" s="36" t="s">
        <v>71</v>
      </c>
      <c r="C9" s="131" t="s">
        <v>76</v>
      </c>
      <c r="D9" s="131" t="s">
        <v>77</v>
      </c>
      <c r="E9" s="131">
        <v>415</v>
      </c>
      <c r="F9" s="132">
        <v>189.92</v>
      </c>
      <c r="G9" s="132">
        <v>19411866.48869839</v>
      </c>
      <c r="H9" s="132">
        <v>12135939.66116225</v>
      </c>
      <c r="I9" s="132">
        <v>2278656.8637743285</v>
      </c>
      <c r="J9" s="132">
        <v>33826463.013634965</v>
      </c>
      <c r="K9" s="132">
        <f t="shared" si="0"/>
        <v>46775.58190047805</v>
      </c>
      <c r="L9" s="132">
        <f t="shared" si="1"/>
        <v>29243.228099186144</v>
      </c>
      <c r="M9" s="132">
        <f t="shared" si="2"/>
        <v>5490.739430781515</v>
      </c>
      <c r="N9" s="132">
        <f t="shared" si="3"/>
        <v>81509.54943044571</v>
      </c>
    </row>
    <row r="10" spans="1:14" ht="21">
      <c r="A10" s="130">
        <v>6</v>
      </c>
      <c r="B10" s="36" t="s">
        <v>71</v>
      </c>
      <c r="C10" s="131" t="s">
        <v>73</v>
      </c>
      <c r="D10" s="131" t="s">
        <v>72</v>
      </c>
      <c r="E10" s="131">
        <v>366</v>
      </c>
      <c r="F10" s="132">
        <v>212.42</v>
      </c>
      <c r="G10" s="132">
        <v>23171540.211833194</v>
      </c>
      <c r="H10" s="132">
        <v>10494088.438439505</v>
      </c>
      <c r="I10" s="132">
        <v>4274908.739731687</v>
      </c>
      <c r="J10" s="132">
        <v>37940537.39000438</v>
      </c>
      <c r="K10" s="132">
        <f t="shared" si="0"/>
        <v>63310.21915801419</v>
      </c>
      <c r="L10" s="132">
        <f t="shared" si="1"/>
        <v>28672.372782621598</v>
      </c>
      <c r="M10" s="132">
        <f t="shared" si="2"/>
        <v>11680.078523857068</v>
      </c>
      <c r="N10" s="132">
        <f t="shared" si="3"/>
        <v>103662.67046449285</v>
      </c>
    </row>
    <row r="11" spans="1:14" ht="21">
      <c r="A11" s="130">
        <v>7</v>
      </c>
      <c r="B11" s="36" t="s">
        <v>102</v>
      </c>
      <c r="C11" s="131" t="s">
        <v>122</v>
      </c>
      <c r="D11" s="131" t="s">
        <v>125</v>
      </c>
      <c r="E11" s="131">
        <v>331</v>
      </c>
      <c r="F11" s="132">
        <v>169.75</v>
      </c>
      <c r="G11" s="132">
        <v>16745364.224149438</v>
      </c>
      <c r="H11" s="132">
        <v>12233385.365184337</v>
      </c>
      <c r="I11" s="132">
        <v>2181855.9814407616</v>
      </c>
      <c r="J11" s="132">
        <v>31160605.570774533</v>
      </c>
      <c r="K11" s="132">
        <f t="shared" si="0"/>
        <v>50590.22424214332</v>
      </c>
      <c r="L11" s="132">
        <f t="shared" si="1"/>
        <v>36958.86817276235</v>
      </c>
      <c r="M11" s="132">
        <f t="shared" si="2"/>
        <v>6591.709913718313</v>
      </c>
      <c r="N11" s="132">
        <f t="shared" si="3"/>
        <v>94140.80232862398</v>
      </c>
    </row>
    <row r="12" spans="1:14" ht="21">
      <c r="A12" s="130">
        <v>8</v>
      </c>
      <c r="B12" s="36" t="s">
        <v>58</v>
      </c>
      <c r="C12" s="131" t="s">
        <v>59</v>
      </c>
      <c r="D12" s="131" t="s">
        <v>385</v>
      </c>
      <c r="E12" s="131">
        <v>325</v>
      </c>
      <c r="F12" s="132">
        <v>152.67</v>
      </c>
      <c r="G12" s="132">
        <v>12567145.361206133</v>
      </c>
      <c r="H12" s="132">
        <v>7784539.137163047</v>
      </c>
      <c r="I12" s="132">
        <v>1373048.9504132464</v>
      </c>
      <c r="J12" s="132">
        <v>21724733.448782425</v>
      </c>
      <c r="K12" s="132">
        <f t="shared" si="0"/>
        <v>38668.139572941946</v>
      </c>
      <c r="L12" s="132">
        <f t="shared" si="1"/>
        <v>23952.428114347837</v>
      </c>
      <c r="M12" s="132">
        <f t="shared" si="2"/>
        <v>4224.766001271528</v>
      </c>
      <c r="N12" s="132">
        <f t="shared" si="3"/>
        <v>66845.33368856131</v>
      </c>
    </row>
    <row r="13" spans="1:14" ht="21">
      <c r="A13" s="130">
        <v>9</v>
      </c>
      <c r="B13" s="36" t="s">
        <v>84</v>
      </c>
      <c r="C13" s="131" t="s">
        <v>76</v>
      </c>
      <c r="D13" s="131" t="s">
        <v>80</v>
      </c>
      <c r="E13" s="131">
        <v>320</v>
      </c>
      <c r="F13" s="132">
        <v>149.89</v>
      </c>
      <c r="G13" s="132">
        <v>15320369.98731572</v>
      </c>
      <c r="H13" s="132">
        <v>9578011.772386318</v>
      </c>
      <c r="I13" s="132">
        <v>1798377.6185295598</v>
      </c>
      <c r="J13" s="132">
        <v>26696759.378231596</v>
      </c>
      <c r="K13" s="132">
        <f t="shared" si="0"/>
        <v>47876.15621036162</v>
      </c>
      <c r="L13" s="132">
        <f t="shared" si="1"/>
        <v>29931.286788707243</v>
      </c>
      <c r="M13" s="132">
        <f t="shared" si="2"/>
        <v>5619.930057904874</v>
      </c>
      <c r="N13" s="132">
        <f t="shared" si="3"/>
        <v>83427.37305697374</v>
      </c>
    </row>
    <row r="14" spans="1:14" ht="21">
      <c r="A14" s="130">
        <v>10</v>
      </c>
      <c r="B14" s="36" t="s">
        <v>184</v>
      </c>
      <c r="C14" s="131" t="s">
        <v>126</v>
      </c>
      <c r="D14" s="131" t="s">
        <v>185</v>
      </c>
      <c r="E14" s="131">
        <v>320</v>
      </c>
      <c r="F14" s="132">
        <v>149.83</v>
      </c>
      <c r="G14" s="132">
        <v>14989779.030002512</v>
      </c>
      <c r="H14" s="132">
        <v>9272587.222369287</v>
      </c>
      <c r="I14" s="132">
        <v>3267180.610614853</v>
      </c>
      <c r="J14" s="132">
        <v>27529546.862986654</v>
      </c>
      <c r="K14" s="132">
        <f t="shared" si="0"/>
        <v>46843.05946875785</v>
      </c>
      <c r="L14" s="132">
        <f t="shared" si="1"/>
        <v>28976.835069904024</v>
      </c>
      <c r="M14" s="132">
        <f t="shared" si="2"/>
        <v>10209.939408171416</v>
      </c>
      <c r="N14" s="132">
        <f t="shared" si="3"/>
        <v>86029.83394683329</v>
      </c>
    </row>
    <row r="15" spans="1:14" ht="21">
      <c r="A15" s="130">
        <v>11</v>
      </c>
      <c r="B15" s="36" t="s">
        <v>103</v>
      </c>
      <c r="C15" s="131" t="s">
        <v>107</v>
      </c>
      <c r="D15" s="131" t="s">
        <v>111</v>
      </c>
      <c r="E15" s="131">
        <v>319</v>
      </c>
      <c r="F15" s="132">
        <v>141.56</v>
      </c>
      <c r="G15" s="132">
        <v>13363140.633376464</v>
      </c>
      <c r="H15" s="132">
        <v>9257868.453834517</v>
      </c>
      <c r="I15" s="132">
        <v>1605969.036484858</v>
      </c>
      <c r="J15" s="132">
        <v>24226978.123695843</v>
      </c>
      <c r="K15" s="132">
        <f t="shared" si="0"/>
        <v>41890.722988640955</v>
      </c>
      <c r="L15" s="132">
        <f t="shared" si="1"/>
        <v>29021.531203243</v>
      </c>
      <c r="M15" s="132">
        <f t="shared" si="2"/>
        <v>5034.3856943099</v>
      </c>
      <c r="N15" s="132">
        <f t="shared" si="3"/>
        <v>75946.63988619385</v>
      </c>
    </row>
    <row r="16" spans="1:14" ht="21">
      <c r="A16" s="130">
        <v>12</v>
      </c>
      <c r="B16" s="36" t="s">
        <v>71</v>
      </c>
      <c r="C16" s="131" t="s">
        <v>76</v>
      </c>
      <c r="D16" s="131" t="s">
        <v>74</v>
      </c>
      <c r="E16" s="131">
        <v>309</v>
      </c>
      <c r="F16" s="132">
        <v>144.83</v>
      </c>
      <c r="G16" s="132">
        <v>14803183.569704022</v>
      </c>
      <c r="H16" s="132">
        <v>9254676.395988462</v>
      </c>
      <c r="I16" s="132">
        <v>1737667.826350232</v>
      </c>
      <c r="J16" s="132">
        <v>25795527.792042714</v>
      </c>
      <c r="K16" s="132">
        <f t="shared" si="0"/>
        <v>47906.74294402596</v>
      </c>
      <c r="L16" s="132">
        <f t="shared" si="1"/>
        <v>29950.40904850635</v>
      </c>
      <c r="M16" s="132">
        <f t="shared" si="2"/>
        <v>5623.520473625346</v>
      </c>
      <c r="N16" s="132">
        <f t="shared" si="3"/>
        <v>83480.67246615766</v>
      </c>
    </row>
    <row r="17" spans="1:14" ht="21">
      <c r="A17" s="130">
        <v>13</v>
      </c>
      <c r="B17" s="36" t="s">
        <v>103</v>
      </c>
      <c r="C17" s="131" t="s">
        <v>107</v>
      </c>
      <c r="D17" s="131" t="s">
        <v>106</v>
      </c>
      <c r="E17" s="131">
        <v>298</v>
      </c>
      <c r="F17" s="132">
        <v>129.05</v>
      </c>
      <c r="G17" s="132">
        <v>12182207.53558373</v>
      </c>
      <c r="H17" s="132">
        <v>8439728.199825829</v>
      </c>
      <c r="I17" s="132">
        <v>1464045.663735313</v>
      </c>
      <c r="J17" s="132">
        <v>22085981.39914487</v>
      </c>
      <c r="K17" s="132">
        <f t="shared" si="0"/>
        <v>40879.89105900581</v>
      </c>
      <c r="L17" s="132">
        <f t="shared" si="1"/>
        <v>28321.23556988533</v>
      </c>
      <c r="M17" s="132">
        <f t="shared" si="2"/>
        <v>4912.904911863467</v>
      </c>
      <c r="N17" s="132">
        <f t="shared" si="3"/>
        <v>74114.03154075461</v>
      </c>
    </row>
    <row r="18" spans="1:14" ht="21">
      <c r="A18" s="130">
        <v>14</v>
      </c>
      <c r="B18" s="36" t="s">
        <v>81</v>
      </c>
      <c r="C18" s="131" t="s">
        <v>91</v>
      </c>
      <c r="D18" s="131" t="s">
        <v>95</v>
      </c>
      <c r="E18" s="131">
        <v>279</v>
      </c>
      <c r="F18" s="132">
        <v>149.53</v>
      </c>
      <c r="G18" s="132">
        <v>22548613.188527856</v>
      </c>
      <c r="H18" s="132">
        <v>16216317.643740082</v>
      </c>
      <c r="I18" s="132">
        <v>2039209.7609214652</v>
      </c>
      <c r="J18" s="132">
        <v>40804140.5931894</v>
      </c>
      <c r="K18" s="132">
        <f t="shared" si="0"/>
        <v>80819.40210941884</v>
      </c>
      <c r="L18" s="132">
        <f t="shared" si="1"/>
        <v>58123.00230731212</v>
      </c>
      <c r="M18" s="132">
        <f t="shared" si="2"/>
        <v>7308.995558858298</v>
      </c>
      <c r="N18" s="132">
        <f t="shared" si="3"/>
        <v>146251.39997558924</v>
      </c>
    </row>
    <row r="19" spans="1:14" ht="21">
      <c r="A19" s="130">
        <v>15</v>
      </c>
      <c r="B19" s="36" t="s">
        <v>103</v>
      </c>
      <c r="C19" s="131" t="s">
        <v>107</v>
      </c>
      <c r="D19" s="131" t="s">
        <v>113</v>
      </c>
      <c r="E19" s="131">
        <v>273</v>
      </c>
      <c r="F19" s="132">
        <v>138.83</v>
      </c>
      <c r="G19" s="132">
        <v>13105431.012515223</v>
      </c>
      <c r="H19" s="132">
        <v>9079329.45355924</v>
      </c>
      <c r="I19" s="132">
        <v>1574997.7489064203</v>
      </c>
      <c r="J19" s="132">
        <v>23759758.21498088</v>
      </c>
      <c r="K19" s="132">
        <f t="shared" si="0"/>
        <v>48005.24180408507</v>
      </c>
      <c r="L19" s="132">
        <f t="shared" si="1"/>
        <v>33257.61704600455</v>
      </c>
      <c r="M19" s="132">
        <f t="shared" si="2"/>
        <v>5769.222523466741</v>
      </c>
      <c r="N19" s="132">
        <f t="shared" si="3"/>
        <v>87032.08137355636</v>
      </c>
    </row>
    <row r="20" spans="1:14" ht="21">
      <c r="A20" s="130">
        <v>16</v>
      </c>
      <c r="B20" s="36" t="s">
        <v>223</v>
      </c>
      <c r="C20" s="131" t="s">
        <v>122</v>
      </c>
      <c r="D20" s="131" t="s">
        <v>123</v>
      </c>
      <c r="E20" s="131">
        <v>258</v>
      </c>
      <c r="F20" s="132">
        <v>125.19</v>
      </c>
      <c r="G20" s="132">
        <v>12349644.460802758</v>
      </c>
      <c r="H20" s="132">
        <v>9022076.66490384</v>
      </c>
      <c r="I20" s="132">
        <v>1609110.7529694783</v>
      </c>
      <c r="J20" s="132">
        <v>22980831.878676075</v>
      </c>
      <c r="K20" s="132">
        <f t="shared" si="0"/>
        <v>47866.838995359525</v>
      </c>
      <c r="L20" s="132">
        <f t="shared" si="1"/>
        <v>34969.289398852095</v>
      </c>
      <c r="M20" s="132">
        <f t="shared" si="2"/>
        <v>6236.863383602629</v>
      </c>
      <c r="N20" s="132">
        <f t="shared" si="3"/>
        <v>89072.99177781424</v>
      </c>
    </row>
    <row r="21" spans="1:14" ht="21">
      <c r="A21" s="130">
        <v>17</v>
      </c>
      <c r="B21" s="36" t="s">
        <v>63</v>
      </c>
      <c r="C21" s="131" t="s">
        <v>73</v>
      </c>
      <c r="D21" s="131" t="s">
        <v>64</v>
      </c>
      <c r="E21" s="131">
        <v>254</v>
      </c>
      <c r="F21" s="132">
        <v>130.33</v>
      </c>
      <c r="G21" s="132">
        <v>14216866.753640056</v>
      </c>
      <c r="H21" s="132">
        <v>6438633.5852641985</v>
      </c>
      <c r="I21" s="132">
        <v>2622864.4009473254</v>
      </c>
      <c r="J21" s="132">
        <v>23278364.73985158</v>
      </c>
      <c r="K21" s="132">
        <f t="shared" si="0"/>
        <v>55971.916352913606</v>
      </c>
      <c r="L21" s="132">
        <f t="shared" si="1"/>
        <v>25348.951123087394</v>
      </c>
      <c r="M21" s="132">
        <f t="shared" si="2"/>
        <v>10326.237799005217</v>
      </c>
      <c r="N21" s="132">
        <f t="shared" si="3"/>
        <v>91647.10527500622</v>
      </c>
    </row>
    <row r="22" spans="1:14" ht="21">
      <c r="A22" s="130">
        <v>18</v>
      </c>
      <c r="B22" s="36" t="s">
        <v>81</v>
      </c>
      <c r="C22" s="131" t="s">
        <v>86</v>
      </c>
      <c r="D22" s="131" t="s">
        <v>87</v>
      </c>
      <c r="E22" s="131">
        <v>252</v>
      </c>
      <c r="F22" s="132">
        <v>125.2</v>
      </c>
      <c r="G22" s="132">
        <v>16870104.54357811</v>
      </c>
      <c r="H22" s="132">
        <v>9954905.957340095</v>
      </c>
      <c r="I22" s="132">
        <v>1736887.9927166014</v>
      </c>
      <c r="J22" s="132">
        <v>28561898.49363481</v>
      </c>
      <c r="K22" s="132">
        <f t="shared" si="0"/>
        <v>66944.85929991314</v>
      </c>
      <c r="L22" s="132">
        <f t="shared" si="1"/>
        <v>39503.595068809904</v>
      </c>
      <c r="M22" s="132">
        <f t="shared" si="2"/>
        <v>6892.412669510323</v>
      </c>
      <c r="N22" s="132">
        <f t="shared" si="3"/>
        <v>113340.86703823335</v>
      </c>
    </row>
    <row r="23" spans="1:14" ht="21">
      <c r="A23" s="130">
        <v>19</v>
      </c>
      <c r="B23" s="36" t="s">
        <v>58</v>
      </c>
      <c r="C23" s="131" t="s">
        <v>59</v>
      </c>
      <c r="D23" s="131" t="s">
        <v>386</v>
      </c>
      <c r="E23" s="131">
        <v>251</v>
      </c>
      <c r="F23" s="132">
        <v>106.69</v>
      </c>
      <c r="G23" s="132">
        <v>8782267.23381858</v>
      </c>
      <c r="H23" s="132">
        <v>5440050.308141256</v>
      </c>
      <c r="I23" s="132">
        <v>959524.4155340883</v>
      </c>
      <c r="J23" s="132">
        <v>15181841.957493924</v>
      </c>
      <c r="K23" s="132">
        <f t="shared" si="0"/>
        <v>34989.11248533299</v>
      </c>
      <c r="L23" s="132">
        <f t="shared" si="1"/>
        <v>21673.50720375002</v>
      </c>
      <c r="M23" s="132">
        <f t="shared" si="2"/>
        <v>3822.8064363907897</v>
      </c>
      <c r="N23" s="132">
        <f t="shared" si="3"/>
        <v>60485.4261254738</v>
      </c>
    </row>
    <row r="24" spans="1:14" ht="21">
      <c r="A24" s="130">
        <v>20</v>
      </c>
      <c r="B24" s="36" t="s">
        <v>81</v>
      </c>
      <c r="C24" s="131" t="s">
        <v>86</v>
      </c>
      <c r="D24" s="131" t="s">
        <v>85</v>
      </c>
      <c r="E24" s="131">
        <v>248</v>
      </c>
      <c r="F24" s="132">
        <v>121.19</v>
      </c>
      <c r="G24" s="132">
        <v>16329776.11530536</v>
      </c>
      <c r="H24" s="132">
        <v>9636062.723402923</v>
      </c>
      <c r="I24" s="132">
        <v>1681257.6344834256</v>
      </c>
      <c r="J24" s="132">
        <v>27647096.47319171</v>
      </c>
      <c r="K24" s="132">
        <f t="shared" si="0"/>
        <v>65845.8714326829</v>
      </c>
      <c r="L24" s="132">
        <f t="shared" si="1"/>
        <v>38855.091626624686</v>
      </c>
      <c r="M24" s="132">
        <f t="shared" si="2"/>
        <v>6779.264655175103</v>
      </c>
      <c r="N24" s="132">
        <f t="shared" si="3"/>
        <v>111480.22771448271</v>
      </c>
    </row>
    <row r="25" spans="1:14" ht="21">
      <c r="A25" s="130">
        <v>21</v>
      </c>
      <c r="B25" s="36" t="s">
        <v>71</v>
      </c>
      <c r="C25" s="131" t="s">
        <v>76</v>
      </c>
      <c r="D25" s="131" t="s">
        <v>79</v>
      </c>
      <c r="E25" s="131">
        <v>245</v>
      </c>
      <c r="F25" s="132">
        <v>107.14</v>
      </c>
      <c r="G25" s="132">
        <v>10950860.233778145</v>
      </c>
      <c r="H25" s="132">
        <v>6846275.143728536</v>
      </c>
      <c r="I25" s="132">
        <v>1285463.860492742</v>
      </c>
      <c r="J25" s="132">
        <v>19082599.237999424</v>
      </c>
      <c r="K25" s="132">
        <f t="shared" si="0"/>
        <v>44697.38870929855</v>
      </c>
      <c r="L25" s="132">
        <f t="shared" si="1"/>
        <v>27943.98017848382</v>
      </c>
      <c r="M25" s="132">
        <f t="shared" si="2"/>
        <v>5246.791267317314</v>
      </c>
      <c r="N25" s="132">
        <f t="shared" si="3"/>
        <v>77888.16015509969</v>
      </c>
    </row>
    <row r="26" spans="1:14" ht="21">
      <c r="A26" s="130">
        <v>22</v>
      </c>
      <c r="B26" s="36" t="s">
        <v>103</v>
      </c>
      <c r="C26" s="131" t="s">
        <v>107</v>
      </c>
      <c r="D26" s="131" t="s">
        <v>112</v>
      </c>
      <c r="E26" s="131">
        <v>234</v>
      </c>
      <c r="F26" s="132">
        <v>120.91</v>
      </c>
      <c r="G26" s="132">
        <v>11413798.629426027</v>
      </c>
      <c r="H26" s="132">
        <v>7907381.144059984</v>
      </c>
      <c r="I26" s="132">
        <v>1371699.0406992382</v>
      </c>
      <c r="J26" s="132">
        <v>20692878.81418525</v>
      </c>
      <c r="K26" s="132">
        <f t="shared" si="0"/>
        <v>48776.91721976935</v>
      </c>
      <c r="L26" s="132">
        <f t="shared" si="1"/>
        <v>33792.22711136745</v>
      </c>
      <c r="M26" s="132">
        <f t="shared" si="2"/>
        <v>5861.961712389907</v>
      </c>
      <c r="N26" s="132">
        <f t="shared" si="3"/>
        <v>88431.10604352671</v>
      </c>
    </row>
    <row r="27" spans="1:14" ht="21">
      <c r="A27" s="130">
        <v>23</v>
      </c>
      <c r="B27" s="36" t="s">
        <v>58</v>
      </c>
      <c r="C27" s="131" t="s">
        <v>65</v>
      </c>
      <c r="D27" s="131" t="s">
        <v>68</v>
      </c>
      <c r="E27" s="131">
        <v>233</v>
      </c>
      <c r="F27" s="132">
        <v>123.33</v>
      </c>
      <c r="G27" s="132">
        <v>14018101.105761481</v>
      </c>
      <c r="H27" s="132">
        <v>7838132.803216963</v>
      </c>
      <c r="I27" s="132">
        <v>1330352.4408024838</v>
      </c>
      <c r="J27" s="132">
        <v>23186586.34978093</v>
      </c>
      <c r="K27" s="132">
        <f t="shared" si="0"/>
        <v>60163.524059062154</v>
      </c>
      <c r="L27" s="132">
        <f t="shared" si="1"/>
        <v>33640.054949429024</v>
      </c>
      <c r="M27" s="132">
        <f t="shared" si="2"/>
        <v>5709.667127907656</v>
      </c>
      <c r="N27" s="132">
        <f t="shared" si="3"/>
        <v>99513.24613639884</v>
      </c>
    </row>
    <row r="28" spans="1:14" ht="21">
      <c r="A28" s="130">
        <v>24</v>
      </c>
      <c r="B28" s="36" t="s">
        <v>63</v>
      </c>
      <c r="C28" s="131" t="s">
        <v>65</v>
      </c>
      <c r="D28" s="131" t="s">
        <v>64</v>
      </c>
      <c r="E28" s="131">
        <v>233</v>
      </c>
      <c r="F28" s="132">
        <v>110.19</v>
      </c>
      <c r="G28" s="132">
        <v>12524564.67075211</v>
      </c>
      <c r="H28" s="132">
        <v>7003031.327223524</v>
      </c>
      <c r="I28" s="132">
        <v>1188612.1418310686</v>
      </c>
      <c r="J28" s="132">
        <v>20716208.139806703</v>
      </c>
      <c r="K28" s="132">
        <f t="shared" si="0"/>
        <v>53753.49644099618</v>
      </c>
      <c r="L28" s="132">
        <f t="shared" si="1"/>
        <v>30055.928443019417</v>
      </c>
      <c r="M28" s="132">
        <f t="shared" si="2"/>
        <v>5101.339664511024</v>
      </c>
      <c r="N28" s="132">
        <f t="shared" si="3"/>
        <v>88910.76454852663</v>
      </c>
    </row>
    <row r="29" spans="1:14" ht="21">
      <c r="A29" s="130">
        <v>25</v>
      </c>
      <c r="B29" s="36" t="s">
        <v>103</v>
      </c>
      <c r="C29" s="131" t="s">
        <v>107</v>
      </c>
      <c r="D29" s="131" t="s">
        <v>110</v>
      </c>
      <c r="E29" s="131">
        <v>225</v>
      </c>
      <c r="F29" s="132">
        <v>119.84</v>
      </c>
      <c r="G29" s="132">
        <v>11312791.561908985</v>
      </c>
      <c r="H29" s="132">
        <v>7837404.319776267</v>
      </c>
      <c r="I29" s="132">
        <v>1359560.1111355282</v>
      </c>
      <c r="J29" s="132">
        <v>20509755.992820777</v>
      </c>
      <c r="K29" s="132">
        <f t="shared" si="0"/>
        <v>50279.073608484374</v>
      </c>
      <c r="L29" s="132">
        <f t="shared" si="1"/>
        <v>34832.90808789452</v>
      </c>
      <c r="M29" s="132">
        <f t="shared" si="2"/>
        <v>6042.4893828245695</v>
      </c>
      <c r="N29" s="132">
        <f t="shared" si="3"/>
        <v>91154.47107920346</v>
      </c>
    </row>
    <row r="30" spans="1:14" ht="21">
      <c r="A30" s="130">
        <v>26</v>
      </c>
      <c r="B30" s="36" t="s">
        <v>58</v>
      </c>
      <c r="C30" s="131" t="s">
        <v>65</v>
      </c>
      <c r="D30" s="131" t="s">
        <v>70</v>
      </c>
      <c r="E30" s="131">
        <v>217</v>
      </c>
      <c r="F30" s="132">
        <v>110.22</v>
      </c>
      <c r="G30" s="132">
        <v>12527974.57128866</v>
      </c>
      <c r="H30" s="132">
        <v>7004937.951597938</v>
      </c>
      <c r="I30" s="132">
        <v>1188935.7498195877</v>
      </c>
      <c r="J30" s="132">
        <v>20721848.272706185</v>
      </c>
      <c r="K30" s="132">
        <f t="shared" si="0"/>
        <v>57732.60171100765</v>
      </c>
      <c r="L30" s="132">
        <f t="shared" si="1"/>
        <v>32280.82005344672</v>
      </c>
      <c r="M30" s="132">
        <f t="shared" si="2"/>
        <v>5478.966589030358</v>
      </c>
      <c r="N30" s="132">
        <f t="shared" si="3"/>
        <v>95492.38835348473</v>
      </c>
    </row>
    <row r="31" spans="1:14" ht="21">
      <c r="A31" s="130">
        <v>27</v>
      </c>
      <c r="B31" s="36" t="s">
        <v>103</v>
      </c>
      <c r="C31" s="131" t="s">
        <v>107</v>
      </c>
      <c r="D31" s="131" t="s">
        <v>116</v>
      </c>
      <c r="E31" s="131">
        <v>204</v>
      </c>
      <c r="F31" s="132">
        <v>107.47</v>
      </c>
      <c r="G31" s="132">
        <v>10145074.342109133</v>
      </c>
      <c r="H31" s="132">
        <v>7028419.911935543</v>
      </c>
      <c r="I31" s="132">
        <v>1219225.009543852</v>
      </c>
      <c r="J31" s="132">
        <v>18392719.263588525</v>
      </c>
      <c r="K31" s="132">
        <f t="shared" si="0"/>
        <v>49730.756578966335</v>
      </c>
      <c r="L31" s="132">
        <f t="shared" si="1"/>
        <v>34453.038783997756</v>
      </c>
      <c r="M31" s="132">
        <f t="shared" si="2"/>
        <v>5976.59318403849</v>
      </c>
      <c r="N31" s="132">
        <f t="shared" si="3"/>
        <v>90160.38854700259</v>
      </c>
    </row>
    <row r="32" spans="1:14" ht="21">
      <c r="A32" s="130">
        <v>28</v>
      </c>
      <c r="B32" s="36" t="s">
        <v>195</v>
      </c>
      <c r="C32" s="131" t="s">
        <v>105</v>
      </c>
      <c r="D32" s="131" t="s">
        <v>104</v>
      </c>
      <c r="E32" s="131">
        <v>203</v>
      </c>
      <c r="F32" s="132">
        <v>122.69</v>
      </c>
      <c r="G32" s="132">
        <v>25961400.57</v>
      </c>
      <c r="H32" s="132">
        <v>27915764.59</v>
      </c>
      <c r="I32" s="132">
        <v>4157575.93</v>
      </c>
      <c r="J32" s="132">
        <v>58034741.089999996</v>
      </c>
      <c r="K32" s="132">
        <f t="shared" si="0"/>
        <v>127888.6727586207</v>
      </c>
      <c r="L32" s="132">
        <f t="shared" si="1"/>
        <v>137516.08172413794</v>
      </c>
      <c r="M32" s="132">
        <f t="shared" si="2"/>
        <v>20480.66960591133</v>
      </c>
      <c r="N32" s="132">
        <f t="shared" si="3"/>
        <v>285885.42408866994</v>
      </c>
    </row>
    <row r="33" spans="1:14" ht="21">
      <c r="A33" s="130">
        <v>29</v>
      </c>
      <c r="B33" s="36" t="s">
        <v>96</v>
      </c>
      <c r="C33" s="131" t="s">
        <v>107</v>
      </c>
      <c r="D33" s="131" t="s">
        <v>97</v>
      </c>
      <c r="E33" s="131">
        <v>203</v>
      </c>
      <c r="F33" s="132">
        <v>98.77</v>
      </c>
      <c r="G33" s="132">
        <v>9323801.923979891</v>
      </c>
      <c r="H33" s="132">
        <v>6459449.471497846</v>
      </c>
      <c r="I33" s="132">
        <v>1120525.3018763028</v>
      </c>
      <c r="J33" s="132">
        <v>16903776.69735404</v>
      </c>
      <c r="K33" s="132">
        <f t="shared" si="0"/>
        <v>45930.0587388172</v>
      </c>
      <c r="L33" s="132">
        <f t="shared" si="1"/>
        <v>31819.94813545737</v>
      </c>
      <c r="M33" s="132">
        <f t="shared" si="2"/>
        <v>5519.82907328228</v>
      </c>
      <c r="N33" s="132">
        <f t="shared" si="3"/>
        <v>83269.83594755684</v>
      </c>
    </row>
    <row r="34" spans="1:14" ht="21">
      <c r="A34" s="130">
        <v>30</v>
      </c>
      <c r="B34" s="36" t="s">
        <v>58</v>
      </c>
      <c r="C34" s="131" t="s">
        <v>59</v>
      </c>
      <c r="D34" s="131" t="s">
        <v>387</v>
      </c>
      <c r="E34" s="131">
        <v>196</v>
      </c>
      <c r="F34" s="132">
        <v>92.02</v>
      </c>
      <c r="G34" s="132">
        <v>7574695.199699931</v>
      </c>
      <c r="H34" s="132">
        <v>4692037.017107117</v>
      </c>
      <c r="I34" s="132">
        <v>827588.6842013949</v>
      </c>
      <c r="J34" s="132">
        <v>13094320.901008444</v>
      </c>
      <c r="K34" s="132">
        <f t="shared" si="0"/>
        <v>38646.40408010169</v>
      </c>
      <c r="L34" s="132">
        <f t="shared" si="1"/>
        <v>23938.964372995495</v>
      </c>
      <c r="M34" s="132">
        <f t="shared" si="2"/>
        <v>4222.391245925484</v>
      </c>
      <c r="N34" s="132">
        <f t="shared" si="3"/>
        <v>66807.75969902266</v>
      </c>
    </row>
    <row r="35" spans="1:14" ht="21">
      <c r="A35" s="130">
        <v>31</v>
      </c>
      <c r="B35" s="36" t="s">
        <v>102</v>
      </c>
      <c r="C35" s="131" t="s">
        <v>126</v>
      </c>
      <c r="D35" s="131" t="s">
        <v>127</v>
      </c>
      <c r="E35" s="131">
        <v>191</v>
      </c>
      <c r="F35" s="132">
        <v>83.67</v>
      </c>
      <c r="G35" s="132">
        <v>8370785.6333198305</v>
      </c>
      <c r="H35" s="132">
        <v>5178117.686015072</v>
      </c>
      <c r="I35" s="132">
        <v>1824501.1125284974</v>
      </c>
      <c r="J35" s="132">
        <v>15373404.4318634</v>
      </c>
      <c r="K35" s="132">
        <f t="shared" si="0"/>
        <v>43826.10279225042</v>
      </c>
      <c r="L35" s="132">
        <f t="shared" si="1"/>
        <v>27110.563801126034</v>
      </c>
      <c r="M35" s="132">
        <f t="shared" si="2"/>
        <v>9552.361845698939</v>
      </c>
      <c r="N35" s="132">
        <f t="shared" si="3"/>
        <v>80489.0284390754</v>
      </c>
    </row>
    <row r="36" spans="1:14" ht="21">
      <c r="A36" s="130">
        <v>32</v>
      </c>
      <c r="B36" s="36" t="s">
        <v>96</v>
      </c>
      <c r="C36" s="131" t="s">
        <v>107</v>
      </c>
      <c r="D36" s="131" t="s">
        <v>117</v>
      </c>
      <c r="E36" s="131">
        <v>191</v>
      </c>
      <c r="F36" s="132">
        <v>97.64</v>
      </c>
      <c r="G36" s="132">
        <v>9217130.90875161</v>
      </c>
      <c r="H36" s="132">
        <v>6385548.713142146</v>
      </c>
      <c r="I36" s="132">
        <v>1107705.684673506</v>
      </c>
      <c r="J36" s="132">
        <v>16710385.306567263</v>
      </c>
      <c r="K36" s="132">
        <f t="shared" si="0"/>
        <v>48257.22988875189</v>
      </c>
      <c r="L36" s="132">
        <f t="shared" si="1"/>
        <v>33432.192215403906</v>
      </c>
      <c r="M36" s="132">
        <f t="shared" si="2"/>
        <v>5799.50620247909</v>
      </c>
      <c r="N36" s="132">
        <f t="shared" si="3"/>
        <v>87488.92830663489</v>
      </c>
    </row>
    <row r="37" spans="1:14" ht="21">
      <c r="A37" s="130">
        <v>33</v>
      </c>
      <c r="B37" s="36" t="s">
        <v>103</v>
      </c>
      <c r="C37" s="131" t="s">
        <v>107</v>
      </c>
      <c r="D37" s="131" t="s">
        <v>109</v>
      </c>
      <c r="E37" s="131">
        <v>183</v>
      </c>
      <c r="F37" s="132">
        <v>86.2</v>
      </c>
      <c r="G37" s="132">
        <v>8137204.878475921</v>
      </c>
      <c r="H37" s="132">
        <v>5637385.2834171755</v>
      </c>
      <c r="I37" s="132">
        <v>977921.2414876715</v>
      </c>
      <c r="J37" s="132">
        <v>14752511.403380767</v>
      </c>
      <c r="K37" s="132">
        <f t="shared" si="0"/>
        <v>44465.60042883017</v>
      </c>
      <c r="L37" s="132">
        <f t="shared" si="1"/>
        <v>30805.384062388937</v>
      </c>
      <c r="M37" s="132">
        <f t="shared" si="2"/>
        <v>5343.8319206976585</v>
      </c>
      <c r="N37" s="132">
        <f t="shared" si="3"/>
        <v>80614.81641191676</v>
      </c>
    </row>
    <row r="38" spans="1:14" ht="21">
      <c r="A38" s="130">
        <v>34</v>
      </c>
      <c r="B38" s="36" t="s">
        <v>103</v>
      </c>
      <c r="C38" s="131" t="s">
        <v>107</v>
      </c>
      <c r="D38" s="131" t="s">
        <v>108</v>
      </c>
      <c r="E38" s="131">
        <v>158</v>
      </c>
      <c r="F38" s="132">
        <v>69.47</v>
      </c>
      <c r="G38" s="132">
        <v>6557907.458326244</v>
      </c>
      <c r="H38" s="132">
        <v>4543261.666345605</v>
      </c>
      <c r="I38" s="132">
        <v>788122.8381223727</v>
      </c>
      <c r="J38" s="132">
        <v>11889291.962794222</v>
      </c>
      <c r="K38" s="132">
        <f t="shared" si="0"/>
        <v>41505.743407128124</v>
      </c>
      <c r="L38" s="132">
        <f t="shared" si="1"/>
        <v>28754.82067307345</v>
      </c>
      <c r="M38" s="132">
        <f t="shared" si="2"/>
        <v>4988.119228622612</v>
      </c>
      <c r="N38" s="132">
        <f t="shared" si="3"/>
        <v>75248.68330882418</v>
      </c>
    </row>
    <row r="39" spans="1:14" ht="21">
      <c r="A39" s="130">
        <v>35</v>
      </c>
      <c r="B39" s="36" t="s">
        <v>58</v>
      </c>
      <c r="C39" s="131" t="s">
        <v>59</v>
      </c>
      <c r="D39" s="131" t="s">
        <v>388</v>
      </c>
      <c r="E39" s="131">
        <v>148</v>
      </c>
      <c r="F39" s="132">
        <v>75.11</v>
      </c>
      <c r="G39" s="132">
        <v>6182735.88838798</v>
      </c>
      <c r="H39" s="132">
        <v>3829807.654367698</v>
      </c>
      <c r="I39" s="132">
        <v>675507.3469937706</v>
      </c>
      <c r="J39" s="132">
        <v>10688050.889749449</v>
      </c>
      <c r="K39" s="132">
        <f t="shared" si="0"/>
        <v>41775.24248910797</v>
      </c>
      <c r="L39" s="132">
        <f t="shared" si="1"/>
        <v>25877.07874572769</v>
      </c>
      <c r="M39" s="132">
        <f t="shared" si="2"/>
        <v>4564.238831038991</v>
      </c>
      <c r="N39" s="132">
        <f t="shared" si="3"/>
        <v>72216.56006587466</v>
      </c>
    </row>
    <row r="40" spans="1:14" ht="21">
      <c r="A40" s="130">
        <v>36</v>
      </c>
      <c r="B40" s="36" t="s">
        <v>63</v>
      </c>
      <c r="C40" s="131" t="s">
        <v>118</v>
      </c>
      <c r="D40" s="131" t="s">
        <v>64</v>
      </c>
      <c r="E40" s="131">
        <v>139</v>
      </c>
      <c r="F40" s="132">
        <v>78.25</v>
      </c>
      <c r="G40" s="132">
        <v>11454540.571780572</v>
      </c>
      <c r="H40" s="132">
        <v>11557863.839785155</v>
      </c>
      <c r="I40" s="132">
        <v>1541028.587926339</v>
      </c>
      <c r="J40" s="132">
        <v>24553432.999492068</v>
      </c>
      <c r="K40" s="132">
        <f t="shared" si="0"/>
        <v>82406.76670345735</v>
      </c>
      <c r="L40" s="132">
        <f t="shared" si="1"/>
        <v>83150.09956679968</v>
      </c>
      <c r="M40" s="132">
        <f t="shared" si="2"/>
        <v>11086.536603786612</v>
      </c>
      <c r="N40" s="132">
        <f t="shared" si="3"/>
        <v>176643.40287404365</v>
      </c>
    </row>
    <row r="41" spans="1:14" ht="21">
      <c r="A41" s="130">
        <v>37</v>
      </c>
      <c r="B41" s="36" t="s">
        <v>223</v>
      </c>
      <c r="C41" s="131" t="s">
        <v>122</v>
      </c>
      <c r="D41" s="131" t="s">
        <v>124</v>
      </c>
      <c r="E41" s="131">
        <v>137</v>
      </c>
      <c r="F41" s="132">
        <v>63.39</v>
      </c>
      <c r="G41" s="132">
        <v>6253246.763881195</v>
      </c>
      <c r="H41" s="132">
        <v>4568331.654191664</v>
      </c>
      <c r="I41" s="132">
        <v>814773.7888867739</v>
      </c>
      <c r="J41" s="132">
        <v>11636352.206959635</v>
      </c>
      <c r="K41" s="132">
        <f t="shared" si="0"/>
        <v>45644.13696263646</v>
      </c>
      <c r="L41" s="132">
        <f t="shared" si="1"/>
        <v>33345.48652694646</v>
      </c>
      <c r="M41" s="132">
        <f t="shared" si="2"/>
        <v>5947.253933480101</v>
      </c>
      <c r="N41" s="132">
        <f t="shared" si="3"/>
        <v>84936.87742306301</v>
      </c>
    </row>
    <row r="42" spans="1:14" ht="21">
      <c r="A42" s="130">
        <v>38</v>
      </c>
      <c r="B42" s="36" t="s">
        <v>81</v>
      </c>
      <c r="C42" s="131" t="s">
        <v>86</v>
      </c>
      <c r="D42" s="131" t="s">
        <v>88</v>
      </c>
      <c r="E42" s="131">
        <v>136</v>
      </c>
      <c r="F42" s="132">
        <v>65.19</v>
      </c>
      <c r="G42" s="132">
        <v>8784042.45364103</v>
      </c>
      <c r="H42" s="132">
        <v>5183389.13226039</v>
      </c>
      <c r="I42" s="132">
        <v>904374.8262395784</v>
      </c>
      <c r="J42" s="132">
        <v>14871806.412140997</v>
      </c>
      <c r="K42" s="132">
        <f t="shared" si="0"/>
        <v>64588.54745324286</v>
      </c>
      <c r="L42" s="132">
        <f t="shared" si="1"/>
        <v>38113.15538426757</v>
      </c>
      <c r="M42" s="132">
        <f t="shared" si="2"/>
        <v>6649.814898820429</v>
      </c>
      <c r="N42" s="132">
        <f t="shared" si="3"/>
        <v>109351.51773633088</v>
      </c>
    </row>
    <row r="43" spans="1:14" ht="21">
      <c r="A43" s="130">
        <v>39</v>
      </c>
      <c r="B43" s="36" t="s">
        <v>223</v>
      </c>
      <c r="C43" s="131" t="s">
        <v>122</v>
      </c>
      <c r="D43" s="131" t="s">
        <v>112</v>
      </c>
      <c r="E43" s="131">
        <v>133</v>
      </c>
      <c r="F43" s="132">
        <v>65.44</v>
      </c>
      <c r="G43" s="132">
        <v>6455473.548326004</v>
      </c>
      <c r="H43" s="132">
        <v>4716069.150501695</v>
      </c>
      <c r="I43" s="132">
        <v>841123.154200197</v>
      </c>
      <c r="J43" s="132">
        <v>12012665.853027895</v>
      </c>
      <c r="K43" s="132">
        <f t="shared" si="0"/>
        <v>48537.39510019552</v>
      </c>
      <c r="L43" s="132">
        <f t="shared" si="1"/>
        <v>35459.16654512553</v>
      </c>
      <c r="M43" s="132">
        <f t="shared" si="2"/>
        <v>6324.234242106744</v>
      </c>
      <c r="N43" s="132">
        <f t="shared" si="3"/>
        <v>90320.7958874278</v>
      </c>
    </row>
    <row r="44" spans="1:14" ht="21">
      <c r="A44" s="130">
        <v>40</v>
      </c>
      <c r="B44" s="36" t="s">
        <v>84</v>
      </c>
      <c r="C44" s="131" t="s">
        <v>76</v>
      </c>
      <c r="D44" s="131" t="s">
        <v>78</v>
      </c>
      <c r="E44" s="131">
        <v>129</v>
      </c>
      <c r="F44" s="132">
        <v>63.33</v>
      </c>
      <c r="G44" s="132">
        <v>6473007.080503733</v>
      </c>
      <c r="H44" s="132">
        <v>4046804.2267344426</v>
      </c>
      <c r="I44" s="132">
        <v>759832.2408531393</v>
      </c>
      <c r="J44" s="132">
        <v>11279643.548091317</v>
      </c>
      <c r="K44" s="132">
        <f t="shared" si="0"/>
        <v>50178.349461269245</v>
      </c>
      <c r="L44" s="132">
        <f t="shared" si="1"/>
        <v>31370.57540104219</v>
      </c>
      <c r="M44" s="132">
        <f t="shared" si="2"/>
        <v>5890.172409714258</v>
      </c>
      <c r="N44" s="132">
        <f t="shared" si="3"/>
        <v>87439.0972720257</v>
      </c>
    </row>
    <row r="45" spans="1:14" ht="21">
      <c r="A45" s="130">
        <v>41</v>
      </c>
      <c r="B45" s="36" t="s">
        <v>103</v>
      </c>
      <c r="C45" s="131" t="s">
        <v>107</v>
      </c>
      <c r="D45" s="131" t="s">
        <v>114</v>
      </c>
      <c r="E45" s="131">
        <v>129</v>
      </c>
      <c r="F45" s="132">
        <v>56.58</v>
      </c>
      <c r="G45" s="132">
        <v>5341102.69169568</v>
      </c>
      <c r="H45" s="132">
        <v>3700269.8298810176</v>
      </c>
      <c r="I45" s="132">
        <v>641888.4436586131</v>
      </c>
      <c r="J45" s="132">
        <v>9683260.96523531</v>
      </c>
      <c r="K45" s="132">
        <f t="shared" si="0"/>
        <v>41403.89683485023</v>
      </c>
      <c r="L45" s="132">
        <f t="shared" si="1"/>
        <v>28684.26224713967</v>
      </c>
      <c r="M45" s="132">
        <f t="shared" si="2"/>
        <v>4975.879408206303</v>
      </c>
      <c r="N45" s="132">
        <f t="shared" si="3"/>
        <v>75064.0384901962</v>
      </c>
    </row>
    <row r="46" spans="1:14" ht="21">
      <c r="A46" s="130">
        <v>42</v>
      </c>
      <c r="B46" s="36" t="s">
        <v>103</v>
      </c>
      <c r="C46" s="131" t="s">
        <v>383</v>
      </c>
      <c r="D46" s="131" t="s">
        <v>144</v>
      </c>
      <c r="E46" s="131">
        <v>123</v>
      </c>
      <c r="F46" s="132">
        <v>67.86</v>
      </c>
      <c r="G46" s="132">
        <v>7629483.996150428</v>
      </c>
      <c r="H46" s="132">
        <v>3415977.56613456</v>
      </c>
      <c r="I46" s="132">
        <v>1197218.7147667408</v>
      </c>
      <c r="J46" s="132">
        <v>12242680.277051728</v>
      </c>
      <c r="K46" s="132">
        <f t="shared" si="0"/>
        <v>62028.325171954704</v>
      </c>
      <c r="L46" s="132">
        <f t="shared" si="1"/>
        <v>27772.175334427317</v>
      </c>
      <c r="M46" s="132">
        <f t="shared" si="2"/>
        <v>9733.485485908463</v>
      </c>
      <c r="N46" s="132">
        <f t="shared" si="3"/>
        <v>99533.98599229049</v>
      </c>
    </row>
    <row r="47" spans="1:14" ht="21">
      <c r="A47" s="130">
        <v>43</v>
      </c>
      <c r="B47" s="36" t="s">
        <v>81</v>
      </c>
      <c r="C47" s="131" t="s">
        <v>86</v>
      </c>
      <c r="D47" s="131" t="s">
        <v>389</v>
      </c>
      <c r="E47" s="131">
        <v>114</v>
      </c>
      <c r="F47" s="132">
        <v>58.72</v>
      </c>
      <c r="G47" s="132">
        <v>7912240.725230884</v>
      </c>
      <c r="H47" s="132">
        <v>4668946.3084266</v>
      </c>
      <c r="I47" s="132">
        <v>814617.1160728339</v>
      </c>
      <c r="J47" s="132">
        <v>13395804.149730317</v>
      </c>
      <c r="K47" s="132">
        <f t="shared" si="0"/>
        <v>69405.62039676214</v>
      </c>
      <c r="L47" s="132">
        <f t="shared" si="1"/>
        <v>40955.66937216316</v>
      </c>
      <c r="M47" s="132">
        <f t="shared" si="2"/>
        <v>7145.76417607749</v>
      </c>
      <c r="N47" s="132">
        <f t="shared" si="3"/>
        <v>117507.05394500279</v>
      </c>
    </row>
    <row r="48" spans="1:14" ht="21">
      <c r="A48" s="130">
        <v>44</v>
      </c>
      <c r="B48" s="36" t="s">
        <v>99</v>
      </c>
      <c r="C48" s="131" t="s">
        <v>91</v>
      </c>
      <c r="D48" s="131" t="s">
        <v>100</v>
      </c>
      <c r="E48" s="131">
        <v>112</v>
      </c>
      <c r="F48" s="132">
        <v>63.75</v>
      </c>
      <c r="G48" s="132">
        <v>9613282.22275564</v>
      </c>
      <c r="H48" s="132">
        <v>6913597.6044167075</v>
      </c>
      <c r="I48" s="132">
        <v>869388.2315170427</v>
      </c>
      <c r="J48" s="132">
        <v>17396268.05868939</v>
      </c>
      <c r="K48" s="132">
        <f t="shared" si="0"/>
        <v>85832.87698888965</v>
      </c>
      <c r="L48" s="132">
        <f t="shared" si="1"/>
        <v>61728.550039434886</v>
      </c>
      <c r="M48" s="132">
        <f t="shared" si="2"/>
        <v>7762.39492425931</v>
      </c>
      <c r="N48" s="132">
        <f t="shared" si="3"/>
        <v>155323.82195258385</v>
      </c>
    </row>
    <row r="49" spans="1:14" ht="21">
      <c r="A49" s="130">
        <v>45</v>
      </c>
      <c r="B49" s="36" t="s">
        <v>81</v>
      </c>
      <c r="C49" s="131" t="s">
        <v>86</v>
      </c>
      <c r="D49" s="131" t="s">
        <v>208</v>
      </c>
      <c r="E49" s="131">
        <v>109</v>
      </c>
      <c r="F49" s="132">
        <v>52.86</v>
      </c>
      <c r="G49" s="132">
        <v>7122633.595635295</v>
      </c>
      <c r="H49" s="132">
        <v>4203005.821924899</v>
      </c>
      <c r="I49" s="132">
        <v>733321.8793530314</v>
      </c>
      <c r="J49" s="132">
        <v>12058961.296913225</v>
      </c>
      <c r="K49" s="132">
        <f t="shared" si="0"/>
        <v>65345.26234527794</v>
      </c>
      <c r="L49" s="132">
        <f t="shared" si="1"/>
        <v>38559.68643967797</v>
      </c>
      <c r="M49" s="132">
        <f t="shared" si="2"/>
        <v>6727.723663789279</v>
      </c>
      <c r="N49" s="132">
        <f t="shared" si="3"/>
        <v>110632.67244874519</v>
      </c>
    </row>
    <row r="50" spans="1:14" ht="21">
      <c r="A50" s="130">
        <v>46</v>
      </c>
      <c r="B50" s="36" t="s">
        <v>58</v>
      </c>
      <c r="C50" s="131" t="s">
        <v>65</v>
      </c>
      <c r="D50" s="131" t="s">
        <v>69</v>
      </c>
      <c r="E50" s="131">
        <v>108</v>
      </c>
      <c r="F50" s="132">
        <v>58.11</v>
      </c>
      <c r="G50" s="132">
        <v>6604977.3392994385</v>
      </c>
      <c r="H50" s="132">
        <v>3693131.413240394</v>
      </c>
      <c r="I50" s="132">
        <v>626828.6737617151</v>
      </c>
      <c r="J50" s="132">
        <v>10924937.426301546</v>
      </c>
      <c r="K50" s="132">
        <f t="shared" si="0"/>
        <v>61157.19758610591</v>
      </c>
      <c r="L50" s="132">
        <f t="shared" si="1"/>
        <v>34195.66123370735</v>
      </c>
      <c r="M50" s="132">
        <f t="shared" si="2"/>
        <v>5803.969201497362</v>
      </c>
      <c r="N50" s="132">
        <f t="shared" si="3"/>
        <v>101156.82802131062</v>
      </c>
    </row>
    <row r="51" spans="1:14" ht="21">
      <c r="A51" s="130">
        <v>47</v>
      </c>
      <c r="B51" s="36" t="s">
        <v>51</v>
      </c>
      <c r="C51" s="131" t="s">
        <v>53</v>
      </c>
      <c r="D51" s="131" t="s">
        <v>390</v>
      </c>
      <c r="E51" s="131">
        <v>102</v>
      </c>
      <c r="F51" s="132">
        <v>58.28</v>
      </c>
      <c r="G51" s="132">
        <v>6889527.532267183</v>
      </c>
      <c r="H51" s="132">
        <v>5907611.515872893</v>
      </c>
      <c r="I51" s="132">
        <v>1037492.3778829109</v>
      </c>
      <c r="J51" s="132">
        <v>13834631.426022986</v>
      </c>
      <c r="K51" s="132">
        <f t="shared" si="0"/>
        <v>67544.38757124689</v>
      </c>
      <c r="L51" s="132">
        <f t="shared" si="1"/>
        <v>57917.75995953817</v>
      </c>
      <c r="M51" s="132">
        <f t="shared" si="2"/>
        <v>10171.493900812851</v>
      </c>
      <c r="N51" s="132">
        <f t="shared" si="3"/>
        <v>135633.6414315979</v>
      </c>
    </row>
    <row r="52" spans="1:14" ht="21">
      <c r="A52" s="130">
        <v>48</v>
      </c>
      <c r="B52" s="36" t="s">
        <v>81</v>
      </c>
      <c r="C52" s="131" t="s">
        <v>101</v>
      </c>
      <c r="D52" s="131" t="s">
        <v>391</v>
      </c>
      <c r="E52" s="131">
        <v>101</v>
      </c>
      <c r="F52" s="132">
        <v>44.78</v>
      </c>
      <c r="G52" s="132">
        <v>9205312.37119844</v>
      </c>
      <c r="H52" s="132">
        <v>4360467.428235181</v>
      </c>
      <c r="I52" s="132">
        <v>1013345.0350191765</v>
      </c>
      <c r="J52" s="132">
        <v>14579124.834452797</v>
      </c>
      <c r="K52" s="132">
        <f t="shared" si="0"/>
        <v>91141.7066455291</v>
      </c>
      <c r="L52" s="132">
        <f t="shared" si="1"/>
        <v>43172.94483401169</v>
      </c>
      <c r="M52" s="132">
        <f t="shared" si="2"/>
        <v>10033.119158605708</v>
      </c>
      <c r="N52" s="132">
        <f t="shared" si="3"/>
        <v>144347.7706381465</v>
      </c>
    </row>
    <row r="53" spans="1:14" ht="21">
      <c r="A53" s="130">
        <v>49</v>
      </c>
      <c r="B53" s="36" t="s">
        <v>128</v>
      </c>
      <c r="C53" s="131" t="s">
        <v>126</v>
      </c>
      <c r="D53" s="131" t="s">
        <v>130</v>
      </c>
      <c r="E53" s="131">
        <v>92</v>
      </c>
      <c r="F53" s="132">
        <v>46.78</v>
      </c>
      <c r="G53" s="132">
        <v>4680116.552249332</v>
      </c>
      <c r="H53" s="132">
        <v>2895091.9726519072</v>
      </c>
      <c r="I53" s="132">
        <v>1020080.8180241795</v>
      </c>
      <c r="J53" s="132">
        <v>8595289.342925418</v>
      </c>
      <c r="K53" s="132">
        <f t="shared" si="0"/>
        <v>50870.83208966665</v>
      </c>
      <c r="L53" s="132">
        <f t="shared" si="1"/>
        <v>31468.39100708595</v>
      </c>
      <c r="M53" s="132">
        <f t="shared" si="2"/>
        <v>11087.834978523691</v>
      </c>
      <c r="N53" s="132">
        <f t="shared" si="3"/>
        <v>93427.05807527629</v>
      </c>
    </row>
    <row r="54" spans="1:14" ht="21">
      <c r="A54" s="130">
        <v>50</v>
      </c>
      <c r="B54" s="36" t="s">
        <v>58</v>
      </c>
      <c r="C54" s="131" t="s">
        <v>118</v>
      </c>
      <c r="D54" s="131" t="s">
        <v>392</v>
      </c>
      <c r="E54" s="131">
        <v>91</v>
      </c>
      <c r="F54" s="132">
        <v>44.72</v>
      </c>
      <c r="G54" s="132">
        <v>6546288.2347607305</v>
      </c>
      <c r="H54" s="132">
        <v>6605337.647478494</v>
      </c>
      <c r="I54" s="132">
        <v>880700.2997069121</v>
      </c>
      <c r="J54" s="132">
        <v>14032326.181946136</v>
      </c>
      <c r="K54" s="132">
        <f t="shared" si="0"/>
        <v>71937.23334901902</v>
      </c>
      <c r="L54" s="132">
        <f t="shared" si="1"/>
        <v>72586.12799426916</v>
      </c>
      <c r="M54" s="132">
        <f t="shared" si="2"/>
        <v>9678.025271504528</v>
      </c>
      <c r="N54" s="132">
        <f t="shared" si="3"/>
        <v>154201.38661479272</v>
      </c>
    </row>
    <row r="55" spans="1:14" ht="21">
      <c r="A55" s="130">
        <v>51</v>
      </c>
      <c r="B55" s="36" t="s">
        <v>222</v>
      </c>
      <c r="C55" s="131" t="s">
        <v>383</v>
      </c>
      <c r="D55" s="131" t="s">
        <v>393</v>
      </c>
      <c r="E55" s="131">
        <v>77</v>
      </c>
      <c r="F55" s="132">
        <v>43.03</v>
      </c>
      <c r="G55" s="132">
        <v>4837852.878785042</v>
      </c>
      <c r="H55" s="132">
        <v>2166070.0658822595</v>
      </c>
      <c r="I55" s="132">
        <v>759155.928329102</v>
      </c>
      <c r="J55" s="132">
        <v>7763078.872996404</v>
      </c>
      <c r="K55" s="132">
        <f t="shared" si="0"/>
        <v>62829.25816603951</v>
      </c>
      <c r="L55" s="132">
        <f t="shared" si="1"/>
        <v>28130.78007639298</v>
      </c>
      <c r="M55" s="132">
        <f t="shared" si="2"/>
        <v>9859.167900377948</v>
      </c>
      <c r="N55" s="132">
        <f t="shared" si="3"/>
        <v>100819.20614281044</v>
      </c>
    </row>
    <row r="56" spans="1:14" ht="21">
      <c r="A56" s="130">
        <v>52</v>
      </c>
      <c r="B56" s="36" t="s">
        <v>51</v>
      </c>
      <c r="C56" s="131" t="s">
        <v>53</v>
      </c>
      <c r="D56" s="131" t="s">
        <v>394</v>
      </c>
      <c r="E56" s="131">
        <v>76</v>
      </c>
      <c r="F56" s="132">
        <v>43</v>
      </c>
      <c r="G56" s="132">
        <v>5083213.519002898</v>
      </c>
      <c r="H56" s="132">
        <v>4358738.764285078</v>
      </c>
      <c r="I56" s="132">
        <v>765479.9630913722</v>
      </c>
      <c r="J56" s="132">
        <v>10207432.246379348</v>
      </c>
      <c r="K56" s="132">
        <f t="shared" si="0"/>
        <v>66884.38840793287</v>
      </c>
      <c r="L56" s="132">
        <f t="shared" si="1"/>
        <v>57351.82584585629</v>
      </c>
      <c r="M56" s="132">
        <f t="shared" si="2"/>
        <v>10072.104777518054</v>
      </c>
      <c r="N56" s="132">
        <f t="shared" si="3"/>
        <v>134308.3190313072</v>
      </c>
    </row>
    <row r="57" spans="1:14" ht="21">
      <c r="A57" s="130">
        <v>53</v>
      </c>
      <c r="B57" s="36" t="s">
        <v>222</v>
      </c>
      <c r="C57" s="131" t="s">
        <v>383</v>
      </c>
      <c r="D57" s="131" t="s">
        <v>395</v>
      </c>
      <c r="E57" s="131">
        <v>75</v>
      </c>
      <c r="F57" s="132">
        <v>30.39</v>
      </c>
      <c r="G57" s="132">
        <v>3416740.62250238</v>
      </c>
      <c r="H57" s="132">
        <v>1529790.1301920025</v>
      </c>
      <c r="I57" s="132">
        <v>536154.9770374484</v>
      </c>
      <c r="J57" s="132">
        <v>5482685.729731831</v>
      </c>
      <c r="K57" s="132">
        <f t="shared" si="0"/>
        <v>45556.541633365065</v>
      </c>
      <c r="L57" s="132">
        <f t="shared" si="1"/>
        <v>20397.201735893366</v>
      </c>
      <c r="M57" s="132">
        <f t="shared" si="2"/>
        <v>7148.733027165979</v>
      </c>
      <c r="N57" s="132">
        <f t="shared" si="3"/>
        <v>73102.4763964244</v>
      </c>
    </row>
    <row r="58" spans="1:14" ht="21">
      <c r="A58" s="130">
        <v>54</v>
      </c>
      <c r="B58" s="36" t="s">
        <v>119</v>
      </c>
      <c r="C58" s="131" t="s">
        <v>118</v>
      </c>
      <c r="D58" s="131" t="s">
        <v>166</v>
      </c>
      <c r="E58" s="131">
        <v>75</v>
      </c>
      <c r="F58" s="132">
        <v>34.44</v>
      </c>
      <c r="G58" s="132">
        <v>5041461.690634158</v>
      </c>
      <c r="H58" s="132">
        <v>5086937.132807677</v>
      </c>
      <c r="I58" s="132">
        <v>678249.5152483465</v>
      </c>
      <c r="J58" s="132">
        <v>10806648.338690182</v>
      </c>
      <c r="K58" s="132">
        <f t="shared" si="0"/>
        <v>67219.48920845544</v>
      </c>
      <c r="L58" s="132">
        <f t="shared" si="1"/>
        <v>67825.82843743569</v>
      </c>
      <c r="M58" s="132">
        <f t="shared" si="2"/>
        <v>9043.326869977953</v>
      </c>
      <c r="N58" s="132">
        <f t="shared" si="3"/>
        <v>144088.6445158691</v>
      </c>
    </row>
    <row r="59" spans="1:14" ht="21">
      <c r="A59" s="130">
        <v>55</v>
      </c>
      <c r="B59" s="36" t="s">
        <v>71</v>
      </c>
      <c r="C59" s="131" t="s">
        <v>91</v>
      </c>
      <c r="D59" s="131" t="s">
        <v>209</v>
      </c>
      <c r="E59" s="131">
        <v>68</v>
      </c>
      <c r="F59" s="132">
        <v>37.44</v>
      </c>
      <c r="G59" s="132">
        <v>5645824.10070543</v>
      </c>
      <c r="H59" s="132">
        <v>4060315.2048527296</v>
      </c>
      <c r="I59" s="132">
        <v>510586.59432153846</v>
      </c>
      <c r="J59" s="132">
        <v>10216725.899879698</v>
      </c>
      <c r="K59" s="132">
        <f t="shared" si="0"/>
        <v>83026.82501037397</v>
      </c>
      <c r="L59" s="132">
        <f t="shared" si="1"/>
        <v>59710.517718422496</v>
      </c>
      <c r="M59" s="132">
        <f t="shared" si="2"/>
        <v>7508.626387081448</v>
      </c>
      <c r="N59" s="132">
        <f t="shared" si="3"/>
        <v>150245.96911587793</v>
      </c>
    </row>
    <row r="60" spans="1:14" ht="21">
      <c r="A60" s="130">
        <v>56</v>
      </c>
      <c r="B60" s="36" t="s">
        <v>81</v>
      </c>
      <c r="C60" s="131" t="s">
        <v>101</v>
      </c>
      <c r="D60" s="131" t="s">
        <v>162</v>
      </c>
      <c r="E60" s="131">
        <v>67</v>
      </c>
      <c r="F60" s="132">
        <v>33.86</v>
      </c>
      <c r="G60" s="132">
        <v>6960515.339186673</v>
      </c>
      <c r="H60" s="132">
        <v>3297128.7878526845</v>
      </c>
      <c r="I60" s="132">
        <v>766231.8643534906</v>
      </c>
      <c r="J60" s="132">
        <v>11023875.991392849</v>
      </c>
      <c r="K60" s="132">
        <f t="shared" si="0"/>
        <v>103888.28864457722</v>
      </c>
      <c r="L60" s="132">
        <f t="shared" si="1"/>
        <v>49210.87743063708</v>
      </c>
      <c r="M60" s="132">
        <f t="shared" si="2"/>
        <v>11436.29648288792</v>
      </c>
      <c r="N60" s="132">
        <f t="shared" si="3"/>
        <v>164535.4625581022</v>
      </c>
    </row>
    <row r="61" spans="1:14" ht="21">
      <c r="A61" s="130">
        <v>57</v>
      </c>
      <c r="B61" s="36" t="s">
        <v>58</v>
      </c>
      <c r="C61" s="131" t="s">
        <v>65</v>
      </c>
      <c r="D61" s="131" t="s">
        <v>207</v>
      </c>
      <c r="E61" s="131">
        <v>62</v>
      </c>
      <c r="F61" s="132">
        <v>34.81</v>
      </c>
      <c r="G61" s="132">
        <v>3956621.2559114345</v>
      </c>
      <c r="H61" s="132">
        <v>2212319.815778663</v>
      </c>
      <c r="I61" s="132">
        <v>375493.1360117932</v>
      </c>
      <c r="J61" s="132">
        <v>6544434.207701891</v>
      </c>
      <c r="K61" s="132">
        <f t="shared" si="0"/>
        <v>63816.471869539266</v>
      </c>
      <c r="L61" s="132">
        <f t="shared" si="1"/>
        <v>35682.5776738494</v>
      </c>
      <c r="M61" s="132">
        <f t="shared" si="2"/>
        <v>6056.3409034160195</v>
      </c>
      <c r="N61" s="132">
        <f t="shared" si="3"/>
        <v>105555.39044680468</v>
      </c>
    </row>
    <row r="62" spans="1:14" ht="21">
      <c r="A62" s="130">
        <v>58</v>
      </c>
      <c r="B62" s="36" t="s">
        <v>103</v>
      </c>
      <c r="C62" s="131" t="s">
        <v>383</v>
      </c>
      <c r="D62" s="131" t="s">
        <v>369</v>
      </c>
      <c r="E62" s="131">
        <v>62</v>
      </c>
      <c r="F62" s="132">
        <v>32.17</v>
      </c>
      <c r="G62" s="132">
        <v>3616865.607959907</v>
      </c>
      <c r="H62" s="132">
        <v>1619392.8426547127</v>
      </c>
      <c r="I62" s="132">
        <v>567558.5920136465</v>
      </c>
      <c r="J62" s="132">
        <v>5803817.042628267</v>
      </c>
      <c r="K62" s="132">
        <f t="shared" si="0"/>
        <v>58336.54206386947</v>
      </c>
      <c r="L62" s="132">
        <f t="shared" si="1"/>
        <v>26119.239397656656</v>
      </c>
      <c r="M62" s="132">
        <f t="shared" si="2"/>
        <v>9154.170838929782</v>
      </c>
      <c r="N62" s="132">
        <f t="shared" si="3"/>
        <v>93609.95230045592</v>
      </c>
    </row>
    <row r="63" spans="1:14" ht="21">
      <c r="A63" s="130">
        <v>59</v>
      </c>
      <c r="B63" s="36" t="s">
        <v>102</v>
      </c>
      <c r="C63" s="131" t="s">
        <v>122</v>
      </c>
      <c r="D63" s="131" t="s">
        <v>145</v>
      </c>
      <c r="E63" s="131">
        <v>61</v>
      </c>
      <c r="F63" s="132">
        <v>33.28</v>
      </c>
      <c r="G63" s="132">
        <v>3282979.212840609</v>
      </c>
      <c r="H63" s="132">
        <v>2398392.135218466</v>
      </c>
      <c r="I63" s="132">
        <v>427759.4525027897</v>
      </c>
      <c r="J63" s="132">
        <v>6109130.800561865</v>
      </c>
      <c r="K63" s="132">
        <f t="shared" si="0"/>
        <v>53819.331358042764</v>
      </c>
      <c r="L63" s="132">
        <f t="shared" si="1"/>
        <v>39317.90385604043</v>
      </c>
      <c r="M63" s="132">
        <f t="shared" si="2"/>
        <v>7012.4500410293385</v>
      </c>
      <c r="N63" s="132">
        <f t="shared" si="3"/>
        <v>100149.68525511253</v>
      </c>
    </row>
    <row r="64" spans="1:14" ht="21">
      <c r="A64" s="130">
        <v>60</v>
      </c>
      <c r="B64" s="36" t="s">
        <v>119</v>
      </c>
      <c r="C64" s="131" t="s">
        <v>118</v>
      </c>
      <c r="D64" s="131" t="s">
        <v>165</v>
      </c>
      <c r="E64" s="131">
        <v>60</v>
      </c>
      <c r="F64" s="132">
        <v>29.28</v>
      </c>
      <c r="G64" s="132">
        <v>4286120.7404694585</v>
      </c>
      <c r="H64" s="132">
        <v>4324782.788867852</v>
      </c>
      <c r="I64" s="132">
        <v>576630.2498975489</v>
      </c>
      <c r="J64" s="132">
        <v>9187533.779234858</v>
      </c>
      <c r="K64" s="132">
        <f t="shared" si="0"/>
        <v>71435.34567449098</v>
      </c>
      <c r="L64" s="132">
        <f t="shared" si="1"/>
        <v>72079.71314779753</v>
      </c>
      <c r="M64" s="132">
        <f t="shared" si="2"/>
        <v>9610.50416495915</v>
      </c>
      <c r="N64" s="132">
        <f t="shared" si="3"/>
        <v>153125.5629872477</v>
      </c>
    </row>
    <row r="65" spans="1:14" ht="21">
      <c r="A65" s="130">
        <v>61</v>
      </c>
      <c r="B65" s="36" t="s">
        <v>71</v>
      </c>
      <c r="C65" s="131" t="s">
        <v>91</v>
      </c>
      <c r="D65" s="131" t="s">
        <v>98</v>
      </c>
      <c r="E65" s="131">
        <v>60</v>
      </c>
      <c r="F65" s="132">
        <v>30.39</v>
      </c>
      <c r="G65" s="132">
        <v>4582708.184306571</v>
      </c>
      <c r="H65" s="132">
        <v>3295752.6462466465</v>
      </c>
      <c r="I65" s="132">
        <v>414442.48401259497</v>
      </c>
      <c r="J65" s="132">
        <v>8292903.314565813</v>
      </c>
      <c r="K65" s="132">
        <f t="shared" si="0"/>
        <v>76378.46973844286</v>
      </c>
      <c r="L65" s="132">
        <f t="shared" si="1"/>
        <v>54929.21077077744</v>
      </c>
      <c r="M65" s="132">
        <f t="shared" si="2"/>
        <v>6907.37473354325</v>
      </c>
      <c r="N65" s="132">
        <f t="shared" si="3"/>
        <v>138215.05524276354</v>
      </c>
    </row>
    <row r="66" spans="1:14" ht="21">
      <c r="A66" s="130">
        <v>62</v>
      </c>
      <c r="B66" s="36" t="s">
        <v>58</v>
      </c>
      <c r="C66" s="131" t="s">
        <v>65</v>
      </c>
      <c r="D66" s="131" t="s">
        <v>205</v>
      </c>
      <c r="E66" s="131">
        <v>58</v>
      </c>
      <c r="F66" s="132">
        <v>27.72</v>
      </c>
      <c r="G66" s="132">
        <v>3150748.095773196</v>
      </c>
      <c r="H66" s="132">
        <v>1761720.921958763</v>
      </c>
      <c r="I66" s="132">
        <v>299013.7813917526</v>
      </c>
      <c r="J66" s="132">
        <v>5211482.799123712</v>
      </c>
      <c r="K66" s="132">
        <f t="shared" si="0"/>
        <v>54323.24303057234</v>
      </c>
      <c r="L66" s="132">
        <f t="shared" si="1"/>
        <v>30374.49865446143</v>
      </c>
      <c r="M66" s="132">
        <f t="shared" si="2"/>
        <v>5155.410023995734</v>
      </c>
      <c r="N66" s="132">
        <f t="shared" si="3"/>
        <v>89853.15170902951</v>
      </c>
    </row>
    <row r="67" spans="1:14" ht="21">
      <c r="A67" s="130">
        <v>63</v>
      </c>
      <c r="B67" s="36" t="s">
        <v>71</v>
      </c>
      <c r="C67" s="131" t="s">
        <v>118</v>
      </c>
      <c r="D67" s="131" t="s">
        <v>72</v>
      </c>
      <c r="E67" s="131">
        <v>57</v>
      </c>
      <c r="F67" s="132">
        <v>30.92</v>
      </c>
      <c r="G67" s="132">
        <v>4526190.344785372</v>
      </c>
      <c r="H67" s="132">
        <v>4567017.890430122</v>
      </c>
      <c r="I67" s="132">
        <v>608927.8458617559</v>
      </c>
      <c r="J67" s="132">
        <v>9702136.081077248</v>
      </c>
      <c r="K67" s="132">
        <f t="shared" si="0"/>
        <v>79406.84815412933</v>
      </c>
      <c r="L67" s="132">
        <f t="shared" si="1"/>
        <v>80123.12088473898</v>
      </c>
      <c r="M67" s="132">
        <f t="shared" si="2"/>
        <v>10682.944664241331</v>
      </c>
      <c r="N67" s="132">
        <f t="shared" si="3"/>
        <v>170212.91370310966</v>
      </c>
    </row>
    <row r="68" spans="1:14" ht="21">
      <c r="A68" s="130">
        <v>64</v>
      </c>
      <c r="B68" s="36" t="s">
        <v>81</v>
      </c>
      <c r="C68" s="131" t="s">
        <v>101</v>
      </c>
      <c r="D68" s="131" t="s">
        <v>220</v>
      </c>
      <c r="E68" s="131">
        <v>54</v>
      </c>
      <c r="F68" s="132">
        <v>27.53</v>
      </c>
      <c r="G68" s="132">
        <v>5659273.103597433</v>
      </c>
      <c r="H68" s="132">
        <v>2680742.927630963</v>
      </c>
      <c r="I68" s="132">
        <v>622987.6912478323</v>
      </c>
      <c r="J68" s="132">
        <v>8963003.72247623</v>
      </c>
      <c r="K68" s="132">
        <f t="shared" si="0"/>
        <v>104801.35377032284</v>
      </c>
      <c r="L68" s="132">
        <f t="shared" si="1"/>
        <v>49643.387548721534</v>
      </c>
      <c r="M68" s="132">
        <f t="shared" si="2"/>
        <v>11536.809097182078</v>
      </c>
      <c r="N68" s="132">
        <f t="shared" si="3"/>
        <v>165981.55041622644</v>
      </c>
    </row>
    <row r="69" spans="1:14" ht="21">
      <c r="A69" s="130">
        <v>65</v>
      </c>
      <c r="B69" s="36" t="s">
        <v>103</v>
      </c>
      <c r="C69" s="131" t="s">
        <v>107</v>
      </c>
      <c r="D69" s="131" t="s">
        <v>115</v>
      </c>
      <c r="E69" s="131">
        <v>53</v>
      </c>
      <c r="F69" s="132">
        <v>24.78</v>
      </c>
      <c r="G69" s="132">
        <v>2339210.404740526</v>
      </c>
      <c r="H69" s="132">
        <v>1620584.7717294386</v>
      </c>
      <c r="I69" s="132">
        <v>281123.9949427436</v>
      </c>
      <c r="J69" s="132">
        <v>4240919.171412708</v>
      </c>
      <c r="K69" s="132">
        <f t="shared" si="0"/>
        <v>44136.04537246275</v>
      </c>
      <c r="L69" s="132">
        <f t="shared" si="1"/>
        <v>30577.071164706387</v>
      </c>
      <c r="M69" s="132">
        <f t="shared" si="2"/>
        <v>5304.226319674408</v>
      </c>
      <c r="N69" s="132">
        <f t="shared" si="3"/>
        <v>80017.34285684355</v>
      </c>
    </row>
    <row r="70" spans="1:14" ht="21">
      <c r="A70" s="130">
        <v>66</v>
      </c>
      <c r="B70" s="36" t="s">
        <v>58</v>
      </c>
      <c r="C70" s="131" t="s">
        <v>65</v>
      </c>
      <c r="D70" s="131" t="s">
        <v>183</v>
      </c>
      <c r="E70" s="131">
        <v>52</v>
      </c>
      <c r="F70" s="132">
        <v>22.81</v>
      </c>
      <c r="G70" s="132">
        <v>2592661.0412910026</v>
      </c>
      <c r="H70" s="132">
        <v>1449670.0660129648</v>
      </c>
      <c r="I70" s="132">
        <v>246049.9406041081</v>
      </c>
      <c r="J70" s="132">
        <v>4288381.047908076</v>
      </c>
      <c r="K70" s="132">
        <f aca="true" t="shared" si="4" ref="K70:K115">+G70/E70</f>
        <v>49858.866178673125</v>
      </c>
      <c r="L70" s="132">
        <f aca="true" t="shared" si="5" ref="L70:L115">+H70/E70</f>
        <v>27878.270500249324</v>
      </c>
      <c r="M70" s="132">
        <f aca="true" t="shared" si="6" ref="M70:M115">+I70/E70</f>
        <v>4731.729627002079</v>
      </c>
      <c r="N70" s="132">
        <f aca="true" t="shared" si="7" ref="N70:N115">SUM(K70:M70)</f>
        <v>82468.86630592453</v>
      </c>
    </row>
    <row r="71" spans="1:14" ht="21">
      <c r="A71" s="130">
        <v>67</v>
      </c>
      <c r="B71" s="36" t="s">
        <v>128</v>
      </c>
      <c r="C71" s="131" t="s">
        <v>126</v>
      </c>
      <c r="D71" s="131" t="s">
        <v>221</v>
      </c>
      <c r="E71" s="131">
        <v>52</v>
      </c>
      <c r="F71" s="132">
        <v>27.28</v>
      </c>
      <c r="G71" s="132">
        <v>2729234.2784386873</v>
      </c>
      <c r="H71" s="132">
        <v>1688287.9224870463</v>
      </c>
      <c r="I71" s="132">
        <v>594865.4278687392</v>
      </c>
      <c r="J71" s="132">
        <v>5012387.628794473</v>
      </c>
      <c r="K71" s="132">
        <f t="shared" si="4"/>
        <v>52485.27458535937</v>
      </c>
      <c r="L71" s="132">
        <f t="shared" si="5"/>
        <v>32467.0754324432</v>
      </c>
      <c r="M71" s="132">
        <f t="shared" si="6"/>
        <v>11439.719766706523</v>
      </c>
      <c r="N71" s="132">
        <f t="shared" si="7"/>
        <v>96392.06978450909</v>
      </c>
    </row>
    <row r="72" spans="1:14" ht="21">
      <c r="A72" s="130">
        <v>68</v>
      </c>
      <c r="B72" s="36" t="s">
        <v>222</v>
      </c>
      <c r="C72" s="131" t="s">
        <v>101</v>
      </c>
      <c r="D72" s="131" t="s">
        <v>211</v>
      </c>
      <c r="E72" s="131">
        <v>48</v>
      </c>
      <c r="F72" s="132">
        <v>25.47</v>
      </c>
      <c r="G72" s="132">
        <v>5235804.066423052</v>
      </c>
      <c r="H72" s="132">
        <v>2480149.74089214</v>
      </c>
      <c r="I72" s="132">
        <v>576371.104107602</v>
      </c>
      <c r="J72" s="132">
        <v>8292324.911422795</v>
      </c>
      <c r="K72" s="132">
        <f t="shared" si="4"/>
        <v>109079.25138381358</v>
      </c>
      <c r="L72" s="132">
        <f t="shared" si="5"/>
        <v>51669.78626858626</v>
      </c>
      <c r="M72" s="132">
        <f t="shared" si="6"/>
        <v>12007.731335575043</v>
      </c>
      <c r="N72" s="132">
        <f t="shared" si="7"/>
        <v>172756.76898797488</v>
      </c>
    </row>
    <row r="73" spans="1:14" ht="21">
      <c r="A73" s="130">
        <v>69</v>
      </c>
      <c r="B73" s="36" t="s">
        <v>51</v>
      </c>
      <c r="C73" s="131" t="s">
        <v>53</v>
      </c>
      <c r="D73" s="131" t="s">
        <v>55</v>
      </c>
      <c r="E73" s="131">
        <v>43</v>
      </c>
      <c r="F73" s="132">
        <v>27.17</v>
      </c>
      <c r="G73" s="132">
        <v>3211881.6584025286</v>
      </c>
      <c r="H73" s="132">
        <v>2754114.7029215256</v>
      </c>
      <c r="I73" s="132">
        <v>483676.5255161066</v>
      </c>
      <c r="J73" s="132">
        <v>6449672.886840161</v>
      </c>
      <c r="K73" s="132">
        <f t="shared" si="4"/>
        <v>74694.9222884309</v>
      </c>
      <c r="L73" s="132">
        <f t="shared" si="5"/>
        <v>64049.1791377099</v>
      </c>
      <c r="M73" s="132">
        <f t="shared" si="6"/>
        <v>11248.291291072246</v>
      </c>
      <c r="N73" s="132">
        <f t="shared" si="7"/>
        <v>149992.39271721305</v>
      </c>
    </row>
    <row r="74" spans="1:14" ht="21">
      <c r="A74" s="130">
        <v>70</v>
      </c>
      <c r="B74" s="36" t="s">
        <v>51</v>
      </c>
      <c r="C74" s="131" t="s">
        <v>53</v>
      </c>
      <c r="D74" s="131" t="s">
        <v>160</v>
      </c>
      <c r="E74" s="131">
        <v>43</v>
      </c>
      <c r="F74" s="132">
        <v>25.97</v>
      </c>
      <c r="G74" s="132">
        <v>3070024.536941983</v>
      </c>
      <c r="H74" s="132">
        <v>2632475.4815926393</v>
      </c>
      <c r="I74" s="132">
        <v>462314.29398797516</v>
      </c>
      <c r="J74" s="132">
        <v>6164814.312522598</v>
      </c>
      <c r="K74" s="132">
        <f t="shared" si="4"/>
        <v>71395.91946376704</v>
      </c>
      <c r="L74" s="132">
        <f t="shared" si="5"/>
        <v>61220.360037038125</v>
      </c>
      <c r="M74" s="132">
        <f t="shared" si="6"/>
        <v>10751.495209022678</v>
      </c>
      <c r="N74" s="132">
        <f t="shared" si="7"/>
        <v>143367.77470982785</v>
      </c>
    </row>
    <row r="75" spans="1:14" ht="21">
      <c r="A75" s="130">
        <v>71</v>
      </c>
      <c r="B75" s="36" t="s">
        <v>71</v>
      </c>
      <c r="C75" s="131" t="s">
        <v>73</v>
      </c>
      <c r="D75" s="131" t="s">
        <v>75</v>
      </c>
      <c r="E75" s="131">
        <v>41</v>
      </c>
      <c r="F75" s="132">
        <v>21.08</v>
      </c>
      <c r="G75" s="132">
        <v>2299482.476534431</v>
      </c>
      <c r="H75" s="132">
        <v>1041405.6316839505</v>
      </c>
      <c r="I75" s="132">
        <v>424230.657346502</v>
      </c>
      <c r="J75" s="132">
        <v>3765118.765564883</v>
      </c>
      <c r="K75" s="132">
        <f t="shared" si="4"/>
        <v>56084.93845205929</v>
      </c>
      <c r="L75" s="132">
        <f t="shared" si="5"/>
        <v>25400.137358145133</v>
      </c>
      <c r="M75" s="132">
        <f t="shared" si="6"/>
        <v>10347.08920357322</v>
      </c>
      <c r="N75" s="132">
        <f t="shared" si="7"/>
        <v>91832.16501377765</v>
      </c>
    </row>
    <row r="76" spans="1:14" ht="21">
      <c r="A76" s="130">
        <v>72</v>
      </c>
      <c r="B76" s="36" t="s">
        <v>58</v>
      </c>
      <c r="C76" s="131" t="s">
        <v>118</v>
      </c>
      <c r="D76" s="131" t="s">
        <v>66</v>
      </c>
      <c r="E76" s="131">
        <v>39</v>
      </c>
      <c r="F76" s="132">
        <v>13.72</v>
      </c>
      <c r="G76" s="132">
        <v>2008387.1775697053</v>
      </c>
      <c r="H76" s="132">
        <v>2026503.4106307009</v>
      </c>
      <c r="I76" s="132">
        <v>270196.9613590974</v>
      </c>
      <c r="J76" s="132">
        <v>4305087.549559504</v>
      </c>
      <c r="K76" s="132">
        <f t="shared" si="4"/>
        <v>51497.10711717193</v>
      </c>
      <c r="L76" s="132">
        <f t="shared" si="5"/>
        <v>51961.62591360771</v>
      </c>
      <c r="M76" s="132">
        <f t="shared" si="6"/>
        <v>6928.12721433583</v>
      </c>
      <c r="N76" s="132">
        <f t="shared" si="7"/>
        <v>110386.86024511547</v>
      </c>
    </row>
    <row r="77" spans="1:14" ht="21">
      <c r="A77" s="130">
        <v>73</v>
      </c>
      <c r="B77" s="36" t="s">
        <v>81</v>
      </c>
      <c r="C77" s="131" t="s">
        <v>91</v>
      </c>
      <c r="D77" s="131" t="s">
        <v>210</v>
      </c>
      <c r="E77" s="131">
        <v>39</v>
      </c>
      <c r="F77" s="132">
        <v>21.83</v>
      </c>
      <c r="G77" s="132">
        <v>3291889.4262393042</v>
      </c>
      <c r="H77" s="132">
        <v>2367432.7169320267</v>
      </c>
      <c r="I77" s="132">
        <v>297705.80539634574</v>
      </c>
      <c r="J77" s="132">
        <v>5957027.948567676</v>
      </c>
      <c r="K77" s="132">
        <f t="shared" si="4"/>
        <v>84407.42118562319</v>
      </c>
      <c r="L77" s="132">
        <f t="shared" si="5"/>
        <v>60703.402998257094</v>
      </c>
      <c r="M77" s="132">
        <f t="shared" si="6"/>
        <v>7633.482189649891</v>
      </c>
      <c r="N77" s="132">
        <f t="shared" si="7"/>
        <v>152744.30637353018</v>
      </c>
    </row>
    <row r="78" spans="1:14" ht="21">
      <c r="A78" s="130">
        <v>74</v>
      </c>
      <c r="B78" s="36" t="s">
        <v>81</v>
      </c>
      <c r="C78" s="131" t="s">
        <v>82</v>
      </c>
      <c r="D78" s="131" t="s">
        <v>226</v>
      </c>
      <c r="E78" s="131">
        <v>38</v>
      </c>
      <c r="F78" s="132">
        <v>21.5</v>
      </c>
      <c r="G78" s="132">
        <v>4542648.275163716</v>
      </c>
      <c r="H78" s="132">
        <v>3938533.7347804992</v>
      </c>
      <c r="I78" s="132">
        <v>456966.55881639576</v>
      </c>
      <c r="J78" s="132">
        <v>8938148.568760611</v>
      </c>
      <c r="K78" s="132">
        <f t="shared" si="4"/>
        <v>119543.37566220305</v>
      </c>
      <c r="L78" s="132">
        <f t="shared" si="5"/>
        <v>103645.62459948682</v>
      </c>
      <c r="M78" s="132">
        <f t="shared" si="6"/>
        <v>12025.435758326204</v>
      </c>
      <c r="N78" s="132">
        <f t="shared" si="7"/>
        <v>235214.4360200161</v>
      </c>
    </row>
    <row r="79" spans="1:14" ht="21">
      <c r="A79" s="130">
        <v>75</v>
      </c>
      <c r="B79" s="36" t="s">
        <v>51</v>
      </c>
      <c r="C79" s="131" t="s">
        <v>53</v>
      </c>
      <c r="D79" s="131" t="s">
        <v>52</v>
      </c>
      <c r="E79" s="131">
        <v>37</v>
      </c>
      <c r="F79" s="132">
        <v>22.44</v>
      </c>
      <c r="G79" s="132">
        <v>2652728.17131221</v>
      </c>
      <c r="H79" s="132">
        <v>2274653.4388501667</v>
      </c>
      <c r="I79" s="132">
        <v>399473.72957605566</v>
      </c>
      <c r="J79" s="132">
        <v>5326855.339738433</v>
      </c>
      <c r="K79" s="132">
        <f t="shared" si="4"/>
        <v>71695.35598141109</v>
      </c>
      <c r="L79" s="132">
        <f t="shared" si="5"/>
        <v>61477.11996892343</v>
      </c>
      <c r="M79" s="132">
        <f t="shared" si="6"/>
        <v>10796.587285839341</v>
      </c>
      <c r="N79" s="132">
        <f t="shared" si="7"/>
        <v>143969.06323617385</v>
      </c>
    </row>
    <row r="80" spans="1:14" ht="21">
      <c r="A80" s="130">
        <v>76</v>
      </c>
      <c r="B80" s="36" t="s">
        <v>81</v>
      </c>
      <c r="C80" s="131" t="s">
        <v>86</v>
      </c>
      <c r="D80" s="131" t="s">
        <v>90</v>
      </c>
      <c r="E80" s="131">
        <v>36</v>
      </c>
      <c r="F80" s="132">
        <v>10.17</v>
      </c>
      <c r="G80" s="132">
        <v>1370359.1310558256</v>
      </c>
      <c r="H80" s="132">
        <v>808637.3289628496</v>
      </c>
      <c r="I80" s="132">
        <v>141087.46713999865</v>
      </c>
      <c r="J80" s="132">
        <v>2320083.9271586738</v>
      </c>
      <c r="K80" s="132">
        <f t="shared" si="4"/>
        <v>38065.531418217375</v>
      </c>
      <c r="L80" s="132">
        <f t="shared" si="5"/>
        <v>22462.14802674582</v>
      </c>
      <c r="M80" s="132">
        <f t="shared" si="6"/>
        <v>3919.096309444407</v>
      </c>
      <c r="N80" s="132">
        <f t="shared" si="7"/>
        <v>64446.77575440761</v>
      </c>
    </row>
    <row r="81" spans="1:14" ht="21">
      <c r="A81" s="130">
        <v>77</v>
      </c>
      <c r="B81" s="36" t="s">
        <v>58</v>
      </c>
      <c r="C81" s="131" t="s">
        <v>65</v>
      </c>
      <c r="D81" s="131" t="s">
        <v>66</v>
      </c>
      <c r="E81" s="131">
        <v>34</v>
      </c>
      <c r="F81" s="132">
        <v>8.89</v>
      </c>
      <c r="G81" s="132">
        <v>1010467.1923313029</v>
      </c>
      <c r="H81" s="132">
        <v>564996.3562847548</v>
      </c>
      <c r="I81" s="132">
        <v>95895.8339311934</v>
      </c>
      <c r="J81" s="132">
        <v>1671359.3825472512</v>
      </c>
      <c r="K81" s="132">
        <f t="shared" si="4"/>
        <v>29719.623303861852</v>
      </c>
      <c r="L81" s="132">
        <f t="shared" si="5"/>
        <v>16617.539890728083</v>
      </c>
      <c r="M81" s="132">
        <f t="shared" si="6"/>
        <v>2820.4657038586292</v>
      </c>
      <c r="N81" s="132">
        <f t="shared" si="7"/>
        <v>49157.628898448565</v>
      </c>
    </row>
    <row r="82" spans="1:14" ht="21">
      <c r="A82" s="130">
        <v>78</v>
      </c>
      <c r="B82" s="36" t="s">
        <v>96</v>
      </c>
      <c r="C82" s="131" t="s">
        <v>53</v>
      </c>
      <c r="D82" s="131" t="s">
        <v>120</v>
      </c>
      <c r="E82" s="131">
        <v>34</v>
      </c>
      <c r="F82" s="132">
        <v>13.22</v>
      </c>
      <c r="G82" s="132">
        <v>1562792.6214236803</v>
      </c>
      <c r="H82" s="132">
        <v>1340058.7549732286</v>
      </c>
      <c r="I82" s="132">
        <v>235340.5840015798</v>
      </c>
      <c r="J82" s="132">
        <v>3138191.9603984887</v>
      </c>
      <c r="K82" s="132">
        <f t="shared" si="4"/>
        <v>45964.48886540236</v>
      </c>
      <c r="L82" s="132">
        <f t="shared" si="5"/>
        <v>39413.49279333025</v>
      </c>
      <c r="M82" s="132">
        <f t="shared" si="6"/>
        <v>6921.781882399406</v>
      </c>
      <c r="N82" s="132">
        <f t="shared" si="7"/>
        <v>92299.76354113201</v>
      </c>
    </row>
    <row r="83" spans="1:14" ht="21">
      <c r="A83" s="130">
        <v>79</v>
      </c>
      <c r="B83" s="36" t="s">
        <v>81</v>
      </c>
      <c r="C83" s="131" t="s">
        <v>91</v>
      </c>
      <c r="D83" s="131" t="s">
        <v>94</v>
      </c>
      <c r="E83" s="131">
        <v>32</v>
      </c>
      <c r="F83" s="132">
        <v>15.78</v>
      </c>
      <c r="G83" s="132">
        <v>2379570.0937268077</v>
      </c>
      <c r="H83" s="132">
        <v>1711318.7481991472</v>
      </c>
      <c r="I83" s="132">
        <v>215199.15754257148</v>
      </c>
      <c r="J83" s="132">
        <v>4306087.999468527</v>
      </c>
      <c r="K83" s="132">
        <f t="shared" si="4"/>
        <v>74361.56542896274</v>
      </c>
      <c r="L83" s="132">
        <f t="shared" si="5"/>
        <v>53478.71088122335</v>
      </c>
      <c r="M83" s="132">
        <f t="shared" si="6"/>
        <v>6724.973673205359</v>
      </c>
      <c r="N83" s="132">
        <f t="shared" si="7"/>
        <v>134565.24998339146</v>
      </c>
    </row>
    <row r="84" spans="1:14" ht="21">
      <c r="A84" s="130">
        <v>80</v>
      </c>
      <c r="B84" s="36" t="s">
        <v>58</v>
      </c>
      <c r="C84" s="131" t="s">
        <v>65</v>
      </c>
      <c r="D84" s="131" t="s">
        <v>206</v>
      </c>
      <c r="E84" s="131">
        <v>31</v>
      </c>
      <c r="F84" s="132">
        <v>15.5</v>
      </c>
      <c r="G84" s="132">
        <v>1761781.9438847236</v>
      </c>
      <c r="H84" s="132">
        <v>985089.2601140268</v>
      </c>
      <c r="I84" s="132">
        <v>167197.46073492657</v>
      </c>
      <c r="J84" s="132">
        <v>2914068.664733677</v>
      </c>
      <c r="K84" s="132">
        <f t="shared" si="4"/>
        <v>56831.67560918463</v>
      </c>
      <c r="L84" s="132">
        <f t="shared" si="5"/>
        <v>31777.07290690409</v>
      </c>
      <c r="M84" s="132">
        <f t="shared" si="6"/>
        <v>5393.466475320212</v>
      </c>
      <c r="N84" s="132">
        <f t="shared" si="7"/>
        <v>94002.21499140894</v>
      </c>
    </row>
    <row r="85" spans="1:14" ht="21">
      <c r="A85" s="130">
        <v>81</v>
      </c>
      <c r="B85" s="36" t="s">
        <v>81</v>
      </c>
      <c r="C85" s="131" t="s">
        <v>91</v>
      </c>
      <c r="D85" s="131" t="s">
        <v>92</v>
      </c>
      <c r="E85" s="131">
        <v>31</v>
      </c>
      <c r="F85" s="132">
        <v>11.81</v>
      </c>
      <c r="G85" s="132">
        <v>1780907.655697947</v>
      </c>
      <c r="H85" s="132">
        <v>1280777.8464025303</v>
      </c>
      <c r="I85" s="132">
        <v>161058.4315955494</v>
      </c>
      <c r="J85" s="132">
        <v>3222743.9336960264</v>
      </c>
      <c r="K85" s="132">
        <f t="shared" si="4"/>
        <v>57448.63405477248</v>
      </c>
      <c r="L85" s="132">
        <f t="shared" si="5"/>
        <v>41315.41440008162</v>
      </c>
      <c r="M85" s="132">
        <f t="shared" si="6"/>
        <v>5195.433277275787</v>
      </c>
      <c r="N85" s="132">
        <f t="shared" si="7"/>
        <v>103959.4817321299</v>
      </c>
    </row>
    <row r="86" spans="1:14" ht="21">
      <c r="A86" s="130">
        <v>82</v>
      </c>
      <c r="B86" s="36" t="s">
        <v>96</v>
      </c>
      <c r="C86" s="131" t="s">
        <v>53</v>
      </c>
      <c r="D86" s="131" t="s">
        <v>199</v>
      </c>
      <c r="E86" s="131">
        <v>31</v>
      </c>
      <c r="F86" s="132">
        <v>17.28</v>
      </c>
      <c r="G86" s="132">
        <v>2042742.5490318607</v>
      </c>
      <c r="H86" s="132">
        <v>1751604.78713596</v>
      </c>
      <c r="I86" s="132">
        <v>307616.1340050907</v>
      </c>
      <c r="J86" s="132">
        <v>4101963.4701729114</v>
      </c>
      <c r="K86" s="132">
        <f t="shared" si="4"/>
        <v>65894.92093651164</v>
      </c>
      <c r="L86" s="132">
        <f t="shared" si="5"/>
        <v>56503.38023019226</v>
      </c>
      <c r="M86" s="132">
        <f t="shared" si="6"/>
        <v>9923.10109693841</v>
      </c>
      <c r="N86" s="132">
        <f t="shared" si="7"/>
        <v>132321.40226364232</v>
      </c>
    </row>
    <row r="87" spans="1:14" ht="21">
      <c r="A87" s="130">
        <v>83</v>
      </c>
      <c r="B87" s="36" t="s">
        <v>81</v>
      </c>
      <c r="C87" s="131" t="s">
        <v>82</v>
      </c>
      <c r="D87" s="131" t="s">
        <v>83</v>
      </c>
      <c r="E87" s="131">
        <v>30</v>
      </c>
      <c r="F87" s="132">
        <v>15.06</v>
      </c>
      <c r="G87" s="132">
        <v>3181966.6522774682</v>
      </c>
      <c r="H87" s="132">
        <v>2758805.4905020613</v>
      </c>
      <c r="I87" s="132">
        <v>320089.133756973</v>
      </c>
      <c r="J87" s="132">
        <v>6260861.276536502</v>
      </c>
      <c r="K87" s="132">
        <f t="shared" si="4"/>
        <v>106065.5550759156</v>
      </c>
      <c r="L87" s="132">
        <f t="shared" si="5"/>
        <v>91960.18301673538</v>
      </c>
      <c r="M87" s="132">
        <f t="shared" si="6"/>
        <v>10669.6377918991</v>
      </c>
      <c r="N87" s="132">
        <f t="shared" si="7"/>
        <v>208695.37588455007</v>
      </c>
    </row>
    <row r="88" spans="1:14" ht="21">
      <c r="A88" s="130">
        <v>84</v>
      </c>
      <c r="B88" s="36" t="s">
        <v>103</v>
      </c>
      <c r="C88" s="131" t="s">
        <v>107</v>
      </c>
      <c r="D88" s="131" t="s">
        <v>372</v>
      </c>
      <c r="E88" s="131">
        <v>30</v>
      </c>
      <c r="F88" s="132">
        <v>17.5</v>
      </c>
      <c r="G88" s="132">
        <v>1651984.7491105406</v>
      </c>
      <c r="H88" s="132">
        <v>1144480.770995366</v>
      </c>
      <c r="I88" s="132">
        <v>198533.89473357596</v>
      </c>
      <c r="J88" s="132">
        <v>2994999.414839483</v>
      </c>
      <c r="K88" s="132">
        <f t="shared" si="4"/>
        <v>55066.158303684686</v>
      </c>
      <c r="L88" s="132">
        <f t="shared" si="5"/>
        <v>38149.359033178866</v>
      </c>
      <c r="M88" s="132">
        <f t="shared" si="6"/>
        <v>6617.796491119198</v>
      </c>
      <c r="N88" s="132">
        <f t="shared" si="7"/>
        <v>99833.31382798275</v>
      </c>
    </row>
    <row r="89" spans="1:14" ht="21">
      <c r="A89" s="130">
        <v>85</v>
      </c>
      <c r="B89" s="36" t="s">
        <v>128</v>
      </c>
      <c r="C89" s="131" t="s">
        <v>126</v>
      </c>
      <c r="D89" s="131" t="s">
        <v>129</v>
      </c>
      <c r="E89" s="131">
        <v>27</v>
      </c>
      <c r="F89" s="132">
        <v>10.89</v>
      </c>
      <c r="G89" s="132">
        <v>1089492.7159896372</v>
      </c>
      <c r="H89" s="132">
        <v>673953.6464766838</v>
      </c>
      <c r="I89" s="132">
        <v>237466.44096373054</v>
      </c>
      <c r="J89" s="132">
        <v>2000912.8034300513</v>
      </c>
      <c r="K89" s="132">
        <f t="shared" si="4"/>
        <v>40351.58207369027</v>
      </c>
      <c r="L89" s="132">
        <f t="shared" si="5"/>
        <v>24961.246165803102</v>
      </c>
      <c r="M89" s="132">
        <f t="shared" si="6"/>
        <v>8795.053369027057</v>
      </c>
      <c r="N89" s="132">
        <f t="shared" si="7"/>
        <v>74107.88160852043</v>
      </c>
    </row>
    <row r="90" spans="1:14" ht="21">
      <c r="A90" s="130">
        <v>86</v>
      </c>
      <c r="B90" s="36" t="s">
        <v>96</v>
      </c>
      <c r="C90" s="131" t="s">
        <v>91</v>
      </c>
      <c r="D90" s="131" t="s">
        <v>97</v>
      </c>
      <c r="E90" s="131">
        <v>27</v>
      </c>
      <c r="F90" s="132">
        <v>15.33</v>
      </c>
      <c r="G90" s="132">
        <v>2311711.6309779445</v>
      </c>
      <c r="H90" s="132">
        <v>1662516.8827562057</v>
      </c>
      <c r="I90" s="132">
        <v>209062.29943774533</v>
      </c>
      <c r="J90" s="132">
        <v>4183290.8131718957</v>
      </c>
      <c r="K90" s="132">
        <f t="shared" si="4"/>
        <v>85618.94929547943</v>
      </c>
      <c r="L90" s="132">
        <f t="shared" si="5"/>
        <v>61574.69936134095</v>
      </c>
      <c r="M90" s="132">
        <f t="shared" si="6"/>
        <v>7743.048127323901</v>
      </c>
      <c r="N90" s="132">
        <f t="shared" si="7"/>
        <v>154936.6967841443</v>
      </c>
    </row>
    <row r="91" spans="1:14" ht="21">
      <c r="A91" s="130">
        <v>87</v>
      </c>
      <c r="B91" s="36" t="s">
        <v>222</v>
      </c>
      <c r="C91" s="131" t="s">
        <v>101</v>
      </c>
      <c r="D91" s="131" t="s">
        <v>214</v>
      </c>
      <c r="E91" s="131">
        <v>26</v>
      </c>
      <c r="F91" s="132">
        <v>12.86</v>
      </c>
      <c r="G91" s="132">
        <v>2643597.9699332723</v>
      </c>
      <c r="H91" s="132">
        <v>1252246.787117115</v>
      </c>
      <c r="I91" s="132">
        <v>291014.22845794127</v>
      </c>
      <c r="J91" s="132">
        <v>4186858.985508329</v>
      </c>
      <c r="K91" s="132">
        <f t="shared" si="4"/>
        <v>101676.84499743355</v>
      </c>
      <c r="L91" s="132">
        <f t="shared" si="5"/>
        <v>48163.33796604288</v>
      </c>
      <c r="M91" s="132">
        <f t="shared" si="6"/>
        <v>11192.85494069005</v>
      </c>
      <c r="N91" s="132">
        <f t="shared" si="7"/>
        <v>161033.03790416647</v>
      </c>
    </row>
    <row r="92" spans="1:14" ht="21">
      <c r="A92" s="130">
        <v>88</v>
      </c>
      <c r="B92" s="36" t="s">
        <v>222</v>
      </c>
      <c r="C92" s="131" t="s">
        <v>101</v>
      </c>
      <c r="D92" s="131" t="s">
        <v>366</v>
      </c>
      <c r="E92" s="131">
        <v>24</v>
      </c>
      <c r="F92" s="132">
        <v>13.33</v>
      </c>
      <c r="G92" s="132">
        <v>2740214.6920070387</v>
      </c>
      <c r="H92" s="132">
        <v>1298013.1938002445</v>
      </c>
      <c r="I92" s="132">
        <v>301650.05173750827</v>
      </c>
      <c r="J92" s="132">
        <v>4339877.937544791</v>
      </c>
      <c r="K92" s="132">
        <f t="shared" si="4"/>
        <v>114175.61216695995</v>
      </c>
      <c r="L92" s="132">
        <f t="shared" si="5"/>
        <v>54083.883075010184</v>
      </c>
      <c r="M92" s="132">
        <f t="shared" si="6"/>
        <v>12568.752155729511</v>
      </c>
      <c r="N92" s="132">
        <f t="shared" si="7"/>
        <v>180828.24739769966</v>
      </c>
    </row>
    <row r="93" spans="1:14" ht="21">
      <c r="A93" s="130">
        <v>89</v>
      </c>
      <c r="B93" s="36" t="s">
        <v>96</v>
      </c>
      <c r="C93" s="131" t="s">
        <v>53</v>
      </c>
      <c r="D93" s="131" t="s">
        <v>121</v>
      </c>
      <c r="E93" s="131">
        <v>24</v>
      </c>
      <c r="F93" s="132">
        <v>9.42</v>
      </c>
      <c r="G93" s="132">
        <v>1113578.4034652852</v>
      </c>
      <c r="H93" s="132">
        <v>954867.887431756</v>
      </c>
      <c r="I93" s="132">
        <v>167693.51749583066</v>
      </c>
      <c r="J93" s="132">
        <v>2236139.8083928716</v>
      </c>
      <c r="K93" s="132">
        <f t="shared" si="4"/>
        <v>46399.10014438688</v>
      </c>
      <c r="L93" s="132">
        <f t="shared" si="5"/>
        <v>39786.161976323165</v>
      </c>
      <c r="M93" s="132">
        <f t="shared" si="6"/>
        <v>6987.2298956596105</v>
      </c>
      <c r="N93" s="132">
        <f t="shared" si="7"/>
        <v>93172.49201636965</v>
      </c>
    </row>
    <row r="94" spans="1:14" ht="21">
      <c r="A94" s="130">
        <v>90</v>
      </c>
      <c r="B94" s="36" t="s">
        <v>81</v>
      </c>
      <c r="C94" s="131" t="s">
        <v>86</v>
      </c>
      <c r="D94" s="131" t="s">
        <v>89</v>
      </c>
      <c r="E94" s="131">
        <v>22</v>
      </c>
      <c r="F94" s="132">
        <v>12.53</v>
      </c>
      <c r="G94" s="132">
        <v>1688357.906797394</v>
      </c>
      <c r="H94" s="132">
        <v>996285.7160181421</v>
      </c>
      <c r="I94" s="132">
        <v>173827.52834456076</v>
      </c>
      <c r="J94" s="132">
        <v>2858471.1511600967</v>
      </c>
      <c r="K94" s="132">
        <f t="shared" si="4"/>
        <v>76743.54121806336</v>
      </c>
      <c r="L94" s="132">
        <f t="shared" si="5"/>
        <v>45285.714364461004</v>
      </c>
      <c r="M94" s="132">
        <f t="shared" si="6"/>
        <v>7901.251288389126</v>
      </c>
      <c r="N94" s="132">
        <f t="shared" si="7"/>
        <v>129930.5068709135</v>
      </c>
    </row>
    <row r="95" spans="1:14" ht="21">
      <c r="A95" s="130">
        <v>91</v>
      </c>
      <c r="B95" s="36" t="s">
        <v>222</v>
      </c>
      <c r="C95" s="131" t="s">
        <v>101</v>
      </c>
      <c r="D95" s="131" t="s">
        <v>213</v>
      </c>
      <c r="E95" s="131">
        <v>21</v>
      </c>
      <c r="F95" s="132">
        <v>9.36</v>
      </c>
      <c r="G95" s="132">
        <v>1924111.7417243721</v>
      </c>
      <c r="H95" s="132">
        <v>911433.1203278537</v>
      </c>
      <c r="I95" s="132">
        <v>211811.28914201632</v>
      </c>
      <c r="J95" s="132">
        <v>3047356.1511942423</v>
      </c>
      <c r="K95" s="132">
        <f t="shared" si="4"/>
        <v>91624.36865354153</v>
      </c>
      <c r="L95" s="132">
        <f t="shared" si="5"/>
        <v>43401.57715846923</v>
      </c>
      <c r="M95" s="132">
        <f t="shared" si="6"/>
        <v>10086.25186390554</v>
      </c>
      <c r="N95" s="132">
        <f t="shared" si="7"/>
        <v>145112.1976759163</v>
      </c>
    </row>
    <row r="96" spans="1:14" ht="21">
      <c r="A96" s="130">
        <v>92</v>
      </c>
      <c r="B96" s="36" t="s">
        <v>222</v>
      </c>
      <c r="C96" s="131" t="s">
        <v>383</v>
      </c>
      <c r="D96" s="131" t="s">
        <v>371</v>
      </c>
      <c r="E96" s="131">
        <v>20</v>
      </c>
      <c r="F96" s="132">
        <v>8.14</v>
      </c>
      <c r="G96" s="132">
        <v>915178.3042832963</v>
      </c>
      <c r="H96" s="132">
        <v>409756.22440812446</v>
      </c>
      <c r="I96" s="132">
        <v>143609.78983497305</v>
      </c>
      <c r="J96" s="132">
        <v>1468544.3185263937</v>
      </c>
      <c r="K96" s="132">
        <f t="shared" si="4"/>
        <v>45758.915214164816</v>
      </c>
      <c r="L96" s="132">
        <f t="shared" si="5"/>
        <v>20487.811220406224</v>
      </c>
      <c r="M96" s="132">
        <f t="shared" si="6"/>
        <v>7180.489491748653</v>
      </c>
      <c r="N96" s="132">
        <f t="shared" si="7"/>
        <v>73427.2159263197</v>
      </c>
    </row>
    <row r="97" spans="1:14" ht="21">
      <c r="A97" s="130">
        <v>93</v>
      </c>
      <c r="B97" s="36" t="s">
        <v>222</v>
      </c>
      <c r="C97" s="131" t="s">
        <v>101</v>
      </c>
      <c r="D97" s="131" t="s">
        <v>215</v>
      </c>
      <c r="E97" s="131">
        <v>20</v>
      </c>
      <c r="F97" s="132">
        <v>10.72</v>
      </c>
      <c r="G97" s="132">
        <v>2203683.5332569736</v>
      </c>
      <c r="H97" s="132">
        <v>1043863.5737088239</v>
      </c>
      <c r="I97" s="132">
        <v>242587.28841906143</v>
      </c>
      <c r="J97" s="132">
        <v>3490134.395384859</v>
      </c>
      <c r="K97" s="132">
        <f t="shared" si="4"/>
        <v>110184.17666284868</v>
      </c>
      <c r="L97" s="132">
        <f t="shared" si="5"/>
        <v>52193.17868544119</v>
      </c>
      <c r="M97" s="132">
        <f t="shared" si="6"/>
        <v>12129.364420953072</v>
      </c>
      <c r="N97" s="132">
        <f t="shared" si="7"/>
        <v>174506.71976924295</v>
      </c>
    </row>
    <row r="98" spans="1:14" ht="21">
      <c r="A98" s="130">
        <v>94</v>
      </c>
      <c r="B98" s="36" t="s">
        <v>96</v>
      </c>
      <c r="C98" s="131" t="s">
        <v>53</v>
      </c>
      <c r="D98" s="131" t="s">
        <v>200</v>
      </c>
      <c r="E98" s="131">
        <v>18</v>
      </c>
      <c r="F98" s="132">
        <v>11.08</v>
      </c>
      <c r="G98" s="132">
        <v>1309814.0881523734</v>
      </c>
      <c r="H98" s="132">
        <v>1123135.4769367152</v>
      </c>
      <c r="I98" s="132">
        <v>197244.60444307895</v>
      </c>
      <c r="J98" s="132">
        <v>2630194.1695321677</v>
      </c>
      <c r="K98" s="132">
        <f t="shared" si="4"/>
        <v>72767.44934179852</v>
      </c>
      <c r="L98" s="132">
        <f t="shared" si="5"/>
        <v>62396.41538537307</v>
      </c>
      <c r="M98" s="132">
        <f t="shared" si="6"/>
        <v>10958.033580171053</v>
      </c>
      <c r="N98" s="132">
        <f t="shared" si="7"/>
        <v>146121.89830734266</v>
      </c>
    </row>
    <row r="99" spans="1:14" ht="21">
      <c r="A99" s="130">
        <v>95</v>
      </c>
      <c r="B99" s="36" t="s">
        <v>81</v>
      </c>
      <c r="C99" s="131" t="s">
        <v>91</v>
      </c>
      <c r="D99" s="131" t="s">
        <v>93</v>
      </c>
      <c r="E99" s="131">
        <v>15</v>
      </c>
      <c r="F99" s="132">
        <v>8.25</v>
      </c>
      <c r="G99" s="132">
        <v>1244071.8170624946</v>
      </c>
      <c r="H99" s="132">
        <v>894700.8664539269</v>
      </c>
      <c r="I99" s="132">
        <v>112509.0652551467</v>
      </c>
      <c r="J99" s="132">
        <v>2251281.748771568</v>
      </c>
      <c r="K99" s="132">
        <f t="shared" si="4"/>
        <v>82938.12113749963</v>
      </c>
      <c r="L99" s="132">
        <f t="shared" si="5"/>
        <v>59646.72443026179</v>
      </c>
      <c r="M99" s="132">
        <f t="shared" si="6"/>
        <v>7500.604350343114</v>
      </c>
      <c r="N99" s="132">
        <f t="shared" si="7"/>
        <v>150085.44991810454</v>
      </c>
    </row>
    <row r="100" spans="1:14" ht="21">
      <c r="A100" s="130">
        <v>96</v>
      </c>
      <c r="B100" s="36" t="s">
        <v>222</v>
      </c>
      <c r="C100" s="131" t="s">
        <v>101</v>
      </c>
      <c r="D100" s="131" t="s">
        <v>212</v>
      </c>
      <c r="E100" s="131">
        <v>14</v>
      </c>
      <c r="F100" s="132">
        <v>5</v>
      </c>
      <c r="G100" s="132">
        <v>1027837.468869857</v>
      </c>
      <c r="H100" s="132">
        <v>486876.6668418022</v>
      </c>
      <c r="I100" s="132">
        <v>113147.05616560702</v>
      </c>
      <c r="J100" s="132">
        <v>1627861.1918772662</v>
      </c>
      <c r="K100" s="132">
        <f t="shared" si="4"/>
        <v>73416.96206213265</v>
      </c>
      <c r="L100" s="132">
        <f t="shared" si="5"/>
        <v>34776.90477441444</v>
      </c>
      <c r="M100" s="132">
        <f t="shared" si="6"/>
        <v>8081.932583257644</v>
      </c>
      <c r="N100" s="132">
        <f t="shared" si="7"/>
        <v>116275.79941980474</v>
      </c>
    </row>
    <row r="101" spans="1:14" ht="21">
      <c r="A101" s="130">
        <v>97</v>
      </c>
      <c r="B101" s="36" t="s">
        <v>103</v>
      </c>
      <c r="C101" s="131" t="s">
        <v>383</v>
      </c>
      <c r="D101" s="131" t="s">
        <v>368</v>
      </c>
      <c r="E101" s="131">
        <v>13</v>
      </c>
      <c r="F101" s="132">
        <v>6.97</v>
      </c>
      <c r="G101" s="132">
        <v>783635.4767634614</v>
      </c>
      <c r="H101" s="132">
        <v>350860.05947476986</v>
      </c>
      <c r="I101" s="132">
        <v>122968.08785623612</v>
      </c>
      <c r="J101" s="132">
        <v>1257463.6240944674</v>
      </c>
      <c r="K101" s="132">
        <f t="shared" si="4"/>
        <v>60279.6520587278</v>
      </c>
      <c r="L101" s="132">
        <f t="shared" si="5"/>
        <v>26989.235344213066</v>
      </c>
      <c r="M101" s="132">
        <f t="shared" si="6"/>
        <v>9459.083681248932</v>
      </c>
      <c r="N101" s="132">
        <f t="shared" si="7"/>
        <v>96727.97108418979</v>
      </c>
    </row>
    <row r="102" spans="1:14" ht="21">
      <c r="A102" s="130">
        <v>98</v>
      </c>
      <c r="B102" s="36" t="s">
        <v>140</v>
      </c>
      <c r="C102" s="131" t="s">
        <v>384</v>
      </c>
      <c r="D102" s="131" t="s">
        <v>113</v>
      </c>
      <c r="E102" s="131">
        <v>13</v>
      </c>
      <c r="F102" s="132">
        <v>7.95</v>
      </c>
      <c r="G102" s="132">
        <v>750473.08</v>
      </c>
      <c r="H102" s="132">
        <v>519921.26</v>
      </c>
      <c r="I102" s="132">
        <v>90191.11</v>
      </c>
      <c r="J102" s="132">
        <v>1360585.45</v>
      </c>
      <c r="K102" s="132">
        <f t="shared" si="4"/>
        <v>57728.69846153846</v>
      </c>
      <c r="L102" s="132">
        <f t="shared" si="5"/>
        <v>39993.943076923075</v>
      </c>
      <c r="M102" s="132">
        <f t="shared" si="6"/>
        <v>6937.777692307693</v>
      </c>
      <c r="N102" s="132">
        <f t="shared" si="7"/>
        <v>104660.41923076921</v>
      </c>
    </row>
    <row r="103" spans="1:14" ht="21">
      <c r="A103" s="130">
        <v>99</v>
      </c>
      <c r="B103" s="36" t="s">
        <v>84</v>
      </c>
      <c r="C103" s="131" t="s">
        <v>82</v>
      </c>
      <c r="D103" s="131" t="s">
        <v>80</v>
      </c>
      <c r="E103" s="131">
        <v>11</v>
      </c>
      <c r="F103" s="132">
        <v>4.67</v>
      </c>
      <c r="G103" s="132">
        <v>986705.4625588163</v>
      </c>
      <c r="H103" s="132">
        <v>855486.1647174386</v>
      </c>
      <c r="I103" s="132">
        <v>99257.38742663107</v>
      </c>
      <c r="J103" s="132">
        <v>1941449.0147028859</v>
      </c>
      <c r="K103" s="132">
        <f t="shared" si="4"/>
        <v>89700.49659625602</v>
      </c>
      <c r="L103" s="132">
        <f t="shared" si="5"/>
        <v>77771.46951976715</v>
      </c>
      <c r="M103" s="132">
        <f t="shared" si="6"/>
        <v>9023.398856966462</v>
      </c>
      <c r="N103" s="132">
        <f t="shared" si="7"/>
        <v>176495.36497298966</v>
      </c>
    </row>
    <row r="104" spans="1:14" ht="21">
      <c r="A104" s="130">
        <v>100</v>
      </c>
      <c r="B104" s="36" t="s">
        <v>222</v>
      </c>
      <c r="C104" s="131" t="s">
        <v>101</v>
      </c>
      <c r="D104" s="131" t="s">
        <v>216</v>
      </c>
      <c r="E104" s="131">
        <v>9</v>
      </c>
      <c r="F104" s="132">
        <v>5.06</v>
      </c>
      <c r="G104" s="132">
        <v>1040171.5184962953</v>
      </c>
      <c r="H104" s="132">
        <v>492719.18684390374</v>
      </c>
      <c r="I104" s="132">
        <v>114504.8208395943</v>
      </c>
      <c r="J104" s="132">
        <v>1647395.5261797935</v>
      </c>
      <c r="K104" s="132">
        <f t="shared" si="4"/>
        <v>115574.61316625503</v>
      </c>
      <c r="L104" s="132">
        <f t="shared" si="5"/>
        <v>54746.5763159893</v>
      </c>
      <c r="M104" s="132">
        <f t="shared" si="6"/>
        <v>12722.757871066033</v>
      </c>
      <c r="N104" s="132">
        <f t="shared" si="7"/>
        <v>183043.9473533104</v>
      </c>
    </row>
    <row r="105" spans="1:14" ht="21">
      <c r="A105" s="130">
        <v>101</v>
      </c>
      <c r="B105" s="36" t="s">
        <v>132</v>
      </c>
      <c r="C105" s="131" t="s">
        <v>134</v>
      </c>
      <c r="D105" s="131" t="s">
        <v>133</v>
      </c>
      <c r="E105" s="131">
        <v>8</v>
      </c>
      <c r="F105" s="132">
        <v>4.33</v>
      </c>
      <c r="G105" s="132">
        <v>356427.1920745522</v>
      </c>
      <c r="H105" s="132">
        <v>220783.74575172365</v>
      </c>
      <c r="I105" s="132">
        <v>38942.175642164424</v>
      </c>
      <c r="J105" s="132">
        <v>616153.1134684402</v>
      </c>
      <c r="K105" s="132">
        <f t="shared" si="4"/>
        <v>44553.39900931902</v>
      </c>
      <c r="L105" s="132">
        <f t="shared" si="5"/>
        <v>27597.968218965456</v>
      </c>
      <c r="M105" s="132">
        <f t="shared" si="6"/>
        <v>4867.771955270553</v>
      </c>
      <c r="N105" s="132">
        <f t="shared" si="7"/>
        <v>77019.13918355503</v>
      </c>
    </row>
    <row r="106" spans="1:14" ht="21">
      <c r="A106" s="130">
        <v>102</v>
      </c>
      <c r="B106" s="36" t="s">
        <v>58</v>
      </c>
      <c r="C106" s="131" t="s">
        <v>65</v>
      </c>
      <c r="D106" s="131" t="s">
        <v>67</v>
      </c>
      <c r="E106" s="131">
        <v>6</v>
      </c>
      <c r="F106" s="132">
        <v>0.58</v>
      </c>
      <c r="G106" s="132">
        <v>65924.74370665418</v>
      </c>
      <c r="H106" s="132">
        <v>36861.404572008745</v>
      </c>
      <c r="I106" s="132">
        <v>6256.421111371446</v>
      </c>
      <c r="J106" s="132">
        <v>109042.56939003436</v>
      </c>
      <c r="K106" s="132">
        <f t="shared" si="4"/>
        <v>10987.457284442362</v>
      </c>
      <c r="L106" s="132">
        <f t="shared" si="5"/>
        <v>6143.567428668124</v>
      </c>
      <c r="M106" s="132">
        <f t="shared" si="6"/>
        <v>1042.736851895241</v>
      </c>
      <c r="N106" s="132">
        <f t="shared" si="7"/>
        <v>18173.761565005727</v>
      </c>
    </row>
    <row r="107" spans="1:14" ht="21">
      <c r="A107" s="130">
        <v>103</v>
      </c>
      <c r="B107" s="36" t="s">
        <v>135</v>
      </c>
      <c r="C107" s="131" t="s">
        <v>136</v>
      </c>
      <c r="D107" s="131" t="s">
        <v>138</v>
      </c>
      <c r="E107" s="131">
        <v>6</v>
      </c>
      <c r="F107" s="132">
        <v>1.83</v>
      </c>
      <c r="G107" s="132">
        <v>246583.79644367224</v>
      </c>
      <c r="H107" s="132">
        <v>145507.01199626634</v>
      </c>
      <c r="I107" s="132">
        <v>25387.420340825865</v>
      </c>
      <c r="J107" s="132">
        <v>417478.22878076445</v>
      </c>
      <c r="K107" s="132">
        <f t="shared" si="4"/>
        <v>41097.299407278704</v>
      </c>
      <c r="L107" s="132">
        <f t="shared" si="5"/>
        <v>24251.168666044392</v>
      </c>
      <c r="M107" s="132">
        <f t="shared" si="6"/>
        <v>4231.236723470977</v>
      </c>
      <c r="N107" s="132">
        <f t="shared" si="7"/>
        <v>69579.70479679407</v>
      </c>
    </row>
    <row r="108" spans="1:14" ht="21">
      <c r="A108" s="130">
        <v>104</v>
      </c>
      <c r="B108" s="36" t="s">
        <v>71</v>
      </c>
      <c r="C108" s="131" t="s">
        <v>73</v>
      </c>
      <c r="D108" s="131" t="s">
        <v>74</v>
      </c>
      <c r="E108" s="131">
        <v>4</v>
      </c>
      <c r="F108" s="132">
        <v>0.67</v>
      </c>
      <c r="G108" s="132">
        <v>73086.01799231824</v>
      </c>
      <c r="H108" s="132">
        <v>33099.70461234568</v>
      </c>
      <c r="I108" s="132">
        <v>13483.611974485597</v>
      </c>
      <c r="J108" s="132">
        <v>119669.33457914952</v>
      </c>
      <c r="K108" s="132">
        <f t="shared" si="4"/>
        <v>18271.50449807956</v>
      </c>
      <c r="L108" s="132">
        <f t="shared" si="5"/>
        <v>8274.92615308642</v>
      </c>
      <c r="M108" s="132">
        <f t="shared" si="6"/>
        <v>3370.902993621399</v>
      </c>
      <c r="N108" s="132">
        <f t="shared" si="7"/>
        <v>29917.33364478738</v>
      </c>
    </row>
    <row r="109" spans="1:14" ht="21">
      <c r="A109" s="130">
        <v>105</v>
      </c>
      <c r="B109" s="36" t="s">
        <v>135</v>
      </c>
      <c r="C109" s="131" t="s">
        <v>136</v>
      </c>
      <c r="D109" s="131" t="s">
        <v>137</v>
      </c>
      <c r="E109" s="131">
        <v>3</v>
      </c>
      <c r="F109" s="132">
        <v>1.27</v>
      </c>
      <c r="G109" s="132">
        <v>171126.45982702938</v>
      </c>
      <c r="H109" s="132">
        <v>100980.27608484057</v>
      </c>
      <c r="I109" s="132">
        <v>17618.592258387347</v>
      </c>
      <c r="J109" s="132">
        <v>289725.32817025733</v>
      </c>
      <c r="K109" s="132">
        <f t="shared" si="4"/>
        <v>57042.15327567646</v>
      </c>
      <c r="L109" s="132">
        <f t="shared" si="5"/>
        <v>33660.09202828019</v>
      </c>
      <c r="M109" s="132">
        <f t="shared" si="6"/>
        <v>5872.864086129116</v>
      </c>
      <c r="N109" s="132">
        <f t="shared" si="7"/>
        <v>96575.10939008577</v>
      </c>
    </row>
    <row r="110" spans="1:14" ht="21">
      <c r="A110" s="130">
        <v>106</v>
      </c>
      <c r="B110" s="36" t="s">
        <v>135</v>
      </c>
      <c r="C110" s="131" t="s">
        <v>101</v>
      </c>
      <c r="D110" s="131" t="s">
        <v>218</v>
      </c>
      <c r="E110" s="131">
        <v>3</v>
      </c>
      <c r="F110" s="132">
        <v>1.67</v>
      </c>
      <c r="G110" s="132">
        <v>343297.71460253326</v>
      </c>
      <c r="H110" s="132">
        <v>162616.8067251639</v>
      </c>
      <c r="I110" s="132">
        <v>37791.116759313096</v>
      </c>
      <c r="J110" s="132">
        <v>543705.6380870102</v>
      </c>
      <c r="K110" s="132">
        <f t="shared" si="4"/>
        <v>114432.57153417775</v>
      </c>
      <c r="L110" s="132">
        <f t="shared" si="5"/>
        <v>54205.602241721295</v>
      </c>
      <c r="M110" s="132">
        <f t="shared" si="6"/>
        <v>12597.038919771032</v>
      </c>
      <c r="N110" s="132">
        <f t="shared" si="7"/>
        <v>181235.21269567008</v>
      </c>
    </row>
    <row r="111" spans="1:14" ht="21">
      <c r="A111" s="130">
        <v>107</v>
      </c>
      <c r="B111" s="36" t="s">
        <v>81</v>
      </c>
      <c r="C111" s="131" t="s">
        <v>365</v>
      </c>
      <c r="D111" s="131" t="s">
        <v>217</v>
      </c>
      <c r="E111" s="131">
        <v>2</v>
      </c>
      <c r="F111" s="132">
        <v>0.17</v>
      </c>
      <c r="G111" s="132">
        <v>34946.47394157514</v>
      </c>
      <c r="H111" s="132">
        <v>16553.806672621275</v>
      </c>
      <c r="I111" s="132">
        <v>3846.9999096306387</v>
      </c>
      <c r="J111" s="132">
        <v>55347.28052382705</v>
      </c>
      <c r="K111" s="132">
        <f t="shared" si="4"/>
        <v>17473.23697078757</v>
      </c>
      <c r="L111" s="132">
        <f t="shared" si="5"/>
        <v>8276.903336310637</v>
      </c>
      <c r="M111" s="132">
        <f t="shared" si="6"/>
        <v>1923.4999548153194</v>
      </c>
      <c r="N111" s="132">
        <f t="shared" si="7"/>
        <v>27673.640261913526</v>
      </c>
    </row>
    <row r="112" spans="1:14" ht="21">
      <c r="A112" s="130">
        <v>108</v>
      </c>
      <c r="B112" s="36" t="s">
        <v>222</v>
      </c>
      <c r="C112" s="131" t="s">
        <v>383</v>
      </c>
      <c r="D112" s="131" t="s">
        <v>217</v>
      </c>
      <c r="E112" s="131">
        <v>2</v>
      </c>
      <c r="F112" s="132">
        <v>0.5</v>
      </c>
      <c r="G112" s="132">
        <v>56214.88355548503</v>
      </c>
      <c r="H112" s="132">
        <v>25169.301253570295</v>
      </c>
      <c r="I112" s="132">
        <v>8821.24016185338</v>
      </c>
      <c r="J112" s="132">
        <v>90205.4249709087</v>
      </c>
      <c r="K112" s="132">
        <f t="shared" si="4"/>
        <v>28107.441777742515</v>
      </c>
      <c r="L112" s="132">
        <f t="shared" si="5"/>
        <v>12584.650626785147</v>
      </c>
      <c r="M112" s="132">
        <f t="shared" si="6"/>
        <v>4410.62008092669</v>
      </c>
      <c r="N112" s="132">
        <f t="shared" si="7"/>
        <v>45102.71248545435</v>
      </c>
    </row>
    <row r="113" spans="1:14" ht="21">
      <c r="A113" s="130">
        <v>109</v>
      </c>
      <c r="B113" s="36" t="s">
        <v>135</v>
      </c>
      <c r="C113" s="131" t="s">
        <v>101</v>
      </c>
      <c r="D113" s="131" t="s">
        <v>139</v>
      </c>
      <c r="E113" s="131">
        <v>2</v>
      </c>
      <c r="F113" s="132">
        <v>0.44</v>
      </c>
      <c r="G113" s="132">
        <v>90449.6972605477</v>
      </c>
      <c r="H113" s="132">
        <v>42845.14668207912</v>
      </c>
      <c r="I113" s="132">
        <v>9956.94094257351</v>
      </c>
      <c r="J113" s="132">
        <v>143251.78488520032</v>
      </c>
      <c r="K113" s="132">
        <f t="shared" si="4"/>
        <v>45224.84863027385</v>
      </c>
      <c r="L113" s="132">
        <f t="shared" si="5"/>
        <v>21422.57334103956</v>
      </c>
      <c r="M113" s="132">
        <f t="shared" si="6"/>
        <v>4978.470471286755</v>
      </c>
      <c r="N113" s="132">
        <f t="shared" si="7"/>
        <v>71625.89244260016</v>
      </c>
    </row>
    <row r="114" spans="1:14" ht="21">
      <c r="A114" s="130">
        <v>110</v>
      </c>
      <c r="B114" s="36" t="s">
        <v>135</v>
      </c>
      <c r="C114" s="131" t="s">
        <v>136</v>
      </c>
      <c r="D114" s="131" t="s">
        <v>87</v>
      </c>
      <c r="E114" s="131">
        <v>2</v>
      </c>
      <c r="F114" s="132">
        <v>0.83</v>
      </c>
      <c r="G114" s="132">
        <v>111838.5524853814</v>
      </c>
      <c r="H114" s="132">
        <v>65994.98358300605</v>
      </c>
      <c r="I114" s="132">
        <v>11514.513050757087</v>
      </c>
      <c r="J114" s="132">
        <v>189348.04911914453</v>
      </c>
      <c r="K114" s="132">
        <f t="shared" si="4"/>
        <v>55919.2762426907</v>
      </c>
      <c r="L114" s="132">
        <f t="shared" si="5"/>
        <v>32997.491791503024</v>
      </c>
      <c r="M114" s="132">
        <f t="shared" si="6"/>
        <v>5757.256525378543</v>
      </c>
      <c r="N114" s="132">
        <f t="shared" si="7"/>
        <v>94674.02455957227</v>
      </c>
    </row>
    <row r="115" spans="1:14" ht="21">
      <c r="A115" s="130">
        <v>111</v>
      </c>
      <c r="B115" s="36" t="s">
        <v>81</v>
      </c>
      <c r="C115" s="131" t="s">
        <v>365</v>
      </c>
      <c r="D115" s="131" t="s">
        <v>163</v>
      </c>
      <c r="E115" s="131">
        <v>1</v>
      </c>
      <c r="F115" s="132">
        <v>0.08</v>
      </c>
      <c r="G115" s="132">
        <v>16445.399501917713</v>
      </c>
      <c r="H115" s="132">
        <v>7790.026669468834</v>
      </c>
      <c r="I115" s="132">
        <v>1810.3528986497122</v>
      </c>
      <c r="J115" s="132">
        <v>26045.77907003626</v>
      </c>
      <c r="K115" s="132">
        <f t="shared" si="4"/>
        <v>16445.399501917713</v>
      </c>
      <c r="L115" s="132">
        <f t="shared" si="5"/>
        <v>7790.026669468834</v>
      </c>
      <c r="M115" s="132">
        <f t="shared" si="6"/>
        <v>1810.3528986497122</v>
      </c>
      <c r="N115" s="132">
        <f t="shared" si="7"/>
        <v>26045.77907003626</v>
      </c>
    </row>
    <row r="116" spans="5:14" ht="21">
      <c r="E116" s="133">
        <f aca="true" t="shared" si="8" ref="E116:J116">SUM(E5:E115)</f>
        <v>13848</v>
      </c>
      <c r="F116" s="132">
        <f t="shared" si="8"/>
        <v>6810.679999999999</v>
      </c>
      <c r="G116" s="132">
        <f t="shared" si="8"/>
        <v>748445921.6599998</v>
      </c>
      <c r="H116" s="132">
        <f t="shared" si="8"/>
        <v>495065000.17999995</v>
      </c>
      <c r="I116" s="132">
        <f t="shared" si="8"/>
        <v>93012528.86999993</v>
      </c>
      <c r="J116" s="132">
        <f t="shared" si="8"/>
        <v>1336523450.71</v>
      </c>
      <c r="K116" s="132">
        <f>+G116/E116</f>
        <v>54047.22137926053</v>
      </c>
      <c r="L116" s="132">
        <f>+H116/E116</f>
        <v>35749.92780040439</v>
      </c>
      <c r="M116" s="132">
        <f>+I116/E116</f>
        <v>6716.675972703634</v>
      </c>
      <c r="N116" s="132">
        <f>SUM(K116:M116)</f>
        <v>96513.82515236856</v>
      </c>
    </row>
  </sheetData>
  <sheetProtection/>
  <autoFilter ref="A4:N4">
    <sortState ref="A5:N116">
      <sortCondition descending="1" sortBy="value" ref="E5:E116"/>
    </sortState>
  </autoFilter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2.00390625" style="96" customWidth="1"/>
    <col min="2" max="3" width="14.8515625" style="98" customWidth="1"/>
    <col min="4" max="16384" width="9.00390625" style="96" customWidth="1"/>
  </cols>
  <sheetData>
    <row r="3" spans="1:3" ht="21">
      <c r="A3" s="8" t="s">
        <v>6</v>
      </c>
      <c r="B3" s="152" t="s">
        <v>396</v>
      </c>
      <c r="C3" s="151" t="s">
        <v>397</v>
      </c>
    </row>
    <row r="4" spans="1:3" ht="21">
      <c r="A4" s="9" t="s">
        <v>7</v>
      </c>
      <c r="B4" s="171">
        <f>2989+23</f>
        <v>3012</v>
      </c>
      <c r="C4" s="95">
        <f>2352.7+15.45</f>
        <v>2368.1499999999996</v>
      </c>
    </row>
    <row r="5" spans="1:3" ht="21">
      <c r="A5" s="9" t="s">
        <v>8</v>
      </c>
      <c r="B5" s="171">
        <f>4034+8</f>
        <v>4042</v>
      </c>
      <c r="C5" s="95">
        <f>2915.16+7.33</f>
        <v>2922.49</v>
      </c>
    </row>
    <row r="6" spans="1:3" ht="21">
      <c r="A6" s="9" t="s">
        <v>432</v>
      </c>
      <c r="B6" s="171">
        <v>1757</v>
      </c>
      <c r="C6" s="95">
        <v>1224.06</v>
      </c>
    </row>
    <row r="7" spans="1:3" ht="21">
      <c r="A7" s="9" t="s">
        <v>10</v>
      </c>
      <c r="B7" s="171">
        <v>856</v>
      </c>
      <c r="C7" s="95">
        <v>634.49</v>
      </c>
    </row>
    <row r="8" spans="1:3" ht="21">
      <c r="A8" s="9" t="s">
        <v>11</v>
      </c>
      <c r="B8" s="171">
        <v>1154</v>
      </c>
      <c r="C8" s="95">
        <v>948.16</v>
      </c>
    </row>
    <row r="9" spans="1:3" ht="21">
      <c r="A9" s="9" t="s">
        <v>12</v>
      </c>
      <c r="B9" s="171">
        <f>155+440</f>
        <v>595</v>
      </c>
      <c r="C9" s="95">
        <f>103.6+389.8</f>
        <v>493.4</v>
      </c>
    </row>
    <row r="10" spans="1:3" ht="21">
      <c r="A10" s="9" t="s">
        <v>13</v>
      </c>
      <c r="B10" s="171">
        <v>30</v>
      </c>
      <c r="C10" s="95">
        <v>21.17</v>
      </c>
    </row>
    <row r="11" spans="1:3" ht="21">
      <c r="A11" s="9" t="s">
        <v>14</v>
      </c>
      <c r="B11" s="171">
        <v>882</v>
      </c>
      <c r="C11" s="95">
        <v>687.37</v>
      </c>
    </row>
    <row r="12" spans="1:3" ht="21">
      <c r="A12" s="9" t="s">
        <v>15</v>
      </c>
      <c r="B12" s="171">
        <f>240+3</f>
        <v>243</v>
      </c>
      <c r="C12" s="95">
        <f>190.22+1.5</f>
        <v>191.72</v>
      </c>
    </row>
    <row r="13" spans="1:3" ht="21">
      <c r="A13" s="9" t="s">
        <v>16</v>
      </c>
      <c r="B13" s="171">
        <f>898+10</f>
        <v>908</v>
      </c>
      <c r="C13" s="95">
        <f>661.41+6.06</f>
        <v>667.4699999999999</v>
      </c>
    </row>
    <row r="14" spans="1:3" ht="21">
      <c r="A14" s="9" t="s">
        <v>17</v>
      </c>
      <c r="B14" s="171">
        <v>109</v>
      </c>
      <c r="C14" s="95">
        <v>73.42</v>
      </c>
    </row>
    <row r="15" spans="1:3" ht="21">
      <c r="A15" s="9" t="s">
        <v>18</v>
      </c>
      <c r="B15" s="171">
        <v>234</v>
      </c>
      <c r="C15" s="95">
        <v>226.58</v>
      </c>
    </row>
    <row r="16" spans="1:3" ht="21">
      <c r="A16" s="9" t="s">
        <v>19</v>
      </c>
      <c r="B16" s="171">
        <v>1709</v>
      </c>
      <c r="C16" s="95">
        <v>1211.57</v>
      </c>
    </row>
    <row r="17" spans="1:3" ht="21">
      <c r="A17" s="9" t="s">
        <v>20</v>
      </c>
      <c r="B17" s="171">
        <f>516+6</f>
        <v>522</v>
      </c>
      <c r="C17" s="95">
        <f>335.09+3.33</f>
        <v>338.41999999999996</v>
      </c>
    </row>
    <row r="18" spans="1:3" ht="21">
      <c r="A18" s="9" t="s">
        <v>21</v>
      </c>
      <c r="B18" s="171">
        <v>890</v>
      </c>
      <c r="C18" s="95">
        <v>702.47</v>
      </c>
    </row>
    <row r="19" spans="1:3" ht="21">
      <c r="A19" s="38" t="s">
        <v>232</v>
      </c>
      <c r="B19" s="171">
        <v>420</v>
      </c>
      <c r="C19" s="95">
        <v>306.88</v>
      </c>
    </row>
    <row r="20" spans="1:3" ht="21.75" thickBot="1">
      <c r="A20" s="38" t="s">
        <v>233</v>
      </c>
      <c r="B20" s="172">
        <v>547</v>
      </c>
      <c r="C20" s="116">
        <v>424.42</v>
      </c>
    </row>
    <row r="21" spans="1:3" ht="21.75" thickBot="1">
      <c r="A21" s="97" t="s">
        <v>22</v>
      </c>
      <c r="B21" s="173">
        <f>SUM(B4:B20)</f>
        <v>17910</v>
      </c>
      <c r="C21" s="117">
        <f>SUM(C4:C20)</f>
        <v>13442.239999999996</v>
      </c>
    </row>
  </sheetData>
  <sheetProtection/>
  <printOptions/>
  <pageMargins left="0.5511811023622047" right="0.31496062992125984" top="0.7480314960629921" bottom="0.7480314960629921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81"/>
  <sheetViews>
    <sheetView zoomScale="80" zoomScaleNormal="80" zoomScalePageLayoutView="0" workbookViewId="0" topLeftCell="A154">
      <selection activeCell="AF167" sqref="AF167"/>
    </sheetView>
  </sheetViews>
  <sheetFormatPr defaultColWidth="9.140625" defaultRowHeight="24" customHeight="1"/>
  <cols>
    <col min="1" max="1" width="5.00390625" style="27" bestFit="1" customWidth="1"/>
    <col min="2" max="2" width="53.421875" style="27" customWidth="1"/>
    <col min="3" max="3" width="9.28125" style="27" hidden="1" customWidth="1"/>
    <col min="4" max="4" width="7.421875" style="27" hidden="1" customWidth="1"/>
    <col min="5" max="5" width="9.28125" style="27" hidden="1" customWidth="1"/>
    <col min="6" max="6" width="7.421875" style="27" hidden="1" customWidth="1"/>
    <col min="7" max="7" width="9.28125" style="27" hidden="1" customWidth="1"/>
    <col min="8" max="8" width="7.421875" style="27" hidden="1" customWidth="1"/>
    <col min="9" max="9" width="9.28125" style="27" hidden="1" customWidth="1"/>
    <col min="10" max="10" width="7.8515625" style="27" hidden="1" customWidth="1"/>
    <col min="11" max="11" width="9.28125" style="27" hidden="1" customWidth="1"/>
    <col min="12" max="12" width="7.421875" style="27" hidden="1" customWidth="1"/>
    <col min="13" max="13" width="9.28125" style="27" hidden="1" customWidth="1"/>
    <col min="14" max="14" width="7.8515625" style="27" hidden="1" customWidth="1"/>
    <col min="15" max="15" width="9.28125" style="27" hidden="1" customWidth="1"/>
    <col min="16" max="16" width="7.421875" style="27" hidden="1" customWidth="1"/>
    <col min="17" max="17" width="9.28125" style="27" hidden="1" customWidth="1"/>
    <col min="18" max="18" width="7.421875" style="27" hidden="1" customWidth="1"/>
    <col min="19" max="19" width="9.8515625" style="27" hidden="1" customWidth="1"/>
    <col min="20" max="20" width="8.8515625" style="27" hidden="1" customWidth="1"/>
    <col min="21" max="21" width="9.28125" style="113" bestFit="1" customWidth="1"/>
    <col min="22" max="22" width="7.421875" style="27" bestFit="1" customWidth="1"/>
    <col min="23" max="23" width="9.28125" style="27" bestFit="1" customWidth="1"/>
    <col min="24" max="24" width="7.421875" style="27" bestFit="1" customWidth="1"/>
    <col min="25" max="25" width="9.28125" style="27" bestFit="1" customWidth="1"/>
    <col min="26" max="26" width="7.421875" style="27" bestFit="1" customWidth="1"/>
    <col min="27" max="27" width="9.28125" style="27" bestFit="1" customWidth="1"/>
    <col min="28" max="28" width="8.8515625" style="27" customWidth="1"/>
    <col min="29" max="29" width="9.28125" style="27" bestFit="1" customWidth="1"/>
    <col min="30" max="30" width="7.8515625" style="27" customWidth="1"/>
    <col min="31" max="31" width="9.28125" style="27" bestFit="1" customWidth="1"/>
    <col min="32" max="32" width="8.8515625" style="27" customWidth="1"/>
    <col min="33" max="33" width="9.28125" style="27" bestFit="1" customWidth="1"/>
    <col min="34" max="34" width="7.421875" style="27" bestFit="1" customWidth="1"/>
    <col min="35" max="35" width="9.28125" style="27" bestFit="1" customWidth="1"/>
    <col min="36" max="36" width="7.421875" style="27" bestFit="1" customWidth="1"/>
    <col min="37" max="38" width="9.8515625" style="27" customWidth="1"/>
    <col min="39" max="39" width="9.00390625" style="27" customWidth="1"/>
  </cols>
  <sheetData>
    <row r="1" spans="1:38" ht="24" customHeight="1">
      <c r="A1" s="246" t="s">
        <v>247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8"/>
    </row>
    <row r="2" spans="1:38" ht="24" customHeight="1">
      <c r="A2" s="240" t="s">
        <v>248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2"/>
    </row>
    <row r="3" spans="1:38" ht="24" customHeight="1">
      <c r="A3" s="240" t="s">
        <v>249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2"/>
    </row>
    <row r="4" spans="1:38" ht="24" customHeight="1">
      <c r="A4" s="243" t="s">
        <v>250</v>
      </c>
      <c r="B4" s="243" t="s">
        <v>251</v>
      </c>
      <c r="C4" s="235" t="s">
        <v>252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6"/>
      <c r="U4" s="235" t="s">
        <v>253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6"/>
    </row>
    <row r="5" spans="1:38" ht="24" customHeight="1">
      <c r="A5" s="244"/>
      <c r="B5" s="244"/>
      <c r="C5" s="235" t="s">
        <v>254</v>
      </c>
      <c r="D5" s="239"/>
      <c r="E5" s="239"/>
      <c r="F5" s="239"/>
      <c r="G5" s="239"/>
      <c r="H5" s="236"/>
      <c r="I5" s="235" t="s">
        <v>255</v>
      </c>
      <c r="J5" s="239"/>
      <c r="K5" s="239"/>
      <c r="L5" s="239"/>
      <c r="M5" s="239"/>
      <c r="N5" s="236"/>
      <c r="O5" s="235" t="s">
        <v>256</v>
      </c>
      <c r="P5" s="239"/>
      <c r="Q5" s="239"/>
      <c r="R5" s="239"/>
      <c r="S5" s="239"/>
      <c r="T5" s="236"/>
      <c r="U5" s="235" t="s">
        <v>254</v>
      </c>
      <c r="V5" s="239"/>
      <c r="W5" s="239"/>
      <c r="X5" s="239"/>
      <c r="Y5" s="239"/>
      <c r="Z5" s="236"/>
      <c r="AA5" s="235" t="s">
        <v>255</v>
      </c>
      <c r="AB5" s="239"/>
      <c r="AC5" s="239"/>
      <c r="AD5" s="239"/>
      <c r="AE5" s="239"/>
      <c r="AF5" s="236"/>
      <c r="AG5" s="235" t="s">
        <v>256</v>
      </c>
      <c r="AH5" s="239"/>
      <c r="AI5" s="239"/>
      <c r="AJ5" s="239"/>
      <c r="AK5" s="239"/>
      <c r="AL5" s="236"/>
    </row>
    <row r="6" spans="1:38" ht="24" customHeight="1">
      <c r="A6" s="244"/>
      <c r="B6" s="244"/>
      <c r="C6" s="235" t="s">
        <v>257</v>
      </c>
      <c r="D6" s="236"/>
      <c r="E6" s="235" t="s">
        <v>258</v>
      </c>
      <c r="F6" s="236"/>
      <c r="G6" s="235" t="s">
        <v>22</v>
      </c>
      <c r="H6" s="236"/>
      <c r="I6" s="235" t="s">
        <v>257</v>
      </c>
      <c r="J6" s="236"/>
      <c r="K6" s="235" t="s">
        <v>258</v>
      </c>
      <c r="L6" s="236"/>
      <c r="M6" s="235" t="s">
        <v>22</v>
      </c>
      <c r="N6" s="236"/>
      <c r="O6" s="235" t="s">
        <v>257</v>
      </c>
      <c r="P6" s="236"/>
      <c r="Q6" s="235" t="s">
        <v>258</v>
      </c>
      <c r="R6" s="236"/>
      <c r="S6" s="235" t="s">
        <v>22</v>
      </c>
      <c r="T6" s="236"/>
      <c r="U6" s="235" t="s">
        <v>257</v>
      </c>
      <c r="V6" s="236"/>
      <c r="W6" s="235" t="s">
        <v>258</v>
      </c>
      <c r="X6" s="236"/>
      <c r="Y6" s="235" t="s">
        <v>22</v>
      </c>
      <c r="Z6" s="236"/>
      <c r="AA6" s="235" t="s">
        <v>257</v>
      </c>
      <c r="AB6" s="236"/>
      <c r="AC6" s="235" t="s">
        <v>258</v>
      </c>
      <c r="AD6" s="236"/>
      <c r="AE6" s="235" t="s">
        <v>22</v>
      </c>
      <c r="AF6" s="236"/>
      <c r="AG6" s="235" t="s">
        <v>257</v>
      </c>
      <c r="AH6" s="236"/>
      <c r="AI6" s="235" t="s">
        <v>258</v>
      </c>
      <c r="AJ6" s="236"/>
      <c r="AK6" s="235" t="s">
        <v>22</v>
      </c>
      <c r="AL6" s="236"/>
    </row>
    <row r="7" spans="1:38" ht="24" customHeight="1">
      <c r="A7" s="245"/>
      <c r="B7" s="245"/>
      <c r="C7" s="99" t="s">
        <v>259</v>
      </c>
      <c r="D7" s="99" t="s">
        <v>260</v>
      </c>
      <c r="E7" s="99" t="s">
        <v>259</v>
      </c>
      <c r="F7" s="99" t="s">
        <v>260</v>
      </c>
      <c r="G7" s="99" t="s">
        <v>259</v>
      </c>
      <c r="H7" s="99" t="s">
        <v>260</v>
      </c>
      <c r="I7" s="99" t="s">
        <v>259</v>
      </c>
      <c r="J7" s="99" t="s">
        <v>260</v>
      </c>
      <c r="K7" s="99" t="s">
        <v>259</v>
      </c>
      <c r="L7" s="99" t="s">
        <v>260</v>
      </c>
      <c r="M7" s="99" t="s">
        <v>259</v>
      </c>
      <c r="N7" s="99" t="s">
        <v>260</v>
      </c>
      <c r="O7" s="99" t="s">
        <v>259</v>
      </c>
      <c r="P7" s="99" t="s">
        <v>260</v>
      </c>
      <c r="Q7" s="99" t="s">
        <v>259</v>
      </c>
      <c r="R7" s="99" t="s">
        <v>260</v>
      </c>
      <c r="S7" s="99" t="s">
        <v>259</v>
      </c>
      <c r="T7" s="100" t="s">
        <v>260</v>
      </c>
      <c r="U7" s="101" t="s">
        <v>259</v>
      </c>
      <c r="V7" s="99" t="s">
        <v>260</v>
      </c>
      <c r="W7" s="99" t="s">
        <v>259</v>
      </c>
      <c r="X7" s="99" t="s">
        <v>260</v>
      </c>
      <c r="Y7" s="99" t="s">
        <v>259</v>
      </c>
      <c r="Z7" s="99" t="s">
        <v>260</v>
      </c>
      <c r="AA7" s="99" t="s">
        <v>259</v>
      </c>
      <c r="AB7" s="99" t="s">
        <v>260</v>
      </c>
      <c r="AC7" s="99" t="s">
        <v>259</v>
      </c>
      <c r="AD7" s="99" t="s">
        <v>260</v>
      </c>
      <c r="AE7" s="99" t="s">
        <v>259</v>
      </c>
      <c r="AF7" s="99" t="s">
        <v>260</v>
      </c>
      <c r="AG7" s="99" t="s">
        <v>259</v>
      </c>
      <c r="AH7" s="99" t="s">
        <v>260</v>
      </c>
      <c r="AI7" s="99" t="s">
        <v>259</v>
      </c>
      <c r="AJ7" s="99" t="s">
        <v>260</v>
      </c>
      <c r="AK7" s="99" t="s">
        <v>259</v>
      </c>
      <c r="AL7" s="99" t="s">
        <v>260</v>
      </c>
    </row>
    <row r="8" spans="1:38" ht="24" customHeight="1">
      <c r="A8" s="102">
        <v>1</v>
      </c>
      <c r="B8" s="103" t="s">
        <v>261</v>
      </c>
      <c r="C8" s="104"/>
      <c r="D8" s="104"/>
      <c r="E8" s="104"/>
      <c r="F8" s="104"/>
      <c r="G8" s="99">
        <v>0</v>
      </c>
      <c r="H8" s="99">
        <v>0</v>
      </c>
      <c r="I8" s="99">
        <v>112</v>
      </c>
      <c r="J8" s="99">
        <v>63.75</v>
      </c>
      <c r="K8" s="104"/>
      <c r="L8" s="104"/>
      <c r="M8" s="99">
        <v>112</v>
      </c>
      <c r="N8" s="99">
        <v>63.75</v>
      </c>
      <c r="O8" s="104"/>
      <c r="P8" s="104"/>
      <c r="Q8" s="104"/>
      <c r="R8" s="104"/>
      <c r="S8" s="99">
        <v>0</v>
      </c>
      <c r="T8" s="100">
        <v>0</v>
      </c>
      <c r="U8" s="105"/>
      <c r="V8" s="104"/>
      <c r="W8" s="104"/>
      <c r="X8" s="104"/>
      <c r="Y8" s="99">
        <v>0</v>
      </c>
      <c r="Z8" s="99">
        <v>0</v>
      </c>
      <c r="AA8" s="99">
        <v>148</v>
      </c>
      <c r="AB8" s="99">
        <v>127.69</v>
      </c>
      <c r="AC8" s="104"/>
      <c r="AD8" s="104"/>
      <c r="AE8" s="99">
        <v>148</v>
      </c>
      <c r="AF8" s="99">
        <v>127.69</v>
      </c>
      <c r="AG8" s="104"/>
      <c r="AH8" s="104"/>
      <c r="AI8" s="104"/>
      <c r="AJ8" s="104"/>
      <c r="AK8" s="99">
        <v>0</v>
      </c>
      <c r="AL8" s="99">
        <v>0</v>
      </c>
    </row>
    <row r="9" spans="1:38" ht="24" customHeight="1">
      <c r="A9" s="102">
        <v>2</v>
      </c>
      <c r="B9" s="103" t="s">
        <v>262</v>
      </c>
      <c r="C9" s="104"/>
      <c r="D9" s="104"/>
      <c r="E9" s="104"/>
      <c r="F9" s="104"/>
      <c r="G9" s="99">
        <v>0</v>
      </c>
      <c r="H9" s="99">
        <v>0</v>
      </c>
      <c r="I9" s="99">
        <v>32</v>
      </c>
      <c r="J9" s="99">
        <v>15.78</v>
      </c>
      <c r="K9" s="104"/>
      <c r="L9" s="104"/>
      <c r="M9" s="99">
        <v>32</v>
      </c>
      <c r="N9" s="99">
        <v>15.78</v>
      </c>
      <c r="O9" s="104"/>
      <c r="P9" s="104"/>
      <c r="Q9" s="104"/>
      <c r="R9" s="104"/>
      <c r="S9" s="99">
        <v>0</v>
      </c>
      <c r="T9" s="100">
        <v>0</v>
      </c>
      <c r="U9" s="105"/>
      <c r="V9" s="104"/>
      <c r="W9" s="104"/>
      <c r="X9" s="104"/>
      <c r="Y9" s="99">
        <v>0</v>
      </c>
      <c r="Z9" s="99">
        <v>0</v>
      </c>
      <c r="AA9" s="99">
        <v>43</v>
      </c>
      <c r="AB9" s="99">
        <v>31.56</v>
      </c>
      <c r="AC9" s="104"/>
      <c r="AD9" s="104"/>
      <c r="AE9" s="99">
        <v>43</v>
      </c>
      <c r="AF9" s="99">
        <v>31.56</v>
      </c>
      <c r="AG9" s="104"/>
      <c r="AH9" s="104"/>
      <c r="AI9" s="104"/>
      <c r="AJ9" s="104"/>
      <c r="AK9" s="99">
        <v>0</v>
      </c>
      <c r="AL9" s="99">
        <v>0</v>
      </c>
    </row>
    <row r="10" spans="1:38" ht="24" customHeight="1">
      <c r="A10" s="102">
        <v>3</v>
      </c>
      <c r="B10" s="103" t="s">
        <v>263</v>
      </c>
      <c r="C10" s="104"/>
      <c r="D10" s="104"/>
      <c r="E10" s="104"/>
      <c r="F10" s="104"/>
      <c r="G10" s="99">
        <v>0</v>
      </c>
      <c r="H10" s="99">
        <v>0</v>
      </c>
      <c r="I10" s="104"/>
      <c r="J10" s="104"/>
      <c r="K10" s="104"/>
      <c r="L10" s="104"/>
      <c r="M10" s="99">
        <v>0</v>
      </c>
      <c r="N10" s="99">
        <v>0</v>
      </c>
      <c r="O10" s="104"/>
      <c r="P10" s="104"/>
      <c r="Q10" s="104"/>
      <c r="R10" s="104"/>
      <c r="S10" s="99">
        <v>0</v>
      </c>
      <c r="T10" s="100">
        <v>0</v>
      </c>
      <c r="U10" s="105"/>
      <c r="V10" s="104"/>
      <c r="W10" s="104"/>
      <c r="X10" s="104"/>
      <c r="Y10" s="99">
        <v>0</v>
      </c>
      <c r="Z10" s="99">
        <v>0</v>
      </c>
      <c r="AA10" s="104"/>
      <c r="AB10" s="104"/>
      <c r="AC10" s="104"/>
      <c r="AD10" s="104"/>
      <c r="AE10" s="99">
        <v>0</v>
      </c>
      <c r="AF10" s="99">
        <v>0</v>
      </c>
      <c r="AG10" s="104"/>
      <c r="AH10" s="104"/>
      <c r="AI10" s="104"/>
      <c r="AJ10" s="104"/>
      <c r="AK10" s="99">
        <v>0</v>
      </c>
      <c r="AL10" s="99">
        <v>0</v>
      </c>
    </row>
    <row r="11" spans="1:38" ht="24" customHeight="1">
      <c r="A11" s="102">
        <v>4</v>
      </c>
      <c r="B11" s="103" t="s">
        <v>264</v>
      </c>
      <c r="C11" s="104"/>
      <c r="D11" s="104"/>
      <c r="E11" s="104"/>
      <c r="F11" s="104"/>
      <c r="G11" s="99">
        <v>0</v>
      </c>
      <c r="H11" s="99">
        <v>0</v>
      </c>
      <c r="I11" s="99">
        <v>68</v>
      </c>
      <c r="J11" s="99">
        <v>37.44</v>
      </c>
      <c r="K11" s="104"/>
      <c r="L11" s="104"/>
      <c r="M11" s="99">
        <v>68</v>
      </c>
      <c r="N11" s="99">
        <v>37.44</v>
      </c>
      <c r="O11" s="104"/>
      <c r="P11" s="104"/>
      <c r="Q11" s="104"/>
      <c r="R11" s="104"/>
      <c r="S11" s="99">
        <v>0</v>
      </c>
      <c r="T11" s="100">
        <v>0</v>
      </c>
      <c r="U11" s="105"/>
      <c r="V11" s="104"/>
      <c r="W11" s="104"/>
      <c r="X11" s="104"/>
      <c r="Y11" s="99">
        <v>0</v>
      </c>
      <c r="Z11" s="99">
        <v>0</v>
      </c>
      <c r="AA11" s="99">
        <v>68</v>
      </c>
      <c r="AB11" s="99">
        <v>51.53</v>
      </c>
      <c r="AC11" s="104"/>
      <c r="AD11" s="104"/>
      <c r="AE11" s="99">
        <v>68</v>
      </c>
      <c r="AF11" s="99">
        <v>51.53</v>
      </c>
      <c r="AG11" s="104"/>
      <c r="AH11" s="104"/>
      <c r="AI11" s="104"/>
      <c r="AJ11" s="104"/>
      <c r="AK11" s="99">
        <v>0</v>
      </c>
      <c r="AL11" s="99">
        <v>0</v>
      </c>
    </row>
    <row r="12" spans="1:38" ht="24" customHeight="1">
      <c r="A12" s="102">
        <v>5</v>
      </c>
      <c r="B12" s="103" t="s">
        <v>265</v>
      </c>
      <c r="C12" s="104"/>
      <c r="D12" s="104"/>
      <c r="E12" s="104"/>
      <c r="F12" s="104"/>
      <c r="G12" s="99">
        <v>0</v>
      </c>
      <c r="H12" s="99">
        <v>0</v>
      </c>
      <c r="I12" s="99">
        <v>60</v>
      </c>
      <c r="J12" s="99">
        <v>30.39</v>
      </c>
      <c r="K12" s="104"/>
      <c r="L12" s="104"/>
      <c r="M12" s="99">
        <v>60</v>
      </c>
      <c r="N12" s="99">
        <v>30.39</v>
      </c>
      <c r="O12" s="104"/>
      <c r="P12" s="104"/>
      <c r="Q12" s="104"/>
      <c r="R12" s="104"/>
      <c r="S12" s="99">
        <v>0</v>
      </c>
      <c r="T12" s="100">
        <v>0</v>
      </c>
      <c r="U12" s="105"/>
      <c r="V12" s="104"/>
      <c r="W12" s="104"/>
      <c r="X12" s="104"/>
      <c r="Y12" s="99">
        <v>0</v>
      </c>
      <c r="Z12" s="99">
        <v>0</v>
      </c>
      <c r="AA12" s="99">
        <v>92</v>
      </c>
      <c r="AB12" s="99">
        <v>67</v>
      </c>
      <c r="AC12" s="104"/>
      <c r="AD12" s="104"/>
      <c r="AE12" s="99">
        <v>92</v>
      </c>
      <c r="AF12" s="99">
        <v>67</v>
      </c>
      <c r="AG12" s="104"/>
      <c r="AH12" s="104"/>
      <c r="AI12" s="104"/>
      <c r="AJ12" s="104"/>
      <c r="AK12" s="99">
        <v>0</v>
      </c>
      <c r="AL12" s="99">
        <v>0</v>
      </c>
    </row>
    <row r="13" spans="1:38" ht="24" customHeight="1">
      <c r="A13" s="102">
        <v>6</v>
      </c>
      <c r="B13" s="103" t="s">
        <v>266</v>
      </c>
      <c r="C13" s="104"/>
      <c r="D13" s="104"/>
      <c r="E13" s="104"/>
      <c r="F13" s="104"/>
      <c r="G13" s="99">
        <v>0</v>
      </c>
      <c r="H13" s="99">
        <v>0</v>
      </c>
      <c r="I13" s="104"/>
      <c r="J13" s="104"/>
      <c r="K13" s="104"/>
      <c r="L13" s="104"/>
      <c r="M13" s="99">
        <v>0</v>
      </c>
      <c r="N13" s="99">
        <v>0</v>
      </c>
      <c r="O13" s="104"/>
      <c r="P13" s="104"/>
      <c r="Q13" s="104"/>
      <c r="R13" s="104"/>
      <c r="S13" s="99">
        <v>0</v>
      </c>
      <c r="T13" s="100">
        <v>0</v>
      </c>
      <c r="U13" s="105"/>
      <c r="V13" s="104"/>
      <c r="W13" s="104"/>
      <c r="X13" s="104"/>
      <c r="Y13" s="99">
        <v>0</v>
      </c>
      <c r="Z13" s="99">
        <v>0</v>
      </c>
      <c r="AA13" s="99">
        <v>7</v>
      </c>
      <c r="AB13" s="99">
        <v>1.42</v>
      </c>
      <c r="AC13" s="104"/>
      <c r="AD13" s="104"/>
      <c r="AE13" s="99">
        <v>7</v>
      </c>
      <c r="AF13" s="99">
        <v>1.42</v>
      </c>
      <c r="AG13" s="104"/>
      <c r="AH13" s="104"/>
      <c r="AI13" s="104"/>
      <c r="AJ13" s="104"/>
      <c r="AK13" s="99">
        <v>0</v>
      </c>
      <c r="AL13" s="99">
        <v>0</v>
      </c>
    </row>
    <row r="14" spans="1:38" ht="24" customHeight="1">
      <c r="A14" s="102">
        <v>7</v>
      </c>
      <c r="B14" s="103" t="s">
        <v>267</v>
      </c>
      <c r="C14" s="104"/>
      <c r="D14" s="104"/>
      <c r="E14" s="104"/>
      <c r="F14" s="104"/>
      <c r="G14" s="99">
        <v>0</v>
      </c>
      <c r="H14" s="99">
        <v>0</v>
      </c>
      <c r="I14" s="99">
        <v>31</v>
      </c>
      <c r="J14" s="99">
        <v>11.81</v>
      </c>
      <c r="K14" s="104"/>
      <c r="L14" s="104"/>
      <c r="M14" s="99">
        <v>31</v>
      </c>
      <c r="N14" s="99">
        <v>11.81</v>
      </c>
      <c r="O14" s="104"/>
      <c r="P14" s="104"/>
      <c r="Q14" s="104"/>
      <c r="R14" s="104"/>
      <c r="S14" s="99">
        <v>0</v>
      </c>
      <c r="T14" s="100">
        <v>0</v>
      </c>
      <c r="U14" s="105"/>
      <c r="V14" s="104"/>
      <c r="W14" s="104"/>
      <c r="X14" s="104"/>
      <c r="Y14" s="99">
        <v>0</v>
      </c>
      <c r="Z14" s="99">
        <v>0</v>
      </c>
      <c r="AA14" s="99">
        <v>62</v>
      </c>
      <c r="AB14" s="99">
        <v>40.19</v>
      </c>
      <c r="AC14" s="104"/>
      <c r="AD14" s="104"/>
      <c r="AE14" s="99">
        <v>62</v>
      </c>
      <c r="AF14" s="99">
        <v>40.19</v>
      </c>
      <c r="AG14" s="104"/>
      <c r="AH14" s="104"/>
      <c r="AI14" s="104"/>
      <c r="AJ14" s="104"/>
      <c r="AK14" s="99">
        <v>0</v>
      </c>
      <c r="AL14" s="99">
        <v>0</v>
      </c>
    </row>
    <row r="15" spans="1:38" ht="24" customHeight="1">
      <c r="A15" s="102">
        <v>8</v>
      </c>
      <c r="B15" s="103" t="s">
        <v>268</v>
      </c>
      <c r="C15" s="104"/>
      <c r="D15" s="104"/>
      <c r="E15" s="104"/>
      <c r="F15" s="104"/>
      <c r="G15" s="99">
        <v>0</v>
      </c>
      <c r="H15" s="99">
        <v>0</v>
      </c>
      <c r="I15" s="99">
        <v>15</v>
      </c>
      <c r="J15" s="99">
        <v>8.25</v>
      </c>
      <c r="K15" s="104"/>
      <c r="L15" s="104"/>
      <c r="M15" s="99">
        <v>15</v>
      </c>
      <c r="N15" s="99">
        <v>8.25</v>
      </c>
      <c r="O15" s="104"/>
      <c r="P15" s="104"/>
      <c r="Q15" s="104"/>
      <c r="R15" s="104"/>
      <c r="S15" s="99">
        <v>0</v>
      </c>
      <c r="T15" s="100">
        <v>0</v>
      </c>
      <c r="U15" s="105"/>
      <c r="V15" s="104"/>
      <c r="W15" s="104"/>
      <c r="X15" s="104"/>
      <c r="Y15" s="99">
        <v>0</v>
      </c>
      <c r="Z15" s="99">
        <v>0</v>
      </c>
      <c r="AA15" s="99">
        <v>22</v>
      </c>
      <c r="AB15" s="99">
        <v>16</v>
      </c>
      <c r="AC15" s="104"/>
      <c r="AD15" s="104"/>
      <c r="AE15" s="99">
        <v>22</v>
      </c>
      <c r="AF15" s="99">
        <v>16</v>
      </c>
      <c r="AG15" s="104"/>
      <c r="AH15" s="104"/>
      <c r="AI15" s="104"/>
      <c r="AJ15" s="104"/>
      <c r="AK15" s="99">
        <v>0</v>
      </c>
      <c r="AL15" s="99">
        <v>0</v>
      </c>
    </row>
    <row r="16" spans="1:38" ht="24" customHeight="1">
      <c r="A16" s="102">
        <v>9</v>
      </c>
      <c r="B16" s="103" t="s">
        <v>269</v>
      </c>
      <c r="C16" s="104"/>
      <c r="D16" s="104"/>
      <c r="E16" s="104"/>
      <c r="F16" s="104"/>
      <c r="G16" s="99">
        <v>0</v>
      </c>
      <c r="H16" s="99">
        <v>0</v>
      </c>
      <c r="I16" s="99">
        <v>39</v>
      </c>
      <c r="J16" s="99">
        <v>21.83</v>
      </c>
      <c r="K16" s="104"/>
      <c r="L16" s="104"/>
      <c r="M16" s="99">
        <v>39</v>
      </c>
      <c r="N16" s="99">
        <v>21.83</v>
      </c>
      <c r="O16" s="104"/>
      <c r="P16" s="104"/>
      <c r="Q16" s="104"/>
      <c r="R16" s="104"/>
      <c r="S16" s="99">
        <v>0</v>
      </c>
      <c r="T16" s="100">
        <v>0</v>
      </c>
      <c r="U16" s="105"/>
      <c r="V16" s="104"/>
      <c r="W16" s="104"/>
      <c r="X16" s="104"/>
      <c r="Y16" s="99">
        <v>0</v>
      </c>
      <c r="Z16" s="99">
        <v>0</v>
      </c>
      <c r="AA16" s="99">
        <v>39</v>
      </c>
      <c r="AB16" s="99">
        <v>30.67</v>
      </c>
      <c r="AC16" s="104"/>
      <c r="AD16" s="104"/>
      <c r="AE16" s="99">
        <v>39</v>
      </c>
      <c r="AF16" s="99">
        <v>30.67</v>
      </c>
      <c r="AG16" s="104"/>
      <c r="AH16" s="104"/>
      <c r="AI16" s="104"/>
      <c r="AJ16" s="104"/>
      <c r="AK16" s="99">
        <v>0</v>
      </c>
      <c r="AL16" s="99">
        <v>0</v>
      </c>
    </row>
    <row r="17" spans="1:38" ht="24" customHeight="1">
      <c r="A17" s="102">
        <v>10</v>
      </c>
      <c r="B17" s="103" t="s">
        <v>270</v>
      </c>
      <c r="C17" s="104"/>
      <c r="D17" s="104"/>
      <c r="E17" s="104"/>
      <c r="F17" s="104"/>
      <c r="G17" s="99">
        <v>0</v>
      </c>
      <c r="H17" s="99">
        <v>0</v>
      </c>
      <c r="I17" s="99">
        <v>279</v>
      </c>
      <c r="J17" s="99">
        <v>149.53</v>
      </c>
      <c r="K17" s="104"/>
      <c r="L17" s="104"/>
      <c r="M17" s="99">
        <v>279</v>
      </c>
      <c r="N17" s="99">
        <v>149.53</v>
      </c>
      <c r="O17" s="104"/>
      <c r="P17" s="104"/>
      <c r="Q17" s="104"/>
      <c r="R17" s="104"/>
      <c r="S17" s="99">
        <v>0</v>
      </c>
      <c r="T17" s="100">
        <v>0</v>
      </c>
      <c r="U17" s="105"/>
      <c r="V17" s="104"/>
      <c r="W17" s="104"/>
      <c r="X17" s="104"/>
      <c r="Y17" s="99">
        <v>0</v>
      </c>
      <c r="Z17" s="99">
        <v>0</v>
      </c>
      <c r="AA17" s="99">
        <v>349</v>
      </c>
      <c r="AB17" s="99">
        <v>282.31</v>
      </c>
      <c r="AC17" s="104"/>
      <c r="AD17" s="104"/>
      <c r="AE17" s="99">
        <v>349</v>
      </c>
      <c r="AF17" s="99">
        <v>282.31</v>
      </c>
      <c r="AG17" s="104"/>
      <c r="AH17" s="104"/>
      <c r="AI17" s="104"/>
      <c r="AJ17" s="104"/>
      <c r="AK17" s="99">
        <v>0</v>
      </c>
      <c r="AL17" s="99">
        <v>0</v>
      </c>
    </row>
    <row r="18" spans="1:38" ht="24" customHeight="1">
      <c r="A18" s="102">
        <v>11</v>
      </c>
      <c r="B18" s="103" t="s">
        <v>271</v>
      </c>
      <c r="C18" s="104"/>
      <c r="D18" s="104"/>
      <c r="E18" s="104"/>
      <c r="F18" s="104"/>
      <c r="G18" s="99">
        <v>0</v>
      </c>
      <c r="H18" s="99">
        <v>0</v>
      </c>
      <c r="I18" s="99">
        <v>27</v>
      </c>
      <c r="J18" s="99">
        <v>15.33</v>
      </c>
      <c r="K18" s="104"/>
      <c r="L18" s="104"/>
      <c r="M18" s="99">
        <v>27</v>
      </c>
      <c r="N18" s="99">
        <v>15.33</v>
      </c>
      <c r="O18" s="104"/>
      <c r="P18" s="104"/>
      <c r="Q18" s="104"/>
      <c r="R18" s="104"/>
      <c r="S18" s="99">
        <v>0</v>
      </c>
      <c r="T18" s="100">
        <v>0</v>
      </c>
      <c r="U18" s="105"/>
      <c r="V18" s="104"/>
      <c r="W18" s="104"/>
      <c r="X18" s="104"/>
      <c r="Y18" s="99">
        <v>0</v>
      </c>
      <c r="Z18" s="99">
        <v>0</v>
      </c>
      <c r="AA18" s="99">
        <v>52</v>
      </c>
      <c r="AB18" s="99">
        <v>39</v>
      </c>
      <c r="AC18" s="104"/>
      <c r="AD18" s="104"/>
      <c r="AE18" s="99">
        <v>52</v>
      </c>
      <c r="AF18" s="99">
        <v>39</v>
      </c>
      <c r="AG18" s="104"/>
      <c r="AH18" s="104"/>
      <c r="AI18" s="104"/>
      <c r="AJ18" s="104"/>
      <c r="AK18" s="99">
        <v>0</v>
      </c>
      <c r="AL18" s="99">
        <v>0</v>
      </c>
    </row>
    <row r="19" spans="1:38" ht="24" customHeight="1">
      <c r="A19" s="237" t="s">
        <v>22</v>
      </c>
      <c r="B19" s="238"/>
      <c r="C19" s="99"/>
      <c r="D19" s="99"/>
      <c r="E19" s="99"/>
      <c r="F19" s="99"/>
      <c r="G19" s="99">
        <f>SUM(G8:G18)</f>
        <v>0</v>
      </c>
      <c r="H19" s="99">
        <f>SUM(H8:H18)</f>
        <v>0</v>
      </c>
      <c r="I19" s="99">
        <f>SUM(I8:I18)</f>
        <v>663</v>
      </c>
      <c r="J19" s="99">
        <f>SUM(J8:J18)</f>
        <v>354.10999999999996</v>
      </c>
      <c r="K19" s="99"/>
      <c r="L19" s="99"/>
      <c r="M19" s="99">
        <f>SUM(M8:M18)</f>
        <v>663</v>
      </c>
      <c r="N19" s="99">
        <f>SUM(N8:N18)</f>
        <v>354.10999999999996</v>
      </c>
      <c r="O19" s="99"/>
      <c r="P19" s="99"/>
      <c r="Q19" s="99"/>
      <c r="R19" s="99"/>
      <c r="S19" s="99">
        <f>SUM(S8:S18)</f>
        <v>0</v>
      </c>
      <c r="T19" s="100">
        <f>SUM(T8:T18)</f>
        <v>0</v>
      </c>
      <c r="U19" s="101"/>
      <c r="V19" s="99"/>
      <c r="W19" s="99"/>
      <c r="X19" s="99"/>
      <c r="Y19" s="99">
        <f>SUM(Y8:Y18)</f>
        <v>0</v>
      </c>
      <c r="Z19" s="99">
        <f>SUM(Z8:Z18)</f>
        <v>0</v>
      </c>
      <c r="AA19" s="99">
        <f>SUM(AA8:AA18)</f>
        <v>882</v>
      </c>
      <c r="AB19" s="99">
        <f>SUM(AB8:AB18)</f>
        <v>687.37</v>
      </c>
      <c r="AC19" s="99"/>
      <c r="AD19" s="99"/>
      <c r="AE19" s="99">
        <f>SUM(AE8:AE18)</f>
        <v>882</v>
      </c>
      <c r="AF19" s="99">
        <f>SUM(AF8:AF18)</f>
        <v>687.37</v>
      </c>
      <c r="AG19" s="99"/>
      <c r="AH19" s="99"/>
      <c r="AI19" s="99"/>
      <c r="AJ19" s="99"/>
      <c r="AK19" s="99">
        <f>SUM(AK8:AK18)</f>
        <v>0</v>
      </c>
      <c r="AL19" s="99">
        <f>SUM(AL8:AL18)</f>
        <v>0</v>
      </c>
    </row>
    <row r="20" spans="1:38" ht="24" customHeight="1">
      <c r="A20" s="240" t="s">
        <v>248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2"/>
    </row>
    <row r="21" spans="1:38" ht="24" customHeight="1">
      <c r="A21" s="240" t="s">
        <v>272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2"/>
    </row>
    <row r="22" spans="1:38" ht="24" customHeight="1">
      <c r="A22" s="243" t="s">
        <v>250</v>
      </c>
      <c r="B22" s="243" t="s">
        <v>251</v>
      </c>
      <c r="C22" s="235" t="s">
        <v>252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6"/>
      <c r="U22" s="235" t="s">
        <v>253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6"/>
    </row>
    <row r="23" spans="1:38" ht="24" customHeight="1">
      <c r="A23" s="244"/>
      <c r="B23" s="244"/>
      <c r="C23" s="235" t="s">
        <v>254</v>
      </c>
      <c r="D23" s="239"/>
      <c r="E23" s="239"/>
      <c r="F23" s="239"/>
      <c r="G23" s="239"/>
      <c r="H23" s="236"/>
      <c r="I23" s="235" t="s">
        <v>255</v>
      </c>
      <c r="J23" s="239"/>
      <c r="K23" s="239"/>
      <c r="L23" s="239"/>
      <c r="M23" s="239"/>
      <c r="N23" s="236"/>
      <c r="O23" s="235" t="s">
        <v>256</v>
      </c>
      <c r="P23" s="239"/>
      <c r="Q23" s="239"/>
      <c r="R23" s="239"/>
      <c r="S23" s="239"/>
      <c r="T23" s="236"/>
      <c r="U23" s="235" t="s">
        <v>254</v>
      </c>
      <c r="V23" s="239"/>
      <c r="W23" s="239"/>
      <c r="X23" s="239"/>
      <c r="Y23" s="239"/>
      <c r="Z23" s="236"/>
      <c r="AA23" s="235" t="s">
        <v>255</v>
      </c>
      <c r="AB23" s="239"/>
      <c r="AC23" s="239"/>
      <c r="AD23" s="239"/>
      <c r="AE23" s="239"/>
      <c r="AF23" s="236"/>
      <c r="AG23" s="235" t="s">
        <v>256</v>
      </c>
      <c r="AH23" s="239"/>
      <c r="AI23" s="239"/>
      <c r="AJ23" s="239"/>
      <c r="AK23" s="239"/>
      <c r="AL23" s="236"/>
    </row>
    <row r="24" spans="1:38" ht="24" customHeight="1">
      <c r="A24" s="244"/>
      <c r="B24" s="244"/>
      <c r="C24" s="235" t="s">
        <v>257</v>
      </c>
      <c r="D24" s="236"/>
      <c r="E24" s="235" t="s">
        <v>258</v>
      </c>
      <c r="F24" s="236"/>
      <c r="G24" s="235" t="s">
        <v>22</v>
      </c>
      <c r="H24" s="236"/>
      <c r="I24" s="235" t="s">
        <v>257</v>
      </c>
      <c r="J24" s="236"/>
      <c r="K24" s="235" t="s">
        <v>258</v>
      </c>
      <c r="L24" s="236"/>
      <c r="M24" s="235" t="s">
        <v>22</v>
      </c>
      <c r="N24" s="236"/>
      <c r="O24" s="235" t="s">
        <v>257</v>
      </c>
      <c r="P24" s="236"/>
      <c r="Q24" s="235" t="s">
        <v>258</v>
      </c>
      <c r="R24" s="236"/>
      <c r="S24" s="235" t="s">
        <v>22</v>
      </c>
      <c r="T24" s="236"/>
      <c r="U24" s="235" t="s">
        <v>257</v>
      </c>
      <c r="V24" s="236"/>
      <c r="W24" s="235" t="s">
        <v>258</v>
      </c>
      <c r="X24" s="236"/>
      <c r="Y24" s="235" t="s">
        <v>22</v>
      </c>
      <c r="Z24" s="236"/>
      <c r="AA24" s="235" t="s">
        <v>257</v>
      </c>
      <c r="AB24" s="236"/>
      <c r="AC24" s="235" t="s">
        <v>258</v>
      </c>
      <c r="AD24" s="236"/>
      <c r="AE24" s="235" t="s">
        <v>22</v>
      </c>
      <c r="AF24" s="236"/>
      <c r="AG24" s="235" t="s">
        <v>257</v>
      </c>
      <c r="AH24" s="236"/>
      <c r="AI24" s="235" t="s">
        <v>258</v>
      </c>
      <c r="AJ24" s="236"/>
      <c r="AK24" s="235" t="s">
        <v>22</v>
      </c>
      <c r="AL24" s="236"/>
    </row>
    <row r="25" spans="1:38" ht="24" customHeight="1">
      <c r="A25" s="245"/>
      <c r="B25" s="245"/>
      <c r="C25" s="99" t="s">
        <v>259</v>
      </c>
      <c r="D25" s="99" t="s">
        <v>260</v>
      </c>
      <c r="E25" s="99" t="s">
        <v>259</v>
      </c>
      <c r="F25" s="99" t="s">
        <v>260</v>
      </c>
      <c r="G25" s="99" t="s">
        <v>259</v>
      </c>
      <c r="H25" s="99" t="s">
        <v>260</v>
      </c>
      <c r="I25" s="99" t="s">
        <v>259</v>
      </c>
      <c r="J25" s="99" t="s">
        <v>260</v>
      </c>
      <c r="K25" s="99" t="s">
        <v>259</v>
      </c>
      <c r="L25" s="99" t="s">
        <v>260</v>
      </c>
      <c r="M25" s="99" t="s">
        <v>259</v>
      </c>
      <c r="N25" s="99" t="s">
        <v>260</v>
      </c>
      <c r="O25" s="99" t="s">
        <v>259</v>
      </c>
      <c r="P25" s="99" t="s">
        <v>260</v>
      </c>
      <c r="Q25" s="99" t="s">
        <v>259</v>
      </c>
      <c r="R25" s="99" t="s">
        <v>260</v>
      </c>
      <c r="S25" s="99" t="s">
        <v>259</v>
      </c>
      <c r="T25" s="100" t="s">
        <v>260</v>
      </c>
      <c r="U25" s="101" t="s">
        <v>259</v>
      </c>
      <c r="V25" s="99" t="s">
        <v>260</v>
      </c>
      <c r="W25" s="99" t="s">
        <v>259</v>
      </c>
      <c r="X25" s="99" t="s">
        <v>260</v>
      </c>
      <c r="Y25" s="99" t="s">
        <v>259</v>
      </c>
      <c r="Z25" s="99" t="s">
        <v>260</v>
      </c>
      <c r="AA25" s="99" t="s">
        <v>259</v>
      </c>
      <c r="AB25" s="99" t="s">
        <v>260</v>
      </c>
      <c r="AC25" s="99" t="s">
        <v>259</v>
      </c>
      <c r="AD25" s="99" t="s">
        <v>260</v>
      </c>
      <c r="AE25" s="99" t="s">
        <v>259</v>
      </c>
      <c r="AF25" s="99" t="s">
        <v>260</v>
      </c>
      <c r="AG25" s="99" t="s">
        <v>259</v>
      </c>
      <c r="AH25" s="99" t="s">
        <v>260</v>
      </c>
      <c r="AI25" s="99" t="s">
        <v>259</v>
      </c>
      <c r="AJ25" s="99" t="s">
        <v>260</v>
      </c>
      <c r="AK25" s="99" t="s">
        <v>259</v>
      </c>
      <c r="AL25" s="99" t="s">
        <v>260</v>
      </c>
    </row>
    <row r="26" spans="1:38" ht="24" customHeight="1">
      <c r="A26" s="102">
        <v>1</v>
      </c>
      <c r="B26" s="103" t="s">
        <v>273</v>
      </c>
      <c r="C26" s="104"/>
      <c r="D26" s="104"/>
      <c r="E26" s="104"/>
      <c r="F26" s="104"/>
      <c r="G26" s="99">
        <v>0</v>
      </c>
      <c r="H26" s="99">
        <v>0</v>
      </c>
      <c r="I26" s="104"/>
      <c r="J26" s="104"/>
      <c r="K26" s="104"/>
      <c r="L26" s="104"/>
      <c r="M26" s="99">
        <v>0</v>
      </c>
      <c r="N26" s="99">
        <v>0</v>
      </c>
      <c r="O26" s="99">
        <v>6</v>
      </c>
      <c r="P26" s="99">
        <v>1.83</v>
      </c>
      <c r="Q26" s="104"/>
      <c r="R26" s="104"/>
      <c r="S26" s="99">
        <v>6</v>
      </c>
      <c r="T26" s="100">
        <v>1.83</v>
      </c>
      <c r="U26" s="105"/>
      <c r="V26" s="104"/>
      <c r="W26" s="104"/>
      <c r="X26" s="104"/>
      <c r="Y26" s="99">
        <v>0</v>
      </c>
      <c r="Z26" s="99">
        <v>0</v>
      </c>
      <c r="AA26" s="104"/>
      <c r="AB26" s="104"/>
      <c r="AC26" s="104"/>
      <c r="AD26" s="104"/>
      <c r="AE26" s="99">
        <v>0</v>
      </c>
      <c r="AF26" s="99">
        <v>0</v>
      </c>
      <c r="AG26" s="99">
        <v>6</v>
      </c>
      <c r="AH26" s="99">
        <v>3.67</v>
      </c>
      <c r="AI26" s="104"/>
      <c r="AJ26" s="104"/>
      <c r="AK26" s="99">
        <v>6</v>
      </c>
      <c r="AL26" s="99">
        <v>3.67</v>
      </c>
    </row>
    <row r="27" spans="1:38" ht="24" customHeight="1">
      <c r="A27" s="102">
        <v>2</v>
      </c>
      <c r="B27" s="103" t="s">
        <v>263</v>
      </c>
      <c r="C27" s="104"/>
      <c r="D27" s="104"/>
      <c r="E27" s="104"/>
      <c r="F27" s="104"/>
      <c r="G27" s="99">
        <v>0</v>
      </c>
      <c r="H27" s="99">
        <v>0</v>
      </c>
      <c r="I27" s="104"/>
      <c r="J27" s="104"/>
      <c r="K27" s="104"/>
      <c r="L27" s="104"/>
      <c r="M27" s="99">
        <v>0</v>
      </c>
      <c r="N27" s="99">
        <v>0</v>
      </c>
      <c r="O27" s="104"/>
      <c r="P27" s="104"/>
      <c r="Q27" s="104"/>
      <c r="R27" s="104"/>
      <c r="S27" s="99">
        <v>0</v>
      </c>
      <c r="T27" s="100">
        <v>0</v>
      </c>
      <c r="U27" s="105"/>
      <c r="V27" s="104"/>
      <c r="W27" s="104"/>
      <c r="X27" s="104"/>
      <c r="Y27" s="99">
        <v>0</v>
      </c>
      <c r="Z27" s="99">
        <v>0</v>
      </c>
      <c r="AA27" s="104"/>
      <c r="AB27" s="104"/>
      <c r="AC27" s="104"/>
      <c r="AD27" s="104"/>
      <c r="AE27" s="99">
        <v>0</v>
      </c>
      <c r="AF27" s="99">
        <v>0</v>
      </c>
      <c r="AG27" s="104"/>
      <c r="AH27" s="104"/>
      <c r="AI27" s="104"/>
      <c r="AJ27" s="104"/>
      <c r="AK27" s="99">
        <v>0</v>
      </c>
      <c r="AL27" s="99">
        <v>0</v>
      </c>
    </row>
    <row r="28" spans="1:38" ht="24" customHeight="1">
      <c r="A28" s="102">
        <v>3</v>
      </c>
      <c r="B28" s="103" t="s">
        <v>274</v>
      </c>
      <c r="C28" s="104"/>
      <c r="D28" s="104"/>
      <c r="E28" s="104"/>
      <c r="F28" s="104"/>
      <c r="G28" s="99">
        <v>0</v>
      </c>
      <c r="H28" s="99">
        <v>0</v>
      </c>
      <c r="I28" s="99">
        <v>136</v>
      </c>
      <c r="J28" s="99">
        <v>65.19</v>
      </c>
      <c r="K28" s="104"/>
      <c r="L28" s="104"/>
      <c r="M28" s="99">
        <v>136</v>
      </c>
      <c r="N28" s="99">
        <v>65.19</v>
      </c>
      <c r="O28" s="104"/>
      <c r="P28" s="104"/>
      <c r="Q28" s="104"/>
      <c r="R28" s="104"/>
      <c r="S28" s="99">
        <v>0</v>
      </c>
      <c r="T28" s="100">
        <v>0</v>
      </c>
      <c r="U28" s="105"/>
      <c r="V28" s="104"/>
      <c r="W28" s="104"/>
      <c r="X28" s="104"/>
      <c r="Y28" s="99">
        <v>0</v>
      </c>
      <c r="Z28" s="99">
        <v>0</v>
      </c>
      <c r="AA28" s="99">
        <v>166</v>
      </c>
      <c r="AB28" s="99">
        <v>120.69</v>
      </c>
      <c r="AC28" s="104"/>
      <c r="AD28" s="104"/>
      <c r="AE28" s="99">
        <v>166</v>
      </c>
      <c r="AF28" s="99">
        <v>120.69</v>
      </c>
      <c r="AG28" s="104"/>
      <c r="AH28" s="104"/>
      <c r="AI28" s="104"/>
      <c r="AJ28" s="104"/>
      <c r="AK28" s="99">
        <v>0</v>
      </c>
      <c r="AL28" s="99">
        <v>0</v>
      </c>
    </row>
    <row r="29" spans="1:38" ht="24" customHeight="1">
      <c r="A29" s="102">
        <v>4</v>
      </c>
      <c r="B29" s="103" t="s">
        <v>275</v>
      </c>
      <c r="C29" s="104"/>
      <c r="D29" s="104"/>
      <c r="E29" s="104"/>
      <c r="F29" s="104"/>
      <c r="G29" s="99">
        <v>0</v>
      </c>
      <c r="H29" s="99">
        <v>0</v>
      </c>
      <c r="I29" s="99">
        <v>109</v>
      </c>
      <c r="J29" s="99">
        <v>52.86</v>
      </c>
      <c r="K29" s="104"/>
      <c r="L29" s="104"/>
      <c r="M29" s="99">
        <v>109</v>
      </c>
      <c r="N29" s="99">
        <v>52.86</v>
      </c>
      <c r="O29" s="104"/>
      <c r="P29" s="104"/>
      <c r="Q29" s="104"/>
      <c r="R29" s="104"/>
      <c r="S29" s="99">
        <v>0</v>
      </c>
      <c r="T29" s="100">
        <v>0</v>
      </c>
      <c r="U29" s="105"/>
      <c r="V29" s="104"/>
      <c r="W29" s="104"/>
      <c r="X29" s="104"/>
      <c r="Y29" s="99">
        <v>0</v>
      </c>
      <c r="Z29" s="99">
        <v>0</v>
      </c>
      <c r="AA29" s="99">
        <v>123</v>
      </c>
      <c r="AB29" s="99">
        <v>89.83</v>
      </c>
      <c r="AC29" s="104"/>
      <c r="AD29" s="104"/>
      <c r="AE29" s="99">
        <v>123</v>
      </c>
      <c r="AF29" s="99">
        <v>89.83</v>
      </c>
      <c r="AG29" s="104"/>
      <c r="AH29" s="104"/>
      <c r="AI29" s="104"/>
      <c r="AJ29" s="104"/>
      <c r="AK29" s="99">
        <v>0</v>
      </c>
      <c r="AL29" s="99">
        <v>0</v>
      </c>
    </row>
    <row r="30" spans="1:38" ht="24" customHeight="1">
      <c r="A30" s="102">
        <v>5</v>
      </c>
      <c r="B30" s="103" t="s">
        <v>276</v>
      </c>
      <c r="C30" s="104"/>
      <c r="D30" s="104"/>
      <c r="E30" s="104"/>
      <c r="F30" s="104"/>
      <c r="G30" s="99">
        <v>0</v>
      </c>
      <c r="H30" s="99">
        <v>0</v>
      </c>
      <c r="I30" s="99">
        <v>171</v>
      </c>
      <c r="J30" s="99">
        <v>85.11</v>
      </c>
      <c r="K30" s="104"/>
      <c r="L30" s="104"/>
      <c r="M30" s="99">
        <v>171</v>
      </c>
      <c r="N30" s="99">
        <v>85.11</v>
      </c>
      <c r="O30" s="104"/>
      <c r="P30" s="104"/>
      <c r="Q30" s="104"/>
      <c r="R30" s="104"/>
      <c r="S30" s="99">
        <v>0</v>
      </c>
      <c r="T30" s="100">
        <v>0</v>
      </c>
      <c r="U30" s="105"/>
      <c r="V30" s="104"/>
      <c r="W30" s="104"/>
      <c r="X30" s="104"/>
      <c r="Y30" s="99">
        <v>0</v>
      </c>
      <c r="Z30" s="99">
        <v>0</v>
      </c>
      <c r="AA30" s="99">
        <v>225</v>
      </c>
      <c r="AB30" s="99">
        <v>167.64</v>
      </c>
      <c r="AC30" s="104"/>
      <c r="AD30" s="104"/>
      <c r="AE30" s="99">
        <v>225</v>
      </c>
      <c r="AF30" s="99">
        <v>167.64</v>
      </c>
      <c r="AG30" s="104"/>
      <c r="AH30" s="104"/>
      <c r="AI30" s="104"/>
      <c r="AJ30" s="104"/>
      <c r="AK30" s="99">
        <v>0</v>
      </c>
      <c r="AL30" s="99">
        <v>0</v>
      </c>
    </row>
    <row r="31" spans="1:38" ht="24" customHeight="1">
      <c r="A31" s="102">
        <v>6</v>
      </c>
      <c r="B31" s="103" t="s">
        <v>277</v>
      </c>
      <c r="C31" s="104"/>
      <c r="D31" s="104"/>
      <c r="E31" s="104"/>
      <c r="F31" s="104"/>
      <c r="G31" s="99">
        <v>0</v>
      </c>
      <c r="H31" s="99">
        <v>0</v>
      </c>
      <c r="I31" s="99">
        <v>133</v>
      </c>
      <c r="J31" s="99">
        <v>62.64</v>
      </c>
      <c r="K31" s="104"/>
      <c r="L31" s="104"/>
      <c r="M31" s="99">
        <v>133</v>
      </c>
      <c r="N31" s="99">
        <v>62.64</v>
      </c>
      <c r="O31" s="99">
        <v>2</v>
      </c>
      <c r="P31" s="99">
        <v>0.83</v>
      </c>
      <c r="Q31" s="104"/>
      <c r="R31" s="104"/>
      <c r="S31" s="99">
        <v>2</v>
      </c>
      <c r="T31" s="100">
        <v>0.83</v>
      </c>
      <c r="U31" s="105"/>
      <c r="V31" s="104"/>
      <c r="W31" s="104"/>
      <c r="X31" s="104"/>
      <c r="Y31" s="99">
        <v>0</v>
      </c>
      <c r="Z31" s="99">
        <v>0</v>
      </c>
      <c r="AA31" s="99">
        <v>179</v>
      </c>
      <c r="AB31" s="99">
        <v>127</v>
      </c>
      <c r="AC31" s="104"/>
      <c r="AD31" s="104"/>
      <c r="AE31" s="99">
        <v>179</v>
      </c>
      <c r="AF31" s="99">
        <v>127</v>
      </c>
      <c r="AG31" s="99">
        <v>3</v>
      </c>
      <c r="AH31" s="99">
        <v>1.39</v>
      </c>
      <c r="AI31" s="104"/>
      <c r="AJ31" s="104"/>
      <c r="AK31" s="99">
        <v>3</v>
      </c>
      <c r="AL31" s="99">
        <v>1.39</v>
      </c>
    </row>
    <row r="32" spans="1:38" ht="24" customHeight="1">
      <c r="A32" s="102">
        <v>7</v>
      </c>
      <c r="B32" s="103" t="s">
        <v>278</v>
      </c>
      <c r="C32" s="104"/>
      <c r="D32" s="104"/>
      <c r="E32" s="104"/>
      <c r="F32" s="104"/>
      <c r="G32" s="99">
        <v>0</v>
      </c>
      <c r="H32" s="99">
        <v>0</v>
      </c>
      <c r="I32" s="99">
        <v>36</v>
      </c>
      <c r="J32" s="99">
        <v>10.17</v>
      </c>
      <c r="K32" s="104"/>
      <c r="L32" s="104"/>
      <c r="M32" s="99">
        <v>36</v>
      </c>
      <c r="N32" s="99">
        <v>10.17</v>
      </c>
      <c r="O32" s="104"/>
      <c r="P32" s="104"/>
      <c r="Q32" s="104"/>
      <c r="R32" s="104"/>
      <c r="S32" s="99">
        <v>0</v>
      </c>
      <c r="T32" s="100">
        <v>0</v>
      </c>
      <c r="U32" s="105"/>
      <c r="V32" s="104"/>
      <c r="W32" s="104"/>
      <c r="X32" s="104"/>
      <c r="Y32" s="99">
        <v>0</v>
      </c>
      <c r="Z32" s="99">
        <v>0</v>
      </c>
      <c r="AA32" s="99">
        <v>53</v>
      </c>
      <c r="AB32" s="99">
        <v>36.08</v>
      </c>
      <c r="AC32" s="104"/>
      <c r="AD32" s="104"/>
      <c r="AE32" s="99">
        <v>53</v>
      </c>
      <c r="AF32" s="99">
        <v>36.08</v>
      </c>
      <c r="AG32" s="104"/>
      <c r="AH32" s="104"/>
      <c r="AI32" s="104"/>
      <c r="AJ32" s="104"/>
      <c r="AK32" s="99">
        <v>0</v>
      </c>
      <c r="AL32" s="99">
        <v>0</v>
      </c>
    </row>
    <row r="33" spans="1:38" ht="24" customHeight="1">
      <c r="A33" s="102">
        <v>8</v>
      </c>
      <c r="B33" s="103" t="s">
        <v>279</v>
      </c>
      <c r="C33" s="104"/>
      <c r="D33" s="104"/>
      <c r="E33" s="104"/>
      <c r="F33" s="104"/>
      <c r="G33" s="99">
        <v>0</v>
      </c>
      <c r="H33" s="99">
        <v>0</v>
      </c>
      <c r="I33" s="104"/>
      <c r="J33" s="104"/>
      <c r="K33" s="104"/>
      <c r="L33" s="104"/>
      <c r="M33" s="99">
        <v>0</v>
      </c>
      <c r="N33" s="99">
        <v>0</v>
      </c>
      <c r="O33" s="99">
        <v>1</v>
      </c>
      <c r="P33" s="99">
        <v>0.33</v>
      </c>
      <c r="Q33" s="104"/>
      <c r="R33" s="104"/>
      <c r="S33" s="99">
        <v>1</v>
      </c>
      <c r="T33" s="100">
        <v>0.33</v>
      </c>
      <c r="U33" s="105"/>
      <c r="V33" s="104"/>
      <c r="W33" s="104"/>
      <c r="X33" s="104"/>
      <c r="Y33" s="99">
        <v>0</v>
      </c>
      <c r="Z33" s="99">
        <v>0</v>
      </c>
      <c r="AA33" s="104"/>
      <c r="AB33" s="104"/>
      <c r="AC33" s="104"/>
      <c r="AD33" s="104"/>
      <c r="AE33" s="99">
        <v>0</v>
      </c>
      <c r="AF33" s="99">
        <v>0</v>
      </c>
      <c r="AG33" s="99">
        <v>1</v>
      </c>
      <c r="AH33" s="99">
        <v>1</v>
      </c>
      <c r="AI33" s="104"/>
      <c r="AJ33" s="104"/>
      <c r="AK33" s="99">
        <v>1</v>
      </c>
      <c r="AL33" s="99">
        <v>1</v>
      </c>
    </row>
    <row r="34" spans="1:38" ht="24" customHeight="1">
      <c r="A34" s="102">
        <v>9</v>
      </c>
      <c r="B34" s="103" t="s">
        <v>280</v>
      </c>
      <c r="C34" s="104"/>
      <c r="D34" s="104"/>
      <c r="E34" s="104"/>
      <c r="F34" s="104"/>
      <c r="G34" s="99">
        <v>0</v>
      </c>
      <c r="H34" s="99">
        <v>0</v>
      </c>
      <c r="I34" s="99">
        <v>22</v>
      </c>
      <c r="J34" s="99">
        <v>12.53</v>
      </c>
      <c r="K34" s="104"/>
      <c r="L34" s="104"/>
      <c r="M34" s="99">
        <v>22</v>
      </c>
      <c r="N34" s="99">
        <v>12.53</v>
      </c>
      <c r="O34" s="104"/>
      <c r="P34" s="104"/>
      <c r="Q34" s="104"/>
      <c r="R34" s="104"/>
      <c r="S34" s="99">
        <v>0</v>
      </c>
      <c r="T34" s="100">
        <v>0</v>
      </c>
      <c r="U34" s="105"/>
      <c r="V34" s="104"/>
      <c r="W34" s="104"/>
      <c r="X34" s="104"/>
      <c r="Y34" s="99">
        <v>0</v>
      </c>
      <c r="Z34" s="99">
        <v>0</v>
      </c>
      <c r="AA34" s="99">
        <v>28</v>
      </c>
      <c r="AB34" s="99">
        <v>17.28</v>
      </c>
      <c r="AC34" s="104"/>
      <c r="AD34" s="104"/>
      <c r="AE34" s="99">
        <v>28</v>
      </c>
      <c r="AF34" s="99">
        <v>17.28</v>
      </c>
      <c r="AG34" s="104"/>
      <c r="AH34" s="104"/>
      <c r="AI34" s="104"/>
      <c r="AJ34" s="104"/>
      <c r="AK34" s="99">
        <v>0</v>
      </c>
      <c r="AL34" s="99">
        <v>0</v>
      </c>
    </row>
    <row r="35" spans="1:38" ht="24" customHeight="1">
      <c r="A35" s="102">
        <v>10</v>
      </c>
      <c r="B35" s="103" t="s">
        <v>281</v>
      </c>
      <c r="C35" s="104"/>
      <c r="D35" s="104"/>
      <c r="E35" s="104"/>
      <c r="F35" s="104"/>
      <c r="G35" s="99">
        <v>0</v>
      </c>
      <c r="H35" s="99">
        <v>0</v>
      </c>
      <c r="I35" s="99">
        <v>114</v>
      </c>
      <c r="J35" s="99">
        <v>58.72</v>
      </c>
      <c r="K35" s="104"/>
      <c r="L35" s="104"/>
      <c r="M35" s="99">
        <v>114</v>
      </c>
      <c r="N35" s="99">
        <v>58.72</v>
      </c>
      <c r="O35" s="104"/>
      <c r="P35" s="104"/>
      <c r="Q35" s="104"/>
      <c r="R35" s="104"/>
      <c r="S35" s="99">
        <v>0</v>
      </c>
      <c r="T35" s="100">
        <v>0</v>
      </c>
      <c r="U35" s="105"/>
      <c r="V35" s="104"/>
      <c r="W35" s="104"/>
      <c r="X35" s="104"/>
      <c r="Y35" s="99">
        <v>0</v>
      </c>
      <c r="Z35" s="99">
        <v>0</v>
      </c>
      <c r="AA35" s="99">
        <v>124</v>
      </c>
      <c r="AB35" s="99">
        <v>102.89</v>
      </c>
      <c r="AC35" s="104"/>
      <c r="AD35" s="104"/>
      <c r="AE35" s="99">
        <v>124</v>
      </c>
      <c r="AF35" s="99">
        <v>102.89</v>
      </c>
      <c r="AG35" s="104"/>
      <c r="AH35" s="104"/>
      <c r="AI35" s="104"/>
      <c r="AJ35" s="104"/>
      <c r="AK35" s="99">
        <v>0</v>
      </c>
      <c r="AL35" s="99">
        <v>0</v>
      </c>
    </row>
    <row r="36" spans="1:38" ht="24" customHeight="1">
      <c r="A36" s="237" t="s">
        <v>22</v>
      </c>
      <c r="B36" s="238"/>
      <c r="C36" s="99"/>
      <c r="D36" s="99"/>
      <c r="E36" s="99"/>
      <c r="F36" s="99"/>
      <c r="G36" s="99">
        <f>SUM(G26:G35)</f>
        <v>0</v>
      </c>
      <c r="H36" s="99">
        <f>SUM(H26:H35)</f>
        <v>0</v>
      </c>
      <c r="I36" s="99">
        <f>SUM(I26:I35)</f>
        <v>721</v>
      </c>
      <c r="J36" s="99">
        <f>SUM(J26:J35)</f>
        <v>347.22</v>
      </c>
      <c r="K36" s="99"/>
      <c r="L36" s="99"/>
      <c r="M36" s="99">
        <f>SUM(M26:M35)</f>
        <v>721</v>
      </c>
      <c r="N36" s="99">
        <f>SUM(N26:N35)</f>
        <v>347.22</v>
      </c>
      <c r="O36" s="99">
        <f>SUM(O26:O35)</f>
        <v>9</v>
      </c>
      <c r="P36" s="99">
        <f>SUM(P26:P35)</f>
        <v>2.99</v>
      </c>
      <c r="Q36" s="99"/>
      <c r="R36" s="99"/>
      <c r="S36" s="99">
        <f>SUM(S26:S35)</f>
        <v>9</v>
      </c>
      <c r="T36" s="100">
        <f>SUM(T26:T35)</f>
        <v>2.99</v>
      </c>
      <c r="U36" s="101"/>
      <c r="V36" s="99"/>
      <c r="W36" s="99"/>
      <c r="X36" s="99"/>
      <c r="Y36" s="99">
        <f>SUM(Y26:Y35)</f>
        <v>0</v>
      </c>
      <c r="Z36" s="99">
        <f>SUM(Z26:Z35)</f>
        <v>0</v>
      </c>
      <c r="AA36" s="99">
        <f>SUM(AA26:AA35)</f>
        <v>898</v>
      </c>
      <c r="AB36" s="99">
        <f>SUM(AB26:AB35)</f>
        <v>661.41</v>
      </c>
      <c r="AC36" s="99"/>
      <c r="AD36" s="99"/>
      <c r="AE36" s="99">
        <f>SUM(AE26:AE35)</f>
        <v>898</v>
      </c>
      <c r="AF36" s="99">
        <f>SUM(AF26:AF35)</f>
        <v>661.41</v>
      </c>
      <c r="AG36" s="99">
        <f>SUM(AG26:AG35)</f>
        <v>10</v>
      </c>
      <c r="AH36" s="99">
        <f>SUM(AH26:AH35)</f>
        <v>6.06</v>
      </c>
      <c r="AI36" s="99"/>
      <c r="AJ36" s="99"/>
      <c r="AK36" s="99">
        <f>SUM(AK26:AK35)</f>
        <v>10</v>
      </c>
      <c r="AL36" s="99">
        <f>SUM(AL26:AL35)</f>
        <v>6.06</v>
      </c>
    </row>
    <row r="37" spans="1:38" ht="24" customHeight="1">
      <c r="A37" s="240" t="s">
        <v>248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2"/>
    </row>
    <row r="38" spans="1:39" ht="24" customHeight="1">
      <c r="A38" s="240" t="s">
        <v>282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2"/>
      <c r="AM38" s="106"/>
    </row>
    <row r="39" spans="1:39" ht="24" customHeight="1">
      <c r="A39" s="243" t="s">
        <v>250</v>
      </c>
      <c r="B39" s="243" t="s">
        <v>251</v>
      </c>
      <c r="C39" s="235" t="s">
        <v>252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6"/>
      <c r="U39" s="235" t="s">
        <v>253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6"/>
      <c r="AM39" s="106"/>
    </row>
    <row r="40" spans="1:39" ht="24" customHeight="1">
      <c r="A40" s="244"/>
      <c r="B40" s="244"/>
      <c r="C40" s="235" t="s">
        <v>254</v>
      </c>
      <c r="D40" s="239"/>
      <c r="E40" s="239"/>
      <c r="F40" s="239"/>
      <c r="G40" s="239"/>
      <c r="H40" s="236"/>
      <c r="I40" s="235" t="s">
        <v>255</v>
      </c>
      <c r="J40" s="239"/>
      <c r="K40" s="239"/>
      <c r="L40" s="239"/>
      <c r="M40" s="239"/>
      <c r="N40" s="236"/>
      <c r="O40" s="235" t="s">
        <v>256</v>
      </c>
      <c r="P40" s="239"/>
      <c r="Q40" s="239"/>
      <c r="R40" s="239"/>
      <c r="S40" s="239"/>
      <c r="T40" s="236"/>
      <c r="U40" s="235" t="s">
        <v>254</v>
      </c>
      <c r="V40" s="239"/>
      <c r="W40" s="239"/>
      <c r="X40" s="239"/>
      <c r="Y40" s="239"/>
      <c r="Z40" s="236"/>
      <c r="AA40" s="235" t="s">
        <v>255</v>
      </c>
      <c r="AB40" s="239"/>
      <c r="AC40" s="239"/>
      <c r="AD40" s="239"/>
      <c r="AE40" s="239"/>
      <c r="AF40" s="236"/>
      <c r="AG40" s="235" t="s">
        <v>256</v>
      </c>
      <c r="AH40" s="239"/>
      <c r="AI40" s="239"/>
      <c r="AJ40" s="239"/>
      <c r="AK40" s="239"/>
      <c r="AL40" s="236"/>
      <c r="AM40" s="106"/>
    </row>
    <row r="41" spans="1:39" ht="24" customHeight="1">
      <c r="A41" s="244"/>
      <c r="B41" s="244"/>
      <c r="C41" s="235" t="s">
        <v>257</v>
      </c>
      <c r="D41" s="236"/>
      <c r="E41" s="235" t="s">
        <v>258</v>
      </c>
      <c r="F41" s="236"/>
      <c r="G41" s="235" t="s">
        <v>22</v>
      </c>
      <c r="H41" s="236"/>
      <c r="I41" s="235" t="s">
        <v>257</v>
      </c>
      <c r="J41" s="236"/>
      <c r="K41" s="235" t="s">
        <v>258</v>
      </c>
      <c r="L41" s="236"/>
      <c r="M41" s="235" t="s">
        <v>22</v>
      </c>
      <c r="N41" s="236"/>
      <c r="O41" s="235" t="s">
        <v>257</v>
      </c>
      <c r="P41" s="236"/>
      <c r="Q41" s="235" t="s">
        <v>258</v>
      </c>
      <c r="R41" s="236"/>
      <c r="S41" s="235" t="s">
        <v>22</v>
      </c>
      <c r="T41" s="236"/>
      <c r="U41" s="235" t="s">
        <v>257</v>
      </c>
      <c r="V41" s="236"/>
      <c r="W41" s="235" t="s">
        <v>258</v>
      </c>
      <c r="X41" s="236"/>
      <c r="Y41" s="235" t="s">
        <v>22</v>
      </c>
      <c r="Z41" s="236"/>
      <c r="AA41" s="235" t="s">
        <v>257</v>
      </c>
      <c r="AB41" s="236"/>
      <c r="AC41" s="235" t="s">
        <v>258</v>
      </c>
      <c r="AD41" s="236"/>
      <c r="AE41" s="235" t="s">
        <v>22</v>
      </c>
      <c r="AF41" s="236"/>
      <c r="AG41" s="235" t="s">
        <v>257</v>
      </c>
      <c r="AH41" s="236"/>
      <c r="AI41" s="235" t="s">
        <v>258</v>
      </c>
      <c r="AJ41" s="236"/>
      <c r="AK41" s="235" t="s">
        <v>22</v>
      </c>
      <c r="AL41" s="236"/>
      <c r="AM41" s="106"/>
    </row>
    <row r="42" spans="1:39" ht="24" customHeight="1">
      <c r="A42" s="245"/>
      <c r="B42" s="245"/>
      <c r="C42" s="99" t="s">
        <v>259</v>
      </c>
      <c r="D42" s="99" t="s">
        <v>260</v>
      </c>
      <c r="E42" s="99" t="s">
        <v>259</v>
      </c>
      <c r="F42" s="99" t="s">
        <v>260</v>
      </c>
      <c r="G42" s="99" t="s">
        <v>259</v>
      </c>
      <c r="H42" s="99" t="s">
        <v>260</v>
      </c>
      <c r="I42" s="99" t="s">
        <v>259</v>
      </c>
      <c r="J42" s="99" t="s">
        <v>260</v>
      </c>
      <c r="K42" s="99" t="s">
        <v>259</v>
      </c>
      <c r="L42" s="99" t="s">
        <v>260</v>
      </c>
      <c r="M42" s="99" t="s">
        <v>259</v>
      </c>
      <c r="N42" s="99" t="s">
        <v>260</v>
      </c>
      <c r="O42" s="99" t="s">
        <v>259</v>
      </c>
      <c r="P42" s="99" t="s">
        <v>260</v>
      </c>
      <c r="Q42" s="99" t="s">
        <v>259</v>
      </c>
      <c r="R42" s="99" t="s">
        <v>260</v>
      </c>
      <c r="S42" s="99" t="s">
        <v>259</v>
      </c>
      <c r="T42" s="100" t="s">
        <v>260</v>
      </c>
      <c r="U42" s="101" t="s">
        <v>259</v>
      </c>
      <c r="V42" s="99" t="s">
        <v>260</v>
      </c>
      <c r="W42" s="99" t="s">
        <v>259</v>
      </c>
      <c r="X42" s="99" t="s">
        <v>260</v>
      </c>
      <c r="Y42" s="99" t="s">
        <v>259</v>
      </c>
      <c r="Z42" s="99" t="s">
        <v>260</v>
      </c>
      <c r="AA42" s="99" t="s">
        <v>259</v>
      </c>
      <c r="AB42" s="99" t="s">
        <v>260</v>
      </c>
      <c r="AC42" s="99" t="s">
        <v>259</v>
      </c>
      <c r="AD42" s="99" t="s">
        <v>260</v>
      </c>
      <c r="AE42" s="99" t="s">
        <v>259</v>
      </c>
      <c r="AF42" s="99" t="s">
        <v>260</v>
      </c>
      <c r="AG42" s="99" t="s">
        <v>259</v>
      </c>
      <c r="AH42" s="99" t="s">
        <v>260</v>
      </c>
      <c r="AI42" s="99" t="s">
        <v>259</v>
      </c>
      <c r="AJ42" s="99" t="s">
        <v>260</v>
      </c>
      <c r="AK42" s="99" t="s">
        <v>259</v>
      </c>
      <c r="AL42" s="99" t="s">
        <v>260</v>
      </c>
      <c r="AM42" s="106"/>
    </row>
    <row r="43" spans="1:39" ht="24" customHeight="1">
      <c r="A43" s="102">
        <v>1</v>
      </c>
      <c r="B43" s="103" t="s">
        <v>283</v>
      </c>
      <c r="C43" s="104"/>
      <c r="D43" s="104"/>
      <c r="E43" s="104"/>
      <c r="F43" s="104"/>
      <c r="G43" s="99">
        <v>0</v>
      </c>
      <c r="H43" s="99">
        <v>0</v>
      </c>
      <c r="I43" s="99">
        <v>219</v>
      </c>
      <c r="J43" s="99">
        <v>116.61</v>
      </c>
      <c r="K43" s="99">
        <v>14</v>
      </c>
      <c r="L43" s="99">
        <v>6.72</v>
      </c>
      <c r="M43" s="99">
        <v>233</v>
      </c>
      <c r="N43" s="99">
        <v>123.33</v>
      </c>
      <c r="O43" s="104"/>
      <c r="P43" s="104"/>
      <c r="Q43" s="104"/>
      <c r="R43" s="104"/>
      <c r="S43" s="99">
        <v>0</v>
      </c>
      <c r="T43" s="100">
        <v>0</v>
      </c>
      <c r="U43" s="105"/>
      <c r="V43" s="104"/>
      <c r="W43" s="104"/>
      <c r="X43" s="104"/>
      <c r="Y43" s="99">
        <v>0</v>
      </c>
      <c r="Z43" s="99">
        <v>0</v>
      </c>
      <c r="AA43" s="99">
        <v>357</v>
      </c>
      <c r="AB43" s="99">
        <v>235.83</v>
      </c>
      <c r="AC43" s="99">
        <v>38</v>
      </c>
      <c r="AD43" s="99">
        <v>22.03</v>
      </c>
      <c r="AE43" s="99">
        <v>395</v>
      </c>
      <c r="AF43" s="99">
        <v>257.86</v>
      </c>
      <c r="AG43" s="104"/>
      <c r="AH43" s="104"/>
      <c r="AI43" s="104"/>
      <c r="AJ43" s="104"/>
      <c r="AK43" s="99">
        <v>0</v>
      </c>
      <c r="AL43" s="99">
        <v>0</v>
      </c>
      <c r="AM43" s="106"/>
    </row>
    <row r="44" spans="1:38" ht="24" customHeight="1">
      <c r="A44" s="102">
        <v>2</v>
      </c>
      <c r="B44" s="103" t="s">
        <v>284</v>
      </c>
      <c r="C44" s="104"/>
      <c r="D44" s="104"/>
      <c r="E44" s="104"/>
      <c r="F44" s="104"/>
      <c r="G44" s="99">
        <v>0</v>
      </c>
      <c r="H44" s="99">
        <v>0</v>
      </c>
      <c r="I44" s="99">
        <v>58</v>
      </c>
      <c r="J44" s="99">
        <v>27.72</v>
      </c>
      <c r="K44" s="104"/>
      <c r="L44" s="104"/>
      <c r="M44" s="99">
        <v>58</v>
      </c>
      <c r="N44" s="99">
        <v>27.72</v>
      </c>
      <c r="O44" s="104"/>
      <c r="P44" s="104"/>
      <c r="Q44" s="104"/>
      <c r="R44" s="104"/>
      <c r="S44" s="99">
        <v>0</v>
      </c>
      <c r="T44" s="100">
        <v>0</v>
      </c>
      <c r="U44" s="105"/>
      <c r="V44" s="104"/>
      <c r="W44" s="104"/>
      <c r="X44" s="104"/>
      <c r="Y44" s="99">
        <v>0</v>
      </c>
      <c r="Z44" s="99">
        <v>0</v>
      </c>
      <c r="AA44" s="99">
        <v>58</v>
      </c>
      <c r="AB44" s="99">
        <v>37.97</v>
      </c>
      <c r="AC44" s="104"/>
      <c r="AD44" s="104"/>
      <c r="AE44" s="99">
        <v>58</v>
      </c>
      <c r="AF44" s="99">
        <v>37.97</v>
      </c>
      <c r="AG44" s="104"/>
      <c r="AH44" s="104"/>
      <c r="AI44" s="104"/>
      <c r="AJ44" s="104"/>
      <c r="AK44" s="99">
        <v>0</v>
      </c>
      <c r="AL44" s="99">
        <v>0</v>
      </c>
    </row>
    <row r="45" spans="1:38" ht="24" customHeight="1">
      <c r="A45" s="102">
        <v>3</v>
      </c>
      <c r="B45" s="103" t="s">
        <v>285</v>
      </c>
      <c r="C45" s="104"/>
      <c r="D45" s="104"/>
      <c r="E45" s="104"/>
      <c r="F45" s="104"/>
      <c r="G45" s="99">
        <v>0</v>
      </c>
      <c r="H45" s="99">
        <v>0</v>
      </c>
      <c r="I45" s="99">
        <v>31</v>
      </c>
      <c r="J45" s="99">
        <v>15.5</v>
      </c>
      <c r="K45" s="104"/>
      <c r="L45" s="104"/>
      <c r="M45" s="99">
        <v>31</v>
      </c>
      <c r="N45" s="99">
        <v>15.5</v>
      </c>
      <c r="O45" s="104"/>
      <c r="P45" s="104"/>
      <c r="Q45" s="104"/>
      <c r="R45" s="104"/>
      <c r="S45" s="99">
        <v>0</v>
      </c>
      <c r="T45" s="100">
        <v>0</v>
      </c>
      <c r="U45" s="105"/>
      <c r="V45" s="104"/>
      <c r="W45" s="104"/>
      <c r="X45" s="104"/>
      <c r="Y45" s="99">
        <v>0</v>
      </c>
      <c r="Z45" s="99">
        <v>0</v>
      </c>
      <c r="AA45" s="99">
        <v>36</v>
      </c>
      <c r="AB45" s="99">
        <v>27.83</v>
      </c>
      <c r="AC45" s="104"/>
      <c r="AD45" s="104"/>
      <c r="AE45" s="99">
        <v>36</v>
      </c>
      <c r="AF45" s="99">
        <v>27.83</v>
      </c>
      <c r="AG45" s="104"/>
      <c r="AH45" s="104"/>
      <c r="AI45" s="104"/>
      <c r="AJ45" s="104"/>
      <c r="AK45" s="99">
        <v>0</v>
      </c>
      <c r="AL45" s="99">
        <v>0</v>
      </c>
    </row>
    <row r="46" spans="1:38" ht="24" customHeight="1">
      <c r="A46" s="102">
        <v>4</v>
      </c>
      <c r="B46" s="103" t="s">
        <v>286</v>
      </c>
      <c r="C46" s="104"/>
      <c r="D46" s="104"/>
      <c r="E46" s="104"/>
      <c r="F46" s="104"/>
      <c r="G46" s="99">
        <v>0</v>
      </c>
      <c r="H46" s="99">
        <v>0</v>
      </c>
      <c r="I46" s="99">
        <v>62</v>
      </c>
      <c r="J46" s="99">
        <v>34.81</v>
      </c>
      <c r="K46" s="104"/>
      <c r="L46" s="104"/>
      <c r="M46" s="99">
        <v>62</v>
      </c>
      <c r="N46" s="99">
        <v>34.81</v>
      </c>
      <c r="O46" s="104"/>
      <c r="P46" s="104"/>
      <c r="Q46" s="104"/>
      <c r="R46" s="104"/>
      <c r="S46" s="99">
        <v>0</v>
      </c>
      <c r="T46" s="100">
        <v>0</v>
      </c>
      <c r="U46" s="105"/>
      <c r="V46" s="104"/>
      <c r="W46" s="104"/>
      <c r="X46" s="104"/>
      <c r="Y46" s="99">
        <v>0</v>
      </c>
      <c r="Z46" s="99">
        <v>0</v>
      </c>
      <c r="AA46" s="99">
        <v>63</v>
      </c>
      <c r="AB46" s="99">
        <v>55.94</v>
      </c>
      <c r="AC46" s="104"/>
      <c r="AD46" s="104"/>
      <c r="AE46" s="99">
        <v>63</v>
      </c>
      <c r="AF46" s="99">
        <v>55.94</v>
      </c>
      <c r="AG46" s="104"/>
      <c r="AH46" s="104"/>
      <c r="AI46" s="104"/>
      <c r="AJ46" s="104"/>
      <c r="AK46" s="99">
        <v>0</v>
      </c>
      <c r="AL46" s="99">
        <v>0</v>
      </c>
    </row>
    <row r="47" spans="1:38" ht="24" customHeight="1">
      <c r="A47" s="102">
        <v>5</v>
      </c>
      <c r="B47" s="103" t="s">
        <v>287</v>
      </c>
      <c r="C47" s="104"/>
      <c r="D47" s="104"/>
      <c r="E47" s="104"/>
      <c r="F47" s="104"/>
      <c r="G47" s="99">
        <v>0</v>
      </c>
      <c r="H47" s="99">
        <v>0</v>
      </c>
      <c r="I47" s="99">
        <v>217</v>
      </c>
      <c r="J47" s="99">
        <v>110.22</v>
      </c>
      <c r="K47" s="104"/>
      <c r="L47" s="104"/>
      <c r="M47" s="99">
        <v>217</v>
      </c>
      <c r="N47" s="99">
        <v>110.22</v>
      </c>
      <c r="O47" s="104"/>
      <c r="P47" s="104"/>
      <c r="Q47" s="104"/>
      <c r="R47" s="104"/>
      <c r="S47" s="99">
        <v>0</v>
      </c>
      <c r="T47" s="100">
        <v>0</v>
      </c>
      <c r="U47" s="105"/>
      <c r="V47" s="104"/>
      <c r="W47" s="104"/>
      <c r="X47" s="104"/>
      <c r="Y47" s="99">
        <v>0</v>
      </c>
      <c r="Z47" s="99">
        <v>0</v>
      </c>
      <c r="AA47" s="99">
        <v>247</v>
      </c>
      <c r="AB47" s="99">
        <v>199.44</v>
      </c>
      <c r="AC47" s="104"/>
      <c r="AD47" s="104"/>
      <c r="AE47" s="99">
        <v>247</v>
      </c>
      <c r="AF47" s="99">
        <v>199.44</v>
      </c>
      <c r="AG47" s="104"/>
      <c r="AH47" s="104"/>
      <c r="AI47" s="104"/>
      <c r="AJ47" s="104"/>
      <c r="AK47" s="99">
        <v>0</v>
      </c>
      <c r="AL47" s="99">
        <v>0</v>
      </c>
    </row>
    <row r="48" spans="1:38" ht="24" customHeight="1">
      <c r="A48" s="102">
        <v>6</v>
      </c>
      <c r="B48" s="103" t="s">
        <v>288</v>
      </c>
      <c r="C48" s="104"/>
      <c r="D48" s="104"/>
      <c r="E48" s="104"/>
      <c r="F48" s="104"/>
      <c r="G48" s="99">
        <v>0</v>
      </c>
      <c r="H48" s="99">
        <v>0</v>
      </c>
      <c r="I48" s="99">
        <v>52</v>
      </c>
      <c r="J48" s="99">
        <v>22.81</v>
      </c>
      <c r="K48" s="104"/>
      <c r="L48" s="104"/>
      <c r="M48" s="99">
        <v>52</v>
      </c>
      <c r="N48" s="99">
        <v>22.81</v>
      </c>
      <c r="O48" s="104"/>
      <c r="P48" s="104"/>
      <c r="Q48" s="104"/>
      <c r="R48" s="104"/>
      <c r="S48" s="99">
        <v>0</v>
      </c>
      <c r="T48" s="100">
        <v>0</v>
      </c>
      <c r="U48" s="105"/>
      <c r="V48" s="104"/>
      <c r="W48" s="104"/>
      <c r="X48" s="104"/>
      <c r="Y48" s="99">
        <v>0</v>
      </c>
      <c r="Z48" s="99">
        <v>0</v>
      </c>
      <c r="AA48" s="99">
        <v>106</v>
      </c>
      <c r="AB48" s="99">
        <v>67.44</v>
      </c>
      <c r="AC48" s="104"/>
      <c r="AD48" s="104"/>
      <c r="AE48" s="99">
        <v>106</v>
      </c>
      <c r="AF48" s="99">
        <v>67.44</v>
      </c>
      <c r="AG48" s="104"/>
      <c r="AH48" s="104"/>
      <c r="AI48" s="104"/>
      <c r="AJ48" s="104"/>
      <c r="AK48" s="99">
        <v>0</v>
      </c>
      <c r="AL48" s="99">
        <v>0</v>
      </c>
    </row>
    <row r="49" spans="1:38" ht="24" customHeight="1">
      <c r="A49" s="102">
        <v>7</v>
      </c>
      <c r="B49" s="103" t="s">
        <v>289</v>
      </c>
      <c r="C49" s="104"/>
      <c r="D49" s="104"/>
      <c r="E49" s="104"/>
      <c r="F49" s="104"/>
      <c r="G49" s="99">
        <v>0</v>
      </c>
      <c r="H49" s="99">
        <v>0</v>
      </c>
      <c r="I49" s="99">
        <v>213</v>
      </c>
      <c r="J49" s="99">
        <v>101.69</v>
      </c>
      <c r="K49" s="99">
        <v>20</v>
      </c>
      <c r="L49" s="99">
        <v>8.5</v>
      </c>
      <c r="M49" s="99">
        <v>233</v>
      </c>
      <c r="N49" s="99">
        <v>110.19</v>
      </c>
      <c r="O49" s="104"/>
      <c r="P49" s="104"/>
      <c r="Q49" s="104"/>
      <c r="R49" s="104"/>
      <c r="S49" s="99">
        <v>0</v>
      </c>
      <c r="T49" s="100">
        <v>0</v>
      </c>
      <c r="U49" s="105"/>
      <c r="V49" s="104"/>
      <c r="W49" s="104"/>
      <c r="X49" s="104"/>
      <c r="Y49" s="99">
        <v>0</v>
      </c>
      <c r="Z49" s="99">
        <v>0</v>
      </c>
      <c r="AA49" s="99">
        <v>393</v>
      </c>
      <c r="AB49" s="99">
        <v>296.64</v>
      </c>
      <c r="AC49" s="99">
        <v>78</v>
      </c>
      <c r="AD49" s="99">
        <v>64.5</v>
      </c>
      <c r="AE49" s="99">
        <v>471</v>
      </c>
      <c r="AF49" s="99">
        <v>361.14</v>
      </c>
      <c r="AG49" s="104"/>
      <c r="AH49" s="104"/>
      <c r="AI49" s="104"/>
      <c r="AJ49" s="104"/>
      <c r="AK49" s="99">
        <v>0</v>
      </c>
      <c r="AL49" s="99">
        <v>0</v>
      </c>
    </row>
    <row r="50" spans="1:38" ht="24" customHeight="1">
      <c r="A50" s="102">
        <v>8</v>
      </c>
      <c r="B50" s="103" t="s">
        <v>290</v>
      </c>
      <c r="C50" s="104"/>
      <c r="D50" s="104"/>
      <c r="E50" s="104"/>
      <c r="F50" s="104"/>
      <c r="G50" s="99">
        <v>0</v>
      </c>
      <c r="H50" s="99">
        <v>0</v>
      </c>
      <c r="I50" s="99">
        <v>108</v>
      </c>
      <c r="J50" s="99">
        <v>58.11</v>
      </c>
      <c r="K50" s="104"/>
      <c r="L50" s="104"/>
      <c r="M50" s="99">
        <v>108</v>
      </c>
      <c r="N50" s="99">
        <v>58.11</v>
      </c>
      <c r="O50" s="104"/>
      <c r="P50" s="104"/>
      <c r="Q50" s="104"/>
      <c r="R50" s="104"/>
      <c r="S50" s="99">
        <v>0</v>
      </c>
      <c r="T50" s="100">
        <v>0</v>
      </c>
      <c r="U50" s="105"/>
      <c r="V50" s="104"/>
      <c r="W50" s="104"/>
      <c r="X50" s="104"/>
      <c r="Y50" s="99">
        <v>0</v>
      </c>
      <c r="Z50" s="99">
        <v>0</v>
      </c>
      <c r="AA50" s="99">
        <v>137</v>
      </c>
      <c r="AB50" s="99">
        <v>103.64</v>
      </c>
      <c r="AC50" s="104"/>
      <c r="AD50" s="104"/>
      <c r="AE50" s="99">
        <v>137</v>
      </c>
      <c r="AF50" s="99">
        <v>103.64</v>
      </c>
      <c r="AG50" s="104"/>
      <c r="AH50" s="104"/>
      <c r="AI50" s="104"/>
      <c r="AJ50" s="104"/>
      <c r="AK50" s="99">
        <v>0</v>
      </c>
      <c r="AL50" s="99">
        <v>0</v>
      </c>
    </row>
    <row r="51" spans="1:38" ht="24" customHeight="1">
      <c r="A51" s="102">
        <v>9</v>
      </c>
      <c r="B51" s="103" t="s">
        <v>291</v>
      </c>
      <c r="C51" s="104"/>
      <c r="D51" s="104"/>
      <c r="E51" s="104"/>
      <c r="F51" s="104"/>
      <c r="G51" s="99">
        <v>0</v>
      </c>
      <c r="H51" s="99">
        <v>0</v>
      </c>
      <c r="I51" s="99">
        <v>6</v>
      </c>
      <c r="J51" s="99">
        <v>0.58</v>
      </c>
      <c r="K51" s="104"/>
      <c r="L51" s="104"/>
      <c r="M51" s="99">
        <v>6</v>
      </c>
      <c r="N51" s="99">
        <v>0.58</v>
      </c>
      <c r="O51" s="104"/>
      <c r="P51" s="104"/>
      <c r="Q51" s="104"/>
      <c r="R51" s="104"/>
      <c r="S51" s="99">
        <v>0</v>
      </c>
      <c r="T51" s="100">
        <v>0</v>
      </c>
      <c r="U51" s="105"/>
      <c r="V51" s="104"/>
      <c r="W51" s="104"/>
      <c r="X51" s="104"/>
      <c r="Y51" s="99">
        <v>0</v>
      </c>
      <c r="Z51" s="99">
        <v>0</v>
      </c>
      <c r="AA51" s="99">
        <v>12</v>
      </c>
      <c r="AB51" s="99">
        <v>4.42</v>
      </c>
      <c r="AC51" s="104"/>
      <c r="AD51" s="104"/>
      <c r="AE51" s="99">
        <v>12</v>
      </c>
      <c r="AF51" s="99">
        <v>4.42</v>
      </c>
      <c r="AG51" s="104"/>
      <c r="AH51" s="104"/>
      <c r="AI51" s="104"/>
      <c r="AJ51" s="104"/>
      <c r="AK51" s="99">
        <v>0</v>
      </c>
      <c r="AL51" s="99">
        <v>0</v>
      </c>
    </row>
    <row r="52" spans="1:38" ht="24" customHeight="1">
      <c r="A52" s="102">
        <v>10</v>
      </c>
      <c r="B52" s="103" t="s">
        <v>292</v>
      </c>
      <c r="C52" s="104"/>
      <c r="D52" s="104"/>
      <c r="E52" s="104"/>
      <c r="F52" s="104"/>
      <c r="G52" s="99">
        <v>0</v>
      </c>
      <c r="H52" s="99">
        <v>0</v>
      </c>
      <c r="I52" s="99">
        <v>33</v>
      </c>
      <c r="J52" s="99">
        <v>8.81</v>
      </c>
      <c r="K52" s="99">
        <v>1</v>
      </c>
      <c r="L52" s="99">
        <v>0.08</v>
      </c>
      <c r="M52" s="99">
        <v>34</v>
      </c>
      <c r="N52" s="99">
        <v>8.89</v>
      </c>
      <c r="O52" s="104"/>
      <c r="P52" s="104"/>
      <c r="Q52" s="104"/>
      <c r="R52" s="104"/>
      <c r="S52" s="99">
        <v>0</v>
      </c>
      <c r="T52" s="100">
        <v>0</v>
      </c>
      <c r="U52" s="105"/>
      <c r="V52" s="104"/>
      <c r="W52" s="104"/>
      <c r="X52" s="104"/>
      <c r="Y52" s="99">
        <v>0</v>
      </c>
      <c r="Z52" s="99">
        <v>0</v>
      </c>
      <c r="AA52" s="99">
        <v>183</v>
      </c>
      <c r="AB52" s="99">
        <v>95.81</v>
      </c>
      <c r="AC52" s="99">
        <v>1</v>
      </c>
      <c r="AD52" s="99">
        <v>0.08</v>
      </c>
      <c r="AE52" s="99">
        <v>184</v>
      </c>
      <c r="AF52" s="99">
        <v>95.89</v>
      </c>
      <c r="AG52" s="104"/>
      <c r="AH52" s="104"/>
      <c r="AI52" s="104"/>
      <c r="AJ52" s="104"/>
      <c r="AK52" s="99">
        <v>0</v>
      </c>
      <c r="AL52" s="99">
        <v>0</v>
      </c>
    </row>
    <row r="53" spans="1:38" ht="24" customHeight="1">
      <c r="A53" s="237" t="s">
        <v>22</v>
      </c>
      <c r="B53" s="238"/>
      <c r="C53" s="99"/>
      <c r="D53" s="99"/>
      <c r="E53" s="99"/>
      <c r="F53" s="99"/>
      <c r="G53" s="99">
        <f aca="true" t="shared" si="0" ref="G53:N53">SUM(G43:G52)</f>
        <v>0</v>
      </c>
      <c r="H53" s="99">
        <f t="shared" si="0"/>
        <v>0</v>
      </c>
      <c r="I53" s="99">
        <f t="shared" si="0"/>
        <v>999</v>
      </c>
      <c r="J53" s="99">
        <f t="shared" si="0"/>
        <v>496.86</v>
      </c>
      <c r="K53" s="99">
        <f t="shared" si="0"/>
        <v>35</v>
      </c>
      <c r="L53" s="99">
        <f t="shared" si="0"/>
        <v>15.299999999999999</v>
      </c>
      <c r="M53" s="99">
        <f t="shared" si="0"/>
        <v>1034</v>
      </c>
      <c r="N53" s="99">
        <f t="shared" si="0"/>
        <v>512.1600000000001</v>
      </c>
      <c r="O53" s="99"/>
      <c r="P53" s="99"/>
      <c r="Q53" s="99"/>
      <c r="R53" s="99"/>
      <c r="S53" s="99">
        <f>SUM(S43:S52)</f>
        <v>0</v>
      </c>
      <c r="T53" s="100">
        <f>SUM(T43:T52)</f>
        <v>0</v>
      </c>
      <c r="U53" s="101"/>
      <c r="V53" s="99"/>
      <c r="W53" s="99"/>
      <c r="X53" s="99"/>
      <c r="Y53" s="99">
        <f aca="true" t="shared" si="1" ref="Y53:AF53">SUM(Y43:Y52)</f>
        <v>0</v>
      </c>
      <c r="Z53" s="99">
        <f t="shared" si="1"/>
        <v>0</v>
      </c>
      <c r="AA53" s="99">
        <f t="shared" si="1"/>
        <v>1592</v>
      </c>
      <c r="AB53" s="99">
        <f t="shared" si="1"/>
        <v>1124.96</v>
      </c>
      <c r="AC53" s="99">
        <f t="shared" si="1"/>
        <v>117</v>
      </c>
      <c r="AD53" s="99">
        <f t="shared" si="1"/>
        <v>86.61</v>
      </c>
      <c r="AE53" s="99">
        <f t="shared" si="1"/>
        <v>1709</v>
      </c>
      <c r="AF53" s="99">
        <f t="shared" si="1"/>
        <v>1211.5700000000002</v>
      </c>
      <c r="AG53" s="99"/>
      <c r="AH53" s="99"/>
      <c r="AI53" s="99"/>
      <c r="AJ53" s="99"/>
      <c r="AK53" s="99">
        <f>SUM(AK43:AK52)</f>
        <v>0</v>
      </c>
      <c r="AL53" s="99">
        <f>SUM(AL43:AL52)</f>
        <v>0</v>
      </c>
    </row>
    <row r="54" spans="1:38" ht="24" customHeight="1">
      <c r="A54" s="240" t="s">
        <v>248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2"/>
    </row>
    <row r="55" spans="1:38" ht="24" customHeight="1">
      <c r="A55" s="240" t="s">
        <v>249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2"/>
    </row>
    <row r="56" spans="1:38" ht="24" customHeight="1">
      <c r="A56" s="243" t="s">
        <v>250</v>
      </c>
      <c r="B56" s="243" t="s">
        <v>251</v>
      </c>
      <c r="C56" s="235" t="s">
        <v>252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6"/>
      <c r="U56" s="235" t="s">
        <v>253</v>
      </c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6"/>
    </row>
    <row r="57" spans="1:38" ht="24" customHeight="1">
      <c r="A57" s="244"/>
      <c r="B57" s="244"/>
      <c r="C57" s="235" t="s">
        <v>254</v>
      </c>
      <c r="D57" s="239"/>
      <c r="E57" s="239"/>
      <c r="F57" s="239"/>
      <c r="G57" s="239"/>
      <c r="H57" s="236"/>
      <c r="I57" s="235" t="s">
        <v>255</v>
      </c>
      <c r="J57" s="239"/>
      <c r="K57" s="239"/>
      <c r="L57" s="239"/>
      <c r="M57" s="239"/>
      <c r="N57" s="236"/>
      <c r="O57" s="235" t="s">
        <v>256</v>
      </c>
      <c r="P57" s="239"/>
      <c r="Q57" s="239"/>
      <c r="R57" s="239"/>
      <c r="S57" s="239"/>
      <c r="T57" s="236"/>
      <c r="U57" s="235" t="s">
        <v>254</v>
      </c>
      <c r="V57" s="239"/>
      <c r="W57" s="239"/>
      <c r="X57" s="239"/>
      <c r="Y57" s="239"/>
      <c r="Z57" s="236"/>
      <c r="AA57" s="235" t="s">
        <v>255</v>
      </c>
      <c r="AB57" s="239"/>
      <c r="AC57" s="239"/>
      <c r="AD57" s="239"/>
      <c r="AE57" s="239"/>
      <c r="AF57" s="236"/>
      <c r="AG57" s="235" t="s">
        <v>256</v>
      </c>
      <c r="AH57" s="239"/>
      <c r="AI57" s="239"/>
      <c r="AJ57" s="239"/>
      <c r="AK57" s="239"/>
      <c r="AL57" s="236"/>
    </row>
    <row r="58" spans="1:38" ht="24" customHeight="1">
      <c r="A58" s="244"/>
      <c r="B58" s="244"/>
      <c r="C58" s="235" t="s">
        <v>257</v>
      </c>
      <c r="D58" s="236"/>
      <c r="E58" s="235" t="s">
        <v>258</v>
      </c>
      <c r="F58" s="236"/>
      <c r="G58" s="235" t="s">
        <v>22</v>
      </c>
      <c r="H58" s="236"/>
      <c r="I58" s="235" t="s">
        <v>257</v>
      </c>
      <c r="J58" s="236"/>
      <c r="K58" s="235" t="s">
        <v>258</v>
      </c>
      <c r="L58" s="236"/>
      <c r="M58" s="235" t="s">
        <v>22</v>
      </c>
      <c r="N58" s="236"/>
      <c r="O58" s="235" t="s">
        <v>257</v>
      </c>
      <c r="P58" s="236"/>
      <c r="Q58" s="235" t="s">
        <v>258</v>
      </c>
      <c r="R58" s="236"/>
      <c r="S58" s="235" t="s">
        <v>22</v>
      </c>
      <c r="T58" s="236"/>
      <c r="U58" s="235" t="s">
        <v>257</v>
      </c>
      <c r="V58" s="236"/>
      <c r="W58" s="235" t="s">
        <v>258</v>
      </c>
      <c r="X58" s="236"/>
      <c r="Y58" s="235" t="s">
        <v>22</v>
      </c>
      <c r="Z58" s="236"/>
      <c r="AA58" s="235" t="s">
        <v>257</v>
      </c>
      <c r="AB58" s="236"/>
      <c r="AC58" s="235" t="s">
        <v>258</v>
      </c>
      <c r="AD58" s="236"/>
      <c r="AE58" s="235" t="s">
        <v>22</v>
      </c>
      <c r="AF58" s="236"/>
      <c r="AG58" s="235" t="s">
        <v>257</v>
      </c>
      <c r="AH58" s="236"/>
      <c r="AI58" s="235" t="s">
        <v>258</v>
      </c>
      <c r="AJ58" s="236"/>
      <c r="AK58" s="235" t="s">
        <v>22</v>
      </c>
      <c r="AL58" s="236"/>
    </row>
    <row r="59" spans="1:38" ht="24" customHeight="1">
      <c r="A59" s="245"/>
      <c r="B59" s="245"/>
      <c r="C59" s="99" t="s">
        <v>259</v>
      </c>
      <c r="D59" s="99" t="s">
        <v>260</v>
      </c>
      <c r="E59" s="99" t="s">
        <v>259</v>
      </c>
      <c r="F59" s="99" t="s">
        <v>260</v>
      </c>
      <c r="G59" s="99" t="s">
        <v>259</v>
      </c>
      <c r="H59" s="99" t="s">
        <v>260</v>
      </c>
      <c r="I59" s="99" t="s">
        <v>259</v>
      </c>
      <c r="J59" s="99" t="s">
        <v>260</v>
      </c>
      <c r="K59" s="99" t="s">
        <v>259</v>
      </c>
      <c r="L59" s="99" t="s">
        <v>260</v>
      </c>
      <c r="M59" s="99" t="s">
        <v>259</v>
      </c>
      <c r="N59" s="99" t="s">
        <v>260</v>
      </c>
      <c r="O59" s="99" t="s">
        <v>259</v>
      </c>
      <c r="P59" s="99" t="s">
        <v>260</v>
      </c>
      <c r="Q59" s="99" t="s">
        <v>259</v>
      </c>
      <c r="R59" s="99" t="s">
        <v>260</v>
      </c>
      <c r="S59" s="99" t="s">
        <v>259</v>
      </c>
      <c r="T59" s="100" t="s">
        <v>260</v>
      </c>
      <c r="U59" s="101" t="s">
        <v>259</v>
      </c>
      <c r="V59" s="99" t="s">
        <v>260</v>
      </c>
      <c r="W59" s="99" t="s">
        <v>259</v>
      </c>
      <c r="X59" s="99" t="s">
        <v>260</v>
      </c>
      <c r="Y59" s="99" t="s">
        <v>259</v>
      </c>
      <c r="Z59" s="99" t="s">
        <v>260</v>
      </c>
      <c r="AA59" s="99" t="s">
        <v>259</v>
      </c>
      <c r="AB59" s="99" t="s">
        <v>260</v>
      </c>
      <c r="AC59" s="99" t="s">
        <v>259</v>
      </c>
      <c r="AD59" s="99" t="s">
        <v>260</v>
      </c>
      <c r="AE59" s="99" t="s">
        <v>259</v>
      </c>
      <c r="AF59" s="99" t="s">
        <v>260</v>
      </c>
      <c r="AG59" s="99" t="s">
        <v>259</v>
      </c>
      <c r="AH59" s="99" t="s">
        <v>260</v>
      </c>
      <c r="AI59" s="99" t="s">
        <v>259</v>
      </c>
      <c r="AJ59" s="99" t="s">
        <v>260</v>
      </c>
      <c r="AK59" s="99" t="s">
        <v>259</v>
      </c>
      <c r="AL59" s="99" t="s">
        <v>260</v>
      </c>
    </row>
    <row r="60" spans="1:38" ht="24" customHeight="1">
      <c r="A60" s="102">
        <v>1</v>
      </c>
      <c r="B60" s="103" t="s">
        <v>270</v>
      </c>
      <c r="C60" s="104"/>
      <c r="D60" s="104"/>
      <c r="E60" s="104"/>
      <c r="F60" s="104"/>
      <c r="G60" s="99">
        <v>0</v>
      </c>
      <c r="H60" s="99">
        <v>0</v>
      </c>
      <c r="I60" s="99">
        <v>20</v>
      </c>
      <c r="J60" s="99">
        <v>8.81</v>
      </c>
      <c r="K60" s="104"/>
      <c r="L60" s="104"/>
      <c r="M60" s="99">
        <v>20</v>
      </c>
      <c r="N60" s="99">
        <v>8.81</v>
      </c>
      <c r="O60" s="104"/>
      <c r="P60" s="104"/>
      <c r="Q60" s="104"/>
      <c r="R60" s="104"/>
      <c r="S60" s="99">
        <v>0</v>
      </c>
      <c r="T60" s="100">
        <v>0</v>
      </c>
      <c r="U60" s="105"/>
      <c r="V60" s="104"/>
      <c r="W60" s="104"/>
      <c r="X60" s="104"/>
      <c r="Y60" s="99">
        <v>0</v>
      </c>
      <c r="Z60" s="99">
        <v>0</v>
      </c>
      <c r="AA60" s="99">
        <v>30</v>
      </c>
      <c r="AB60" s="99">
        <v>21.17</v>
      </c>
      <c r="AC60" s="104"/>
      <c r="AD60" s="104"/>
      <c r="AE60" s="99">
        <v>30</v>
      </c>
      <c r="AF60" s="99">
        <v>21.17</v>
      </c>
      <c r="AG60" s="104"/>
      <c r="AH60" s="104"/>
      <c r="AI60" s="104"/>
      <c r="AJ60" s="104"/>
      <c r="AK60" s="99">
        <v>0</v>
      </c>
      <c r="AL60" s="99">
        <v>0</v>
      </c>
    </row>
    <row r="61" spans="1:38" ht="24" customHeight="1">
      <c r="A61" s="237" t="s">
        <v>22</v>
      </c>
      <c r="B61" s="238"/>
      <c r="C61" s="99"/>
      <c r="D61" s="99"/>
      <c r="E61" s="99"/>
      <c r="F61" s="99"/>
      <c r="G61" s="99">
        <f>SUM(G60)</f>
        <v>0</v>
      </c>
      <c r="H61" s="99">
        <f>SUM(H60)</f>
        <v>0</v>
      </c>
      <c r="I61" s="99">
        <f>SUM(I60)</f>
        <v>20</v>
      </c>
      <c r="J61" s="99">
        <f>SUM(J60)</f>
        <v>8.81</v>
      </c>
      <c r="K61" s="99"/>
      <c r="L61" s="99"/>
      <c r="M61" s="99">
        <f>SUM(M60)</f>
        <v>20</v>
      </c>
      <c r="N61" s="99">
        <f>SUM(N60)</f>
        <v>8.81</v>
      </c>
      <c r="O61" s="99"/>
      <c r="P61" s="99"/>
      <c r="Q61" s="99"/>
      <c r="R61" s="99"/>
      <c r="S61" s="99">
        <f>SUM(S60)</f>
        <v>0</v>
      </c>
      <c r="T61" s="100">
        <f>SUM(T60)</f>
        <v>0</v>
      </c>
      <c r="U61" s="101"/>
      <c r="V61" s="99"/>
      <c r="W61" s="99"/>
      <c r="X61" s="99"/>
      <c r="Y61" s="99">
        <f>SUM(Y60)</f>
        <v>0</v>
      </c>
      <c r="Z61" s="99">
        <f>SUM(Z60)</f>
        <v>0</v>
      </c>
      <c r="AA61" s="99">
        <f>SUM(AA60)</f>
        <v>30</v>
      </c>
      <c r="AB61" s="99">
        <f>SUM(AB60)</f>
        <v>21.17</v>
      </c>
      <c r="AC61" s="99"/>
      <c r="AD61" s="99"/>
      <c r="AE61" s="99">
        <f>SUM(AE60)</f>
        <v>30</v>
      </c>
      <c r="AF61" s="99">
        <f>SUM(AF60)</f>
        <v>21.17</v>
      </c>
      <c r="AG61" s="99"/>
      <c r="AH61" s="99"/>
      <c r="AI61" s="99"/>
      <c r="AJ61" s="99"/>
      <c r="AK61" s="99">
        <f>SUM(AK60)</f>
        <v>0</v>
      </c>
      <c r="AL61" s="99">
        <f>SUM(AL60)</f>
        <v>0</v>
      </c>
    </row>
    <row r="62" spans="1:38" ht="24" customHeight="1">
      <c r="A62" s="240" t="s">
        <v>248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2"/>
    </row>
    <row r="63" spans="1:38" ht="24" customHeight="1">
      <c r="A63" s="240" t="s">
        <v>293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2"/>
    </row>
    <row r="64" spans="1:38" ht="24" customHeight="1">
      <c r="A64" s="243" t="s">
        <v>250</v>
      </c>
      <c r="B64" s="243" t="s">
        <v>251</v>
      </c>
      <c r="C64" s="235" t="s">
        <v>252</v>
      </c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6"/>
      <c r="U64" s="235" t="s">
        <v>253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6"/>
    </row>
    <row r="65" spans="1:38" ht="24" customHeight="1">
      <c r="A65" s="244"/>
      <c r="B65" s="244"/>
      <c r="C65" s="235" t="s">
        <v>254</v>
      </c>
      <c r="D65" s="239"/>
      <c r="E65" s="239"/>
      <c r="F65" s="239"/>
      <c r="G65" s="239"/>
      <c r="H65" s="236"/>
      <c r="I65" s="235" t="s">
        <v>255</v>
      </c>
      <c r="J65" s="239"/>
      <c r="K65" s="239"/>
      <c r="L65" s="239"/>
      <c r="M65" s="239"/>
      <c r="N65" s="236"/>
      <c r="O65" s="235" t="s">
        <v>256</v>
      </c>
      <c r="P65" s="239"/>
      <c r="Q65" s="239"/>
      <c r="R65" s="239"/>
      <c r="S65" s="239"/>
      <c r="T65" s="236"/>
      <c r="U65" s="235" t="s">
        <v>254</v>
      </c>
      <c r="V65" s="239"/>
      <c r="W65" s="239"/>
      <c r="X65" s="239"/>
      <c r="Y65" s="239"/>
      <c r="Z65" s="236"/>
      <c r="AA65" s="235" t="s">
        <v>255</v>
      </c>
      <c r="AB65" s="239"/>
      <c r="AC65" s="239"/>
      <c r="AD65" s="239"/>
      <c r="AE65" s="239"/>
      <c r="AF65" s="236"/>
      <c r="AG65" s="235" t="s">
        <v>256</v>
      </c>
      <c r="AH65" s="239"/>
      <c r="AI65" s="239"/>
      <c r="AJ65" s="239"/>
      <c r="AK65" s="239"/>
      <c r="AL65" s="236"/>
    </row>
    <row r="66" spans="1:38" ht="24" customHeight="1">
      <c r="A66" s="244"/>
      <c r="B66" s="244"/>
      <c r="C66" s="235" t="s">
        <v>257</v>
      </c>
      <c r="D66" s="236"/>
      <c r="E66" s="235" t="s">
        <v>258</v>
      </c>
      <c r="F66" s="236"/>
      <c r="G66" s="235" t="s">
        <v>22</v>
      </c>
      <c r="H66" s="236"/>
      <c r="I66" s="235" t="s">
        <v>257</v>
      </c>
      <c r="J66" s="236"/>
      <c r="K66" s="235" t="s">
        <v>258</v>
      </c>
      <c r="L66" s="236"/>
      <c r="M66" s="235" t="s">
        <v>22</v>
      </c>
      <c r="N66" s="236"/>
      <c r="O66" s="235" t="s">
        <v>257</v>
      </c>
      <c r="P66" s="236"/>
      <c r="Q66" s="235" t="s">
        <v>258</v>
      </c>
      <c r="R66" s="236"/>
      <c r="S66" s="235" t="s">
        <v>22</v>
      </c>
      <c r="T66" s="236"/>
      <c r="U66" s="235" t="s">
        <v>257</v>
      </c>
      <c r="V66" s="236"/>
      <c r="W66" s="235" t="s">
        <v>258</v>
      </c>
      <c r="X66" s="236"/>
      <c r="Y66" s="235" t="s">
        <v>22</v>
      </c>
      <c r="Z66" s="236"/>
      <c r="AA66" s="235" t="s">
        <v>257</v>
      </c>
      <c r="AB66" s="236"/>
      <c r="AC66" s="235" t="s">
        <v>258</v>
      </c>
      <c r="AD66" s="236"/>
      <c r="AE66" s="235" t="s">
        <v>22</v>
      </c>
      <c r="AF66" s="236"/>
      <c r="AG66" s="235" t="s">
        <v>257</v>
      </c>
      <c r="AH66" s="236"/>
      <c r="AI66" s="235" t="s">
        <v>258</v>
      </c>
      <c r="AJ66" s="236"/>
      <c r="AK66" s="235" t="s">
        <v>22</v>
      </c>
      <c r="AL66" s="236"/>
    </row>
    <row r="67" spans="1:38" ht="24" customHeight="1">
      <c r="A67" s="245"/>
      <c r="B67" s="245"/>
      <c r="C67" s="99" t="s">
        <v>259</v>
      </c>
      <c r="D67" s="99" t="s">
        <v>260</v>
      </c>
      <c r="E67" s="99" t="s">
        <v>259</v>
      </c>
      <c r="F67" s="99" t="s">
        <v>260</v>
      </c>
      <c r="G67" s="99" t="s">
        <v>259</v>
      </c>
      <c r="H67" s="99" t="s">
        <v>260</v>
      </c>
      <c r="I67" s="99" t="s">
        <v>259</v>
      </c>
      <c r="J67" s="99" t="s">
        <v>260</v>
      </c>
      <c r="K67" s="99" t="s">
        <v>259</v>
      </c>
      <c r="L67" s="99" t="s">
        <v>260</v>
      </c>
      <c r="M67" s="99" t="s">
        <v>259</v>
      </c>
      <c r="N67" s="99" t="s">
        <v>260</v>
      </c>
      <c r="O67" s="99" t="s">
        <v>259</v>
      </c>
      <c r="P67" s="99" t="s">
        <v>260</v>
      </c>
      <c r="Q67" s="99" t="s">
        <v>259</v>
      </c>
      <c r="R67" s="99" t="s">
        <v>260</v>
      </c>
      <c r="S67" s="99" t="s">
        <v>259</v>
      </c>
      <c r="T67" s="100" t="s">
        <v>260</v>
      </c>
      <c r="U67" s="101" t="s">
        <v>259</v>
      </c>
      <c r="V67" s="99" t="s">
        <v>260</v>
      </c>
      <c r="W67" s="99" t="s">
        <v>259</v>
      </c>
      <c r="X67" s="99" t="s">
        <v>260</v>
      </c>
      <c r="Y67" s="99" t="s">
        <v>259</v>
      </c>
      <c r="Z67" s="99" t="s">
        <v>260</v>
      </c>
      <c r="AA67" s="99" t="s">
        <v>259</v>
      </c>
      <c r="AB67" s="99" t="s">
        <v>260</v>
      </c>
      <c r="AC67" s="99" t="s">
        <v>259</v>
      </c>
      <c r="AD67" s="99" t="s">
        <v>260</v>
      </c>
      <c r="AE67" s="99" t="s">
        <v>259</v>
      </c>
      <c r="AF67" s="99" t="s">
        <v>260</v>
      </c>
      <c r="AG67" s="99" t="s">
        <v>259</v>
      </c>
      <c r="AH67" s="99" t="s">
        <v>260</v>
      </c>
      <c r="AI67" s="99" t="s">
        <v>259</v>
      </c>
      <c r="AJ67" s="99" t="s">
        <v>260</v>
      </c>
      <c r="AK67" s="99" t="s">
        <v>259</v>
      </c>
      <c r="AL67" s="99" t="s">
        <v>260</v>
      </c>
    </row>
    <row r="68" spans="1:38" ht="24" customHeight="1">
      <c r="A68" s="102">
        <v>1</v>
      </c>
      <c r="B68" s="103" t="s">
        <v>293</v>
      </c>
      <c r="C68" s="104"/>
      <c r="D68" s="104"/>
      <c r="E68" s="104"/>
      <c r="F68" s="104"/>
      <c r="G68" s="99">
        <v>0</v>
      </c>
      <c r="H68" s="99">
        <v>0</v>
      </c>
      <c r="I68" s="99">
        <v>203</v>
      </c>
      <c r="J68" s="99">
        <v>122.69</v>
      </c>
      <c r="K68" s="104"/>
      <c r="L68" s="104"/>
      <c r="M68" s="99">
        <v>203</v>
      </c>
      <c r="N68" s="99">
        <v>122.69</v>
      </c>
      <c r="O68" s="104"/>
      <c r="P68" s="104"/>
      <c r="Q68" s="104"/>
      <c r="R68" s="104"/>
      <c r="S68" s="99">
        <v>0</v>
      </c>
      <c r="T68" s="100">
        <v>0</v>
      </c>
      <c r="U68" s="105"/>
      <c r="V68" s="104"/>
      <c r="W68" s="104"/>
      <c r="X68" s="104"/>
      <c r="Y68" s="99">
        <v>0</v>
      </c>
      <c r="Z68" s="99">
        <v>0</v>
      </c>
      <c r="AA68" s="99">
        <v>234</v>
      </c>
      <c r="AB68" s="99">
        <v>226.58</v>
      </c>
      <c r="AC68" s="104"/>
      <c r="AD68" s="104"/>
      <c r="AE68" s="99">
        <v>234</v>
      </c>
      <c r="AF68" s="99">
        <v>226.58</v>
      </c>
      <c r="AG68" s="104"/>
      <c r="AH68" s="104"/>
      <c r="AI68" s="104"/>
      <c r="AJ68" s="104"/>
      <c r="AK68" s="99">
        <v>0</v>
      </c>
      <c r="AL68" s="99">
        <v>0</v>
      </c>
    </row>
    <row r="69" spans="1:38" ht="24" customHeight="1">
      <c r="A69" s="237" t="s">
        <v>22</v>
      </c>
      <c r="B69" s="238"/>
      <c r="C69" s="99"/>
      <c r="D69" s="99"/>
      <c r="E69" s="99"/>
      <c r="F69" s="99"/>
      <c r="G69" s="99">
        <f>SUM(G68)</f>
        <v>0</v>
      </c>
      <c r="H69" s="99">
        <f>SUM(H68)</f>
        <v>0</v>
      </c>
      <c r="I69" s="99">
        <f>SUM(I68)</f>
        <v>203</v>
      </c>
      <c r="J69" s="99">
        <f>SUM(J68)</f>
        <v>122.69</v>
      </c>
      <c r="K69" s="99"/>
      <c r="L69" s="99"/>
      <c r="M69" s="99">
        <f>SUM(M68)</f>
        <v>203</v>
      </c>
      <c r="N69" s="99">
        <f>SUM(N68)</f>
        <v>122.69</v>
      </c>
      <c r="O69" s="99"/>
      <c r="P69" s="99"/>
      <c r="Q69" s="99"/>
      <c r="R69" s="99"/>
      <c r="S69" s="99">
        <f>SUM(S68)</f>
        <v>0</v>
      </c>
      <c r="T69" s="100">
        <f>SUM(T68)</f>
        <v>0</v>
      </c>
      <c r="U69" s="101"/>
      <c r="V69" s="99"/>
      <c r="W69" s="99"/>
      <c r="X69" s="99"/>
      <c r="Y69" s="99">
        <f>SUM(Y68)</f>
        <v>0</v>
      </c>
      <c r="Z69" s="99">
        <f>SUM(Z68)</f>
        <v>0</v>
      </c>
      <c r="AA69" s="99">
        <f>SUM(AA68)</f>
        <v>234</v>
      </c>
      <c r="AB69" s="99">
        <f>SUM(AB68)</f>
        <v>226.58</v>
      </c>
      <c r="AC69" s="99"/>
      <c r="AD69" s="99"/>
      <c r="AE69" s="99">
        <f>SUM(AE68)</f>
        <v>234</v>
      </c>
      <c r="AF69" s="99">
        <f>SUM(AF68)</f>
        <v>226.58</v>
      </c>
      <c r="AG69" s="99"/>
      <c r="AH69" s="99"/>
      <c r="AI69" s="99"/>
      <c r="AJ69" s="99"/>
      <c r="AK69" s="99">
        <f>SUM(AK68)</f>
        <v>0</v>
      </c>
      <c r="AL69" s="99">
        <f>SUM(AL68)</f>
        <v>0</v>
      </c>
    </row>
    <row r="70" spans="1:38" ht="24" customHeight="1">
      <c r="A70" s="240" t="s">
        <v>248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2"/>
    </row>
    <row r="71" spans="1:38" ht="24" customHeight="1">
      <c r="A71" s="240" t="s">
        <v>294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2"/>
    </row>
    <row r="72" spans="1:38" ht="24" customHeight="1">
      <c r="A72" s="243" t="s">
        <v>250</v>
      </c>
      <c r="B72" s="243" t="s">
        <v>251</v>
      </c>
      <c r="C72" s="235" t="s">
        <v>252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6"/>
      <c r="U72" s="235" t="s">
        <v>253</v>
      </c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6"/>
    </row>
    <row r="73" spans="1:38" ht="24" customHeight="1">
      <c r="A73" s="244"/>
      <c r="B73" s="244"/>
      <c r="C73" s="235" t="s">
        <v>254</v>
      </c>
      <c r="D73" s="239"/>
      <c r="E73" s="239"/>
      <c r="F73" s="239"/>
      <c r="G73" s="239"/>
      <c r="H73" s="236"/>
      <c r="I73" s="235" t="s">
        <v>255</v>
      </c>
      <c r="J73" s="239"/>
      <c r="K73" s="239"/>
      <c r="L73" s="239"/>
      <c r="M73" s="239"/>
      <c r="N73" s="236"/>
      <c r="O73" s="235" t="s">
        <v>256</v>
      </c>
      <c r="P73" s="239"/>
      <c r="Q73" s="239"/>
      <c r="R73" s="239"/>
      <c r="S73" s="239"/>
      <c r="T73" s="236"/>
      <c r="U73" s="235" t="s">
        <v>254</v>
      </c>
      <c r="V73" s="239"/>
      <c r="W73" s="239"/>
      <c r="X73" s="239"/>
      <c r="Y73" s="239"/>
      <c r="Z73" s="236"/>
      <c r="AA73" s="235" t="s">
        <v>255</v>
      </c>
      <c r="AB73" s="239"/>
      <c r="AC73" s="239"/>
      <c r="AD73" s="239"/>
      <c r="AE73" s="239"/>
      <c r="AF73" s="236"/>
      <c r="AG73" s="235" t="s">
        <v>256</v>
      </c>
      <c r="AH73" s="239"/>
      <c r="AI73" s="239"/>
      <c r="AJ73" s="239"/>
      <c r="AK73" s="239"/>
      <c r="AL73" s="236"/>
    </row>
    <row r="74" spans="1:38" ht="24" customHeight="1">
      <c r="A74" s="244"/>
      <c r="B74" s="244"/>
      <c r="C74" s="235" t="s">
        <v>257</v>
      </c>
      <c r="D74" s="236"/>
      <c r="E74" s="235" t="s">
        <v>258</v>
      </c>
      <c r="F74" s="236"/>
      <c r="G74" s="235" t="s">
        <v>22</v>
      </c>
      <c r="H74" s="236"/>
      <c r="I74" s="235" t="s">
        <v>257</v>
      </c>
      <c r="J74" s="236"/>
      <c r="K74" s="235" t="s">
        <v>258</v>
      </c>
      <c r="L74" s="236"/>
      <c r="M74" s="235" t="s">
        <v>22</v>
      </c>
      <c r="N74" s="236"/>
      <c r="O74" s="235" t="s">
        <v>257</v>
      </c>
      <c r="P74" s="236"/>
      <c r="Q74" s="235" t="s">
        <v>258</v>
      </c>
      <c r="R74" s="236"/>
      <c r="S74" s="235" t="s">
        <v>22</v>
      </c>
      <c r="T74" s="236"/>
      <c r="U74" s="235" t="s">
        <v>257</v>
      </c>
      <c r="V74" s="236"/>
      <c r="W74" s="235" t="s">
        <v>258</v>
      </c>
      <c r="X74" s="236"/>
      <c r="Y74" s="235" t="s">
        <v>22</v>
      </c>
      <c r="Z74" s="236"/>
      <c r="AA74" s="235" t="s">
        <v>257</v>
      </c>
      <c r="AB74" s="236"/>
      <c r="AC74" s="235" t="s">
        <v>258</v>
      </c>
      <c r="AD74" s="236"/>
      <c r="AE74" s="235" t="s">
        <v>22</v>
      </c>
      <c r="AF74" s="236"/>
      <c r="AG74" s="235" t="s">
        <v>257</v>
      </c>
      <c r="AH74" s="236"/>
      <c r="AI74" s="235" t="s">
        <v>258</v>
      </c>
      <c r="AJ74" s="236"/>
      <c r="AK74" s="235" t="s">
        <v>22</v>
      </c>
      <c r="AL74" s="236"/>
    </row>
    <row r="75" spans="1:38" ht="24" customHeight="1">
      <c r="A75" s="245"/>
      <c r="B75" s="245"/>
      <c r="C75" s="99" t="s">
        <v>259</v>
      </c>
      <c r="D75" s="99" t="s">
        <v>260</v>
      </c>
      <c r="E75" s="99" t="s">
        <v>259</v>
      </c>
      <c r="F75" s="99" t="s">
        <v>260</v>
      </c>
      <c r="G75" s="99" t="s">
        <v>259</v>
      </c>
      <c r="H75" s="99" t="s">
        <v>260</v>
      </c>
      <c r="I75" s="99" t="s">
        <v>259</v>
      </c>
      <c r="J75" s="99" t="s">
        <v>260</v>
      </c>
      <c r="K75" s="99" t="s">
        <v>259</v>
      </c>
      <c r="L75" s="99" t="s">
        <v>260</v>
      </c>
      <c r="M75" s="99" t="s">
        <v>259</v>
      </c>
      <c r="N75" s="99" t="s">
        <v>260</v>
      </c>
      <c r="O75" s="99" t="s">
        <v>259</v>
      </c>
      <c r="P75" s="99" t="s">
        <v>260</v>
      </c>
      <c r="Q75" s="99" t="s">
        <v>259</v>
      </c>
      <c r="R75" s="99" t="s">
        <v>260</v>
      </c>
      <c r="S75" s="99" t="s">
        <v>259</v>
      </c>
      <c r="T75" s="100" t="s">
        <v>260</v>
      </c>
      <c r="U75" s="101" t="s">
        <v>259</v>
      </c>
      <c r="V75" s="99" t="s">
        <v>260</v>
      </c>
      <c r="W75" s="99" t="s">
        <v>259</v>
      </c>
      <c r="X75" s="99" t="s">
        <v>260</v>
      </c>
      <c r="Y75" s="99" t="s">
        <v>259</v>
      </c>
      <c r="Z75" s="99" t="s">
        <v>260</v>
      </c>
      <c r="AA75" s="99" t="s">
        <v>259</v>
      </c>
      <c r="AB75" s="99" t="s">
        <v>260</v>
      </c>
      <c r="AC75" s="99" t="s">
        <v>259</v>
      </c>
      <c r="AD75" s="99" t="s">
        <v>260</v>
      </c>
      <c r="AE75" s="99" t="s">
        <v>259</v>
      </c>
      <c r="AF75" s="99" t="s">
        <v>260</v>
      </c>
      <c r="AG75" s="99" t="s">
        <v>259</v>
      </c>
      <c r="AH75" s="99" t="s">
        <v>260</v>
      </c>
      <c r="AI75" s="99" t="s">
        <v>259</v>
      </c>
      <c r="AJ75" s="99" t="s">
        <v>260</v>
      </c>
      <c r="AK75" s="99" t="s">
        <v>259</v>
      </c>
      <c r="AL75" s="99" t="s">
        <v>260</v>
      </c>
    </row>
    <row r="76" spans="1:38" ht="24" customHeight="1">
      <c r="A76" s="102">
        <v>1</v>
      </c>
      <c r="B76" s="103" t="s">
        <v>295</v>
      </c>
      <c r="C76" s="104"/>
      <c r="D76" s="104"/>
      <c r="E76" s="104"/>
      <c r="F76" s="104"/>
      <c r="G76" s="99">
        <v>0</v>
      </c>
      <c r="H76" s="99">
        <v>0</v>
      </c>
      <c r="I76" s="99">
        <v>38</v>
      </c>
      <c r="J76" s="99">
        <v>21.5</v>
      </c>
      <c r="K76" s="104"/>
      <c r="L76" s="104"/>
      <c r="M76" s="99">
        <v>38</v>
      </c>
      <c r="N76" s="99">
        <v>21.5</v>
      </c>
      <c r="O76" s="104"/>
      <c r="P76" s="104"/>
      <c r="Q76" s="104"/>
      <c r="R76" s="104"/>
      <c r="S76" s="99">
        <v>0</v>
      </c>
      <c r="T76" s="100">
        <v>0</v>
      </c>
      <c r="U76" s="105"/>
      <c r="V76" s="104"/>
      <c r="W76" s="104"/>
      <c r="X76" s="104"/>
      <c r="Y76" s="99">
        <v>0</v>
      </c>
      <c r="Z76" s="99">
        <v>0</v>
      </c>
      <c r="AA76" s="99">
        <v>38</v>
      </c>
      <c r="AB76" s="99">
        <v>30.33</v>
      </c>
      <c r="AC76" s="104"/>
      <c r="AD76" s="104"/>
      <c r="AE76" s="99">
        <v>38</v>
      </c>
      <c r="AF76" s="99">
        <v>30.33</v>
      </c>
      <c r="AG76" s="104"/>
      <c r="AH76" s="104"/>
      <c r="AI76" s="104"/>
      <c r="AJ76" s="104"/>
      <c r="AK76" s="99">
        <v>0</v>
      </c>
      <c r="AL76" s="99">
        <v>0</v>
      </c>
    </row>
    <row r="77" spans="1:38" ht="24" customHeight="1">
      <c r="A77" s="102">
        <v>2</v>
      </c>
      <c r="B77" s="103" t="s">
        <v>296</v>
      </c>
      <c r="C77" s="104"/>
      <c r="D77" s="104"/>
      <c r="E77" s="104"/>
      <c r="F77" s="104"/>
      <c r="G77" s="99">
        <v>0</v>
      </c>
      <c r="H77" s="99">
        <v>0</v>
      </c>
      <c r="I77" s="99">
        <v>30</v>
      </c>
      <c r="J77" s="99">
        <v>15.06</v>
      </c>
      <c r="K77" s="104"/>
      <c r="L77" s="104"/>
      <c r="M77" s="99">
        <v>30</v>
      </c>
      <c r="N77" s="99">
        <v>15.06</v>
      </c>
      <c r="O77" s="104"/>
      <c r="P77" s="104"/>
      <c r="Q77" s="104"/>
      <c r="R77" s="104"/>
      <c r="S77" s="99">
        <v>0</v>
      </c>
      <c r="T77" s="100">
        <v>0</v>
      </c>
      <c r="U77" s="105"/>
      <c r="V77" s="104"/>
      <c r="W77" s="104"/>
      <c r="X77" s="104"/>
      <c r="Y77" s="99">
        <v>0</v>
      </c>
      <c r="Z77" s="99">
        <v>0</v>
      </c>
      <c r="AA77" s="99">
        <v>31</v>
      </c>
      <c r="AB77" s="99">
        <v>22.78</v>
      </c>
      <c r="AC77" s="104"/>
      <c r="AD77" s="104"/>
      <c r="AE77" s="99">
        <v>31</v>
      </c>
      <c r="AF77" s="99">
        <v>22.78</v>
      </c>
      <c r="AG77" s="104"/>
      <c r="AH77" s="104"/>
      <c r="AI77" s="104"/>
      <c r="AJ77" s="104"/>
      <c r="AK77" s="99">
        <v>0</v>
      </c>
      <c r="AL77" s="99">
        <v>0</v>
      </c>
    </row>
    <row r="78" spans="1:38" ht="24" customHeight="1">
      <c r="A78" s="102">
        <v>3</v>
      </c>
      <c r="B78" s="103" t="s">
        <v>297</v>
      </c>
      <c r="C78" s="104"/>
      <c r="D78" s="104"/>
      <c r="E78" s="104"/>
      <c r="F78" s="104"/>
      <c r="G78" s="99">
        <v>0</v>
      </c>
      <c r="H78" s="99">
        <v>0</v>
      </c>
      <c r="I78" s="99">
        <v>11</v>
      </c>
      <c r="J78" s="99">
        <v>4.67</v>
      </c>
      <c r="K78" s="104"/>
      <c r="L78" s="104"/>
      <c r="M78" s="99">
        <v>11</v>
      </c>
      <c r="N78" s="99">
        <v>4.67</v>
      </c>
      <c r="O78" s="104"/>
      <c r="P78" s="104"/>
      <c r="Q78" s="104"/>
      <c r="R78" s="104"/>
      <c r="S78" s="99">
        <v>0</v>
      </c>
      <c r="T78" s="100">
        <v>0</v>
      </c>
      <c r="U78" s="105"/>
      <c r="V78" s="104"/>
      <c r="W78" s="104"/>
      <c r="X78" s="104"/>
      <c r="Y78" s="99">
        <v>0</v>
      </c>
      <c r="Z78" s="99">
        <v>0</v>
      </c>
      <c r="AA78" s="99">
        <v>40</v>
      </c>
      <c r="AB78" s="99">
        <v>20.31</v>
      </c>
      <c r="AC78" s="104"/>
      <c r="AD78" s="104"/>
      <c r="AE78" s="99">
        <v>40</v>
      </c>
      <c r="AF78" s="99">
        <v>20.31</v>
      </c>
      <c r="AG78" s="104"/>
      <c r="AH78" s="104"/>
      <c r="AI78" s="104"/>
      <c r="AJ78" s="104"/>
      <c r="AK78" s="99">
        <v>0</v>
      </c>
      <c r="AL78" s="99">
        <v>0</v>
      </c>
    </row>
    <row r="79" spans="1:38" ht="24" customHeight="1">
      <c r="A79" s="237" t="s">
        <v>22</v>
      </c>
      <c r="B79" s="238"/>
      <c r="C79" s="99"/>
      <c r="D79" s="99"/>
      <c r="E79" s="99"/>
      <c r="F79" s="99"/>
      <c r="G79" s="99">
        <f>SUM(G76:G78)</f>
        <v>0</v>
      </c>
      <c r="H79" s="99">
        <f>SUM(H76:H78)</f>
        <v>0</v>
      </c>
      <c r="I79" s="99">
        <f>SUM(I76:I78)</f>
        <v>79</v>
      </c>
      <c r="J79" s="99">
        <f>SUM(J76:J78)</f>
        <v>41.230000000000004</v>
      </c>
      <c r="K79" s="99"/>
      <c r="L79" s="99"/>
      <c r="M79" s="99">
        <f>SUM(M76:M78)</f>
        <v>79</v>
      </c>
      <c r="N79" s="99">
        <f>SUM(N76:N78)</f>
        <v>41.230000000000004</v>
      </c>
      <c r="O79" s="99"/>
      <c r="P79" s="99"/>
      <c r="Q79" s="99"/>
      <c r="R79" s="99"/>
      <c r="S79" s="99">
        <f>SUM(S76:S78)</f>
        <v>0</v>
      </c>
      <c r="T79" s="100">
        <f>SUM(T76:T78)</f>
        <v>0</v>
      </c>
      <c r="U79" s="101"/>
      <c r="V79" s="99"/>
      <c r="W79" s="99"/>
      <c r="X79" s="99"/>
      <c r="Y79" s="99">
        <f>SUM(Y76:Y78)</f>
        <v>0</v>
      </c>
      <c r="Z79" s="99">
        <f>SUM(Z76:Z78)</f>
        <v>0</v>
      </c>
      <c r="AA79" s="99">
        <f>SUM(AA76:AA78)</f>
        <v>109</v>
      </c>
      <c r="AB79" s="99">
        <f>SUM(AB76:AB78)</f>
        <v>73.42</v>
      </c>
      <c r="AC79" s="99"/>
      <c r="AD79" s="99"/>
      <c r="AE79" s="99">
        <f>SUM(AE76:AE78)</f>
        <v>109</v>
      </c>
      <c r="AF79" s="99">
        <f>SUM(AF76:AF78)</f>
        <v>73.42</v>
      </c>
      <c r="AG79" s="99"/>
      <c r="AH79" s="99"/>
      <c r="AI79" s="99"/>
      <c r="AJ79" s="99"/>
      <c r="AK79" s="99">
        <f>SUM(AK76:AK78)</f>
        <v>0</v>
      </c>
      <c r="AL79" s="99">
        <f>SUM(AL76:AL78)</f>
        <v>0</v>
      </c>
    </row>
    <row r="80" spans="1:38" ht="24" customHeight="1">
      <c r="A80" s="240" t="s">
        <v>248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2"/>
    </row>
    <row r="81" spans="1:38" ht="24" customHeight="1">
      <c r="A81" s="240" t="s">
        <v>298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2"/>
    </row>
    <row r="82" spans="1:38" ht="24" customHeight="1">
      <c r="A82" s="243" t="s">
        <v>250</v>
      </c>
      <c r="B82" s="243" t="s">
        <v>251</v>
      </c>
      <c r="C82" s="235" t="s">
        <v>252</v>
      </c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6"/>
      <c r="U82" s="235" t="s">
        <v>253</v>
      </c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6"/>
    </row>
    <row r="83" spans="1:38" ht="24" customHeight="1">
      <c r="A83" s="244"/>
      <c r="B83" s="244"/>
      <c r="C83" s="235" t="s">
        <v>254</v>
      </c>
      <c r="D83" s="239"/>
      <c r="E83" s="239"/>
      <c r="F83" s="239"/>
      <c r="G83" s="239"/>
      <c r="H83" s="236"/>
      <c r="I83" s="235" t="s">
        <v>255</v>
      </c>
      <c r="J83" s="239"/>
      <c r="K83" s="239"/>
      <c r="L83" s="239"/>
      <c r="M83" s="239"/>
      <c r="N83" s="236"/>
      <c r="O83" s="235" t="s">
        <v>256</v>
      </c>
      <c r="P83" s="239"/>
      <c r="Q83" s="239"/>
      <c r="R83" s="239"/>
      <c r="S83" s="239"/>
      <c r="T83" s="236"/>
      <c r="U83" s="235" t="s">
        <v>254</v>
      </c>
      <c r="V83" s="239"/>
      <c r="W83" s="239"/>
      <c r="X83" s="239"/>
      <c r="Y83" s="239"/>
      <c r="Z83" s="236"/>
      <c r="AA83" s="235" t="s">
        <v>255</v>
      </c>
      <c r="AB83" s="239"/>
      <c r="AC83" s="239"/>
      <c r="AD83" s="239"/>
      <c r="AE83" s="239"/>
      <c r="AF83" s="236"/>
      <c r="AG83" s="235" t="s">
        <v>256</v>
      </c>
      <c r="AH83" s="239"/>
      <c r="AI83" s="239"/>
      <c r="AJ83" s="239"/>
      <c r="AK83" s="239"/>
      <c r="AL83" s="236"/>
    </row>
    <row r="84" spans="1:38" ht="24" customHeight="1">
      <c r="A84" s="244"/>
      <c r="B84" s="244"/>
      <c r="C84" s="235" t="s">
        <v>257</v>
      </c>
      <c r="D84" s="236"/>
      <c r="E84" s="235" t="s">
        <v>258</v>
      </c>
      <c r="F84" s="236"/>
      <c r="G84" s="235" t="s">
        <v>22</v>
      </c>
      <c r="H84" s="236"/>
      <c r="I84" s="235" t="s">
        <v>257</v>
      </c>
      <c r="J84" s="236"/>
      <c r="K84" s="235" t="s">
        <v>258</v>
      </c>
      <c r="L84" s="236"/>
      <c r="M84" s="235" t="s">
        <v>22</v>
      </c>
      <c r="N84" s="236"/>
      <c r="O84" s="235" t="s">
        <v>257</v>
      </c>
      <c r="P84" s="236"/>
      <c r="Q84" s="235" t="s">
        <v>258</v>
      </c>
      <c r="R84" s="236"/>
      <c r="S84" s="235" t="s">
        <v>22</v>
      </c>
      <c r="T84" s="236"/>
      <c r="U84" s="235" t="s">
        <v>257</v>
      </c>
      <c r="V84" s="236"/>
      <c r="W84" s="235" t="s">
        <v>258</v>
      </c>
      <c r="X84" s="236"/>
      <c r="Y84" s="235" t="s">
        <v>22</v>
      </c>
      <c r="Z84" s="236"/>
      <c r="AA84" s="235" t="s">
        <v>257</v>
      </c>
      <c r="AB84" s="236"/>
      <c r="AC84" s="235" t="s">
        <v>258</v>
      </c>
      <c r="AD84" s="236"/>
      <c r="AE84" s="235" t="s">
        <v>22</v>
      </c>
      <c r="AF84" s="236"/>
      <c r="AG84" s="235" t="s">
        <v>257</v>
      </c>
      <c r="AH84" s="236"/>
      <c r="AI84" s="235" t="s">
        <v>258</v>
      </c>
      <c r="AJ84" s="236"/>
      <c r="AK84" s="235" t="s">
        <v>22</v>
      </c>
      <c r="AL84" s="236"/>
    </row>
    <row r="85" spans="1:38" ht="24" customHeight="1">
      <c r="A85" s="245"/>
      <c r="B85" s="245"/>
      <c r="C85" s="99" t="s">
        <v>259</v>
      </c>
      <c r="D85" s="99" t="s">
        <v>260</v>
      </c>
      <c r="E85" s="99" t="s">
        <v>259</v>
      </c>
      <c r="F85" s="99" t="s">
        <v>260</v>
      </c>
      <c r="G85" s="99" t="s">
        <v>259</v>
      </c>
      <c r="H85" s="99" t="s">
        <v>260</v>
      </c>
      <c r="I85" s="99" t="s">
        <v>259</v>
      </c>
      <c r="J85" s="99" t="s">
        <v>260</v>
      </c>
      <c r="K85" s="99" t="s">
        <v>259</v>
      </c>
      <c r="L85" s="99" t="s">
        <v>260</v>
      </c>
      <c r="M85" s="99" t="s">
        <v>259</v>
      </c>
      <c r="N85" s="99" t="s">
        <v>260</v>
      </c>
      <c r="O85" s="99" t="s">
        <v>259</v>
      </c>
      <c r="P85" s="99" t="s">
        <v>260</v>
      </c>
      <c r="Q85" s="99" t="s">
        <v>259</v>
      </c>
      <c r="R85" s="99" t="s">
        <v>260</v>
      </c>
      <c r="S85" s="99" t="s">
        <v>259</v>
      </c>
      <c r="T85" s="100" t="s">
        <v>260</v>
      </c>
      <c r="U85" s="101" t="s">
        <v>259</v>
      </c>
      <c r="V85" s="99" t="s">
        <v>260</v>
      </c>
      <c r="W85" s="99" t="s">
        <v>259</v>
      </c>
      <c r="X85" s="99" t="s">
        <v>260</v>
      </c>
      <c r="Y85" s="99" t="s">
        <v>259</v>
      </c>
      <c r="Z85" s="99" t="s">
        <v>260</v>
      </c>
      <c r="AA85" s="99" t="s">
        <v>259</v>
      </c>
      <c r="AB85" s="99" t="s">
        <v>260</v>
      </c>
      <c r="AC85" s="99" t="s">
        <v>259</v>
      </c>
      <c r="AD85" s="99" t="s">
        <v>260</v>
      </c>
      <c r="AE85" s="99" t="s">
        <v>259</v>
      </c>
      <c r="AF85" s="99" t="s">
        <v>260</v>
      </c>
      <c r="AG85" s="99" t="s">
        <v>259</v>
      </c>
      <c r="AH85" s="99" t="s">
        <v>260</v>
      </c>
      <c r="AI85" s="99" t="s">
        <v>259</v>
      </c>
      <c r="AJ85" s="99" t="s">
        <v>260</v>
      </c>
      <c r="AK85" s="99" t="s">
        <v>259</v>
      </c>
      <c r="AL85" s="99" t="s">
        <v>260</v>
      </c>
    </row>
    <row r="86" spans="1:38" ht="24" customHeight="1">
      <c r="A86" s="102">
        <v>1</v>
      </c>
      <c r="B86" s="103" t="s">
        <v>276</v>
      </c>
      <c r="C86" s="104"/>
      <c r="D86" s="104"/>
      <c r="E86" s="104"/>
      <c r="F86" s="104"/>
      <c r="G86" s="99">
        <v>0</v>
      </c>
      <c r="H86" s="99">
        <v>0</v>
      </c>
      <c r="I86" s="99">
        <v>77</v>
      </c>
      <c r="J86" s="99">
        <v>36.08</v>
      </c>
      <c r="K86" s="104"/>
      <c r="L86" s="104"/>
      <c r="M86" s="99">
        <v>77</v>
      </c>
      <c r="N86" s="99">
        <v>36.08</v>
      </c>
      <c r="O86" s="104"/>
      <c r="P86" s="104"/>
      <c r="Q86" s="104"/>
      <c r="R86" s="104"/>
      <c r="S86" s="99">
        <v>0</v>
      </c>
      <c r="T86" s="100">
        <v>0</v>
      </c>
      <c r="U86" s="105"/>
      <c r="V86" s="104"/>
      <c r="W86" s="104"/>
      <c r="X86" s="104"/>
      <c r="Y86" s="99">
        <v>0</v>
      </c>
      <c r="Z86" s="99">
        <v>0</v>
      </c>
      <c r="AA86" s="99">
        <v>92</v>
      </c>
      <c r="AB86" s="99">
        <v>71.72</v>
      </c>
      <c r="AC86" s="104"/>
      <c r="AD86" s="104"/>
      <c r="AE86" s="99">
        <v>92</v>
      </c>
      <c r="AF86" s="99">
        <v>71.72</v>
      </c>
      <c r="AG86" s="104"/>
      <c r="AH86" s="104"/>
      <c r="AI86" s="104"/>
      <c r="AJ86" s="104"/>
      <c r="AK86" s="99">
        <v>0</v>
      </c>
      <c r="AL86" s="99">
        <v>0</v>
      </c>
    </row>
    <row r="87" spans="1:38" ht="24" customHeight="1">
      <c r="A87" s="102">
        <v>2</v>
      </c>
      <c r="B87" s="103" t="s">
        <v>277</v>
      </c>
      <c r="C87" s="104"/>
      <c r="D87" s="104"/>
      <c r="E87" s="104"/>
      <c r="F87" s="104"/>
      <c r="G87" s="99">
        <v>0</v>
      </c>
      <c r="H87" s="99">
        <v>0</v>
      </c>
      <c r="I87" s="99">
        <v>119</v>
      </c>
      <c r="J87" s="99">
        <v>62.56</v>
      </c>
      <c r="K87" s="104"/>
      <c r="L87" s="104"/>
      <c r="M87" s="99">
        <v>119</v>
      </c>
      <c r="N87" s="99">
        <v>62.56</v>
      </c>
      <c r="O87" s="104"/>
      <c r="P87" s="104"/>
      <c r="Q87" s="104"/>
      <c r="R87" s="104"/>
      <c r="S87" s="99">
        <v>0</v>
      </c>
      <c r="T87" s="100">
        <v>0</v>
      </c>
      <c r="U87" s="105"/>
      <c r="V87" s="104"/>
      <c r="W87" s="104"/>
      <c r="X87" s="104"/>
      <c r="Y87" s="99">
        <v>0</v>
      </c>
      <c r="Z87" s="99">
        <v>0</v>
      </c>
      <c r="AA87" s="99">
        <v>148</v>
      </c>
      <c r="AB87" s="99">
        <v>118.5</v>
      </c>
      <c r="AC87" s="104"/>
      <c r="AD87" s="104"/>
      <c r="AE87" s="99">
        <v>148</v>
      </c>
      <c r="AF87" s="99">
        <v>118.5</v>
      </c>
      <c r="AG87" s="104"/>
      <c r="AH87" s="104"/>
      <c r="AI87" s="104"/>
      <c r="AJ87" s="104"/>
      <c r="AK87" s="99">
        <v>0</v>
      </c>
      <c r="AL87" s="99">
        <v>0</v>
      </c>
    </row>
    <row r="88" spans="1:38" ht="24" customHeight="1">
      <c r="A88" s="102">
        <v>3</v>
      </c>
      <c r="B88" s="103" t="s">
        <v>279</v>
      </c>
      <c r="C88" s="104"/>
      <c r="D88" s="104"/>
      <c r="E88" s="104"/>
      <c r="F88" s="104"/>
      <c r="G88" s="99">
        <v>0</v>
      </c>
      <c r="H88" s="99">
        <v>0</v>
      </c>
      <c r="I88" s="104"/>
      <c r="J88" s="104"/>
      <c r="K88" s="104"/>
      <c r="L88" s="104"/>
      <c r="M88" s="99">
        <v>0</v>
      </c>
      <c r="N88" s="99">
        <v>0</v>
      </c>
      <c r="O88" s="99">
        <v>2</v>
      </c>
      <c r="P88" s="99">
        <v>0.94</v>
      </c>
      <c r="Q88" s="104"/>
      <c r="R88" s="104"/>
      <c r="S88" s="99">
        <v>2</v>
      </c>
      <c r="T88" s="100">
        <v>0.94</v>
      </c>
      <c r="U88" s="105"/>
      <c r="V88" s="104"/>
      <c r="W88" s="104"/>
      <c r="X88" s="104"/>
      <c r="Y88" s="99">
        <v>0</v>
      </c>
      <c r="Z88" s="99">
        <v>0</v>
      </c>
      <c r="AA88" s="104"/>
      <c r="AB88" s="104"/>
      <c r="AC88" s="104"/>
      <c r="AD88" s="104"/>
      <c r="AE88" s="99">
        <v>0</v>
      </c>
      <c r="AF88" s="99">
        <v>0</v>
      </c>
      <c r="AG88" s="99">
        <v>3</v>
      </c>
      <c r="AH88" s="99">
        <v>1.5</v>
      </c>
      <c r="AI88" s="104"/>
      <c r="AJ88" s="104"/>
      <c r="AK88" s="99">
        <v>3</v>
      </c>
      <c r="AL88" s="99">
        <v>1.5</v>
      </c>
    </row>
    <row r="89" spans="1:38" ht="24" customHeight="1">
      <c r="A89" s="237" t="s">
        <v>22</v>
      </c>
      <c r="B89" s="238"/>
      <c r="C89" s="99"/>
      <c r="D89" s="99"/>
      <c r="E89" s="99"/>
      <c r="F89" s="99"/>
      <c r="G89" s="99">
        <f>SUM(G86:G88)</f>
        <v>0</v>
      </c>
      <c r="H89" s="99">
        <f>SUM(H86:H88)</f>
        <v>0</v>
      </c>
      <c r="I89" s="99">
        <f>SUM(I86:I88)</f>
        <v>196</v>
      </c>
      <c r="J89" s="99">
        <f>SUM(J86:J88)</f>
        <v>98.64</v>
      </c>
      <c r="K89" s="99"/>
      <c r="L89" s="99"/>
      <c r="M89" s="99">
        <f>SUM(M86:M88)</f>
        <v>196</v>
      </c>
      <c r="N89" s="99">
        <f>SUM(N86:N88)</f>
        <v>98.64</v>
      </c>
      <c r="O89" s="99">
        <f>SUM(O86:O88)</f>
        <v>2</v>
      </c>
      <c r="P89" s="99">
        <f>SUM(P86:P88)</f>
        <v>0.94</v>
      </c>
      <c r="Q89" s="99"/>
      <c r="R89" s="99"/>
      <c r="S89" s="99">
        <f>SUM(S86:S88)</f>
        <v>2</v>
      </c>
      <c r="T89" s="100">
        <f>SUM(T86:T88)</f>
        <v>0.94</v>
      </c>
      <c r="U89" s="101"/>
      <c r="V89" s="99"/>
      <c r="W89" s="99"/>
      <c r="X89" s="99"/>
      <c r="Y89" s="99">
        <f>SUM(Y86:Y88)</f>
        <v>0</v>
      </c>
      <c r="Z89" s="99">
        <f>SUM(Z86:Z88)</f>
        <v>0</v>
      </c>
      <c r="AA89" s="99">
        <f>SUM(AA86:AA88)</f>
        <v>240</v>
      </c>
      <c r="AB89" s="99">
        <f>SUM(AB86:AB88)</f>
        <v>190.22</v>
      </c>
      <c r="AC89" s="99"/>
      <c r="AD89" s="99"/>
      <c r="AE89" s="99">
        <f>SUM(AE86:AE88)</f>
        <v>240</v>
      </c>
      <c r="AF89" s="99">
        <f>SUM(AF86:AF88)</f>
        <v>190.22</v>
      </c>
      <c r="AG89" s="99">
        <f>SUM(AG86:AG88)</f>
        <v>3</v>
      </c>
      <c r="AH89" s="99">
        <f>SUM(AH86:AH88)</f>
        <v>1.5</v>
      </c>
      <c r="AI89" s="99"/>
      <c r="AJ89" s="99"/>
      <c r="AK89" s="99">
        <f>SUM(AK86:AK88)</f>
        <v>3</v>
      </c>
      <c r="AL89" s="99">
        <f>SUM(AL86:AL88)</f>
        <v>1.5</v>
      </c>
    </row>
    <row r="90" spans="1:38" ht="24" customHeight="1">
      <c r="A90" s="240" t="s">
        <v>248</v>
      </c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2"/>
    </row>
    <row r="91" spans="1:38" ht="24" customHeight="1">
      <c r="A91" s="240" t="s">
        <v>299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2"/>
    </row>
    <row r="92" spans="1:38" ht="24" customHeight="1">
      <c r="A92" s="243" t="s">
        <v>250</v>
      </c>
      <c r="B92" s="243" t="s">
        <v>251</v>
      </c>
      <c r="C92" s="235" t="s">
        <v>252</v>
      </c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6"/>
      <c r="U92" s="235" t="s">
        <v>253</v>
      </c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6"/>
    </row>
    <row r="93" spans="1:38" ht="24" customHeight="1">
      <c r="A93" s="244"/>
      <c r="B93" s="244"/>
      <c r="C93" s="235" t="s">
        <v>254</v>
      </c>
      <c r="D93" s="239"/>
      <c r="E93" s="239"/>
      <c r="F93" s="239"/>
      <c r="G93" s="239"/>
      <c r="H93" s="236"/>
      <c r="I93" s="235" t="s">
        <v>255</v>
      </c>
      <c r="J93" s="239"/>
      <c r="K93" s="239"/>
      <c r="L93" s="239"/>
      <c r="M93" s="239"/>
      <c r="N93" s="236"/>
      <c r="O93" s="235" t="s">
        <v>256</v>
      </c>
      <c r="P93" s="239"/>
      <c r="Q93" s="239"/>
      <c r="R93" s="239"/>
      <c r="S93" s="239"/>
      <c r="T93" s="236"/>
      <c r="U93" s="235" t="s">
        <v>254</v>
      </c>
      <c r="V93" s="239"/>
      <c r="W93" s="239"/>
      <c r="X93" s="239"/>
      <c r="Y93" s="239"/>
      <c r="Z93" s="236"/>
      <c r="AA93" s="235" t="s">
        <v>255</v>
      </c>
      <c r="AB93" s="239"/>
      <c r="AC93" s="239"/>
      <c r="AD93" s="239"/>
      <c r="AE93" s="239"/>
      <c r="AF93" s="236"/>
      <c r="AG93" s="235" t="s">
        <v>256</v>
      </c>
      <c r="AH93" s="239"/>
      <c r="AI93" s="239"/>
      <c r="AJ93" s="239"/>
      <c r="AK93" s="239"/>
      <c r="AL93" s="236"/>
    </row>
    <row r="94" spans="1:38" ht="24" customHeight="1">
      <c r="A94" s="244"/>
      <c r="B94" s="244"/>
      <c r="C94" s="235" t="s">
        <v>257</v>
      </c>
      <c r="D94" s="236"/>
      <c r="E94" s="235" t="s">
        <v>258</v>
      </c>
      <c r="F94" s="236"/>
      <c r="G94" s="235" t="s">
        <v>22</v>
      </c>
      <c r="H94" s="236"/>
      <c r="I94" s="235" t="s">
        <v>257</v>
      </c>
      <c r="J94" s="236"/>
      <c r="K94" s="235" t="s">
        <v>258</v>
      </c>
      <c r="L94" s="236"/>
      <c r="M94" s="235" t="s">
        <v>22</v>
      </c>
      <c r="N94" s="236"/>
      <c r="O94" s="235" t="s">
        <v>257</v>
      </c>
      <c r="P94" s="236"/>
      <c r="Q94" s="235" t="s">
        <v>258</v>
      </c>
      <c r="R94" s="236"/>
      <c r="S94" s="235" t="s">
        <v>22</v>
      </c>
      <c r="T94" s="236"/>
      <c r="U94" s="235" t="s">
        <v>257</v>
      </c>
      <c r="V94" s="236"/>
      <c r="W94" s="235" t="s">
        <v>258</v>
      </c>
      <c r="X94" s="236"/>
      <c r="Y94" s="235" t="s">
        <v>22</v>
      </c>
      <c r="Z94" s="236"/>
      <c r="AA94" s="235" t="s">
        <v>257</v>
      </c>
      <c r="AB94" s="236"/>
      <c r="AC94" s="235" t="s">
        <v>258</v>
      </c>
      <c r="AD94" s="236"/>
      <c r="AE94" s="235" t="s">
        <v>22</v>
      </c>
      <c r="AF94" s="236"/>
      <c r="AG94" s="235" t="s">
        <v>257</v>
      </c>
      <c r="AH94" s="236"/>
      <c r="AI94" s="235" t="s">
        <v>258</v>
      </c>
      <c r="AJ94" s="236"/>
      <c r="AK94" s="235" t="s">
        <v>22</v>
      </c>
      <c r="AL94" s="236"/>
    </row>
    <row r="95" spans="1:38" ht="24" customHeight="1">
      <c r="A95" s="245"/>
      <c r="B95" s="245"/>
      <c r="C95" s="99" t="s">
        <v>259</v>
      </c>
      <c r="D95" s="99" t="s">
        <v>260</v>
      </c>
      <c r="E95" s="99" t="s">
        <v>259</v>
      </c>
      <c r="F95" s="99" t="s">
        <v>260</v>
      </c>
      <c r="G95" s="99" t="s">
        <v>259</v>
      </c>
      <c r="H95" s="99" t="s">
        <v>260</v>
      </c>
      <c r="I95" s="99" t="s">
        <v>259</v>
      </c>
      <c r="J95" s="99" t="s">
        <v>260</v>
      </c>
      <c r="K95" s="99" t="s">
        <v>259</v>
      </c>
      <c r="L95" s="99" t="s">
        <v>260</v>
      </c>
      <c r="M95" s="99" t="s">
        <v>259</v>
      </c>
      <c r="N95" s="99" t="s">
        <v>260</v>
      </c>
      <c r="O95" s="99" t="s">
        <v>259</v>
      </c>
      <c r="P95" s="99" t="s">
        <v>260</v>
      </c>
      <c r="Q95" s="99" t="s">
        <v>259</v>
      </c>
      <c r="R95" s="99" t="s">
        <v>260</v>
      </c>
      <c r="S95" s="99" t="s">
        <v>259</v>
      </c>
      <c r="T95" s="100" t="s">
        <v>260</v>
      </c>
      <c r="U95" s="101" t="s">
        <v>259</v>
      </c>
      <c r="V95" s="99" t="s">
        <v>260</v>
      </c>
      <c r="W95" s="99" t="s">
        <v>259</v>
      </c>
      <c r="X95" s="99" t="s">
        <v>260</v>
      </c>
      <c r="Y95" s="99" t="s">
        <v>259</v>
      </c>
      <c r="Z95" s="99" t="s">
        <v>260</v>
      </c>
      <c r="AA95" s="99" t="s">
        <v>259</v>
      </c>
      <c r="AB95" s="99" t="s">
        <v>260</v>
      </c>
      <c r="AC95" s="99" t="s">
        <v>259</v>
      </c>
      <c r="AD95" s="99" t="s">
        <v>260</v>
      </c>
      <c r="AE95" s="99" t="s">
        <v>259</v>
      </c>
      <c r="AF95" s="99" t="s">
        <v>260</v>
      </c>
      <c r="AG95" s="99" t="s">
        <v>259</v>
      </c>
      <c r="AH95" s="99" t="s">
        <v>260</v>
      </c>
      <c r="AI95" s="99" t="s">
        <v>259</v>
      </c>
      <c r="AJ95" s="99" t="s">
        <v>260</v>
      </c>
      <c r="AK95" s="99" t="s">
        <v>259</v>
      </c>
      <c r="AL95" s="99" t="s">
        <v>260</v>
      </c>
    </row>
    <row r="96" spans="1:38" ht="24" customHeight="1">
      <c r="A96" s="102">
        <v>1</v>
      </c>
      <c r="B96" s="103" t="s">
        <v>283</v>
      </c>
      <c r="C96" s="104"/>
      <c r="D96" s="104"/>
      <c r="E96" s="104"/>
      <c r="F96" s="104"/>
      <c r="G96" s="99">
        <v>0</v>
      </c>
      <c r="H96" s="99">
        <v>0</v>
      </c>
      <c r="I96" s="99">
        <v>91</v>
      </c>
      <c r="J96" s="99">
        <v>44.72</v>
      </c>
      <c r="K96" s="104"/>
      <c r="L96" s="104"/>
      <c r="M96" s="99">
        <v>91</v>
      </c>
      <c r="N96" s="99">
        <v>44.72</v>
      </c>
      <c r="O96" s="104"/>
      <c r="P96" s="104"/>
      <c r="Q96" s="104"/>
      <c r="R96" s="104"/>
      <c r="S96" s="99">
        <v>0</v>
      </c>
      <c r="T96" s="100">
        <v>0</v>
      </c>
      <c r="U96" s="105"/>
      <c r="V96" s="104"/>
      <c r="W96" s="104"/>
      <c r="X96" s="104"/>
      <c r="Y96" s="99">
        <v>0</v>
      </c>
      <c r="Z96" s="99">
        <v>0</v>
      </c>
      <c r="AA96" s="99">
        <v>120</v>
      </c>
      <c r="AB96" s="99">
        <v>93.56</v>
      </c>
      <c r="AC96" s="104"/>
      <c r="AD96" s="104"/>
      <c r="AE96" s="99">
        <v>120</v>
      </c>
      <c r="AF96" s="99">
        <v>93.56</v>
      </c>
      <c r="AG96" s="104"/>
      <c r="AH96" s="104"/>
      <c r="AI96" s="104"/>
      <c r="AJ96" s="104"/>
      <c r="AK96" s="99">
        <v>0</v>
      </c>
      <c r="AL96" s="99">
        <v>0</v>
      </c>
    </row>
    <row r="97" spans="1:38" ht="24" customHeight="1">
      <c r="A97" s="102">
        <v>2</v>
      </c>
      <c r="B97" s="103" t="s">
        <v>289</v>
      </c>
      <c r="C97" s="104"/>
      <c r="D97" s="104"/>
      <c r="E97" s="104"/>
      <c r="F97" s="104"/>
      <c r="G97" s="99">
        <v>0</v>
      </c>
      <c r="H97" s="99">
        <v>0</v>
      </c>
      <c r="I97" s="99">
        <v>139</v>
      </c>
      <c r="J97" s="99">
        <v>78.25</v>
      </c>
      <c r="K97" s="104"/>
      <c r="L97" s="104"/>
      <c r="M97" s="99">
        <v>139</v>
      </c>
      <c r="N97" s="99">
        <v>78.25</v>
      </c>
      <c r="O97" s="104"/>
      <c r="P97" s="104"/>
      <c r="Q97" s="104"/>
      <c r="R97" s="104"/>
      <c r="S97" s="99">
        <v>0</v>
      </c>
      <c r="T97" s="100">
        <v>0</v>
      </c>
      <c r="U97" s="105"/>
      <c r="V97" s="104"/>
      <c r="W97" s="104"/>
      <c r="X97" s="104"/>
      <c r="Y97" s="99">
        <v>0</v>
      </c>
      <c r="Z97" s="99">
        <v>0</v>
      </c>
      <c r="AA97" s="99">
        <v>160</v>
      </c>
      <c r="AB97" s="99">
        <v>130.33</v>
      </c>
      <c r="AC97" s="104"/>
      <c r="AD97" s="104"/>
      <c r="AE97" s="99">
        <v>160</v>
      </c>
      <c r="AF97" s="99">
        <v>130.33</v>
      </c>
      <c r="AG97" s="104"/>
      <c r="AH97" s="104"/>
      <c r="AI97" s="104"/>
      <c r="AJ97" s="104"/>
      <c r="AK97" s="99">
        <v>0</v>
      </c>
      <c r="AL97" s="99">
        <v>0</v>
      </c>
    </row>
    <row r="98" spans="1:38" ht="24" customHeight="1">
      <c r="A98" s="102">
        <v>3</v>
      </c>
      <c r="B98" s="103" t="s">
        <v>300</v>
      </c>
      <c r="C98" s="104"/>
      <c r="D98" s="104"/>
      <c r="E98" s="104"/>
      <c r="F98" s="104"/>
      <c r="G98" s="99">
        <v>0</v>
      </c>
      <c r="H98" s="99">
        <v>0</v>
      </c>
      <c r="I98" s="99">
        <v>57</v>
      </c>
      <c r="J98" s="99">
        <v>30.92</v>
      </c>
      <c r="K98" s="104"/>
      <c r="L98" s="104"/>
      <c r="M98" s="99">
        <v>57</v>
      </c>
      <c r="N98" s="99">
        <v>30.92</v>
      </c>
      <c r="O98" s="104"/>
      <c r="P98" s="104"/>
      <c r="Q98" s="104"/>
      <c r="R98" s="104"/>
      <c r="S98" s="99">
        <v>0</v>
      </c>
      <c r="T98" s="100">
        <v>0</v>
      </c>
      <c r="U98" s="105"/>
      <c r="V98" s="104"/>
      <c r="W98" s="104"/>
      <c r="X98" s="104"/>
      <c r="Y98" s="99">
        <v>0</v>
      </c>
      <c r="Z98" s="99">
        <v>0</v>
      </c>
      <c r="AA98" s="99">
        <v>66</v>
      </c>
      <c r="AB98" s="99">
        <v>52.75</v>
      </c>
      <c r="AC98" s="104"/>
      <c r="AD98" s="104"/>
      <c r="AE98" s="99">
        <v>66</v>
      </c>
      <c r="AF98" s="99">
        <v>52.75</v>
      </c>
      <c r="AG98" s="104"/>
      <c r="AH98" s="104"/>
      <c r="AI98" s="104"/>
      <c r="AJ98" s="104"/>
      <c r="AK98" s="99">
        <v>0</v>
      </c>
      <c r="AL98" s="99">
        <v>0</v>
      </c>
    </row>
    <row r="99" spans="1:38" ht="24" customHeight="1">
      <c r="A99" s="102">
        <v>4</v>
      </c>
      <c r="B99" s="103" t="s">
        <v>292</v>
      </c>
      <c r="C99" s="104"/>
      <c r="D99" s="104"/>
      <c r="E99" s="104"/>
      <c r="F99" s="104"/>
      <c r="G99" s="99">
        <v>0</v>
      </c>
      <c r="H99" s="99">
        <v>0</v>
      </c>
      <c r="I99" s="99">
        <v>39</v>
      </c>
      <c r="J99" s="99">
        <v>13.72</v>
      </c>
      <c r="K99" s="104"/>
      <c r="L99" s="104"/>
      <c r="M99" s="99">
        <v>39</v>
      </c>
      <c r="N99" s="99">
        <v>13.72</v>
      </c>
      <c r="O99" s="104"/>
      <c r="P99" s="104"/>
      <c r="Q99" s="104"/>
      <c r="R99" s="104"/>
      <c r="S99" s="99">
        <v>0</v>
      </c>
      <c r="T99" s="100">
        <v>0</v>
      </c>
      <c r="U99" s="105"/>
      <c r="V99" s="104"/>
      <c r="W99" s="104"/>
      <c r="X99" s="104"/>
      <c r="Y99" s="99">
        <v>0</v>
      </c>
      <c r="Z99" s="99">
        <v>0</v>
      </c>
      <c r="AA99" s="99">
        <v>41</v>
      </c>
      <c r="AB99" s="99">
        <v>25.61</v>
      </c>
      <c r="AC99" s="104"/>
      <c r="AD99" s="104"/>
      <c r="AE99" s="99">
        <v>41</v>
      </c>
      <c r="AF99" s="99">
        <v>25.61</v>
      </c>
      <c r="AG99" s="104"/>
      <c r="AH99" s="104"/>
      <c r="AI99" s="104"/>
      <c r="AJ99" s="104"/>
      <c r="AK99" s="99">
        <v>0</v>
      </c>
      <c r="AL99" s="99">
        <v>0</v>
      </c>
    </row>
    <row r="100" spans="1:38" ht="24" customHeight="1">
      <c r="A100" s="102">
        <v>5</v>
      </c>
      <c r="B100" s="103" t="s">
        <v>301</v>
      </c>
      <c r="C100" s="104"/>
      <c r="D100" s="104"/>
      <c r="E100" s="104"/>
      <c r="F100" s="104"/>
      <c r="G100" s="99">
        <v>0</v>
      </c>
      <c r="H100" s="99">
        <v>0</v>
      </c>
      <c r="I100" s="99">
        <v>75</v>
      </c>
      <c r="J100" s="99">
        <v>34.44</v>
      </c>
      <c r="K100" s="104"/>
      <c r="L100" s="104"/>
      <c r="M100" s="99">
        <v>75</v>
      </c>
      <c r="N100" s="99">
        <v>34.44</v>
      </c>
      <c r="O100" s="104"/>
      <c r="P100" s="104"/>
      <c r="Q100" s="104"/>
      <c r="R100" s="104"/>
      <c r="S100" s="99">
        <v>0</v>
      </c>
      <c r="T100" s="100">
        <v>0</v>
      </c>
      <c r="U100" s="105"/>
      <c r="V100" s="104"/>
      <c r="W100" s="104"/>
      <c r="X100" s="104"/>
      <c r="Y100" s="99">
        <v>0</v>
      </c>
      <c r="Z100" s="99">
        <v>0</v>
      </c>
      <c r="AA100" s="99">
        <v>84</v>
      </c>
      <c r="AB100" s="99">
        <v>66.53</v>
      </c>
      <c r="AC100" s="104"/>
      <c r="AD100" s="104"/>
      <c r="AE100" s="99">
        <v>84</v>
      </c>
      <c r="AF100" s="99">
        <v>66.53</v>
      </c>
      <c r="AG100" s="104"/>
      <c r="AH100" s="104"/>
      <c r="AI100" s="104"/>
      <c r="AJ100" s="104"/>
      <c r="AK100" s="99">
        <v>0</v>
      </c>
      <c r="AL100" s="99">
        <v>0</v>
      </c>
    </row>
    <row r="101" spans="1:38" ht="24" customHeight="1">
      <c r="A101" s="102">
        <v>6</v>
      </c>
      <c r="B101" s="103" t="s">
        <v>302</v>
      </c>
      <c r="C101" s="104"/>
      <c r="D101" s="104"/>
      <c r="E101" s="104"/>
      <c r="F101" s="104"/>
      <c r="G101" s="99">
        <v>0</v>
      </c>
      <c r="H101" s="99">
        <v>0</v>
      </c>
      <c r="I101" s="99">
        <v>60</v>
      </c>
      <c r="J101" s="99">
        <v>29.28</v>
      </c>
      <c r="K101" s="104"/>
      <c r="L101" s="104"/>
      <c r="M101" s="99">
        <v>60</v>
      </c>
      <c r="N101" s="99">
        <v>29.28</v>
      </c>
      <c r="O101" s="104"/>
      <c r="P101" s="104"/>
      <c r="Q101" s="104"/>
      <c r="R101" s="104"/>
      <c r="S101" s="99">
        <v>0</v>
      </c>
      <c r="T101" s="100">
        <v>0</v>
      </c>
      <c r="U101" s="105"/>
      <c r="V101" s="104"/>
      <c r="W101" s="104"/>
      <c r="X101" s="104"/>
      <c r="Y101" s="99">
        <v>0</v>
      </c>
      <c r="Z101" s="99">
        <v>0</v>
      </c>
      <c r="AA101" s="99">
        <v>76</v>
      </c>
      <c r="AB101" s="99">
        <v>55.64</v>
      </c>
      <c r="AC101" s="104"/>
      <c r="AD101" s="104"/>
      <c r="AE101" s="99">
        <v>76</v>
      </c>
      <c r="AF101" s="99">
        <v>55.64</v>
      </c>
      <c r="AG101" s="104"/>
      <c r="AH101" s="104"/>
      <c r="AI101" s="104"/>
      <c r="AJ101" s="104"/>
      <c r="AK101" s="99">
        <v>0</v>
      </c>
      <c r="AL101" s="99">
        <v>0</v>
      </c>
    </row>
    <row r="102" spans="1:38" ht="24" customHeight="1">
      <c r="A102" s="237" t="s">
        <v>22</v>
      </c>
      <c r="B102" s="238"/>
      <c r="C102" s="99"/>
      <c r="D102" s="99"/>
      <c r="E102" s="99"/>
      <c r="F102" s="99"/>
      <c r="G102" s="99">
        <f>SUM(G96:G101)</f>
        <v>0</v>
      </c>
      <c r="H102" s="99">
        <f>SUM(H96:H101)</f>
        <v>0</v>
      </c>
      <c r="I102" s="99">
        <f>SUM(I96:I101)</f>
        <v>461</v>
      </c>
      <c r="J102" s="99">
        <f>SUM(J96:J101)</f>
        <v>231.32999999999998</v>
      </c>
      <c r="K102" s="99"/>
      <c r="L102" s="99"/>
      <c r="M102" s="99">
        <f>SUM(M96:M101)</f>
        <v>461</v>
      </c>
      <c r="N102" s="99">
        <f>SUM(N96:N101)</f>
        <v>231.32999999999998</v>
      </c>
      <c r="O102" s="99"/>
      <c r="P102" s="99"/>
      <c r="Q102" s="99"/>
      <c r="R102" s="99"/>
      <c r="S102" s="99">
        <f>SUM(S96:S101)</f>
        <v>0</v>
      </c>
      <c r="T102" s="100">
        <f>SUM(T96:T101)</f>
        <v>0</v>
      </c>
      <c r="U102" s="101"/>
      <c r="V102" s="99"/>
      <c r="W102" s="99"/>
      <c r="X102" s="99"/>
      <c r="Y102" s="99">
        <f>SUM(Y96:Y101)</f>
        <v>0</v>
      </c>
      <c r="Z102" s="99">
        <f>SUM(Z96:Z101)</f>
        <v>0</v>
      </c>
      <c r="AA102" s="99">
        <f>SUM(AA96:AA101)</f>
        <v>547</v>
      </c>
      <c r="AB102" s="99">
        <f>SUM(AB96:AB101)</f>
        <v>424.41999999999996</v>
      </c>
      <c r="AC102" s="99"/>
      <c r="AD102" s="99"/>
      <c r="AE102" s="99">
        <f>SUM(AE96:AE101)</f>
        <v>547</v>
      </c>
      <c r="AF102" s="99">
        <f>SUM(AF96:AF101)</f>
        <v>424.41999999999996</v>
      </c>
      <c r="AG102" s="99"/>
      <c r="AH102" s="99"/>
      <c r="AI102" s="99"/>
      <c r="AJ102" s="99"/>
      <c r="AK102" s="99">
        <f>SUM(AK96:AK101)</f>
        <v>0</v>
      </c>
      <c r="AL102" s="99">
        <f>SUM(AL96:AL101)</f>
        <v>0</v>
      </c>
    </row>
    <row r="103" spans="1:38" ht="24" customHeight="1">
      <c r="A103" s="240" t="s">
        <v>248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2"/>
    </row>
    <row r="104" spans="1:38" ht="24" customHeight="1">
      <c r="A104" s="240" t="s">
        <v>303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2"/>
    </row>
    <row r="105" spans="1:38" ht="24" customHeight="1">
      <c r="A105" s="243" t="s">
        <v>250</v>
      </c>
      <c r="B105" s="243" t="s">
        <v>251</v>
      </c>
      <c r="C105" s="235" t="s">
        <v>252</v>
      </c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6"/>
      <c r="U105" s="235" t="s">
        <v>253</v>
      </c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6"/>
    </row>
    <row r="106" spans="1:38" ht="24" customHeight="1">
      <c r="A106" s="244"/>
      <c r="B106" s="244"/>
      <c r="C106" s="235" t="s">
        <v>254</v>
      </c>
      <c r="D106" s="239"/>
      <c r="E106" s="239"/>
      <c r="F106" s="239"/>
      <c r="G106" s="239"/>
      <c r="H106" s="236"/>
      <c r="I106" s="235" t="s">
        <v>255</v>
      </c>
      <c r="J106" s="239"/>
      <c r="K106" s="239"/>
      <c r="L106" s="239"/>
      <c r="M106" s="239"/>
      <c r="N106" s="236"/>
      <c r="O106" s="235" t="s">
        <v>256</v>
      </c>
      <c r="P106" s="239"/>
      <c r="Q106" s="239"/>
      <c r="R106" s="239"/>
      <c r="S106" s="239"/>
      <c r="T106" s="236"/>
      <c r="U106" s="235" t="s">
        <v>254</v>
      </c>
      <c r="V106" s="239"/>
      <c r="W106" s="239"/>
      <c r="X106" s="239"/>
      <c r="Y106" s="239"/>
      <c r="Z106" s="236"/>
      <c r="AA106" s="235" t="s">
        <v>255</v>
      </c>
      <c r="AB106" s="239"/>
      <c r="AC106" s="239"/>
      <c r="AD106" s="239"/>
      <c r="AE106" s="239"/>
      <c r="AF106" s="236"/>
      <c r="AG106" s="235" t="s">
        <v>256</v>
      </c>
      <c r="AH106" s="239"/>
      <c r="AI106" s="239"/>
      <c r="AJ106" s="239"/>
      <c r="AK106" s="239"/>
      <c r="AL106" s="236"/>
    </row>
    <row r="107" spans="1:38" ht="24" customHeight="1">
      <c r="A107" s="244"/>
      <c r="B107" s="244"/>
      <c r="C107" s="235" t="s">
        <v>257</v>
      </c>
      <c r="D107" s="236"/>
      <c r="E107" s="235" t="s">
        <v>258</v>
      </c>
      <c r="F107" s="236"/>
      <c r="G107" s="235" t="s">
        <v>22</v>
      </c>
      <c r="H107" s="236"/>
      <c r="I107" s="235" t="s">
        <v>257</v>
      </c>
      <c r="J107" s="236"/>
      <c r="K107" s="235" t="s">
        <v>258</v>
      </c>
      <c r="L107" s="236"/>
      <c r="M107" s="235" t="s">
        <v>22</v>
      </c>
      <c r="N107" s="236"/>
      <c r="O107" s="235" t="s">
        <v>257</v>
      </c>
      <c r="P107" s="236"/>
      <c r="Q107" s="235" t="s">
        <v>258</v>
      </c>
      <c r="R107" s="236"/>
      <c r="S107" s="235" t="s">
        <v>22</v>
      </c>
      <c r="T107" s="236"/>
      <c r="U107" s="235" t="s">
        <v>257</v>
      </c>
      <c r="V107" s="236"/>
      <c r="W107" s="235" t="s">
        <v>258</v>
      </c>
      <c r="X107" s="236"/>
      <c r="Y107" s="235" t="s">
        <v>22</v>
      </c>
      <c r="Z107" s="236"/>
      <c r="AA107" s="235" t="s">
        <v>257</v>
      </c>
      <c r="AB107" s="236"/>
      <c r="AC107" s="235" t="s">
        <v>258</v>
      </c>
      <c r="AD107" s="236"/>
      <c r="AE107" s="235" t="s">
        <v>22</v>
      </c>
      <c r="AF107" s="236"/>
      <c r="AG107" s="235" t="s">
        <v>257</v>
      </c>
      <c r="AH107" s="236"/>
      <c r="AI107" s="235" t="s">
        <v>258</v>
      </c>
      <c r="AJ107" s="236"/>
      <c r="AK107" s="235" t="s">
        <v>22</v>
      </c>
      <c r="AL107" s="236"/>
    </row>
    <row r="108" spans="1:38" ht="24" customHeight="1">
      <c r="A108" s="245"/>
      <c r="B108" s="245"/>
      <c r="C108" s="99" t="s">
        <v>259</v>
      </c>
      <c r="D108" s="99" t="s">
        <v>260</v>
      </c>
      <c r="E108" s="99" t="s">
        <v>259</v>
      </c>
      <c r="F108" s="99" t="s">
        <v>260</v>
      </c>
      <c r="G108" s="99" t="s">
        <v>259</v>
      </c>
      <c r="H108" s="99" t="s">
        <v>260</v>
      </c>
      <c r="I108" s="99" t="s">
        <v>259</v>
      </c>
      <c r="J108" s="99" t="s">
        <v>260</v>
      </c>
      <c r="K108" s="99" t="s">
        <v>259</v>
      </c>
      <c r="L108" s="99" t="s">
        <v>260</v>
      </c>
      <c r="M108" s="99" t="s">
        <v>259</v>
      </c>
      <c r="N108" s="99" t="s">
        <v>260</v>
      </c>
      <c r="O108" s="99" t="s">
        <v>259</v>
      </c>
      <c r="P108" s="99" t="s">
        <v>260</v>
      </c>
      <c r="Q108" s="99" t="s">
        <v>259</v>
      </c>
      <c r="R108" s="99" t="s">
        <v>260</v>
      </c>
      <c r="S108" s="99" t="s">
        <v>259</v>
      </c>
      <c r="T108" s="100" t="s">
        <v>260</v>
      </c>
      <c r="U108" s="101" t="s">
        <v>259</v>
      </c>
      <c r="V108" s="99" t="s">
        <v>260</v>
      </c>
      <c r="W108" s="99" t="s">
        <v>259</v>
      </c>
      <c r="X108" s="99" t="s">
        <v>260</v>
      </c>
      <c r="Y108" s="99" t="s">
        <v>259</v>
      </c>
      <c r="Z108" s="99" t="s">
        <v>260</v>
      </c>
      <c r="AA108" s="99" t="s">
        <v>259</v>
      </c>
      <c r="AB108" s="99" t="s">
        <v>260</v>
      </c>
      <c r="AC108" s="99" t="s">
        <v>259</v>
      </c>
      <c r="AD108" s="99" t="s">
        <v>260</v>
      </c>
      <c r="AE108" s="99" t="s">
        <v>259</v>
      </c>
      <c r="AF108" s="99" t="s">
        <v>260</v>
      </c>
      <c r="AG108" s="99" t="s">
        <v>259</v>
      </c>
      <c r="AH108" s="99" t="s">
        <v>260</v>
      </c>
      <c r="AI108" s="99" t="s">
        <v>259</v>
      </c>
      <c r="AJ108" s="99" t="s">
        <v>260</v>
      </c>
      <c r="AK108" s="99" t="s">
        <v>259</v>
      </c>
      <c r="AL108" s="99" t="s">
        <v>260</v>
      </c>
    </row>
    <row r="109" spans="1:38" ht="24" customHeight="1">
      <c r="A109" s="102">
        <v>1</v>
      </c>
      <c r="B109" s="103" t="s">
        <v>304</v>
      </c>
      <c r="C109" s="104"/>
      <c r="D109" s="104"/>
      <c r="E109" s="104"/>
      <c r="F109" s="104"/>
      <c r="G109" s="99">
        <v>0</v>
      </c>
      <c r="H109" s="99">
        <v>0</v>
      </c>
      <c r="I109" s="104"/>
      <c r="J109" s="104"/>
      <c r="K109" s="104"/>
      <c r="L109" s="104"/>
      <c r="M109" s="99">
        <v>0</v>
      </c>
      <c r="N109" s="99">
        <v>0</v>
      </c>
      <c r="O109" s="104"/>
      <c r="P109" s="104"/>
      <c r="Q109" s="104"/>
      <c r="R109" s="104"/>
      <c r="S109" s="99">
        <v>0</v>
      </c>
      <c r="T109" s="100">
        <v>0</v>
      </c>
      <c r="U109" s="105"/>
      <c r="V109" s="104"/>
      <c r="W109" s="104"/>
      <c r="X109" s="104"/>
      <c r="Y109" s="99">
        <v>0</v>
      </c>
      <c r="Z109" s="99">
        <v>0</v>
      </c>
      <c r="AA109" s="104"/>
      <c r="AB109" s="104"/>
      <c r="AC109" s="104"/>
      <c r="AD109" s="104"/>
      <c r="AE109" s="99">
        <v>0</v>
      </c>
      <c r="AF109" s="99">
        <v>0</v>
      </c>
      <c r="AG109" s="104"/>
      <c r="AH109" s="104"/>
      <c r="AI109" s="104"/>
      <c r="AJ109" s="104"/>
      <c r="AK109" s="99">
        <v>0</v>
      </c>
      <c r="AL109" s="99">
        <v>0</v>
      </c>
    </row>
    <row r="110" spans="1:38" ht="24" customHeight="1">
      <c r="A110" s="102">
        <v>2</v>
      </c>
      <c r="B110" s="103" t="s">
        <v>305</v>
      </c>
      <c r="C110" s="104"/>
      <c r="D110" s="104"/>
      <c r="E110" s="104"/>
      <c r="F110" s="104"/>
      <c r="G110" s="99">
        <v>0</v>
      </c>
      <c r="H110" s="99">
        <v>0</v>
      </c>
      <c r="I110" s="99">
        <v>48</v>
      </c>
      <c r="J110" s="99">
        <v>25.47</v>
      </c>
      <c r="K110" s="104"/>
      <c r="L110" s="104"/>
      <c r="M110" s="99">
        <v>48</v>
      </c>
      <c r="N110" s="99">
        <v>25.47</v>
      </c>
      <c r="O110" s="99">
        <v>3</v>
      </c>
      <c r="P110" s="99">
        <v>1.67</v>
      </c>
      <c r="Q110" s="104"/>
      <c r="R110" s="104"/>
      <c r="S110" s="99">
        <v>3</v>
      </c>
      <c r="T110" s="100">
        <v>1.67</v>
      </c>
      <c r="U110" s="105"/>
      <c r="V110" s="104"/>
      <c r="W110" s="104"/>
      <c r="X110" s="104"/>
      <c r="Y110" s="99">
        <v>0</v>
      </c>
      <c r="Z110" s="99">
        <v>0</v>
      </c>
      <c r="AA110" s="99">
        <v>48</v>
      </c>
      <c r="AB110" s="99">
        <v>33.5</v>
      </c>
      <c r="AC110" s="104"/>
      <c r="AD110" s="104"/>
      <c r="AE110" s="99">
        <v>48</v>
      </c>
      <c r="AF110" s="99">
        <v>33.5</v>
      </c>
      <c r="AG110" s="99">
        <v>4</v>
      </c>
      <c r="AH110" s="99">
        <v>2.83</v>
      </c>
      <c r="AI110" s="104"/>
      <c r="AJ110" s="104"/>
      <c r="AK110" s="99">
        <v>4</v>
      </c>
      <c r="AL110" s="99">
        <v>2.83</v>
      </c>
    </row>
    <row r="111" spans="1:38" ht="24" customHeight="1">
      <c r="A111" s="102">
        <v>3</v>
      </c>
      <c r="B111" s="103" t="s">
        <v>306</v>
      </c>
      <c r="C111" s="104"/>
      <c r="D111" s="104"/>
      <c r="E111" s="104"/>
      <c r="F111" s="104"/>
      <c r="G111" s="99">
        <v>0</v>
      </c>
      <c r="H111" s="99">
        <v>0</v>
      </c>
      <c r="I111" s="99">
        <v>67</v>
      </c>
      <c r="J111" s="99">
        <v>33.86</v>
      </c>
      <c r="K111" s="104"/>
      <c r="L111" s="104"/>
      <c r="M111" s="99">
        <v>67</v>
      </c>
      <c r="N111" s="99">
        <v>33.86</v>
      </c>
      <c r="O111" s="104"/>
      <c r="P111" s="104"/>
      <c r="Q111" s="104"/>
      <c r="R111" s="104"/>
      <c r="S111" s="99">
        <v>0</v>
      </c>
      <c r="T111" s="100">
        <v>0</v>
      </c>
      <c r="U111" s="105"/>
      <c r="V111" s="104"/>
      <c r="W111" s="104"/>
      <c r="X111" s="104"/>
      <c r="Y111" s="99">
        <v>0</v>
      </c>
      <c r="Z111" s="99">
        <v>0</v>
      </c>
      <c r="AA111" s="99">
        <v>83</v>
      </c>
      <c r="AB111" s="99">
        <v>59.61</v>
      </c>
      <c r="AC111" s="104"/>
      <c r="AD111" s="104"/>
      <c r="AE111" s="99">
        <v>83</v>
      </c>
      <c r="AF111" s="99">
        <v>59.61</v>
      </c>
      <c r="AG111" s="104"/>
      <c r="AH111" s="104"/>
      <c r="AI111" s="104"/>
      <c r="AJ111" s="104"/>
      <c r="AK111" s="99">
        <v>0</v>
      </c>
      <c r="AL111" s="99">
        <v>0</v>
      </c>
    </row>
    <row r="112" spans="1:38" ht="24" customHeight="1">
      <c r="A112" s="102">
        <v>4</v>
      </c>
      <c r="B112" s="103" t="s">
        <v>307</v>
      </c>
      <c r="C112" s="104"/>
      <c r="D112" s="104"/>
      <c r="E112" s="104"/>
      <c r="F112" s="104"/>
      <c r="G112" s="99">
        <v>0</v>
      </c>
      <c r="H112" s="99">
        <v>0</v>
      </c>
      <c r="I112" s="99">
        <v>14</v>
      </c>
      <c r="J112" s="99">
        <v>5</v>
      </c>
      <c r="K112" s="104"/>
      <c r="L112" s="104"/>
      <c r="M112" s="99">
        <v>14</v>
      </c>
      <c r="N112" s="99">
        <v>5</v>
      </c>
      <c r="O112" s="104"/>
      <c r="P112" s="104"/>
      <c r="Q112" s="104"/>
      <c r="R112" s="104"/>
      <c r="S112" s="99">
        <v>0</v>
      </c>
      <c r="T112" s="100">
        <v>0</v>
      </c>
      <c r="U112" s="105"/>
      <c r="V112" s="104"/>
      <c r="W112" s="104"/>
      <c r="X112" s="104"/>
      <c r="Y112" s="99">
        <v>0</v>
      </c>
      <c r="Z112" s="99">
        <v>0</v>
      </c>
      <c r="AA112" s="99">
        <v>27</v>
      </c>
      <c r="AB112" s="99">
        <v>13.39</v>
      </c>
      <c r="AC112" s="104"/>
      <c r="AD112" s="104"/>
      <c r="AE112" s="99">
        <v>27</v>
      </c>
      <c r="AF112" s="99">
        <v>13.39</v>
      </c>
      <c r="AG112" s="104"/>
      <c r="AH112" s="104"/>
      <c r="AI112" s="104"/>
      <c r="AJ112" s="104"/>
      <c r="AK112" s="99">
        <v>0</v>
      </c>
      <c r="AL112" s="99">
        <v>0</v>
      </c>
    </row>
    <row r="113" spans="1:38" ht="24" customHeight="1">
      <c r="A113" s="102">
        <v>5</v>
      </c>
      <c r="B113" s="103" t="s">
        <v>308</v>
      </c>
      <c r="C113" s="104"/>
      <c r="D113" s="104"/>
      <c r="E113" s="104"/>
      <c r="F113" s="104"/>
      <c r="G113" s="99">
        <v>0</v>
      </c>
      <c r="H113" s="99">
        <v>0</v>
      </c>
      <c r="I113" s="99">
        <v>21</v>
      </c>
      <c r="J113" s="99">
        <v>9.36</v>
      </c>
      <c r="K113" s="104"/>
      <c r="L113" s="104"/>
      <c r="M113" s="99">
        <v>21</v>
      </c>
      <c r="N113" s="99">
        <v>9.36</v>
      </c>
      <c r="O113" s="104"/>
      <c r="P113" s="104"/>
      <c r="Q113" s="104"/>
      <c r="R113" s="104"/>
      <c r="S113" s="99">
        <v>0</v>
      </c>
      <c r="T113" s="100">
        <v>0</v>
      </c>
      <c r="U113" s="105"/>
      <c r="V113" s="104"/>
      <c r="W113" s="104"/>
      <c r="X113" s="104"/>
      <c r="Y113" s="99">
        <v>0</v>
      </c>
      <c r="Z113" s="99">
        <v>0</v>
      </c>
      <c r="AA113" s="99">
        <v>50</v>
      </c>
      <c r="AB113" s="99">
        <v>22.08</v>
      </c>
      <c r="AC113" s="104"/>
      <c r="AD113" s="104"/>
      <c r="AE113" s="99">
        <v>50</v>
      </c>
      <c r="AF113" s="99">
        <v>22.08</v>
      </c>
      <c r="AG113" s="104"/>
      <c r="AH113" s="104"/>
      <c r="AI113" s="104"/>
      <c r="AJ113" s="104"/>
      <c r="AK113" s="99">
        <v>0</v>
      </c>
      <c r="AL113" s="99">
        <v>0</v>
      </c>
    </row>
    <row r="114" spans="1:38" ht="24" customHeight="1">
      <c r="A114" s="102">
        <v>6</v>
      </c>
      <c r="B114" s="103" t="s">
        <v>309</v>
      </c>
      <c r="C114" s="104"/>
      <c r="D114" s="104"/>
      <c r="E114" s="104"/>
      <c r="F114" s="104"/>
      <c r="G114" s="99">
        <v>0</v>
      </c>
      <c r="H114" s="99">
        <v>0</v>
      </c>
      <c r="I114" s="99">
        <v>24</v>
      </c>
      <c r="J114" s="99">
        <v>13.33</v>
      </c>
      <c r="K114" s="104"/>
      <c r="L114" s="104"/>
      <c r="M114" s="99">
        <v>24</v>
      </c>
      <c r="N114" s="99">
        <v>13.33</v>
      </c>
      <c r="O114" s="104"/>
      <c r="P114" s="104"/>
      <c r="Q114" s="104"/>
      <c r="R114" s="104"/>
      <c r="S114" s="99">
        <v>0</v>
      </c>
      <c r="T114" s="100">
        <v>0</v>
      </c>
      <c r="U114" s="105"/>
      <c r="V114" s="104"/>
      <c r="W114" s="104"/>
      <c r="X114" s="104"/>
      <c r="Y114" s="99">
        <v>0</v>
      </c>
      <c r="Z114" s="99">
        <v>0</v>
      </c>
      <c r="AA114" s="99">
        <v>24</v>
      </c>
      <c r="AB114" s="99">
        <v>13.33</v>
      </c>
      <c r="AC114" s="104"/>
      <c r="AD114" s="104"/>
      <c r="AE114" s="99">
        <v>24</v>
      </c>
      <c r="AF114" s="99">
        <v>13.33</v>
      </c>
      <c r="AG114" s="104"/>
      <c r="AH114" s="104"/>
      <c r="AI114" s="104"/>
      <c r="AJ114" s="104"/>
      <c r="AK114" s="99">
        <v>0</v>
      </c>
      <c r="AL114" s="99">
        <v>0</v>
      </c>
    </row>
    <row r="115" spans="1:38" ht="24" customHeight="1">
      <c r="A115" s="102">
        <v>7</v>
      </c>
      <c r="B115" s="103" t="s">
        <v>310</v>
      </c>
      <c r="C115" s="104"/>
      <c r="D115" s="104"/>
      <c r="E115" s="104"/>
      <c r="F115" s="104"/>
      <c r="G115" s="99">
        <v>0</v>
      </c>
      <c r="H115" s="99">
        <v>0</v>
      </c>
      <c r="I115" s="104"/>
      <c r="J115" s="104"/>
      <c r="K115" s="104"/>
      <c r="L115" s="104"/>
      <c r="M115" s="99">
        <v>0</v>
      </c>
      <c r="N115" s="99">
        <v>0</v>
      </c>
      <c r="O115" s="104"/>
      <c r="P115" s="104"/>
      <c r="Q115" s="104"/>
      <c r="R115" s="104"/>
      <c r="S115" s="99">
        <v>0</v>
      </c>
      <c r="T115" s="100">
        <v>0</v>
      </c>
      <c r="U115" s="105"/>
      <c r="V115" s="104"/>
      <c r="W115" s="104"/>
      <c r="X115" s="104"/>
      <c r="Y115" s="99">
        <v>0</v>
      </c>
      <c r="Z115" s="99">
        <v>0</v>
      </c>
      <c r="AA115" s="99">
        <v>8</v>
      </c>
      <c r="AB115" s="99">
        <v>2.56</v>
      </c>
      <c r="AC115" s="104"/>
      <c r="AD115" s="104"/>
      <c r="AE115" s="99">
        <v>8</v>
      </c>
      <c r="AF115" s="99">
        <v>2.56</v>
      </c>
      <c r="AG115" s="104"/>
      <c r="AH115" s="104"/>
      <c r="AI115" s="104"/>
      <c r="AJ115" s="104"/>
      <c r="AK115" s="99">
        <v>0</v>
      </c>
      <c r="AL115" s="99">
        <v>0</v>
      </c>
    </row>
    <row r="116" spans="1:38" ht="24" customHeight="1">
      <c r="A116" s="102">
        <v>8</v>
      </c>
      <c r="B116" s="103" t="s">
        <v>311</v>
      </c>
      <c r="C116" s="104"/>
      <c r="D116" s="104"/>
      <c r="E116" s="104"/>
      <c r="F116" s="104"/>
      <c r="G116" s="99">
        <v>0</v>
      </c>
      <c r="H116" s="99">
        <v>0</v>
      </c>
      <c r="I116" s="99">
        <v>26</v>
      </c>
      <c r="J116" s="99">
        <v>12.86</v>
      </c>
      <c r="K116" s="104"/>
      <c r="L116" s="104"/>
      <c r="M116" s="99">
        <v>26</v>
      </c>
      <c r="N116" s="99">
        <v>12.86</v>
      </c>
      <c r="O116" s="104"/>
      <c r="P116" s="104"/>
      <c r="Q116" s="104"/>
      <c r="R116" s="104"/>
      <c r="S116" s="99">
        <v>0</v>
      </c>
      <c r="T116" s="100">
        <v>0</v>
      </c>
      <c r="U116" s="105"/>
      <c r="V116" s="104"/>
      <c r="W116" s="104"/>
      <c r="X116" s="104"/>
      <c r="Y116" s="99">
        <v>0</v>
      </c>
      <c r="Z116" s="99">
        <v>0</v>
      </c>
      <c r="AA116" s="99">
        <v>34</v>
      </c>
      <c r="AB116" s="99">
        <v>28.53</v>
      </c>
      <c r="AC116" s="104"/>
      <c r="AD116" s="104"/>
      <c r="AE116" s="99">
        <v>34</v>
      </c>
      <c r="AF116" s="99">
        <v>28.53</v>
      </c>
      <c r="AG116" s="104"/>
      <c r="AH116" s="104"/>
      <c r="AI116" s="104"/>
      <c r="AJ116" s="104"/>
      <c r="AK116" s="99">
        <v>0</v>
      </c>
      <c r="AL116" s="99">
        <v>0</v>
      </c>
    </row>
    <row r="117" spans="1:38" ht="24" customHeight="1">
      <c r="A117" s="102">
        <v>9</v>
      </c>
      <c r="B117" s="103" t="s">
        <v>312</v>
      </c>
      <c r="C117" s="104"/>
      <c r="D117" s="104"/>
      <c r="E117" s="104"/>
      <c r="F117" s="104"/>
      <c r="G117" s="99">
        <v>0</v>
      </c>
      <c r="H117" s="99">
        <v>0</v>
      </c>
      <c r="I117" s="99">
        <v>20</v>
      </c>
      <c r="J117" s="99">
        <v>10.72</v>
      </c>
      <c r="K117" s="104"/>
      <c r="L117" s="104"/>
      <c r="M117" s="99">
        <v>20</v>
      </c>
      <c r="N117" s="99">
        <v>10.72</v>
      </c>
      <c r="O117" s="104"/>
      <c r="P117" s="104"/>
      <c r="Q117" s="104"/>
      <c r="R117" s="104"/>
      <c r="S117" s="99">
        <v>0</v>
      </c>
      <c r="T117" s="100">
        <v>0</v>
      </c>
      <c r="U117" s="105"/>
      <c r="V117" s="104"/>
      <c r="W117" s="104"/>
      <c r="X117" s="104"/>
      <c r="Y117" s="99">
        <v>0</v>
      </c>
      <c r="Z117" s="99">
        <v>0</v>
      </c>
      <c r="AA117" s="99">
        <v>35</v>
      </c>
      <c r="AB117" s="99">
        <v>22.75</v>
      </c>
      <c r="AC117" s="104"/>
      <c r="AD117" s="104"/>
      <c r="AE117" s="99">
        <v>35</v>
      </c>
      <c r="AF117" s="99">
        <v>22.75</v>
      </c>
      <c r="AG117" s="104"/>
      <c r="AH117" s="104"/>
      <c r="AI117" s="104"/>
      <c r="AJ117" s="104"/>
      <c r="AK117" s="99">
        <v>0</v>
      </c>
      <c r="AL117" s="99">
        <v>0</v>
      </c>
    </row>
    <row r="118" spans="1:38" ht="24" customHeight="1">
      <c r="A118" s="102">
        <v>10</v>
      </c>
      <c r="B118" s="103" t="s">
        <v>313</v>
      </c>
      <c r="C118" s="104"/>
      <c r="D118" s="104"/>
      <c r="E118" s="104"/>
      <c r="F118" s="104"/>
      <c r="G118" s="99">
        <v>0</v>
      </c>
      <c r="H118" s="99">
        <v>0</v>
      </c>
      <c r="I118" s="99">
        <v>9</v>
      </c>
      <c r="J118" s="99">
        <v>5.06</v>
      </c>
      <c r="K118" s="104"/>
      <c r="L118" s="104"/>
      <c r="M118" s="99">
        <v>9</v>
      </c>
      <c r="N118" s="99">
        <v>5.06</v>
      </c>
      <c r="O118" s="104"/>
      <c r="P118" s="104"/>
      <c r="Q118" s="104"/>
      <c r="R118" s="104"/>
      <c r="S118" s="99">
        <v>0</v>
      </c>
      <c r="T118" s="100">
        <v>0</v>
      </c>
      <c r="U118" s="105"/>
      <c r="V118" s="104"/>
      <c r="W118" s="104"/>
      <c r="X118" s="104"/>
      <c r="Y118" s="99">
        <v>0</v>
      </c>
      <c r="Z118" s="99">
        <v>0</v>
      </c>
      <c r="AA118" s="99">
        <v>9</v>
      </c>
      <c r="AB118" s="99">
        <v>8.56</v>
      </c>
      <c r="AC118" s="104"/>
      <c r="AD118" s="104"/>
      <c r="AE118" s="99">
        <v>9</v>
      </c>
      <c r="AF118" s="99">
        <v>8.56</v>
      </c>
      <c r="AG118" s="104"/>
      <c r="AH118" s="104"/>
      <c r="AI118" s="104"/>
      <c r="AJ118" s="104"/>
      <c r="AK118" s="99">
        <v>0</v>
      </c>
      <c r="AL118" s="99">
        <v>0</v>
      </c>
    </row>
    <row r="119" spans="1:39" ht="24" customHeight="1">
      <c r="A119" s="102">
        <v>11</v>
      </c>
      <c r="B119" s="103" t="s">
        <v>314</v>
      </c>
      <c r="C119" s="104"/>
      <c r="D119" s="104"/>
      <c r="E119" s="104"/>
      <c r="F119" s="104"/>
      <c r="G119" s="99">
        <v>0</v>
      </c>
      <c r="H119" s="99">
        <v>0</v>
      </c>
      <c r="I119" s="104"/>
      <c r="J119" s="104"/>
      <c r="K119" s="104"/>
      <c r="L119" s="104"/>
      <c r="M119" s="99">
        <v>0</v>
      </c>
      <c r="N119" s="99">
        <v>0</v>
      </c>
      <c r="O119" s="104"/>
      <c r="P119" s="104"/>
      <c r="Q119" s="104"/>
      <c r="R119" s="104"/>
      <c r="S119" s="99">
        <v>0</v>
      </c>
      <c r="T119" s="100">
        <v>0</v>
      </c>
      <c r="U119" s="105"/>
      <c r="V119" s="104"/>
      <c r="W119" s="104"/>
      <c r="X119" s="104"/>
      <c r="Y119" s="99">
        <v>0</v>
      </c>
      <c r="Z119" s="99">
        <v>0</v>
      </c>
      <c r="AA119" s="104"/>
      <c r="AB119" s="104"/>
      <c r="AC119" s="104"/>
      <c r="AD119" s="104"/>
      <c r="AE119" s="99">
        <v>0</v>
      </c>
      <c r="AF119" s="99">
        <v>0</v>
      </c>
      <c r="AG119" s="104"/>
      <c r="AH119" s="104"/>
      <c r="AI119" s="104"/>
      <c r="AJ119" s="104"/>
      <c r="AK119" s="99">
        <v>0</v>
      </c>
      <c r="AL119" s="99">
        <v>0</v>
      </c>
      <c r="AM119" s="106"/>
    </row>
    <row r="120" spans="1:39" ht="24" customHeight="1">
      <c r="A120" s="102">
        <v>12</v>
      </c>
      <c r="B120" s="103" t="s">
        <v>315</v>
      </c>
      <c r="C120" s="104"/>
      <c r="D120" s="104"/>
      <c r="E120" s="104"/>
      <c r="F120" s="104"/>
      <c r="G120" s="99">
        <v>0</v>
      </c>
      <c r="H120" s="99">
        <v>0</v>
      </c>
      <c r="I120" s="99">
        <v>54</v>
      </c>
      <c r="J120" s="99">
        <v>27.53</v>
      </c>
      <c r="K120" s="104"/>
      <c r="L120" s="104"/>
      <c r="M120" s="99">
        <v>54</v>
      </c>
      <c r="N120" s="99">
        <v>27.53</v>
      </c>
      <c r="O120" s="104"/>
      <c r="P120" s="104"/>
      <c r="Q120" s="104"/>
      <c r="R120" s="104"/>
      <c r="S120" s="99">
        <v>0</v>
      </c>
      <c r="T120" s="100">
        <v>0</v>
      </c>
      <c r="U120" s="105"/>
      <c r="V120" s="104"/>
      <c r="W120" s="104"/>
      <c r="X120" s="104"/>
      <c r="Y120" s="99">
        <v>0</v>
      </c>
      <c r="Z120" s="99">
        <v>0</v>
      </c>
      <c r="AA120" s="99">
        <v>64</v>
      </c>
      <c r="AB120" s="99">
        <v>45.33</v>
      </c>
      <c r="AC120" s="104"/>
      <c r="AD120" s="104"/>
      <c r="AE120" s="99">
        <v>64</v>
      </c>
      <c r="AF120" s="99">
        <v>45.33</v>
      </c>
      <c r="AG120" s="104"/>
      <c r="AH120" s="104"/>
      <c r="AI120" s="104"/>
      <c r="AJ120" s="104"/>
      <c r="AK120" s="99">
        <v>0</v>
      </c>
      <c r="AL120" s="99">
        <v>0</v>
      </c>
      <c r="AM120" s="106"/>
    </row>
    <row r="121" spans="1:39" ht="24" customHeight="1">
      <c r="A121" s="102">
        <v>13</v>
      </c>
      <c r="B121" s="103" t="s">
        <v>316</v>
      </c>
      <c r="C121" s="104"/>
      <c r="D121" s="104"/>
      <c r="E121" s="104"/>
      <c r="F121" s="104"/>
      <c r="G121" s="99">
        <v>0</v>
      </c>
      <c r="H121" s="99">
        <v>0</v>
      </c>
      <c r="I121" s="104"/>
      <c r="J121" s="104"/>
      <c r="K121" s="104"/>
      <c r="L121" s="104"/>
      <c r="M121" s="99">
        <v>0</v>
      </c>
      <c r="N121" s="99">
        <v>0</v>
      </c>
      <c r="O121" s="104"/>
      <c r="P121" s="104"/>
      <c r="Q121" s="104"/>
      <c r="R121" s="104"/>
      <c r="S121" s="99">
        <v>0</v>
      </c>
      <c r="T121" s="100">
        <v>0</v>
      </c>
      <c r="U121" s="105"/>
      <c r="V121" s="104"/>
      <c r="W121" s="104"/>
      <c r="X121" s="104"/>
      <c r="Y121" s="99">
        <v>0</v>
      </c>
      <c r="Z121" s="99">
        <v>0</v>
      </c>
      <c r="AA121" s="104"/>
      <c r="AB121" s="104"/>
      <c r="AC121" s="104"/>
      <c r="AD121" s="104"/>
      <c r="AE121" s="99">
        <v>0</v>
      </c>
      <c r="AF121" s="99">
        <v>0</v>
      </c>
      <c r="AG121" s="104"/>
      <c r="AH121" s="104"/>
      <c r="AI121" s="104"/>
      <c r="AJ121" s="104"/>
      <c r="AK121" s="99">
        <v>0</v>
      </c>
      <c r="AL121" s="99">
        <v>0</v>
      </c>
      <c r="AM121" s="106"/>
    </row>
    <row r="122" spans="1:39" ht="24" customHeight="1">
      <c r="A122" s="102">
        <v>14</v>
      </c>
      <c r="B122" s="103" t="s">
        <v>317</v>
      </c>
      <c r="C122" s="104"/>
      <c r="D122" s="104"/>
      <c r="E122" s="104"/>
      <c r="F122" s="104"/>
      <c r="G122" s="99">
        <v>0</v>
      </c>
      <c r="H122" s="99">
        <v>0</v>
      </c>
      <c r="I122" s="104"/>
      <c r="J122" s="104"/>
      <c r="K122" s="104"/>
      <c r="L122" s="104"/>
      <c r="M122" s="99">
        <v>0</v>
      </c>
      <c r="N122" s="99">
        <v>0</v>
      </c>
      <c r="O122" s="99">
        <v>2</v>
      </c>
      <c r="P122" s="99">
        <v>0.44</v>
      </c>
      <c r="Q122" s="104"/>
      <c r="R122" s="104"/>
      <c r="S122" s="99">
        <v>2</v>
      </c>
      <c r="T122" s="100">
        <v>0.44</v>
      </c>
      <c r="U122" s="105"/>
      <c r="V122" s="104"/>
      <c r="W122" s="104"/>
      <c r="X122" s="104"/>
      <c r="Y122" s="99">
        <v>0</v>
      </c>
      <c r="Z122" s="99">
        <v>0</v>
      </c>
      <c r="AA122" s="104"/>
      <c r="AB122" s="104"/>
      <c r="AC122" s="104"/>
      <c r="AD122" s="104"/>
      <c r="AE122" s="99">
        <v>0</v>
      </c>
      <c r="AF122" s="99">
        <v>0</v>
      </c>
      <c r="AG122" s="99">
        <v>2</v>
      </c>
      <c r="AH122" s="99">
        <v>0.5</v>
      </c>
      <c r="AI122" s="104"/>
      <c r="AJ122" s="104"/>
      <c r="AK122" s="99">
        <v>2</v>
      </c>
      <c r="AL122" s="99">
        <v>0.5</v>
      </c>
      <c r="AM122" s="106"/>
    </row>
    <row r="123" spans="1:39" ht="24" customHeight="1">
      <c r="A123" s="102">
        <v>15</v>
      </c>
      <c r="B123" s="103" t="s">
        <v>318</v>
      </c>
      <c r="C123" s="104"/>
      <c r="D123" s="104"/>
      <c r="E123" s="104"/>
      <c r="F123" s="104"/>
      <c r="G123" s="99">
        <v>0</v>
      </c>
      <c r="H123" s="99">
        <v>0</v>
      </c>
      <c r="I123" s="99">
        <v>1</v>
      </c>
      <c r="J123" s="99">
        <v>0.08</v>
      </c>
      <c r="K123" s="104"/>
      <c r="L123" s="104"/>
      <c r="M123" s="99">
        <v>1</v>
      </c>
      <c r="N123" s="99">
        <v>0.08</v>
      </c>
      <c r="O123" s="104"/>
      <c r="P123" s="104"/>
      <c r="Q123" s="104"/>
      <c r="R123" s="104"/>
      <c r="S123" s="99">
        <v>0</v>
      </c>
      <c r="T123" s="100">
        <v>0</v>
      </c>
      <c r="U123" s="105"/>
      <c r="V123" s="104"/>
      <c r="W123" s="104"/>
      <c r="X123" s="104"/>
      <c r="Y123" s="99">
        <v>0</v>
      </c>
      <c r="Z123" s="99">
        <v>0</v>
      </c>
      <c r="AA123" s="99">
        <v>1</v>
      </c>
      <c r="AB123" s="99">
        <v>0.25</v>
      </c>
      <c r="AC123" s="104"/>
      <c r="AD123" s="104"/>
      <c r="AE123" s="99">
        <v>1</v>
      </c>
      <c r="AF123" s="99">
        <v>0.25</v>
      </c>
      <c r="AG123" s="104"/>
      <c r="AH123" s="104"/>
      <c r="AI123" s="104"/>
      <c r="AJ123" s="104"/>
      <c r="AK123" s="99">
        <v>0</v>
      </c>
      <c r="AL123" s="99">
        <v>0</v>
      </c>
      <c r="AM123" s="106"/>
    </row>
    <row r="124" spans="1:39" ht="24" customHeight="1">
      <c r="A124" s="102">
        <v>16</v>
      </c>
      <c r="B124" s="103" t="s">
        <v>319</v>
      </c>
      <c r="C124" s="104"/>
      <c r="D124" s="104"/>
      <c r="E124" s="104"/>
      <c r="F124" s="104"/>
      <c r="G124" s="99">
        <v>0</v>
      </c>
      <c r="H124" s="99">
        <v>0</v>
      </c>
      <c r="I124" s="99">
        <v>2</v>
      </c>
      <c r="J124" s="99">
        <v>0.17</v>
      </c>
      <c r="K124" s="104"/>
      <c r="L124" s="104"/>
      <c r="M124" s="99">
        <v>2</v>
      </c>
      <c r="N124" s="99">
        <v>0.17</v>
      </c>
      <c r="O124" s="104"/>
      <c r="P124" s="104"/>
      <c r="Q124" s="104"/>
      <c r="R124" s="104"/>
      <c r="S124" s="99">
        <v>0</v>
      </c>
      <c r="T124" s="100">
        <v>0</v>
      </c>
      <c r="U124" s="105"/>
      <c r="V124" s="104"/>
      <c r="W124" s="104"/>
      <c r="X124" s="104"/>
      <c r="Y124" s="99">
        <v>0</v>
      </c>
      <c r="Z124" s="99">
        <v>0</v>
      </c>
      <c r="AA124" s="99">
        <v>2</v>
      </c>
      <c r="AB124" s="99">
        <v>0.5</v>
      </c>
      <c r="AC124" s="104"/>
      <c r="AD124" s="104"/>
      <c r="AE124" s="99">
        <v>2</v>
      </c>
      <c r="AF124" s="99">
        <v>0.5</v>
      </c>
      <c r="AG124" s="104"/>
      <c r="AH124" s="104"/>
      <c r="AI124" s="104"/>
      <c r="AJ124" s="104"/>
      <c r="AK124" s="99">
        <v>0</v>
      </c>
      <c r="AL124" s="99">
        <v>0</v>
      </c>
      <c r="AM124" s="106"/>
    </row>
    <row r="125" spans="1:39" ht="24" customHeight="1">
      <c r="A125" s="102">
        <v>17</v>
      </c>
      <c r="B125" s="103" t="s">
        <v>320</v>
      </c>
      <c r="C125" s="104"/>
      <c r="D125" s="104"/>
      <c r="E125" s="104"/>
      <c r="F125" s="104"/>
      <c r="G125" s="99">
        <v>0</v>
      </c>
      <c r="H125" s="99">
        <v>0</v>
      </c>
      <c r="I125" s="104"/>
      <c r="J125" s="104"/>
      <c r="K125" s="104"/>
      <c r="L125" s="104"/>
      <c r="M125" s="99">
        <v>0</v>
      </c>
      <c r="N125" s="99">
        <v>0</v>
      </c>
      <c r="O125" s="104"/>
      <c r="P125" s="104"/>
      <c r="Q125" s="104"/>
      <c r="R125" s="104"/>
      <c r="S125" s="99">
        <v>0</v>
      </c>
      <c r="T125" s="100">
        <v>0</v>
      </c>
      <c r="U125" s="105"/>
      <c r="V125" s="104"/>
      <c r="W125" s="104"/>
      <c r="X125" s="104"/>
      <c r="Y125" s="99">
        <v>0</v>
      </c>
      <c r="Z125" s="99">
        <v>0</v>
      </c>
      <c r="AA125" s="99">
        <v>1</v>
      </c>
      <c r="AB125" s="99">
        <v>0.17</v>
      </c>
      <c r="AC125" s="104"/>
      <c r="AD125" s="104"/>
      <c r="AE125" s="99">
        <v>1</v>
      </c>
      <c r="AF125" s="99">
        <v>0.17</v>
      </c>
      <c r="AG125" s="104"/>
      <c r="AH125" s="104"/>
      <c r="AI125" s="104"/>
      <c r="AJ125" s="104"/>
      <c r="AK125" s="99">
        <v>0</v>
      </c>
      <c r="AL125" s="99">
        <v>0</v>
      </c>
      <c r="AM125" s="106"/>
    </row>
    <row r="126" spans="1:38" ht="24" customHeight="1">
      <c r="A126" s="102">
        <v>18</v>
      </c>
      <c r="B126" s="103" t="s">
        <v>321</v>
      </c>
      <c r="C126" s="104"/>
      <c r="D126" s="104"/>
      <c r="E126" s="104"/>
      <c r="F126" s="104"/>
      <c r="G126" s="99">
        <v>0</v>
      </c>
      <c r="H126" s="99">
        <v>0</v>
      </c>
      <c r="I126" s="99">
        <v>101</v>
      </c>
      <c r="J126" s="99">
        <v>44.78</v>
      </c>
      <c r="K126" s="104"/>
      <c r="L126" s="104"/>
      <c r="M126" s="99">
        <v>101</v>
      </c>
      <c r="N126" s="99">
        <v>44.78</v>
      </c>
      <c r="O126" s="104"/>
      <c r="P126" s="104"/>
      <c r="Q126" s="104"/>
      <c r="R126" s="104"/>
      <c r="S126" s="99">
        <v>0</v>
      </c>
      <c r="T126" s="100">
        <v>0</v>
      </c>
      <c r="U126" s="105"/>
      <c r="V126" s="104"/>
      <c r="W126" s="104"/>
      <c r="X126" s="104"/>
      <c r="Y126" s="99">
        <v>0</v>
      </c>
      <c r="Z126" s="99">
        <v>0</v>
      </c>
      <c r="AA126" s="99">
        <v>130</v>
      </c>
      <c r="AB126" s="99">
        <v>84.53</v>
      </c>
      <c r="AC126" s="104"/>
      <c r="AD126" s="104"/>
      <c r="AE126" s="99">
        <v>130</v>
      </c>
      <c r="AF126" s="99">
        <v>84.53</v>
      </c>
      <c r="AG126" s="104"/>
      <c r="AH126" s="104"/>
      <c r="AI126" s="104"/>
      <c r="AJ126" s="104"/>
      <c r="AK126" s="99">
        <v>0</v>
      </c>
      <c r="AL126" s="99">
        <v>0</v>
      </c>
    </row>
    <row r="127" spans="1:38" ht="24" customHeight="1">
      <c r="A127" s="237" t="s">
        <v>22</v>
      </c>
      <c r="B127" s="238"/>
      <c r="C127" s="99"/>
      <c r="D127" s="99"/>
      <c r="E127" s="99"/>
      <c r="F127" s="99"/>
      <c r="G127" s="99">
        <f>SUM(G109:G126)</f>
        <v>0</v>
      </c>
      <c r="H127" s="99">
        <f>SUM(H109:H126)</f>
        <v>0</v>
      </c>
      <c r="I127" s="99">
        <f>SUM(I109:I126)</f>
        <v>387</v>
      </c>
      <c r="J127" s="99">
        <f>SUM(J109:J126)</f>
        <v>188.22</v>
      </c>
      <c r="K127" s="99"/>
      <c r="L127" s="99"/>
      <c r="M127" s="99">
        <f>SUM(M109:M126)</f>
        <v>387</v>
      </c>
      <c r="N127" s="99">
        <f>SUM(N109:N126)</f>
        <v>188.22</v>
      </c>
      <c r="O127" s="99">
        <f>SUM(O109:O126)</f>
        <v>5</v>
      </c>
      <c r="P127" s="99">
        <f>SUM(P109:P126)</f>
        <v>2.11</v>
      </c>
      <c r="Q127" s="99"/>
      <c r="R127" s="99"/>
      <c r="S127" s="99">
        <f>SUM(S109:S126)</f>
        <v>5</v>
      </c>
      <c r="T127" s="100">
        <f>SUM(T109:T126)</f>
        <v>2.11</v>
      </c>
      <c r="U127" s="101"/>
      <c r="V127" s="99"/>
      <c r="W127" s="99"/>
      <c r="X127" s="99"/>
      <c r="Y127" s="99">
        <f>SUM(Y109:Y126)</f>
        <v>0</v>
      </c>
      <c r="Z127" s="99">
        <f>SUM(Z109:Z126)</f>
        <v>0</v>
      </c>
      <c r="AA127" s="99">
        <f>SUM(AA109:AA126)</f>
        <v>516</v>
      </c>
      <c r="AB127" s="99">
        <f>SUM(AB109:AB126)</f>
        <v>335.09</v>
      </c>
      <c r="AC127" s="99"/>
      <c r="AD127" s="99"/>
      <c r="AE127" s="99">
        <f>SUM(AE109:AE126)</f>
        <v>516</v>
      </c>
      <c r="AF127" s="99">
        <f>SUM(AF109:AF126)</f>
        <v>335.09</v>
      </c>
      <c r="AG127" s="99">
        <f>SUM(AG109:AG126)</f>
        <v>6</v>
      </c>
      <c r="AH127" s="99">
        <f>SUM(AH109:AH126)</f>
        <v>3.33</v>
      </c>
      <c r="AI127" s="99"/>
      <c r="AJ127" s="99"/>
      <c r="AK127" s="99">
        <f>SUM(AK109:AK126)</f>
        <v>6</v>
      </c>
      <c r="AL127" s="99">
        <f>SUM(AL109:AL126)</f>
        <v>3.33</v>
      </c>
    </row>
    <row r="128" spans="1:38" ht="24" customHeight="1">
      <c r="A128" s="240" t="s">
        <v>248</v>
      </c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2"/>
    </row>
    <row r="129" spans="1:38" ht="24" customHeight="1">
      <c r="A129" s="240" t="s">
        <v>322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2"/>
    </row>
    <row r="130" spans="1:38" ht="24" customHeight="1">
      <c r="A130" s="243" t="s">
        <v>250</v>
      </c>
      <c r="B130" s="243" t="s">
        <v>251</v>
      </c>
      <c r="C130" s="235" t="s">
        <v>252</v>
      </c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6"/>
      <c r="U130" s="235" t="s">
        <v>253</v>
      </c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6"/>
    </row>
    <row r="131" spans="1:38" ht="24" customHeight="1">
      <c r="A131" s="244"/>
      <c r="B131" s="244"/>
      <c r="C131" s="235" t="s">
        <v>254</v>
      </c>
      <c r="D131" s="239"/>
      <c r="E131" s="239"/>
      <c r="F131" s="239"/>
      <c r="G131" s="239"/>
      <c r="H131" s="236"/>
      <c r="I131" s="235" t="s">
        <v>255</v>
      </c>
      <c r="J131" s="239"/>
      <c r="K131" s="239"/>
      <c r="L131" s="239"/>
      <c r="M131" s="239"/>
      <c r="N131" s="236"/>
      <c r="O131" s="235" t="s">
        <v>256</v>
      </c>
      <c r="P131" s="239"/>
      <c r="Q131" s="239"/>
      <c r="R131" s="239"/>
      <c r="S131" s="239"/>
      <c r="T131" s="236"/>
      <c r="U131" s="235" t="s">
        <v>254</v>
      </c>
      <c r="V131" s="239"/>
      <c r="W131" s="239"/>
      <c r="X131" s="239"/>
      <c r="Y131" s="239"/>
      <c r="Z131" s="236"/>
      <c r="AA131" s="235" t="s">
        <v>255</v>
      </c>
      <c r="AB131" s="239"/>
      <c r="AC131" s="239"/>
      <c r="AD131" s="239"/>
      <c r="AE131" s="239"/>
      <c r="AF131" s="236"/>
      <c r="AG131" s="235" t="s">
        <v>256</v>
      </c>
      <c r="AH131" s="239"/>
      <c r="AI131" s="239"/>
      <c r="AJ131" s="239"/>
      <c r="AK131" s="239"/>
      <c r="AL131" s="236"/>
    </row>
    <row r="132" spans="1:38" ht="24" customHeight="1">
      <c r="A132" s="244"/>
      <c r="B132" s="244"/>
      <c r="C132" s="235" t="s">
        <v>257</v>
      </c>
      <c r="D132" s="236"/>
      <c r="E132" s="235" t="s">
        <v>258</v>
      </c>
      <c r="F132" s="236"/>
      <c r="G132" s="235" t="s">
        <v>22</v>
      </c>
      <c r="H132" s="236"/>
      <c r="I132" s="235" t="s">
        <v>257</v>
      </c>
      <c r="J132" s="236"/>
      <c r="K132" s="235" t="s">
        <v>258</v>
      </c>
      <c r="L132" s="236"/>
      <c r="M132" s="235" t="s">
        <v>22</v>
      </c>
      <c r="N132" s="236"/>
      <c r="O132" s="235" t="s">
        <v>257</v>
      </c>
      <c r="P132" s="236"/>
      <c r="Q132" s="235" t="s">
        <v>258</v>
      </c>
      <c r="R132" s="236"/>
      <c r="S132" s="235" t="s">
        <v>22</v>
      </c>
      <c r="T132" s="236"/>
      <c r="U132" s="235" t="s">
        <v>257</v>
      </c>
      <c r="V132" s="236"/>
      <c r="W132" s="235" t="s">
        <v>258</v>
      </c>
      <c r="X132" s="236"/>
      <c r="Y132" s="235" t="s">
        <v>22</v>
      </c>
      <c r="Z132" s="236"/>
      <c r="AA132" s="235" t="s">
        <v>257</v>
      </c>
      <c r="AB132" s="236"/>
      <c r="AC132" s="235" t="s">
        <v>258</v>
      </c>
      <c r="AD132" s="236"/>
      <c r="AE132" s="235" t="s">
        <v>22</v>
      </c>
      <c r="AF132" s="236"/>
      <c r="AG132" s="235" t="s">
        <v>257</v>
      </c>
      <c r="AH132" s="236"/>
      <c r="AI132" s="235" t="s">
        <v>258</v>
      </c>
      <c r="AJ132" s="236"/>
      <c r="AK132" s="235" t="s">
        <v>22</v>
      </c>
      <c r="AL132" s="236"/>
    </row>
    <row r="133" spans="1:38" ht="24" customHeight="1">
      <c r="A133" s="245"/>
      <c r="B133" s="245"/>
      <c r="C133" s="99" t="s">
        <v>259</v>
      </c>
      <c r="D133" s="99" t="s">
        <v>260</v>
      </c>
      <c r="E133" s="99" t="s">
        <v>259</v>
      </c>
      <c r="F133" s="99" t="s">
        <v>260</v>
      </c>
      <c r="G133" s="99" t="s">
        <v>259</v>
      </c>
      <c r="H133" s="99" t="s">
        <v>260</v>
      </c>
      <c r="I133" s="99" t="s">
        <v>259</v>
      </c>
      <c r="J133" s="99" t="s">
        <v>260</v>
      </c>
      <c r="K133" s="99" t="s">
        <v>259</v>
      </c>
      <c r="L133" s="99" t="s">
        <v>260</v>
      </c>
      <c r="M133" s="99" t="s">
        <v>259</v>
      </c>
      <c r="N133" s="99" t="s">
        <v>260</v>
      </c>
      <c r="O133" s="99" t="s">
        <v>259</v>
      </c>
      <c r="P133" s="99" t="s">
        <v>260</v>
      </c>
      <c r="Q133" s="99" t="s">
        <v>259</v>
      </c>
      <c r="R133" s="99" t="s">
        <v>260</v>
      </c>
      <c r="S133" s="99" t="s">
        <v>259</v>
      </c>
      <c r="T133" s="100" t="s">
        <v>260</v>
      </c>
      <c r="U133" s="101" t="s">
        <v>259</v>
      </c>
      <c r="V133" s="99" t="s">
        <v>260</v>
      </c>
      <c r="W133" s="99" t="s">
        <v>259</v>
      </c>
      <c r="X133" s="99" t="s">
        <v>260</v>
      </c>
      <c r="Y133" s="99" t="s">
        <v>259</v>
      </c>
      <c r="Z133" s="99" t="s">
        <v>260</v>
      </c>
      <c r="AA133" s="99" t="s">
        <v>259</v>
      </c>
      <c r="AB133" s="99" t="s">
        <v>260</v>
      </c>
      <c r="AC133" s="99" t="s">
        <v>259</v>
      </c>
      <c r="AD133" s="99" t="s">
        <v>260</v>
      </c>
      <c r="AE133" s="99" t="s">
        <v>259</v>
      </c>
      <c r="AF133" s="99" t="s">
        <v>260</v>
      </c>
      <c r="AG133" s="99" t="s">
        <v>259</v>
      </c>
      <c r="AH133" s="99" t="s">
        <v>260</v>
      </c>
      <c r="AI133" s="99" t="s">
        <v>259</v>
      </c>
      <c r="AJ133" s="99" t="s">
        <v>260</v>
      </c>
      <c r="AK133" s="99" t="s">
        <v>259</v>
      </c>
      <c r="AL133" s="99" t="s">
        <v>260</v>
      </c>
    </row>
    <row r="134" spans="1:38" ht="24" customHeight="1">
      <c r="A134" s="102">
        <v>1</v>
      </c>
      <c r="B134" s="103" t="s">
        <v>323</v>
      </c>
      <c r="C134" s="104"/>
      <c r="D134" s="104"/>
      <c r="E134" s="104"/>
      <c r="F134" s="104"/>
      <c r="G134" s="99">
        <v>0</v>
      </c>
      <c r="H134" s="99">
        <v>0</v>
      </c>
      <c r="I134" s="99">
        <v>13</v>
      </c>
      <c r="J134" s="99">
        <v>6.97</v>
      </c>
      <c r="K134" s="104"/>
      <c r="L134" s="104"/>
      <c r="M134" s="99">
        <v>13</v>
      </c>
      <c r="N134" s="99">
        <v>6.97</v>
      </c>
      <c r="O134" s="104"/>
      <c r="P134" s="104"/>
      <c r="Q134" s="104"/>
      <c r="R134" s="104"/>
      <c r="S134" s="99">
        <v>0</v>
      </c>
      <c r="T134" s="100">
        <v>0</v>
      </c>
      <c r="U134" s="105"/>
      <c r="V134" s="104"/>
      <c r="W134" s="104"/>
      <c r="X134" s="104"/>
      <c r="Y134" s="99">
        <v>0</v>
      </c>
      <c r="Z134" s="99">
        <v>0</v>
      </c>
      <c r="AA134" s="99">
        <v>13</v>
      </c>
      <c r="AB134" s="99">
        <v>6.97</v>
      </c>
      <c r="AC134" s="104"/>
      <c r="AD134" s="104"/>
      <c r="AE134" s="99">
        <v>13</v>
      </c>
      <c r="AF134" s="99">
        <v>6.97</v>
      </c>
      <c r="AG134" s="104"/>
      <c r="AH134" s="104"/>
      <c r="AI134" s="104"/>
      <c r="AJ134" s="104"/>
      <c r="AK134" s="99">
        <v>0</v>
      </c>
      <c r="AL134" s="99">
        <v>0</v>
      </c>
    </row>
    <row r="135" spans="1:38" ht="24" customHeight="1">
      <c r="A135" s="102">
        <v>2</v>
      </c>
      <c r="B135" s="103" t="s">
        <v>324</v>
      </c>
      <c r="C135" s="104"/>
      <c r="D135" s="104"/>
      <c r="E135" s="104"/>
      <c r="F135" s="104"/>
      <c r="G135" s="99">
        <v>0</v>
      </c>
      <c r="H135" s="99">
        <v>0</v>
      </c>
      <c r="I135" s="99">
        <v>62</v>
      </c>
      <c r="J135" s="99">
        <v>32.17</v>
      </c>
      <c r="K135" s="104"/>
      <c r="L135" s="104"/>
      <c r="M135" s="99">
        <v>62</v>
      </c>
      <c r="N135" s="99">
        <v>32.17</v>
      </c>
      <c r="O135" s="104"/>
      <c r="P135" s="104"/>
      <c r="Q135" s="104"/>
      <c r="R135" s="104"/>
      <c r="S135" s="99">
        <v>0</v>
      </c>
      <c r="T135" s="100">
        <v>0</v>
      </c>
      <c r="U135" s="105"/>
      <c r="V135" s="104"/>
      <c r="W135" s="104"/>
      <c r="X135" s="104"/>
      <c r="Y135" s="99">
        <v>0</v>
      </c>
      <c r="Z135" s="99">
        <v>0</v>
      </c>
      <c r="AA135" s="99">
        <v>63</v>
      </c>
      <c r="AB135" s="99">
        <v>53.69</v>
      </c>
      <c r="AC135" s="104"/>
      <c r="AD135" s="104"/>
      <c r="AE135" s="99">
        <v>63</v>
      </c>
      <c r="AF135" s="99">
        <v>53.69</v>
      </c>
      <c r="AG135" s="104"/>
      <c r="AH135" s="104"/>
      <c r="AI135" s="104"/>
      <c r="AJ135" s="104"/>
      <c r="AK135" s="99">
        <v>0</v>
      </c>
      <c r="AL135" s="99">
        <v>0</v>
      </c>
    </row>
    <row r="136" spans="1:38" ht="24" customHeight="1">
      <c r="A136" s="102">
        <v>3</v>
      </c>
      <c r="B136" s="103" t="s">
        <v>314</v>
      </c>
      <c r="C136" s="104"/>
      <c r="D136" s="104"/>
      <c r="E136" s="104"/>
      <c r="F136" s="104"/>
      <c r="G136" s="99">
        <v>0</v>
      </c>
      <c r="H136" s="99">
        <v>0</v>
      </c>
      <c r="I136" s="104"/>
      <c r="J136" s="104"/>
      <c r="K136" s="104"/>
      <c r="L136" s="104"/>
      <c r="M136" s="99">
        <v>0</v>
      </c>
      <c r="N136" s="99">
        <v>0</v>
      </c>
      <c r="O136" s="104"/>
      <c r="P136" s="104"/>
      <c r="Q136" s="104"/>
      <c r="R136" s="104"/>
      <c r="S136" s="99">
        <v>0</v>
      </c>
      <c r="T136" s="100">
        <v>0</v>
      </c>
      <c r="U136" s="105"/>
      <c r="V136" s="104"/>
      <c r="W136" s="104"/>
      <c r="X136" s="104"/>
      <c r="Y136" s="99">
        <v>0</v>
      </c>
      <c r="Z136" s="99">
        <v>0</v>
      </c>
      <c r="AA136" s="99">
        <v>12</v>
      </c>
      <c r="AB136" s="99">
        <v>4.94</v>
      </c>
      <c r="AC136" s="104"/>
      <c r="AD136" s="104"/>
      <c r="AE136" s="99">
        <v>12</v>
      </c>
      <c r="AF136" s="99">
        <v>4.94</v>
      </c>
      <c r="AG136" s="104"/>
      <c r="AH136" s="104"/>
      <c r="AI136" s="104"/>
      <c r="AJ136" s="104"/>
      <c r="AK136" s="99">
        <v>0</v>
      </c>
      <c r="AL136" s="99">
        <v>0</v>
      </c>
    </row>
    <row r="137" spans="1:38" ht="24" customHeight="1">
      <c r="A137" s="102">
        <v>4</v>
      </c>
      <c r="B137" s="103" t="s">
        <v>302</v>
      </c>
      <c r="C137" s="104"/>
      <c r="D137" s="104"/>
      <c r="E137" s="104"/>
      <c r="F137" s="104"/>
      <c r="G137" s="99">
        <v>0</v>
      </c>
      <c r="H137" s="99">
        <v>0</v>
      </c>
      <c r="I137" s="99">
        <v>123</v>
      </c>
      <c r="J137" s="99">
        <v>67.86</v>
      </c>
      <c r="K137" s="104"/>
      <c r="L137" s="104"/>
      <c r="M137" s="99">
        <v>123</v>
      </c>
      <c r="N137" s="99">
        <v>67.86</v>
      </c>
      <c r="O137" s="104"/>
      <c r="P137" s="104"/>
      <c r="Q137" s="104"/>
      <c r="R137" s="104"/>
      <c r="S137" s="99">
        <v>0</v>
      </c>
      <c r="T137" s="100">
        <v>0</v>
      </c>
      <c r="U137" s="105"/>
      <c r="V137" s="104"/>
      <c r="W137" s="104"/>
      <c r="X137" s="104"/>
      <c r="Y137" s="99">
        <v>0</v>
      </c>
      <c r="Z137" s="99">
        <v>0</v>
      </c>
      <c r="AA137" s="99">
        <v>126</v>
      </c>
      <c r="AB137" s="99">
        <v>101.78</v>
      </c>
      <c r="AC137" s="104"/>
      <c r="AD137" s="104"/>
      <c r="AE137" s="99">
        <v>126</v>
      </c>
      <c r="AF137" s="99">
        <v>101.78</v>
      </c>
      <c r="AG137" s="104"/>
      <c r="AH137" s="104"/>
      <c r="AI137" s="104"/>
      <c r="AJ137" s="104"/>
      <c r="AK137" s="99">
        <v>0</v>
      </c>
      <c r="AL137" s="99">
        <v>0</v>
      </c>
    </row>
    <row r="138" spans="1:38" ht="24" customHeight="1">
      <c r="A138" s="102">
        <v>5</v>
      </c>
      <c r="B138" s="103" t="s">
        <v>318</v>
      </c>
      <c r="C138" s="104"/>
      <c r="D138" s="104"/>
      <c r="E138" s="104"/>
      <c r="F138" s="104"/>
      <c r="G138" s="99">
        <v>0</v>
      </c>
      <c r="H138" s="99">
        <v>0</v>
      </c>
      <c r="I138" s="99">
        <v>77</v>
      </c>
      <c r="J138" s="99">
        <v>43.03</v>
      </c>
      <c r="K138" s="104"/>
      <c r="L138" s="104"/>
      <c r="M138" s="99">
        <v>77</v>
      </c>
      <c r="N138" s="99">
        <v>43.03</v>
      </c>
      <c r="O138" s="104"/>
      <c r="P138" s="104"/>
      <c r="Q138" s="104"/>
      <c r="R138" s="104"/>
      <c r="S138" s="99">
        <v>0</v>
      </c>
      <c r="T138" s="100">
        <v>0</v>
      </c>
      <c r="U138" s="105"/>
      <c r="V138" s="104"/>
      <c r="W138" s="104"/>
      <c r="X138" s="104"/>
      <c r="Y138" s="99">
        <v>0</v>
      </c>
      <c r="Z138" s="99">
        <v>0</v>
      </c>
      <c r="AA138" s="99">
        <v>78</v>
      </c>
      <c r="AB138" s="99">
        <v>54.28</v>
      </c>
      <c r="AC138" s="104"/>
      <c r="AD138" s="104"/>
      <c r="AE138" s="99">
        <v>78</v>
      </c>
      <c r="AF138" s="99">
        <v>54.28</v>
      </c>
      <c r="AG138" s="104"/>
      <c r="AH138" s="104"/>
      <c r="AI138" s="104"/>
      <c r="AJ138" s="104"/>
      <c r="AK138" s="99">
        <v>0</v>
      </c>
      <c r="AL138" s="99">
        <v>0</v>
      </c>
    </row>
    <row r="139" spans="1:38" ht="24" customHeight="1">
      <c r="A139" s="102">
        <v>6</v>
      </c>
      <c r="B139" s="103" t="s">
        <v>270</v>
      </c>
      <c r="C139" s="104"/>
      <c r="D139" s="104"/>
      <c r="E139" s="104"/>
      <c r="F139" s="104"/>
      <c r="G139" s="99">
        <v>0</v>
      </c>
      <c r="H139" s="99">
        <v>0</v>
      </c>
      <c r="I139" s="99">
        <v>55</v>
      </c>
      <c r="J139" s="99">
        <v>21.58</v>
      </c>
      <c r="K139" s="104"/>
      <c r="L139" s="104"/>
      <c r="M139" s="99">
        <v>55</v>
      </c>
      <c r="N139" s="99">
        <v>21.58</v>
      </c>
      <c r="O139" s="104"/>
      <c r="P139" s="104"/>
      <c r="Q139" s="104"/>
      <c r="R139" s="104"/>
      <c r="S139" s="99">
        <v>0</v>
      </c>
      <c r="T139" s="100">
        <v>0</v>
      </c>
      <c r="U139" s="105"/>
      <c r="V139" s="104"/>
      <c r="W139" s="104"/>
      <c r="X139" s="104"/>
      <c r="Y139" s="99">
        <v>0</v>
      </c>
      <c r="Z139" s="99">
        <v>0</v>
      </c>
      <c r="AA139" s="99">
        <v>78</v>
      </c>
      <c r="AB139" s="99">
        <v>59.19</v>
      </c>
      <c r="AC139" s="104"/>
      <c r="AD139" s="104"/>
      <c r="AE139" s="99">
        <v>78</v>
      </c>
      <c r="AF139" s="99">
        <v>59.19</v>
      </c>
      <c r="AG139" s="104"/>
      <c r="AH139" s="104"/>
      <c r="AI139" s="104"/>
      <c r="AJ139" s="104"/>
      <c r="AK139" s="99">
        <v>0</v>
      </c>
      <c r="AL139" s="99">
        <v>0</v>
      </c>
    </row>
    <row r="140" spans="1:38" ht="24" customHeight="1">
      <c r="A140" s="102">
        <v>7</v>
      </c>
      <c r="B140" s="103" t="s">
        <v>325</v>
      </c>
      <c r="C140" s="104"/>
      <c r="D140" s="104"/>
      <c r="E140" s="104"/>
      <c r="F140" s="104"/>
      <c r="G140" s="99">
        <v>0</v>
      </c>
      <c r="H140" s="99">
        <v>0</v>
      </c>
      <c r="I140" s="104"/>
      <c r="J140" s="104"/>
      <c r="K140" s="104"/>
      <c r="L140" s="104"/>
      <c r="M140" s="99">
        <v>0</v>
      </c>
      <c r="N140" s="99">
        <v>0</v>
      </c>
      <c r="O140" s="104"/>
      <c r="P140" s="104"/>
      <c r="Q140" s="104"/>
      <c r="R140" s="104"/>
      <c r="S140" s="99">
        <v>0</v>
      </c>
      <c r="T140" s="100">
        <v>0</v>
      </c>
      <c r="U140" s="105"/>
      <c r="V140" s="104"/>
      <c r="W140" s="104"/>
      <c r="X140" s="104"/>
      <c r="Y140" s="99">
        <v>0</v>
      </c>
      <c r="Z140" s="99">
        <v>0</v>
      </c>
      <c r="AA140" s="104"/>
      <c r="AB140" s="104"/>
      <c r="AC140" s="104"/>
      <c r="AD140" s="104"/>
      <c r="AE140" s="99">
        <v>0</v>
      </c>
      <c r="AF140" s="99">
        <v>0</v>
      </c>
      <c r="AG140" s="104"/>
      <c r="AH140" s="104"/>
      <c r="AI140" s="104"/>
      <c r="AJ140" s="104"/>
      <c r="AK140" s="99">
        <v>0</v>
      </c>
      <c r="AL140" s="99">
        <v>0</v>
      </c>
    </row>
    <row r="141" spans="1:38" ht="24" customHeight="1">
      <c r="A141" s="102">
        <v>8</v>
      </c>
      <c r="B141" s="103" t="s">
        <v>326</v>
      </c>
      <c r="C141" s="104"/>
      <c r="D141" s="104"/>
      <c r="E141" s="104"/>
      <c r="F141" s="104"/>
      <c r="G141" s="99">
        <v>0</v>
      </c>
      <c r="H141" s="99">
        <v>0</v>
      </c>
      <c r="I141" s="99">
        <v>2</v>
      </c>
      <c r="J141" s="99">
        <v>0.5</v>
      </c>
      <c r="K141" s="104"/>
      <c r="L141" s="104"/>
      <c r="M141" s="99">
        <v>2</v>
      </c>
      <c r="N141" s="99">
        <v>0.5</v>
      </c>
      <c r="O141" s="104"/>
      <c r="P141" s="104"/>
      <c r="Q141" s="104"/>
      <c r="R141" s="104"/>
      <c r="S141" s="99">
        <v>0</v>
      </c>
      <c r="T141" s="100">
        <v>0</v>
      </c>
      <c r="U141" s="105"/>
      <c r="V141" s="104"/>
      <c r="W141" s="104"/>
      <c r="X141" s="104"/>
      <c r="Y141" s="99">
        <v>0</v>
      </c>
      <c r="Z141" s="99">
        <v>0</v>
      </c>
      <c r="AA141" s="99">
        <v>19</v>
      </c>
      <c r="AB141" s="99">
        <v>3.42</v>
      </c>
      <c r="AC141" s="104"/>
      <c r="AD141" s="104"/>
      <c r="AE141" s="99">
        <v>19</v>
      </c>
      <c r="AF141" s="99">
        <v>3.42</v>
      </c>
      <c r="AG141" s="104"/>
      <c r="AH141" s="104"/>
      <c r="AI141" s="104"/>
      <c r="AJ141" s="104"/>
      <c r="AK141" s="99">
        <v>0</v>
      </c>
      <c r="AL141" s="99">
        <v>0</v>
      </c>
    </row>
    <row r="142" spans="1:38" ht="24" customHeight="1">
      <c r="A142" s="102">
        <v>9</v>
      </c>
      <c r="B142" s="103" t="s">
        <v>320</v>
      </c>
      <c r="C142" s="104"/>
      <c r="D142" s="104"/>
      <c r="E142" s="104"/>
      <c r="F142" s="104"/>
      <c r="G142" s="99">
        <v>0</v>
      </c>
      <c r="H142" s="99">
        <v>0</v>
      </c>
      <c r="I142" s="99">
        <v>20</v>
      </c>
      <c r="J142" s="99">
        <v>8.14</v>
      </c>
      <c r="K142" s="104"/>
      <c r="L142" s="104"/>
      <c r="M142" s="99">
        <v>20</v>
      </c>
      <c r="N142" s="99">
        <v>8.14</v>
      </c>
      <c r="O142" s="104"/>
      <c r="P142" s="104"/>
      <c r="Q142" s="104"/>
      <c r="R142" s="104"/>
      <c r="S142" s="99">
        <v>0</v>
      </c>
      <c r="T142" s="100">
        <v>0</v>
      </c>
      <c r="U142" s="105"/>
      <c r="V142" s="104"/>
      <c r="W142" s="104"/>
      <c r="X142" s="104"/>
      <c r="Y142" s="99">
        <v>0</v>
      </c>
      <c r="Z142" s="99">
        <v>0</v>
      </c>
      <c r="AA142" s="99">
        <v>22</v>
      </c>
      <c r="AB142" s="99">
        <v>19.94</v>
      </c>
      <c r="AC142" s="104"/>
      <c r="AD142" s="104"/>
      <c r="AE142" s="99">
        <v>22</v>
      </c>
      <c r="AF142" s="99">
        <v>19.94</v>
      </c>
      <c r="AG142" s="104"/>
      <c r="AH142" s="104"/>
      <c r="AI142" s="104"/>
      <c r="AJ142" s="104"/>
      <c r="AK142" s="99">
        <v>0</v>
      </c>
      <c r="AL142" s="99">
        <v>0</v>
      </c>
    </row>
    <row r="143" spans="1:38" ht="24" customHeight="1">
      <c r="A143" s="102">
        <v>10</v>
      </c>
      <c r="B143" s="103" t="s">
        <v>327</v>
      </c>
      <c r="C143" s="104"/>
      <c r="D143" s="104"/>
      <c r="E143" s="104"/>
      <c r="F143" s="104"/>
      <c r="G143" s="99">
        <v>0</v>
      </c>
      <c r="H143" s="99">
        <v>0</v>
      </c>
      <c r="I143" s="104"/>
      <c r="J143" s="104"/>
      <c r="K143" s="104"/>
      <c r="L143" s="104"/>
      <c r="M143" s="99">
        <v>0</v>
      </c>
      <c r="N143" s="99">
        <v>0</v>
      </c>
      <c r="O143" s="104"/>
      <c r="P143" s="104"/>
      <c r="Q143" s="104"/>
      <c r="R143" s="104"/>
      <c r="S143" s="99">
        <v>0</v>
      </c>
      <c r="T143" s="100">
        <v>0</v>
      </c>
      <c r="U143" s="105"/>
      <c r="V143" s="104"/>
      <c r="W143" s="104"/>
      <c r="X143" s="104"/>
      <c r="Y143" s="99">
        <v>0</v>
      </c>
      <c r="Z143" s="99">
        <v>0</v>
      </c>
      <c r="AA143" s="99">
        <v>9</v>
      </c>
      <c r="AB143" s="99">
        <v>2.67</v>
      </c>
      <c r="AC143" s="104"/>
      <c r="AD143" s="104"/>
      <c r="AE143" s="99">
        <v>9</v>
      </c>
      <c r="AF143" s="99">
        <v>2.67</v>
      </c>
      <c r="AG143" s="104"/>
      <c r="AH143" s="104"/>
      <c r="AI143" s="104"/>
      <c r="AJ143" s="104"/>
      <c r="AK143" s="99">
        <v>0</v>
      </c>
      <c r="AL143" s="99">
        <v>0</v>
      </c>
    </row>
    <row r="144" spans="1:38" ht="24" customHeight="1">
      <c r="A144" s="237" t="s">
        <v>22</v>
      </c>
      <c r="B144" s="238"/>
      <c r="C144" s="99"/>
      <c r="D144" s="99"/>
      <c r="E144" s="99"/>
      <c r="F144" s="99"/>
      <c r="G144" s="99">
        <f>SUM(G134:G143)</f>
        <v>0</v>
      </c>
      <c r="H144" s="99">
        <f>SUM(H134:H143)</f>
        <v>0</v>
      </c>
      <c r="I144" s="99">
        <f>SUM(I134:I143)</f>
        <v>352</v>
      </c>
      <c r="J144" s="99">
        <f>SUM(J134:J143)</f>
        <v>180.25</v>
      </c>
      <c r="K144" s="99"/>
      <c r="L144" s="99"/>
      <c r="M144" s="99">
        <f>SUM(M134:M143)</f>
        <v>352</v>
      </c>
      <c r="N144" s="99">
        <f>SUM(N134:N143)</f>
        <v>180.25</v>
      </c>
      <c r="O144" s="99"/>
      <c r="P144" s="99"/>
      <c r="Q144" s="99"/>
      <c r="R144" s="99"/>
      <c r="S144" s="99">
        <f>SUM(S134:S143)</f>
        <v>0</v>
      </c>
      <c r="T144" s="100">
        <f>SUM(T134:T143)</f>
        <v>0</v>
      </c>
      <c r="U144" s="101"/>
      <c r="V144" s="99"/>
      <c r="W144" s="99"/>
      <c r="X144" s="99"/>
      <c r="Y144" s="99">
        <f>SUM(Y134:Y143)</f>
        <v>0</v>
      </c>
      <c r="Z144" s="99">
        <f>SUM(Z134:Z143)</f>
        <v>0</v>
      </c>
      <c r="AA144" s="99">
        <f>SUM(AA134:AA143)</f>
        <v>420</v>
      </c>
      <c r="AB144" s="99">
        <f>SUM(AB134:AB143)</f>
        <v>306.88000000000005</v>
      </c>
      <c r="AC144" s="99"/>
      <c r="AD144" s="99"/>
      <c r="AE144" s="99">
        <f>SUM(AE134:AE143)</f>
        <v>420</v>
      </c>
      <c r="AF144" s="99">
        <f>SUM(AF134:AF143)</f>
        <v>306.88000000000005</v>
      </c>
      <c r="AG144" s="99"/>
      <c r="AH144" s="99"/>
      <c r="AI144" s="99"/>
      <c r="AJ144" s="99"/>
      <c r="AK144" s="99">
        <f>SUM(AK134:AK143)</f>
        <v>0</v>
      </c>
      <c r="AL144" s="99">
        <f>SUM(AL134:AL143)</f>
        <v>0</v>
      </c>
    </row>
    <row r="145" spans="1:38" ht="24" customHeight="1">
      <c r="A145" s="240" t="s">
        <v>248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2"/>
    </row>
    <row r="146" spans="1:38" ht="24" customHeight="1">
      <c r="A146" s="240" t="s">
        <v>328</v>
      </c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2"/>
    </row>
    <row r="147" spans="1:38" ht="24" customHeight="1">
      <c r="A147" s="243" t="s">
        <v>250</v>
      </c>
      <c r="B147" s="243" t="s">
        <v>251</v>
      </c>
      <c r="C147" s="235" t="s">
        <v>252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6"/>
      <c r="U147" s="235" t="s">
        <v>253</v>
      </c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6"/>
    </row>
    <row r="148" spans="1:38" ht="24" customHeight="1">
      <c r="A148" s="244"/>
      <c r="B148" s="244"/>
      <c r="C148" s="235" t="s">
        <v>254</v>
      </c>
      <c r="D148" s="239"/>
      <c r="E148" s="239"/>
      <c r="F148" s="239"/>
      <c r="G148" s="239"/>
      <c r="H148" s="236"/>
      <c r="I148" s="235" t="s">
        <v>255</v>
      </c>
      <c r="J148" s="239"/>
      <c r="K148" s="239"/>
      <c r="L148" s="239"/>
      <c r="M148" s="239"/>
      <c r="N148" s="236"/>
      <c r="O148" s="235" t="s">
        <v>256</v>
      </c>
      <c r="P148" s="239"/>
      <c r="Q148" s="239"/>
      <c r="R148" s="239"/>
      <c r="S148" s="239"/>
      <c r="T148" s="236"/>
      <c r="U148" s="235" t="s">
        <v>254</v>
      </c>
      <c r="V148" s="239"/>
      <c r="W148" s="239"/>
      <c r="X148" s="239"/>
      <c r="Y148" s="239"/>
      <c r="Z148" s="236"/>
      <c r="AA148" s="235" t="s">
        <v>255</v>
      </c>
      <c r="AB148" s="239"/>
      <c r="AC148" s="239"/>
      <c r="AD148" s="239"/>
      <c r="AE148" s="239"/>
      <c r="AF148" s="236"/>
      <c r="AG148" s="235" t="s">
        <v>256</v>
      </c>
      <c r="AH148" s="239"/>
      <c r="AI148" s="239"/>
      <c r="AJ148" s="239"/>
      <c r="AK148" s="239"/>
      <c r="AL148" s="236"/>
    </row>
    <row r="149" spans="1:38" ht="24" customHeight="1">
      <c r="A149" s="244"/>
      <c r="B149" s="244"/>
      <c r="C149" s="235" t="s">
        <v>257</v>
      </c>
      <c r="D149" s="236"/>
      <c r="E149" s="235" t="s">
        <v>258</v>
      </c>
      <c r="F149" s="236"/>
      <c r="G149" s="235" t="s">
        <v>22</v>
      </c>
      <c r="H149" s="236"/>
      <c r="I149" s="235" t="s">
        <v>257</v>
      </c>
      <c r="J149" s="236"/>
      <c r="K149" s="235" t="s">
        <v>258</v>
      </c>
      <c r="L149" s="236"/>
      <c r="M149" s="235" t="s">
        <v>22</v>
      </c>
      <c r="N149" s="236"/>
      <c r="O149" s="235" t="s">
        <v>257</v>
      </c>
      <c r="P149" s="236"/>
      <c r="Q149" s="235" t="s">
        <v>258</v>
      </c>
      <c r="R149" s="236"/>
      <c r="S149" s="235" t="s">
        <v>22</v>
      </c>
      <c r="T149" s="236"/>
      <c r="U149" s="235" t="s">
        <v>257</v>
      </c>
      <c r="V149" s="236"/>
      <c r="W149" s="235" t="s">
        <v>258</v>
      </c>
      <c r="X149" s="236"/>
      <c r="Y149" s="235" t="s">
        <v>22</v>
      </c>
      <c r="Z149" s="236"/>
      <c r="AA149" s="235" t="s">
        <v>257</v>
      </c>
      <c r="AB149" s="236"/>
      <c r="AC149" s="235" t="s">
        <v>258</v>
      </c>
      <c r="AD149" s="236"/>
      <c r="AE149" s="235" t="s">
        <v>22</v>
      </c>
      <c r="AF149" s="236"/>
      <c r="AG149" s="235" t="s">
        <v>257</v>
      </c>
      <c r="AH149" s="236"/>
      <c r="AI149" s="235" t="s">
        <v>258</v>
      </c>
      <c r="AJ149" s="236"/>
      <c r="AK149" s="235" t="s">
        <v>22</v>
      </c>
      <c r="AL149" s="236"/>
    </row>
    <row r="150" spans="1:38" ht="24" customHeight="1">
      <c r="A150" s="245"/>
      <c r="B150" s="245"/>
      <c r="C150" s="99" t="s">
        <v>259</v>
      </c>
      <c r="D150" s="99" t="s">
        <v>260</v>
      </c>
      <c r="E150" s="99" t="s">
        <v>259</v>
      </c>
      <c r="F150" s="99" t="s">
        <v>260</v>
      </c>
      <c r="G150" s="99" t="s">
        <v>259</v>
      </c>
      <c r="H150" s="99" t="s">
        <v>260</v>
      </c>
      <c r="I150" s="99" t="s">
        <v>259</v>
      </c>
      <c r="J150" s="99" t="s">
        <v>260</v>
      </c>
      <c r="K150" s="99" t="s">
        <v>259</v>
      </c>
      <c r="L150" s="99" t="s">
        <v>260</v>
      </c>
      <c r="M150" s="99" t="s">
        <v>259</v>
      </c>
      <c r="N150" s="99" t="s">
        <v>260</v>
      </c>
      <c r="O150" s="99" t="s">
        <v>259</v>
      </c>
      <c r="P150" s="99" t="s">
        <v>260</v>
      </c>
      <c r="Q150" s="99" t="s">
        <v>259</v>
      </c>
      <c r="R150" s="99" t="s">
        <v>260</v>
      </c>
      <c r="S150" s="99" t="s">
        <v>259</v>
      </c>
      <c r="T150" s="100" t="s">
        <v>260</v>
      </c>
      <c r="U150" s="101" t="s">
        <v>259</v>
      </c>
      <c r="V150" s="99" t="s">
        <v>260</v>
      </c>
      <c r="W150" s="99" t="s">
        <v>259</v>
      </c>
      <c r="X150" s="99" t="s">
        <v>260</v>
      </c>
      <c r="Y150" s="99" t="s">
        <v>259</v>
      </c>
      <c r="Z150" s="99" t="s">
        <v>260</v>
      </c>
      <c r="AA150" s="99" t="s">
        <v>259</v>
      </c>
      <c r="AB150" s="99" t="s">
        <v>260</v>
      </c>
      <c r="AC150" s="99" t="s">
        <v>259</v>
      </c>
      <c r="AD150" s="99" t="s">
        <v>260</v>
      </c>
      <c r="AE150" s="99" t="s">
        <v>259</v>
      </c>
      <c r="AF150" s="99" t="s">
        <v>260</v>
      </c>
      <c r="AG150" s="99" t="s">
        <v>259</v>
      </c>
      <c r="AH150" s="99" t="s">
        <v>260</v>
      </c>
      <c r="AI150" s="99" t="s">
        <v>259</v>
      </c>
      <c r="AJ150" s="99" t="s">
        <v>260</v>
      </c>
      <c r="AK150" s="99" t="s">
        <v>259</v>
      </c>
      <c r="AL150" s="99" t="s">
        <v>260</v>
      </c>
    </row>
    <row r="151" spans="1:38" ht="24" customHeight="1">
      <c r="A151" s="102">
        <v>1</v>
      </c>
      <c r="B151" s="103" t="s">
        <v>289</v>
      </c>
      <c r="C151" s="104"/>
      <c r="D151" s="104"/>
      <c r="E151" s="104"/>
      <c r="F151" s="104"/>
      <c r="G151" s="99">
        <v>0</v>
      </c>
      <c r="H151" s="99">
        <v>0</v>
      </c>
      <c r="I151" s="99">
        <v>254</v>
      </c>
      <c r="J151" s="99">
        <v>130.33</v>
      </c>
      <c r="K151" s="104"/>
      <c r="L151" s="104"/>
      <c r="M151" s="99">
        <v>254</v>
      </c>
      <c r="N151" s="99">
        <v>130.33</v>
      </c>
      <c r="O151" s="104"/>
      <c r="P151" s="104"/>
      <c r="Q151" s="104"/>
      <c r="R151" s="104"/>
      <c r="S151" s="99">
        <v>0</v>
      </c>
      <c r="T151" s="100">
        <v>0</v>
      </c>
      <c r="U151" s="105"/>
      <c r="V151" s="104"/>
      <c r="W151" s="104"/>
      <c r="X151" s="104"/>
      <c r="Y151" s="99">
        <v>0</v>
      </c>
      <c r="Z151" s="99">
        <v>0</v>
      </c>
      <c r="AA151" s="99">
        <v>359</v>
      </c>
      <c r="AB151" s="99">
        <v>265.97</v>
      </c>
      <c r="AC151" s="104"/>
      <c r="AD151" s="104"/>
      <c r="AE151" s="99">
        <v>359</v>
      </c>
      <c r="AF151" s="99">
        <v>265.97</v>
      </c>
      <c r="AG151" s="104"/>
      <c r="AH151" s="104"/>
      <c r="AI151" s="104"/>
      <c r="AJ151" s="104"/>
      <c r="AK151" s="99">
        <v>0</v>
      </c>
      <c r="AL151" s="99">
        <v>0</v>
      </c>
    </row>
    <row r="152" spans="1:38" ht="24" customHeight="1">
      <c r="A152" s="102">
        <v>2</v>
      </c>
      <c r="B152" s="103" t="s">
        <v>329</v>
      </c>
      <c r="C152" s="104"/>
      <c r="D152" s="104"/>
      <c r="E152" s="104"/>
      <c r="F152" s="104"/>
      <c r="G152" s="99">
        <v>0</v>
      </c>
      <c r="H152" s="99">
        <v>0</v>
      </c>
      <c r="I152" s="99">
        <v>4</v>
      </c>
      <c r="J152" s="99">
        <v>0.67</v>
      </c>
      <c r="K152" s="104"/>
      <c r="L152" s="104"/>
      <c r="M152" s="99">
        <v>4</v>
      </c>
      <c r="N152" s="99">
        <v>0.67</v>
      </c>
      <c r="O152" s="104"/>
      <c r="P152" s="104"/>
      <c r="Q152" s="104"/>
      <c r="R152" s="104"/>
      <c r="S152" s="99">
        <v>0</v>
      </c>
      <c r="T152" s="100">
        <v>0</v>
      </c>
      <c r="U152" s="105"/>
      <c r="V152" s="104"/>
      <c r="W152" s="104"/>
      <c r="X152" s="104"/>
      <c r="Y152" s="99">
        <v>0</v>
      </c>
      <c r="Z152" s="99">
        <v>0</v>
      </c>
      <c r="AA152" s="99">
        <v>14</v>
      </c>
      <c r="AB152" s="99">
        <v>5.78</v>
      </c>
      <c r="AC152" s="104"/>
      <c r="AD152" s="104"/>
      <c r="AE152" s="99">
        <v>14</v>
      </c>
      <c r="AF152" s="99">
        <v>5.78</v>
      </c>
      <c r="AG152" s="104"/>
      <c r="AH152" s="104"/>
      <c r="AI152" s="104"/>
      <c r="AJ152" s="104"/>
      <c r="AK152" s="99">
        <v>0</v>
      </c>
      <c r="AL152" s="99">
        <v>0</v>
      </c>
    </row>
    <row r="153" spans="1:38" ht="24" customHeight="1">
      <c r="A153" s="102">
        <v>3</v>
      </c>
      <c r="B153" s="103" t="s">
        <v>300</v>
      </c>
      <c r="C153" s="104"/>
      <c r="D153" s="104"/>
      <c r="E153" s="104"/>
      <c r="F153" s="104"/>
      <c r="G153" s="99">
        <v>0</v>
      </c>
      <c r="H153" s="99">
        <v>0</v>
      </c>
      <c r="I153" s="99">
        <v>366</v>
      </c>
      <c r="J153" s="99">
        <v>212.42</v>
      </c>
      <c r="K153" s="104"/>
      <c r="L153" s="104"/>
      <c r="M153" s="99">
        <v>366</v>
      </c>
      <c r="N153" s="99">
        <v>212.42</v>
      </c>
      <c r="O153" s="104"/>
      <c r="P153" s="104"/>
      <c r="Q153" s="104"/>
      <c r="R153" s="104"/>
      <c r="S153" s="99">
        <v>0</v>
      </c>
      <c r="T153" s="100">
        <v>0</v>
      </c>
      <c r="U153" s="105"/>
      <c r="V153" s="104"/>
      <c r="W153" s="104"/>
      <c r="X153" s="104"/>
      <c r="Y153" s="99">
        <v>0</v>
      </c>
      <c r="Z153" s="99">
        <v>0</v>
      </c>
      <c r="AA153" s="99">
        <v>456</v>
      </c>
      <c r="AB153" s="99">
        <v>386.58</v>
      </c>
      <c r="AC153" s="104"/>
      <c r="AD153" s="104"/>
      <c r="AE153" s="99">
        <v>456</v>
      </c>
      <c r="AF153" s="99">
        <v>386.58</v>
      </c>
      <c r="AG153" s="104"/>
      <c r="AH153" s="104"/>
      <c r="AI153" s="104"/>
      <c r="AJ153" s="104"/>
      <c r="AK153" s="99">
        <v>0</v>
      </c>
      <c r="AL153" s="99">
        <v>0</v>
      </c>
    </row>
    <row r="154" spans="1:38" ht="24" customHeight="1">
      <c r="A154" s="102">
        <v>4</v>
      </c>
      <c r="B154" s="103" t="s">
        <v>265</v>
      </c>
      <c r="C154" s="104"/>
      <c r="D154" s="104"/>
      <c r="E154" s="104"/>
      <c r="F154" s="104"/>
      <c r="G154" s="99">
        <v>0</v>
      </c>
      <c r="H154" s="99">
        <v>0</v>
      </c>
      <c r="I154" s="99">
        <v>41</v>
      </c>
      <c r="J154" s="99">
        <v>21.08</v>
      </c>
      <c r="K154" s="104"/>
      <c r="L154" s="104"/>
      <c r="M154" s="99">
        <v>41</v>
      </c>
      <c r="N154" s="99">
        <v>21.08</v>
      </c>
      <c r="O154" s="104"/>
      <c r="P154" s="104"/>
      <c r="Q154" s="104"/>
      <c r="R154" s="104"/>
      <c r="S154" s="99">
        <v>0</v>
      </c>
      <c r="T154" s="100">
        <v>0</v>
      </c>
      <c r="U154" s="105"/>
      <c r="V154" s="104"/>
      <c r="W154" s="104"/>
      <c r="X154" s="104"/>
      <c r="Y154" s="99">
        <v>0</v>
      </c>
      <c r="Z154" s="99">
        <v>0</v>
      </c>
      <c r="AA154" s="99">
        <v>61</v>
      </c>
      <c r="AB154" s="99">
        <v>44.14</v>
      </c>
      <c r="AC154" s="104"/>
      <c r="AD154" s="104"/>
      <c r="AE154" s="99">
        <v>61</v>
      </c>
      <c r="AF154" s="99">
        <v>44.14</v>
      </c>
      <c r="AG154" s="104"/>
      <c r="AH154" s="104"/>
      <c r="AI154" s="104"/>
      <c r="AJ154" s="104"/>
      <c r="AK154" s="99">
        <v>0</v>
      </c>
      <c r="AL154" s="99">
        <v>0</v>
      </c>
    </row>
    <row r="155" spans="1:38" ht="24" customHeight="1">
      <c r="A155" s="237" t="s">
        <v>22</v>
      </c>
      <c r="B155" s="238"/>
      <c r="C155" s="99"/>
      <c r="D155" s="99"/>
      <c r="E155" s="99"/>
      <c r="F155" s="99"/>
      <c r="G155" s="99">
        <f>SUM(G151:G154)</f>
        <v>0</v>
      </c>
      <c r="H155" s="99">
        <f>SUM(H151:H154)</f>
        <v>0</v>
      </c>
      <c r="I155" s="99">
        <f>SUM(I151:I154)</f>
        <v>665</v>
      </c>
      <c r="J155" s="99">
        <f>SUM(J151:J154)</f>
        <v>364.49999999999994</v>
      </c>
      <c r="K155" s="99"/>
      <c r="L155" s="99"/>
      <c r="M155" s="99">
        <f>SUM(M151:M154)</f>
        <v>665</v>
      </c>
      <c r="N155" s="99">
        <f>SUM(N151:N154)</f>
        <v>364.49999999999994</v>
      </c>
      <c r="O155" s="99"/>
      <c r="P155" s="99"/>
      <c r="Q155" s="99"/>
      <c r="R155" s="99"/>
      <c r="S155" s="99">
        <f>SUM(S151:S154)</f>
        <v>0</v>
      </c>
      <c r="T155" s="100">
        <f>SUM(T151:T154)</f>
        <v>0</v>
      </c>
      <c r="U155" s="101"/>
      <c r="V155" s="99"/>
      <c r="W155" s="99"/>
      <c r="X155" s="99"/>
      <c r="Y155" s="99">
        <f>SUM(Y151:Y154)</f>
        <v>0</v>
      </c>
      <c r="Z155" s="99">
        <f>SUM(Z151:Z154)</f>
        <v>0</v>
      </c>
      <c r="AA155" s="99">
        <f>SUM(AA151:AA154)</f>
        <v>890</v>
      </c>
      <c r="AB155" s="99">
        <f>SUM(AB151:AB154)</f>
        <v>702.4699999999999</v>
      </c>
      <c r="AC155" s="99"/>
      <c r="AD155" s="99"/>
      <c r="AE155" s="99">
        <f>SUM(AE151:AE154)</f>
        <v>890</v>
      </c>
      <c r="AF155" s="99">
        <f>SUM(AF151:AF154)</f>
        <v>702.4699999999999</v>
      </c>
      <c r="AG155" s="99"/>
      <c r="AH155" s="99"/>
      <c r="AI155" s="99"/>
      <c r="AJ155" s="99"/>
      <c r="AK155" s="99">
        <f>SUM(AK151:AK154)</f>
        <v>0</v>
      </c>
      <c r="AL155" s="99">
        <f>SUM(AL151:AL154)</f>
        <v>0</v>
      </c>
    </row>
    <row r="156" spans="1:38" ht="24" customHeight="1">
      <c r="A156" s="240" t="s">
        <v>248</v>
      </c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2"/>
    </row>
    <row r="157" spans="1:38" ht="24" customHeight="1">
      <c r="A157" s="240" t="s">
        <v>330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2"/>
    </row>
    <row r="158" spans="1:38" ht="24" customHeight="1">
      <c r="A158" s="243" t="s">
        <v>250</v>
      </c>
      <c r="B158" s="243" t="s">
        <v>251</v>
      </c>
      <c r="C158" s="235" t="s">
        <v>252</v>
      </c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6"/>
      <c r="U158" s="235" t="s">
        <v>253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6"/>
    </row>
    <row r="159" spans="1:38" ht="24" customHeight="1">
      <c r="A159" s="244"/>
      <c r="B159" s="244"/>
      <c r="C159" s="235" t="s">
        <v>254</v>
      </c>
      <c r="D159" s="239"/>
      <c r="E159" s="239"/>
      <c r="F159" s="239"/>
      <c r="G159" s="239"/>
      <c r="H159" s="236"/>
      <c r="I159" s="235" t="s">
        <v>255</v>
      </c>
      <c r="J159" s="239"/>
      <c r="K159" s="239"/>
      <c r="L159" s="239"/>
      <c r="M159" s="239"/>
      <c r="N159" s="236"/>
      <c r="O159" s="235" t="s">
        <v>256</v>
      </c>
      <c r="P159" s="239"/>
      <c r="Q159" s="239"/>
      <c r="R159" s="239"/>
      <c r="S159" s="239"/>
      <c r="T159" s="236"/>
      <c r="U159" s="235" t="s">
        <v>254</v>
      </c>
      <c r="V159" s="239"/>
      <c r="W159" s="239"/>
      <c r="X159" s="239"/>
      <c r="Y159" s="239"/>
      <c r="Z159" s="236"/>
      <c r="AA159" s="235" t="s">
        <v>255</v>
      </c>
      <c r="AB159" s="239"/>
      <c r="AC159" s="239"/>
      <c r="AD159" s="239"/>
      <c r="AE159" s="239"/>
      <c r="AF159" s="236"/>
      <c r="AG159" s="235" t="s">
        <v>256</v>
      </c>
      <c r="AH159" s="239"/>
      <c r="AI159" s="239"/>
      <c r="AJ159" s="239"/>
      <c r="AK159" s="239"/>
      <c r="AL159" s="236"/>
    </row>
    <row r="160" spans="1:38" ht="24" customHeight="1">
      <c r="A160" s="244"/>
      <c r="B160" s="244"/>
      <c r="C160" s="235" t="s">
        <v>257</v>
      </c>
      <c r="D160" s="236"/>
      <c r="E160" s="235" t="s">
        <v>258</v>
      </c>
      <c r="F160" s="236"/>
      <c r="G160" s="235" t="s">
        <v>22</v>
      </c>
      <c r="H160" s="236"/>
      <c r="I160" s="235" t="s">
        <v>257</v>
      </c>
      <c r="J160" s="236"/>
      <c r="K160" s="235" t="s">
        <v>258</v>
      </c>
      <c r="L160" s="236"/>
      <c r="M160" s="235" t="s">
        <v>22</v>
      </c>
      <c r="N160" s="236"/>
      <c r="O160" s="235" t="s">
        <v>257</v>
      </c>
      <c r="P160" s="236"/>
      <c r="Q160" s="235" t="s">
        <v>258</v>
      </c>
      <c r="R160" s="236"/>
      <c r="S160" s="235" t="s">
        <v>22</v>
      </c>
      <c r="T160" s="236"/>
      <c r="U160" s="235" t="s">
        <v>257</v>
      </c>
      <c r="V160" s="236"/>
      <c r="W160" s="235" t="s">
        <v>258</v>
      </c>
      <c r="X160" s="236"/>
      <c r="Y160" s="235" t="s">
        <v>22</v>
      </c>
      <c r="Z160" s="236"/>
      <c r="AA160" s="235" t="s">
        <v>257</v>
      </c>
      <c r="AB160" s="236"/>
      <c r="AC160" s="235" t="s">
        <v>258</v>
      </c>
      <c r="AD160" s="236"/>
      <c r="AE160" s="235" t="s">
        <v>22</v>
      </c>
      <c r="AF160" s="236"/>
      <c r="AG160" s="235" t="s">
        <v>257</v>
      </c>
      <c r="AH160" s="236"/>
      <c r="AI160" s="235" t="s">
        <v>258</v>
      </c>
      <c r="AJ160" s="236"/>
      <c r="AK160" s="235" t="s">
        <v>22</v>
      </c>
      <c r="AL160" s="236"/>
    </row>
    <row r="161" spans="1:38" ht="24" customHeight="1">
      <c r="A161" s="245"/>
      <c r="B161" s="245"/>
      <c r="C161" s="99" t="s">
        <v>259</v>
      </c>
      <c r="D161" s="99" t="s">
        <v>260</v>
      </c>
      <c r="E161" s="99" t="s">
        <v>259</v>
      </c>
      <c r="F161" s="99" t="s">
        <v>260</v>
      </c>
      <c r="G161" s="99" t="s">
        <v>259</v>
      </c>
      <c r="H161" s="99" t="s">
        <v>260</v>
      </c>
      <c r="I161" s="99" t="s">
        <v>259</v>
      </c>
      <c r="J161" s="99" t="s">
        <v>260</v>
      </c>
      <c r="K161" s="99" t="s">
        <v>259</v>
      </c>
      <c r="L161" s="99" t="s">
        <v>260</v>
      </c>
      <c r="M161" s="99" t="s">
        <v>259</v>
      </c>
      <c r="N161" s="99" t="s">
        <v>260</v>
      </c>
      <c r="O161" s="99" t="s">
        <v>259</v>
      </c>
      <c r="P161" s="99" t="s">
        <v>260</v>
      </c>
      <c r="Q161" s="99" t="s">
        <v>259</v>
      </c>
      <c r="R161" s="99" t="s">
        <v>260</v>
      </c>
      <c r="S161" s="99" t="s">
        <v>259</v>
      </c>
      <c r="T161" s="100" t="s">
        <v>260</v>
      </c>
      <c r="U161" s="101" t="s">
        <v>259</v>
      </c>
      <c r="V161" s="99" t="s">
        <v>260</v>
      </c>
      <c r="W161" s="99" t="s">
        <v>259</v>
      </c>
      <c r="X161" s="99" t="s">
        <v>260</v>
      </c>
      <c r="Y161" s="99" t="s">
        <v>259</v>
      </c>
      <c r="Z161" s="99" t="s">
        <v>260</v>
      </c>
      <c r="AA161" s="99" t="s">
        <v>259</v>
      </c>
      <c r="AB161" s="99" t="s">
        <v>260</v>
      </c>
      <c r="AC161" s="99" t="s">
        <v>259</v>
      </c>
      <c r="AD161" s="99" t="s">
        <v>260</v>
      </c>
      <c r="AE161" s="99" t="s">
        <v>259</v>
      </c>
      <c r="AF161" s="99" t="s">
        <v>260</v>
      </c>
      <c r="AG161" s="99" t="s">
        <v>259</v>
      </c>
      <c r="AH161" s="99" t="s">
        <v>260</v>
      </c>
      <c r="AI161" s="99" t="s">
        <v>259</v>
      </c>
      <c r="AJ161" s="99" t="s">
        <v>260</v>
      </c>
      <c r="AK161" s="99" t="s">
        <v>259</v>
      </c>
      <c r="AL161" s="99" t="s">
        <v>260</v>
      </c>
    </row>
    <row r="162" spans="1:38" ht="24" customHeight="1">
      <c r="A162" s="102">
        <v>1</v>
      </c>
      <c r="B162" s="103" t="s">
        <v>331</v>
      </c>
      <c r="C162" s="104"/>
      <c r="D162" s="104"/>
      <c r="E162" s="104"/>
      <c r="F162" s="104"/>
      <c r="G162" s="99">
        <v>0</v>
      </c>
      <c r="H162" s="99">
        <v>0</v>
      </c>
      <c r="I162" s="99">
        <v>254</v>
      </c>
      <c r="J162" s="99">
        <v>124.69</v>
      </c>
      <c r="K162" s="99">
        <v>4</v>
      </c>
      <c r="L162" s="99">
        <v>0.5</v>
      </c>
      <c r="M162" s="99">
        <v>258</v>
      </c>
      <c r="N162" s="99">
        <v>125.19</v>
      </c>
      <c r="O162" s="104"/>
      <c r="P162" s="104"/>
      <c r="Q162" s="104"/>
      <c r="R162" s="104"/>
      <c r="S162" s="99">
        <v>0</v>
      </c>
      <c r="T162" s="100">
        <v>0</v>
      </c>
      <c r="U162" s="105"/>
      <c r="V162" s="104"/>
      <c r="W162" s="104"/>
      <c r="X162" s="104"/>
      <c r="Y162" s="99">
        <v>0</v>
      </c>
      <c r="Z162" s="99">
        <v>0</v>
      </c>
      <c r="AA162" s="99">
        <v>323</v>
      </c>
      <c r="AB162" s="99">
        <v>258.92</v>
      </c>
      <c r="AC162" s="99">
        <v>12</v>
      </c>
      <c r="AD162" s="99">
        <v>2.08</v>
      </c>
      <c r="AE162" s="99">
        <v>335</v>
      </c>
      <c r="AF162" s="99">
        <v>261</v>
      </c>
      <c r="AG162" s="104"/>
      <c r="AH162" s="104"/>
      <c r="AI162" s="104"/>
      <c r="AJ162" s="104"/>
      <c r="AK162" s="99">
        <v>0</v>
      </c>
      <c r="AL162" s="99">
        <v>0</v>
      </c>
    </row>
    <row r="163" spans="1:38" ht="24" customHeight="1">
      <c r="A163" s="102">
        <v>2</v>
      </c>
      <c r="B163" s="103" t="s">
        <v>332</v>
      </c>
      <c r="C163" s="104"/>
      <c r="D163" s="104"/>
      <c r="E163" s="104"/>
      <c r="F163" s="104"/>
      <c r="G163" s="99">
        <v>0</v>
      </c>
      <c r="H163" s="99">
        <v>0</v>
      </c>
      <c r="I163" s="99">
        <v>133</v>
      </c>
      <c r="J163" s="99">
        <v>65.44</v>
      </c>
      <c r="K163" s="104"/>
      <c r="L163" s="104"/>
      <c r="M163" s="99">
        <v>133</v>
      </c>
      <c r="N163" s="99">
        <v>65.44</v>
      </c>
      <c r="O163" s="104"/>
      <c r="P163" s="104"/>
      <c r="Q163" s="104"/>
      <c r="R163" s="104"/>
      <c r="S163" s="99">
        <v>0</v>
      </c>
      <c r="T163" s="100">
        <v>0</v>
      </c>
      <c r="U163" s="105"/>
      <c r="V163" s="104"/>
      <c r="W163" s="104"/>
      <c r="X163" s="104"/>
      <c r="Y163" s="99">
        <v>0</v>
      </c>
      <c r="Z163" s="99">
        <v>0</v>
      </c>
      <c r="AA163" s="99">
        <v>161</v>
      </c>
      <c r="AB163" s="99">
        <v>129.14</v>
      </c>
      <c r="AC163" s="104"/>
      <c r="AD163" s="104"/>
      <c r="AE163" s="99">
        <v>161</v>
      </c>
      <c r="AF163" s="99">
        <v>129.14</v>
      </c>
      <c r="AG163" s="104"/>
      <c r="AH163" s="104"/>
      <c r="AI163" s="104"/>
      <c r="AJ163" s="104"/>
      <c r="AK163" s="99">
        <v>0</v>
      </c>
      <c r="AL163" s="99">
        <v>0</v>
      </c>
    </row>
    <row r="164" spans="1:38" ht="24" customHeight="1">
      <c r="A164" s="102">
        <v>3</v>
      </c>
      <c r="B164" s="103" t="s">
        <v>333</v>
      </c>
      <c r="C164" s="104"/>
      <c r="D164" s="104"/>
      <c r="E164" s="104"/>
      <c r="F164" s="104"/>
      <c r="G164" s="99">
        <v>0</v>
      </c>
      <c r="H164" s="99">
        <v>0</v>
      </c>
      <c r="I164" s="99">
        <v>137</v>
      </c>
      <c r="J164" s="99">
        <v>63.39</v>
      </c>
      <c r="K164" s="104"/>
      <c r="L164" s="104"/>
      <c r="M164" s="99">
        <v>137</v>
      </c>
      <c r="N164" s="99">
        <v>63.39</v>
      </c>
      <c r="O164" s="104"/>
      <c r="P164" s="104"/>
      <c r="Q164" s="104"/>
      <c r="R164" s="104"/>
      <c r="S164" s="99">
        <v>0</v>
      </c>
      <c r="T164" s="100">
        <v>0</v>
      </c>
      <c r="U164" s="105"/>
      <c r="V164" s="104"/>
      <c r="W164" s="104"/>
      <c r="X164" s="104"/>
      <c r="Y164" s="99">
        <v>0</v>
      </c>
      <c r="Z164" s="99">
        <v>0</v>
      </c>
      <c r="AA164" s="99">
        <v>157</v>
      </c>
      <c r="AB164" s="99">
        <v>131.44</v>
      </c>
      <c r="AC164" s="104"/>
      <c r="AD164" s="104"/>
      <c r="AE164" s="99">
        <v>157</v>
      </c>
      <c r="AF164" s="99">
        <v>131.44</v>
      </c>
      <c r="AG164" s="104"/>
      <c r="AH164" s="104"/>
      <c r="AI164" s="104"/>
      <c r="AJ164" s="104"/>
      <c r="AK164" s="99">
        <v>0</v>
      </c>
      <c r="AL164" s="99">
        <v>0</v>
      </c>
    </row>
    <row r="165" spans="1:39" ht="24" customHeight="1">
      <c r="A165" s="102">
        <v>4</v>
      </c>
      <c r="B165" s="103" t="s">
        <v>334</v>
      </c>
      <c r="C165" s="104"/>
      <c r="D165" s="104"/>
      <c r="E165" s="104"/>
      <c r="F165" s="104"/>
      <c r="G165" s="99">
        <v>0</v>
      </c>
      <c r="H165" s="99">
        <v>0</v>
      </c>
      <c r="I165" s="99">
        <v>61</v>
      </c>
      <c r="J165" s="99">
        <v>33.28</v>
      </c>
      <c r="K165" s="104"/>
      <c r="L165" s="104"/>
      <c r="M165" s="99">
        <v>61</v>
      </c>
      <c r="N165" s="99">
        <v>33.28</v>
      </c>
      <c r="O165" s="104"/>
      <c r="P165" s="104"/>
      <c r="Q165" s="104"/>
      <c r="R165" s="104"/>
      <c r="S165" s="99">
        <v>0</v>
      </c>
      <c r="T165" s="100">
        <v>0</v>
      </c>
      <c r="U165" s="105"/>
      <c r="V165" s="104"/>
      <c r="W165" s="104"/>
      <c r="X165" s="104"/>
      <c r="Y165" s="99">
        <v>0</v>
      </c>
      <c r="Z165" s="99">
        <v>0</v>
      </c>
      <c r="AA165" s="99">
        <v>67</v>
      </c>
      <c r="AB165" s="99">
        <v>73.5</v>
      </c>
      <c r="AC165" s="104"/>
      <c r="AD165" s="104"/>
      <c r="AE165" s="99">
        <v>67</v>
      </c>
      <c r="AF165" s="99">
        <v>73.5</v>
      </c>
      <c r="AG165" s="104"/>
      <c r="AH165" s="104"/>
      <c r="AI165" s="104"/>
      <c r="AJ165" s="104"/>
      <c r="AK165" s="99">
        <v>0</v>
      </c>
      <c r="AL165" s="99">
        <v>0</v>
      </c>
      <c r="AM165" s="106"/>
    </row>
    <row r="166" spans="1:39" ht="24" customHeight="1">
      <c r="A166" s="102">
        <v>5</v>
      </c>
      <c r="B166" s="103" t="s">
        <v>335</v>
      </c>
      <c r="C166" s="104"/>
      <c r="D166" s="104"/>
      <c r="E166" s="104"/>
      <c r="F166" s="104"/>
      <c r="G166" s="99">
        <v>0</v>
      </c>
      <c r="H166" s="99">
        <v>0</v>
      </c>
      <c r="I166" s="99">
        <v>286</v>
      </c>
      <c r="J166" s="99">
        <v>150.75</v>
      </c>
      <c r="K166" s="99">
        <v>45</v>
      </c>
      <c r="L166" s="99">
        <v>19</v>
      </c>
      <c r="M166" s="99">
        <v>331</v>
      </c>
      <c r="N166" s="99">
        <v>169.75</v>
      </c>
      <c r="O166" s="104"/>
      <c r="P166" s="104"/>
      <c r="Q166" s="104"/>
      <c r="R166" s="104"/>
      <c r="S166" s="99">
        <v>0</v>
      </c>
      <c r="T166" s="100">
        <v>0</v>
      </c>
      <c r="U166" s="105"/>
      <c r="V166" s="104"/>
      <c r="W166" s="104"/>
      <c r="X166" s="104"/>
      <c r="Y166" s="99">
        <v>0</v>
      </c>
      <c r="Z166" s="99">
        <v>0</v>
      </c>
      <c r="AA166" s="99">
        <v>353</v>
      </c>
      <c r="AB166" s="99">
        <v>289.86</v>
      </c>
      <c r="AC166" s="99">
        <v>81</v>
      </c>
      <c r="AD166" s="99">
        <v>63.22</v>
      </c>
      <c r="AE166" s="99">
        <v>434</v>
      </c>
      <c r="AF166" s="99">
        <v>353.08</v>
      </c>
      <c r="AG166" s="104"/>
      <c r="AH166" s="104"/>
      <c r="AI166" s="104"/>
      <c r="AJ166" s="104"/>
      <c r="AK166" s="99">
        <v>0</v>
      </c>
      <c r="AL166" s="99">
        <v>0</v>
      </c>
      <c r="AM166" s="106"/>
    </row>
    <row r="167" spans="1:39" ht="24" customHeight="1">
      <c r="A167" s="237" t="s">
        <v>22</v>
      </c>
      <c r="B167" s="238"/>
      <c r="C167" s="99"/>
      <c r="D167" s="99"/>
      <c r="E167" s="99"/>
      <c r="F167" s="99"/>
      <c r="G167" s="99">
        <f aca="true" t="shared" si="2" ref="G167:N167">SUM(G162:G166)</f>
        <v>0</v>
      </c>
      <c r="H167" s="99">
        <f t="shared" si="2"/>
        <v>0</v>
      </c>
      <c r="I167" s="99">
        <f t="shared" si="2"/>
        <v>871</v>
      </c>
      <c r="J167" s="99">
        <f t="shared" si="2"/>
        <v>437.54999999999995</v>
      </c>
      <c r="K167" s="99">
        <f t="shared" si="2"/>
        <v>49</v>
      </c>
      <c r="L167" s="99">
        <f t="shared" si="2"/>
        <v>19.5</v>
      </c>
      <c r="M167" s="99">
        <f t="shared" si="2"/>
        <v>920</v>
      </c>
      <c r="N167" s="99">
        <f t="shared" si="2"/>
        <v>457.04999999999995</v>
      </c>
      <c r="O167" s="99"/>
      <c r="P167" s="99"/>
      <c r="Q167" s="99"/>
      <c r="R167" s="99"/>
      <c r="S167" s="99">
        <f>SUM(S162:S166)</f>
        <v>0</v>
      </c>
      <c r="T167" s="100">
        <f>SUM(T162:T166)</f>
        <v>0</v>
      </c>
      <c r="U167" s="101"/>
      <c r="V167" s="99"/>
      <c r="W167" s="99"/>
      <c r="X167" s="99"/>
      <c r="Y167" s="99">
        <f aca="true" t="shared" si="3" ref="Y167:AF167">SUM(Y162:Y166)</f>
        <v>0</v>
      </c>
      <c r="Z167" s="99">
        <f t="shared" si="3"/>
        <v>0</v>
      </c>
      <c r="AA167" s="99">
        <f t="shared" si="3"/>
        <v>1061</v>
      </c>
      <c r="AB167" s="99">
        <f t="shared" si="3"/>
        <v>882.86</v>
      </c>
      <c r="AC167" s="99">
        <f t="shared" si="3"/>
        <v>93</v>
      </c>
      <c r="AD167" s="99">
        <f t="shared" si="3"/>
        <v>65.3</v>
      </c>
      <c r="AE167" s="99">
        <f t="shared" si="3"/>
        <v>1154</v>
      </c>
      <c r="AF167" s="99">
        <f t="shared" si="3"/>
        <v>948.1599999999999</v>
      </c>
      <c r="AG167" s="99"/>
      <c r="AH167" s="99"/>
      <c r="AI167" s="99"/>
      <c r="AJ167" s="99"/>
      <c r="AK167" s="99">
        <f>SUM(AK162:AK166)</f>
        <v>0</v>
      </c>
      <c r="AL167" s="99">
        <f>SUM(AL162:AL166)</f>
        <v>0</v>
      </c>
      <c r="AM167" s="106"/>
    </row>
    <row r="168" spans="1:39" ht="24" customHeight="1">
      <c r="A168" s="240" t="s">
        <v>248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2"/>
      <c r="AM168" s="106"/>
    </row>
    <row r="169" spans="1:38" ht="24" customHeight="1">
      <c r="A169" s="240" t="s">
        <v>336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2"/>
    </row>
    <row r="170" spans="1:38" ht="24" customHeight="1">
      <c r="A170" s="243" t="s">
        <v>250</v>
      </c>
      <c r="B170" s="243" t="s">
        <v>251</v>
      </c>
      <c r="C170" s="235" t="s">
        <v>252</v>
      </c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6"/>
      <c r="U170" s="235" t="s">
        <v>253</v>
      </c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6"/>
    </row>
    <row r="171" spans="1:38" ht="24" customHeight="1">
      <c r="A171" s="244"/>
      <c r="B171" s="244"/>
      <c r="C171" s="235" t="s">
        <v>254</v>
      </c>
      <c r="D171" s="239"/>
      <c r="E171" s="239"/>
      <c r="F171" s="239"/>
      <c r="G171" s="239"/>
      <c r="H171" s="236"/>
      <c r="I171" s="235" t="s">
        <v>255</v>
      </c>
      <c r="J171" s="239"/>
      <c r="K171" s="239"/>
      <c r="L171" s="239"/>
      <c r="M171" s="239"/>
      <c r="N171" s="236"/>
      <c r="O171" s="235" t="s">
        <v>256</v>
      </c>
      <c r="P171" s="239"/>
      <c r="Q171" s="239"/>
      <c r="R171" s="239"/>
      <c r="S171" s="239"/>
      <c r="T171" s="236"/>
      <c r="U171" s="235" t="s">
        <v>254</v>
      </c>
      <c r="V171" s="239"/>
      <c r="W171" s="239"/>
      <c r="X171" s="239"/>
      <c r="Y171" s="239"/>
      <c r="Z171" s="236"/>
      <c r="AA171" s="235" t="s">
        <v>255</v>
      </c>
      <c r="AB171" s="239"/>
      <c r="AC171" s="239"/>
      <c r="AD171" s="239"/>
      <c r="AE171" s="239"/>
      <c r="AF171" s="236"/>
      <c r="AG171" s="235" t="s">
        <v>256</v>
      </c>
      <c r="AH171" s="239"/>
      <c r="AI171" s="239"/>
      <c r="AJ171" s="239"/>
      <c r="AK171" s="239"/>
      <c r="AL171" s="236"/>
    </row>
    <row r="172" spans="1:38" ht="24" customHeight="1">
      <c r="A172" s="244"/>
      <c r="B172" s="244"/>
      <c r="C172" s="235" t="s">
        <v>257</v>
      </c>
      <c r="D172" s="236"/>
      <c r="E172" s="235" t="s">
        <v>258</v>
      </c>
      <c r="F172" s="236"/>
      <c r="G172" s="235" t="s">
        <v>22</v>
      </c>
      <c r="H172" s="236"/>
      <c r="I172" s="235" t="s">
        <v>257</v>
      </c>
      <c r="J172" s="236"/>
      <c r="K172" s="235" t="s">
        <v>258</v>
      </c>
      <c r="L172" s="236"/>
      <c r="M172" s="235" t="s">
        <v>22</v>
      </c>
      <c r="N172" s="236"/>
      <c r="O172" s="235" t="s">
        <v>257</v>
      </c>
      <c r="P172" s="236"/>
      <c r="Q172" s="235" t="s">
        <v>258</v>
      </c>
      <c r="R172" s="236"/>
      <c r="S172" s="235" t="s">
        <v>22</v>
      </c>
      <c r="T172" s="236"/>
      <c r="U172" s="235" t="s">
        <v>257</v>
      </c>
      <c r="V172" s="236"/>
      <c r="W172" s="235" t="s">
        <v>258</v>
      </c>
      <c r="X172" s="236"/>
      <c r="Y172" s="235" t="s">
        <v>22</v>
      </c>
      <c r="Z172" s="236"/>
      <c r="AA172" s="235" t="s">
        <v>257</v>
      </c>
      <c r="AB172" s="236"/>
      <c r="AC172" s="235" t="s">
        <v>258</v>
      </c>
      <c r="AD172" s="236"/>
      <c r="AE172" s="235" t="s">
        <v>22</v>
      </c>
      <c r="AF172" s="236"/>
      <c r="AG172" s="235" t="s">
        <v>257</v>
      </c>
      <c r="AH172" s="236"/>
      <c r="AI172" s="235" t="s">
        <v>258</v>
      </c>
      <c r="AJ172" s="236"/>
      <c r="AK172" s="235" t="s">
        <v>22</v>
      </c>
      <c r="AL172" s="236"/>
    </row>
    <row r="173" spans="1:38" ht="24" customHeight="1">
      <c r="A173" s="245"/>
      <c r="B173" s="245"/>
      <c r="C173" s="99" t="s">
        <v>259</v>
      </c>
      <c r="D173" s="99" t="s">
        <v>260</v>
      </c>
      <c r="E173" s="99" t="s">
        <v>259</v>
      </c>
      <c r="F173" s="99" t="s">
        <v>260</v>
      </c>
      <c r="G173" s="99" t="s">
        <v>259</v>
      </c>
      <c r="H173" s="99" t="s">
        <v>260</v>
      </c>
      <c r="I173" s="99" t="s">
        <v>259</v>
      </c>
      <c r="J173" s="99" t="s">
        <v>260</v>
      </c>
      <c r="K173" s="99" t="s">
        <v>259</v>
      </c>
      <c r="L173" s="99" t="s">
        <v>260</v>
      </c>
      <c r="M173" s="99" t="s">
        <v>259</v>
      </c>
      <c r="N173" s="99" t="s">
        <v>260</v>
      </c>
      <c r="O173" s="99" t="s">
        <v>259</v>
      </c>
      <c r="P173" s="99" t="s">
        <v>260</v>
      </c>
      <c r="Q173" s="99" t="s">
        <v>259</v>
      </c>
      <c r="R173" s="99" t="s">
        <v>260</v>
      </c>
      <c r="S173" s="99" t="s">
        <v>259</v>
      </c>
      <c r="T173" s="100" t="s">
        <v>260</v>
      </c>
      <c r="U173" s="101" t="s">
        <v>259</v>
      </c>
      <c r="V173" s="99" t="s">
        <v>260</v>
      </c>
      <c r="W173" s="99" t="s">
        <v>259</v>
      </c>
      <c r="X173" s="99" t="s">
        <v>260</v>
      </c>
      <c r="Y173" s="99" t="s">
        <v>259</v>
      </c>
      <c r="Z173" s="99" t="s">
        <v>260</v>
      </c>
      <c r="AA173" s="99" t="s">
        <v>259</v>
      </c>
      <c r="AB173" s="99" t="s">
        <v>260</v>
      </c>
      <c r="AC173" s="99" t="s">
        <v>259</v>
      </c>
      <c r="AD173" s="99" t="s">
        <v>260</v>
      </c>
      <c r="AE173" s="99" t="s">
        <v>259</v>
      </c>
      <c r="AF173" s="99" t="s">
        <v>260</v>
      </c>
      <c r="AG173" s="99" t="s">
        <v>259</v>
      </c>
      <c r="AH173" s="99" t="s">
        <v>260</v>
      </c>
      <c r="AI173" s="99" t="s">
        <v>259</v>
      </c>
      <c r="AJ173" s="99" t="s">
        <v>260</v>
      </c>
      <c r="AK173" s="99" t="s">
        <v>259</v>
      </c>
      <c r="AL173" s="99" t="s">
        <v>260</v>
      </c>
    </row>
    <row r="174" spans="1:38" ht="24" customHeight="1">
      <c r="A174" s="102">
        <v>1</v>
      </c>
      <c r="B174" s="103" t="s">
        <v>337</v>
      </c>
      <c r="C174" s="104"/>
      <c r="D174" s="104"/>
      <c r="E174" s="104"/>
      <c r="F174" s="104"/>
      <c r="G174" s="99">
        <v>0</v>
      </c>
      <c r="H174" s="99">
        <v>0</v>
      </c>
      <c r="I174" s="99">
        <v>174</v>
      </c>
      <c r="J174" s="99">
        <v>76.25</v>
      </c>
      <c r="K174" s="99">
        <v>77</v>
      </c>
      <c r="L174" s="99">
        <v>30.44</v>
      </c>
      <c r="M174" s="99">
        <v>251</v>
      </c>
      <c r="N174" s="99">
        <v>106.69</v>
      </c>
      <c r="O174" s="104"/>
      <c r="P174" s="104"/>
      <c r="Q174" s="104"/>
      <c r="R174" s="104"/>
      <c r="S174" s="99">
        <v>0</v>
      </c>
      <c r="T174" s="100">
        <v>0</v>
      </c>
      <c r="U174" s="105"/>
      <c r="V174" s="104"/>
      <c r="W174" s="104"/>
      <c r="X174" s="104"/>
      <c r="Y174" s="99">
        <v>0</v>
      </c>
      <c r="Z174" s="99">
        <v>0</v>
      </c>
      <c r="AA174" s="99">
        <v>211</v>
      </c>
      <c r="AB174" s="99">
        <v>141.08</v>
      </c>
      <c r="AC174" s="99">
        <v>111</v>
      </c>
      <c r="AD174" s="99">
        <v>76.47</v>
      </c>
      <c r="AE174" s="99">
        <v>322</v>
      </c>
      <c r="AF174" s="99">
        <v>217.55</v>
      </c>
      <c r="AG174" s="104"/>
      <c r="AH174" s="104"/>
      <c r="AI174" s="104"/>
      <c r="AJ174" s="104"/>
      <c r="AK174" s="99">
        <v>0</v>
      </c>
      <c r="AL174" s="99">
        <v>0</v>
      </c>
    </row>
    <row r="175" spans="1:38" ht="24" customHeight="1">
      <c r="A175" s="102">
        <v>2</v>
      </c>
      <c r="B175" s="103" t="s">
        <v>338</v>
      </c>
      <c r="C175" s="104"/>
      <c r="D175" s="104"/>
      <c r="E175" s="104"/>
      <c r="F175" s="104"/>
      <c r="G175" s="99">
        <v>0</v>
      </c>
      <c r="H175" s="99">
        <v>0</v>
      </c>
      <c r="I175" s="99">
        <v>348</v>
      </c>
      <c r="J175" s="99">
        <v>173.89</v>
      </c>
      <c r="K175" s="99">
        <v>87</v>
      </c>
      <c r="L175" s="99">
        <v>35.42</v>
      </c>
      <c r="M175" s="99">
        <v>435</v>
      </c>
      <c r="N175" s="99">
        <v>209.31</v>
      </c>
      <c r="O175" s="104"/>
      <c r="P175" s="104"/>
      <c r="Q175" s="104"/>
      <c r="R175" s="104"/>
      <c r="S175" s="99">
        <v>0</v>
      </c>
      <c r="T175" s="100">
        <v>0</v>
      </c>
      <c r="U175" s="105"/>
      <c r="V175" s="104"/>
      <c r="W175" s="104"/>
      <c r="X175" s="104"/>
      <c r="Y175" s="99">
        <v>0</v>
      </c>
      <c r="Z175" s="99">
        <v>0</v>
      </c>
      <c r="AA175" s="99">
        <v>469</v>
      </c>
      <c r="AB175" s="99">
        <v>338.78</v>
      </c>
      <c r="AC175" s="99">
        <v>120</v>
      </c>
      <c r="AD175" s="99">
        <v>81.75</v>
      </c>
      <c r="AE175" s="99">
        <v>589</v>
      </c>
      <c r="AF175" s="99">
        <v>420.53</v>
      </c>
      <c r="AG175" s="104"/>
      <c r="AH175" s="104"/>
      <c r="AI175" s="104"/>
      <c r="AJ175" s="104"/>
      <c r="AK175" s="99">
        <v>0</v>
      </c>
      <c r="AL175" s="99">
        <v>0</v>
      </c>
    </row>
    <row r="176" spans="1:38" ht="24" customHeight="1">
      <c r="A176" s="102">
        <v>3</v>
      </c>
      <c r="B176" s="103" t="s">
        <v>339</v>
      </c>
      <c r="C176" s="104"/>
      <c r="D176" s="104"/>
      <c r="E176" s="104"/>
      <c r="F176" s="104"/>
      <c r="G176" s="99">
        <v>0</v>
      </c>
      <c r="H176" s="99">
        <v>0</v>
      </c>
      <c r="I176" s="99">
        <v>247</v>
      </c>
      <c r="J176" s="99">
        <v>120.28</v>
      </c>
      <c r="K176" s="99">
        <v>78</v>
      </c>
      <c r="L176" s="99">
        <v>32.39</v>
      </c>
      <c r="M176" s="99">
        <v>325</v>
      </c>
      <c r="N176" s="99">
        <v>152.67</v>
      </c>
      <c r="O176" s="104"/>
      <c r="P176" s="104"/>
      <c r="Q176" s="104"/>
      <c r="R176" s="104"/>
      <c r="S176" s="99">
        <v>0</v>
      </c>
      <c r="T176" s="100">
        <v>0</v>
      </c>
      <c r="U176" s="105"/>
      <c r="V176" s="104"/>
      <c r="W176" s="104"/>
      <c r="X176" s="104"/>
      <c r="Y176" s="99">
        <v>0</v>
      </c>
      <c r="Z176" s="99">
        <v>0</v>
      </c>
      <c r="AA176" s="99">
        <v>283</v>
      </c>
      <c r="AB176" s="99">
        <v>231</v>
      </c>
      <c r="AC176" s="99">
        <v>111</v>
      </c>
      <c r="AD176" s="99">
        <v>90.08</v>
      </c>
      <c r="AE176" s="99">
        <v>394</v>
      </c>
      <c r="AF176" s="99">
        <v>321.08</v>
      </c>
      <c r="AG176" s="104"/>
      <c r="AH176" s="104"/>
      <c r="AI176" s="104"/>
      <c r="AJ176" s="104"/>
      <c r="AK176" s="99">
        <v>0</v>
      </c>
      <c r="AL176" s="99">
        <v>0</v>
      </c>
    </row>
    <row r="177" spans="1:38" ht="24" customHeight="1">
      <c r="A177" s="102">
        <v>4</v>
      </c>
      <c r="B177" s="103" t="s">
        <v>340</v>
      </c>
      <c r="C177" s="104"/>
      <c r="D177" s="104"/>
      <c r="E177" s="104"/>
      <c r="F177" s="104"/>
      <c r="G177" s="99">
        <v>0</v>
      </c>
      <c r="H177" s="99">
        <v>0</v>
      </c>
      <c r="I177" s="99">
        <v>96</v>
      </c>
      <c r="J177" s="99">
        <v>46.08</v>
      </c>
      <c r="K177" s="99">
        <v>100</v>
      </c>
      <c r="L177" s="99">
        <v>45.94</v>
      </c>
      <c r="M177" s="99">
        <v>196</v>
      </c>
      <c r="N177" s="99">
        <v>92.02</v>
      </c>
      <c r="O177" s="104"/>
      <c r="P177" s="104"/>
      <c r="Q177" s="104"/>
      <c r="R177" s="104"/>
      <c r="S177" s="99">
        <v>0</v>
      </c>
      <c r="T177" s="100">
        <v>0</v>
      </c>
      <c r="U177" s="105"/>
      <c r="V177" s="104"/>
      <c r="W177" s="104"/>
      <c r="X177" s="104"/>
      <c r="Y177" s="99">
        <v>0</v>
      </c>
      <c r="Z177" s="99">
        <v>0</v>
      </c>
      <c r="AA177" s="99">
        <v>117</v>
      </c>
      <c r="AB177" s="99">
        <v>77</v>
      </c>
      <c r="AC177" s="99">
        <v>129</v>
      </c>
      <c r="AD177" s="99">
        <v>89.44</v>
      </c>
      <c r="AE177" s="99">
        <v>246</v>
      </c>
      <c r="AF177" s="99">
        <v>166.44</v>
      </c>
      <c r="AG177" s="104"/>
      <c r="AH177" s="104"/>
      <c r="AI177" s="104"/>
      <c r="AJ177" s="104"/>
      <c r="AK177" s="99">
        <v>0</v>
      </c>
      <c r="AL177" s="99">
        <v>0</v>
      </c>
    </row>
    <row r="178" spans="1:38" ht="24" customHeight="1">
      <c r="A178" s="102">
        <v>5</v>
      </c>
      <c r="B178" s="103" t="s">
        <v>341</v>
      </c>
      <c r="C178" s="104"/>
      <c r="D178" s="104"/>
      <c r="E178" s="104"/>
      <c r="F178" s="104"/>
      <c r="G178" s="99">
        <v>0</v>
      </c>
      <c r="H178" s="99">
        <v>0</v>
      </c>
      <c r="I178" s="104"/>
      <c r="J178" s="104"/>
      <c r="K178" s="104"/>
      <c r="L178" s="104"/>
      <c r="M178" s="99">
        <v>0</v>
      </c>
      <c r="N178" s="99">
        <v>0</v>
      </c>
      <c r="O178" s="104"/>
      <c r="P178" s="104"/>
      <c r="Q178" s="99">
        <v>8</v>
      </c>
      <c r="R178" s="99">
        <v>4.33</v>
      </c>
      <c r="S178" s="99">
        <v>8</v>
      </c>
      <c r="T178" s="100">
        <v>4.33</v>
      </c>
      <c r="U178" s="105"/>
      <c r="V178" s="104"/>
      <c r="W178" s="104"/>
      <c r="X178" s="104"/>
      <c r="Y178" s="99">
        <v>0</v>
      </c>
      <c r="Z178" s="99">
        <v>0</v>
      </c>
      <c r="AA178" s="104"/>
      <c r="AB178" s="104"/>
      <c r="AC178" s="104"/>
      <c r="AD178" s="104"/>
      <c r="AE178" s="99">
        <v>0</v>
      </c>
      <c r="AF178" s="99">
        <v>0</v>
      </c>
      <c r="AG178" s="104"/>
      <c r="AH178" s="104"/>
      <c r="AI178" s="99">
        <v>8</v>
      </c>
      <c r="AJ178" s="99">
        <v>7.33</v>
      </c>
      <c r="AK178" s="99">
        <v>8</v>
      </c>
      <c r="AL178" s="99">
        <v>7.33</v>
      </c>
    </row>
    <row r="179" spans="1:38" ht="24" customHeight="1">
      <c r="A179" s="102">
        <v>6</v>
      </c>
      <c r="B179" s="103" t="s">
        <v>288</v>
      </c>
      <c r="C179" s="104"/>
      <c r="D179" s="104"/>
      <c r="E179" s="104"/>
      <c r="F179" s="104"/>
      <c r="G179" s="99">
        <v>0</v>
      </c>
      <c r="H179" s="99">
        <v>0</v>
      </c>
      <c r="I179" s="99">
        <v>486</v>
      </c>
      <c r="J179" s="99">
        <v>240.61</v>
      </c>
      <c r="K179" s="99">
        <v>76</v>
      </c>
      <c r="L179" s="99">
        <v>38.08</v>
      </c>
      <c r="M179" s="99">
        <v>562</v>
      </c>
      <c r="N179" s="99">
        <v>278.69</v>
      </c>
      <c r="O179" s="104"/>
      <c r="P179" s="104"/>
      <c r="Q179" s="104"/>
      <c r="R179" s="104"/>
      <c r="S179" s="99">
        <v>0</v>
      </c>
      <c r="T179" s="100">
        <v>0</v>
      </c>
      <c r="U179" s="105"/>
      <c r="V179" s="104"/>
      <c r="W179" s="104"/>
      <c r="X179" s="104"/>
      <c r="Y179" s="99">
        <v>0</v>
      </c>
      <c r="Z179" s="99">
        <v>0</v>
      </c>
      <c r="AA179" s="99">
        <v>631</v>
      </c>
      <c r="AB179" s="99">
        <v>465.83</v>
      </c>
      <c r="AC179" s="99">
        <v>119</v>
      </c>
      <c r="AD179" s="99">
        <v>81.14</v>
      </c>
      <c r="AE179" s="99">
        <v>750</v>
      </c>
      <c r="AF179" s="99">
        <v>546.97</v>
      </c>
      <c r="AG179" s="104"/>
      <c r="AH179" s="104"/>
      <c r="AI179" s="104"/>
      <c r="AJ179" s="104"/>
      <c r="AK179" s="99">
        <v>0</v>
      </c>
      <c r="AL179" s="99">
        <v>0</v>
      </c>
    </row>
    <row r="180" spans="1:38" ht="24" customHeight="1">
      <c r="A180" s="102">
        <v>7</v>
      </c>
      <c r="B180" s="103" t="s">
        <v>289</v>
      </c>
      <c r="C180" s="104"/>
      <c r="D180" s="104"/>
      <c r="E180" s="104"/>
      <c r="F180" s="104"/>
      <c r="G180" s="99">
        <v>0</v>
      </c>
      <c r="H180" s="99">
        <v>0</v>
      </c>
      <c r="I180" s="99">
        <v>508</v>
      </c>
      <c r="J180" s="99">
        <v>262.33</v>
      </c>
      <c r="K180" s="99">
        <v>102</v>
      </c>
      <c r="L180" s="99">
        <v>43.17</v>
      </c>
      <c r="M180" s="99">
        <v>610</v>
      </c>
      <c r="N180" s="99">
        <v>305.5</v>
      </c>
      <c r="O180" s="104"/>
      <c r="P180" s="104"/>
      <c r="Q180" s="104"/>
      <c r="R180" s="104"/>
      <c r="S180" s="99">
        <v>0</v>
      </c>
      <c r="T180" s="100">
        <v>0</v>
      </c>
      <c r="U180" s="105"/>
      <c r="V180" s="104"/>
      <c r="W180" s="104"/>
      <c r="X180" s="104"/>
      <c r="Y180" s="99">
        <v>0</v>
      </c>
      <c r="Z180" s="99">
        <v>0</v>
      </c>
      <c r="AA180" s="99">
        <v>652</v>
      </c>
      <c r="AB180" s="99">
        <v>474.31</v>
      </c>
      <c r="AC180" s="99">
        <v>138</v>
      </c>
      <c r="AD180" s="99">
        <v>85.64</v>
      </c>
      <c r="AE180" s="99">
        <v>790</v>
      </c>
      <c r="AF180" s="99">
        <v>559.95</v>
      </c>
      <c r="AG180" s="104"/>
      <c r="AH180" s="104"/>
      <c r="AI180" s="104"/>
      <c r="AJ180" s="104"/>
      <c r="AK180" s="99">
        <v>0</v>
      </c>
      <c r="AL180" s="99">
        <v>0</v>
      </c>
    </row>
    <row r="181" spans="1:38" ht="24" customHeight="1">
      <c r="A181" s="102">
        <v>8</v>
      </c>
      <c r="B181" s="103" t="s">
        <v>290</v>
      </c>
      <c r="C181" s="104"/>
      <c r="D181" s="104"/>
      <c r="E181" s="104"/>
      <c r="F181" s="104"/>
      <c r="G181" s="99">
        <v>0</v>
      </c>
      <c r="H181" s="99">
        <v>0</v>
      </c>
      <c r="I181" s="99">
        <v>148</v>
      </c>
      <c r="J181" s="99">
        <v>75.11</v>
      </c>
      <c r="K181" s="104"/>
      <c r="L181" s="104"/>
      <c r="M181" s="99">
        <v>148</v>
      </c>
      <c r="N181" s="99">
        <v>75.11</v>
      </c>
      <c r="O181" s="104"/>
      <c r="P181" s="104"/>
      <c r="Q181" s="104"/>
      <c r="R181" s="104"/>
      <c r="S181" s="99">
        <v>0</v>
      </c>
      <c r="T181" s="100">
        <v>0</v>
      </c>
      <c r="U181" s="105"/>
      <c r="V181" s="104"/>
      <c r="W181" s="104"/>
      <c r="X181" s="104"/>
      <c r="Y181" s="99">
        <v>0</v>
      </c>
      <c r="Z181" s="99">
        <v>0</v>
      </c>
      <c r="AA181" s="99">
        <v>179</v>
      </c>
      <c r="AB181" s="99">
        <v>143.92</v>
      </c>
      <c r="AC181" s="104"/>
      <c r="AD181" s="104"/>
      <c r="AE181" s="99">
        <v>179</v>
      </c>
      <c r="AF181" s="99">
        <v>143.92</v>
      </c>
      <c r="AG181" s="104"/>
      <c r="AH181" s="104"/>
      <c r="AI181" s="104"/>
      <c r="AJ181" s="104"/>
      <c r="AK181" s="99">
        <v>0</v>
      </c>
      <c r="AL181" s="99">
        <v>0</v>
      </c>
    </row>
    <row r="182" spans="1:38" ht="24" customHeight="1">
      <c r="A182" s="102">
        <v>9</v>
      </c>
      <c r="B182" s="103" t="s">
        <v>292</v>
      </c>
      <c r="C182" s="104"/>
      <c r="D182" s="104"/>
      <c r="E182" s="104"/>
      <c r="F182" s="104"/>
      <c r="G182" s="99">
        <v>0</v>
      </c>
      <c r="H182" s="99">
        <v>0</v>
      </c>
      <c r="I182" s="99">
        <v>484</v>
      </c>
      <c r="J182" s="99">
        <v>211.83</v>
      </c>
      <c r="K182" s="99">
        <v>91</v>
      </c>
      <c r="L182" s="99">
        <v>44.31</v>
      </c>
      <c r="M182" s="99">
        <v>575</v>
      </c>
      <c r="N182" s="99">
        <v>256.14</v>
      </c>
      <c r="O182" s="104"/>
      <c r="P182" s="104"/>
      <c r="Q182" s="104"/>
      <c r="R182" s="104"/>
      <c r="S182" s="99">
        <v>0</v>
      </c>
      <c r="T182" s="100">
        <v>0</v>
      </c>
      <c r="U182" s="105"/>
      <c r="V182" s="104"/>
      <c r="W182" s="104"/>
      <c r="X182" s="104"/>
      <c r="Y182" s="99">
        <v>0</v>
      </c>
      <c r="Z182" s="99">
        <v>0</v>
      </c>
      <c r="AA182" s="99">
        <v>639</v>
      </c>
      <c r="AB182" s="99">
        <v>447.72</v>
      </c>
      <c r="AC182" s="99">
        <v>125</v>
      </c>
      <c r="AD182" s="99">
        <v>91</v>
      </c>
      <c r="AE182" s="99">
        <v>764</v>
      </c>
      <c r="AF182" s="99">
        <v>538.72</v>
      </c>
      <c r="AG182" s="104"/>
      <c r="AH182" s="104"/>
      <c r="AI182" s="104"/>
      <c r="AJ182" s="104"/>
      <c r="AK182" s="99">
        <v>0</v>
      </c>
      <c r="AL182" s="99">
        <v>0</v>
      </c>
    </row>
    <row r="183" spans="1:38" ht="24" customHeight="1">
      <c r="A183" s="237" t="s">
        <v>22</v>
      </c>
      <c r="B183" s="238"/>
      <c r="C183" s="99"/>
      <c r="D183" s="99"/>
      <c r="E183" s="99"/>
      <c r="F183" s="99"/>
      <c r="G183" s="99">
        <f aca="true" t="shared" si="4" ref="G183:N183">SUM(G174:G182)</f>
        <v>0</v>
      </c>
      <c r="H183" s="99">
        <f t="shared" si="4"/>
        <v>0</v>
      </c>
      <c r="I183" s="99">
        <f t="shared" si="4"/>
        <v>2491</v>
      </c>
      <c r="J183" s="99">
        <f t="shared" si="4"/>
        <v>1206.3799999999999</v>
      </c>
      <c r="K183" s="99">
        <f t="shared" si="4"/>
        <v>611</v>
      </c>
      <c r="L183" s="99">
        <f t="shared" si="4"/>
        <v>269.75</v>
      </c>
      <c r="M183" s="99">
        <f t="shared" si="4"/>
        <v>3102</v>
      </c>
      <c r="N183" s="99">
        <f t="shared" si="4"/>
        <v>1476.1299999999997</v>
      </c>
      <c r="O183" s="99"/>
      <c r="P183" s="99"/>
      <c r="Q183" s="99">
        <f>SUM(Q174:Q182)</f>
        <v>8</v>
      </c>
      <c r="R183" s="99">
        <f>SUM(R174:R182)</f>
        <v>4.33</v>
      </c>
      <c r="S183" s="99">
        <f>SUM(S174:S182)</f>
        <v>8</v>
      </c>
      <c r="T183" s="100">
        <f>SUM(T174:T182)</f>
        <v>4.33</v>
      </c>
      <c r="U183" s="101"/>
      <c r="V183" s="99"/>
      <c r="W183" s="99"/>
      <c r="X183" s="99"/>
      <c r="Y183" s="99">
        <f aca="true" t="shared" si="5" ref="Y183:AF183">SUM(Y174:Y182)</f>
        <v>0</v>
      </c>
      <c r="Z183" s="99">
        <f t="shared" si="5"/>
        <v>0</v>
      </c>
      <c r="AA183" s="99">
        <f t="shared" si="5"/>
        <v>3181</v>
      </c>
      <c r="AB183" s="99">
        <f t="shared" si="5"/>
        <v>2319.6400000000003</v>
      </c>
      <c r="AC183" s="99">
        <f t="shared" si="5"/>
        <v>853</v>
      </c>
      <c r="AD183" s="99">
        <f t="shared" si="5"/>
        <v>595.52</v>
      </c>
      <c r="AE183" s="99">
        <f t="shared" si="5"/>
        <v>4034</v>
      </c>
      <c r="AF183" s="99">
        <f t="shared" si="5"/>
        <v>2915.16</v>
      </c>
      <c r="AG183" s="99"/>
      <c r="AH183" s="99"/>
      <c r="AI183" s="99">
        <f>SUM(AI174:AI182)</f>
        <v>8</v>
      </c>
      <c r="AJ183" s="99">
        <f>SUM(AJ174:AJ182)</f>
        <v>7.33</v>
      </c>
      <c r="AK183" s="99">
        <f>SUM(AK174:AK182)</f>
        <v>8</v>
      </c>
      <c r="AL183" s="99">
        <f>SUM(AL174:AL182)</f>
        <v>7.33</v>
      </c>
    </row>
    <row r="184" spans="1:38" ht="24" customHeight="1">
      <c r="A184" s="240" t="s">
        <v>248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2"/>
    </row>
    <row r="185" spans="1:38" ht="24" customHeight="1">
      <c r="A185" s="240" t="s">
        <v>342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2"/>
    </row>
    <row r="186" spans="1:38" ht="24" customHeight="1">
      <c r="A186" s="243" t="s">
        <v>250</v>
      </c>
      <c r="B186" s="243" t="s">
        <v>251</v>
      </c>
      <c r="C186" s="235" t="s">
        <v>252</v>
      </c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6"/>
      <c r="U186" s="235" t="s">
        <v>253</v>
      </c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6"/>
    </row>
    <row r="187" spans="1:38" ht="24" customHeight="1">
      <c r="A187" s="244"/>
      <c r="B187" s="244"/>
      <c r="C187" s="235" t="s">
        <v>254</v>
      </c>
      <c r="D187" s="239"/>
      <c r="E187" s="239"/>
      <c r="F187" s="239"/>
      <c r="G187" s="239"/>
      <c r="H187" s="236"/>
      <c r="I187" s="235" t="s">
        <v>255</v>
      </c>
      <c r="J187" s="239"/>
      <c r="K187" s="239"/>
      <c r="L187" s="239"/>
      <c r="M187" s="239"/>
      <c r="N187" s="236"/>
      <c r="O187" s="235" t="s">
        <v>256</v>
      </c>
      <c r="P187" s="239"/>
      <c r="Q187" s="239"/>
      <c r="R187" s="239"/>
      <c r="S187" s="239"/>
      <c r="T187" s="236"/>
      <c r="U187" s="235" t="s">
        <v>254</v>
      </c>
      <c r="V187" s="239"/>
      <c r="W187" s="239"/>
      <c r="X187" s="239"/>
      <c r="Y187" s="239"/>
      <c r="Z187" s="236"/>
      <c r="AA187" s="235" t="s">
        <v>255</v>
      </c>
      <c r="AB187" s="239"/>
      <c r="AC187" s="239"/>
      <c r="AD187" s="239"/>
      <c r="AE187" s="239"/>
      <c r="AF187" s="236"/>
      <c r="AG187" s="235" t="s">
        <v>256</v>
      </c>
      <c r="AH187" s="239"/>
      <c r="AI187" s="239"/>
      <c r="AJ187" s="239"/>
      <c r="AK187" s="239"/>
      <c r="AL187" s="236"/>
    </row>
    <row r="188" spans="1:38" ht="24" customHeight="1">
      <c r="A188" s="244"/>
      <c r="B188" s="244"/>
      <c r="C188" s="235" t="s">
        <v>257</v>
      </c>
      <c r="D188" s="236"/>
      <c r="E188" s="235" t="s">
        <v>258</v>
      </c>
      <c r="F188" s="236"/>
      <c r="G188" s="235" t="s">
        <v>22</v>
      </c>
      <c r="H188" s="236"/>
      <c r="I188" s="235" t="s">
        <v>257</v>
      </c>
      <c r="J188" s="236"/>
      <c r="K188" s="235" t="s">
        <v>258</v>
      </c>
      <c r="L188" s="236"/>
      <c r="M188" s="235" t="s">
        <v>22</v>
      </c>
      <c r="N188" s="236"/>
      <c r="O188" s="235" t="s">
        <v>257</v>
      </c>
      <c r="P188" s="236"/>
      <c r="Q188" s="235" t="s">
        <v>258</v>
      </c>
      <c r="R188" s="236"/>
      <c r="S188" s="235" t="s">
        <v>22</v>
      </c>
      <c r="T188" s="236"/>
      <c r="U188" s="235" t="s">
        <v>257</v>
      </c>
      <c r="V188" s="236"/>
      <c r="W188" s="235" t="s">
        <v>258</v>
      </c>
      <c r="X188" s="236"/>
      <c r="Y188" s="235" t="s">
        <v>22</v>
      </c>
      <c r="Z188" s="236"/>
      <c r="AA188" s="235" t="s">
        <v>257</v>
      </c>
      <c r="AB188" s="236"/>
      <c r="AC188" s="235" t="s">
        <v>258</v>
      </c>
      <c r="AD188" s="236"/>
      <c r="AE188" s="235" t="s">
        <v>22</v>
      </c>
      <c r="AF188" s="236"/>
      <c r="AG188" s="235" t="s">
        <v>257</v>
      </c>
      <c r="AH188" s="236"/>
      <c r="AI188" s="235" t="s">
        <v>258</v>
      </c>
      <c r="AJ188" s="236"/>
      <c r="AK188" s="235" t="s">
        <v>22</v>
      </c>
      <c r="AL188" s="236"/>
    </row>
    <row r="189" spans="1:38" ht="24" customHeight="1">
      <c r="A189" s="245"/>
      <c r="B189" s="245"/>
      <c r="C189" s="99" t="s">
        <v>259</v>
      </c>
      <c r="D189" s="99" t="s">
        <v>260</v>
      </c>
      <c r="E189" s="99" t="s">
        <v>259</v>
      </c>
      <c r="F189" s="99" t="s">
        <v>260</v>
      </c>
      <c r="G189" s="99" t="s">
        <v>259</v>
      </c>
      <c r="H189" s="99" t="s">
        <v>260</v>
      </c>
      <c r="I189" s="99" t="s">
        <v>259</v>
      </c>
      <c r="J189" s="99" t="s">
        <v>260</v>
      </c>
      <c r="K189" s="99" t="s">
        <v>259</v>
      </c>
      <c r="L189" s="99" t="s">
        <v>260</v>
      </c>
      <c r="M189" s="99" t="s">
        <v>259</v>
      </c>
      <c r="N189" s="99" t="s">
        <v>260</v>
      </c>
      <c r="O189" s="99" t="s">
        <v>259</v>
      </c>
      <c r="P189" s="99" t="s">
        <v>260</v>
      </c>
      <c r="Q189" s="99" t="s">
        <v>259</v>
      </c>
      <c r="R189" s="99" t="s">
        <v>260</v>
      </c>
      <c r="S189" s="99" t="s">
        <v>259</v>
      </c>
      <c r="T189" s="100" t="s">
        <v>260</v>
      </c>
      <c r="U189" s="101" t="s">
        <v>259</v>
      </c>
      <c r="V189" s="99" t="s">
        <v>260</v>
      </c>
      <c r="W189" s="99" t="s">
        <v>259</v>
      </c>
      <c r="X189" s="99" t="s">
        <v>260</v>
      </c>
      <c r="Y189" s="99" t="s">
        <v>259</v>
      </c>
      <c r="Z189" s="99" t="s">
        <v>260</v>
      </c>
      <c r="AA189" s="99" t="s">
        <v>259</v>
      </c>
      <c r="AB189" s="99" t="s">
        <v>260</v>
      </c>
      <c r="AC189" s="99" t="s">
        <v>259</v>
      </c>
      <c r="AD189" s="99" t="s">
        <v>260</v>
      </c>
      <c r="AE189" s="99" t="s">
        <v>259</v>
      </c>
      <c r="AF189" s="99" t="s">
        <v>260</v>
      </c>
      <c r="AG189" s="99" t="s">
        <v>259</v>
      </c>
      <c r="AH189" s="99" t="s">
        <v>260</v>
      </c>
      <c r="AI189" s="99" t="s">
        <v>259</v>
      </c>
      <c r="AJ189" s="99" t="s">
        <v>260</v>
      </c>
      <c r="AK189" s="99" t="s">
        <v>259</v>
      </c>
      <c r="AL189" s="99" t="s">
        <v>260</v>
      </c>
    </row>
    <row r="190" spans="1:38" ht="24" customHeight="1">
      <c r="A190" s="102">
        <v>1</v>
      </c>
      <c r="B190" s="103" t="s">
        <v>343</v>
      </c>
      <c r="C190" s="104"/>
      <c r="D190" s="104"/>
      <c r="E190" s="104"/>
      <c r="F190" s="104"/>
      <c r="G190" s="99">
        <v>0</v>
      </c>
      <c r="H190" s="99">
        <v>0</v>
      </c>
      <c r="I190" s="99">
        <v>204</v>
      </c>
      <c r="J190" s="99">
        <v>107.47</v>
      </c>
      <c r="K190" s="104"/>
      <c r="L190" s="104"/>
      <c r="M190" s="99">
        <v>204</v>
      </c>
      <c r="N190" s="99">
        <v>107.47</v>
      </c>
      <c r="O190" s="104"/>
      <c r="P190" s="104"/>
      <c r="Q190" s="104"/>
      <c r="R190" s="104"/>
      <c r="S190" s="99">
        <v>0</v>
      </c>
      <c r="T190" s="100">
        <v>0</v>
      </c>
      <c r="U190" s="105"/>
      <c r="V190" s="104"/>
      <c r="W190" s="104"/>
      <c r="X190" s="104"/>
      <c r="Y190" s="99">
        <v>0</v>
      </c>
      <c r="Z190" s="99">
        <v>0</v>
      </c>
      <c r="AA190" s="99">
        <v>233</v>
      </c>
      <c r="AB190" s="99">
        <v>209.22</v>
      </c>
      <c r="AC190" s="104"/>
      <c r="AD190" s="104"/>
      <c r="AE190" s="99">
        <v>233</v>
      </c>
      <c r="AF190" s="99">
        <v>209.22</v>
      </c>
      <c r="AG190" s="104"/>
      <c r="AH190" s="104"/>
      <c r="AI190" s="104"/>
      <c r="AJ190" s="104"/>
      <c r="AK190" s="99">
        <v>0</v>
      </c>
      <c r="AL190" s="99">
        <v>0</v>
      </c>
    </row>
    <row r="191" spans="1:38" ht="24" customHeight="1">
      <c r="A191" s="102">
        <v>2</v>
      </c>
      <c r="B191" s="103" t="s">
        <v>344</v>
      </c>
      <c r="C191" s="104"/>
      <c r="D191" s="104"/>
      <c r="E191" s="104"/>
      <c r="F191" s="104"/>
      <c r="G191" s="99">
        <v>0</v>
      </c>
      <c r="H191" s="99">
        <v>0</v>
      </c>
      <c r="I191" s="99">
        <v>147</v>
      </c>
      <c r="J191" s="99">
        <v>67.58</v>
      </c>
      <c r="K191" s="99">
        <v>11</v>
      </c>
      <c r="L191" s="99">
        <v>1.89</v>
      </c>
      <c r="M191" s="99">
        <v>158</v>
      </c>
      <c r="N191" s="99">
        <v>69.47</v>
      </c>
      <c r="O191" s="104"/>
      <c r="P191" s="104"/>
      <c r="Q191" s="104"/>
      <c r="R191" s="104"/>
      <c r="S191" s="99">
        <v>0</v>
      </c>
      <c r="T191" s="100">
        <v>0</v>
      </c>
      <c r="U191" s="105"/>
      <c r="V191" s="104"/>
      <c r="W191" s="104"/>
      <c r="X191" s="104"/>
      <c r="Y191" s="99">
        <v>0</v>
      </c>
      <c r="Z191" s="99">
        <v>0</v>
      </c>
      <c r="AA191" s="99">
        <v>182</v>
      </c>
      <c r="AB191" s="99">
        <v>139.47</v>
      </c>
      <c r="AC191" s="99">
        <v>25</v>
      </c>
      <c r="AD191" s="99">
        <v>6.31</v>
      </c>
      <c r="AE191" s="99">
        <v>207</v>
      </c>
      <c r="AF191" s="99">
        <v>145.78</v>
      </c>
      <c r="AG191" s="104"/>
      <c r="AH191" s="104"/>
      <c r="AI191" s="104"/>
      <c r="AJ191" s="104"/>
      <c r="AK191" s="99">
        <v>0</v>
      </c>
      <c r="AL191" s="99">
        <v>0</v>
      </c>
    </row>
    <row r="192" spans="1:38" ht="24" customHeight="1">
      <c r="A192" s="102">
        <v>3</v>
      </c>
      <c r="B192" s="103" t="s">
        <v>345</v>
      </c>
      <c r="C192" s="104"/>
      <c r="D192" s="104"/>
      <c r="E192" s="104"/>
      <c r="F192" s="104"/>
      <c r="G192" s="99">
        <v>0</v>
      </c>
      <c r="H192" s="99">
        <v>0</v>
      </c>
      <c r="I192" s="99">
        <v>129</v>
      </c>
      <c r="J192" s="99">
        <v>56.58</v>
      </c>
      <c r="K192" s="104"/>
      <c r="L192" s="104"/>
      <c r="M192" s="99">
        <v>129</v>
      </c>
      <c r="N192" s="99">
        <v>56.58</v>
      </c>
      <c r="O192" s="104"/>
      <c r="P192" s="104"/>
      <c r="Q192" s="104"/>
      <c r="R192" s="104"/>
      <c r="S192" s="99">
        <v>0</v>
      </c>
      <c r="T192" s="100">
        <v>0</v>
      </c>
      <c r="U192" s="105"/>
      <c r="V192" s="104"/>
      <c r="W192" s="104"/>
      <c r="X192" s="104"/>
      <c r="Y192" s="99">
        <v>0</v>
      </c>
      <c r="Z192" s="99">
        <v>0</v>
      </c>
      <c r="AA192" s="99">
        <v>154</v>
      </c>
      <c r="AB192" s="99">
        <v>120.42</v>
      </c>
      <c r="AC192" s="104"/>
      <c r="AD192" s="104"/>
      <c r="AE192" s="99">
        <v>154</v>
      </c>
      <c r="AF192" s="99">
        <v>120.42</v>
      </c>
      <c r="AG192" s="104"/>
      <c r="AH192" s="104"/>
      <c r="AI192" s="104"/>
      <c r="AJ192" s="104"/>
      <c r="AK192" s="99">
        <v>0</v>
      </c>
      <c r="AL192" s="99">
        <v>0</v>
      </c>
    </row>
    <row r="193" spans="1:38" ht="24" customHeight="1">
      <c r="A193" s="102">
        <v>4</v>
      </c>
      <c r="B193" s="103" t="s">
        <v>314</v>
      </c>
      <c r="C193" s="104"/>
      <c r="D193" s="104"/>
      <c r="E193" s="104"/>
      <c r="F193" s="104"/>
      <c r="G193" s="99">
        <v>0</v>
      </c>
      <c r="H193" s="99">
        <v>0</v>
      </c>
      <c r="I193" s="99">
        <v>179</v>
      </c>
      <c r="J193" s="99">
        <v>85.78</v>
      </c>
      <c r="K193" s="99">
        <v>4</v>
      </c>
      <c r="L193" s="99">
        <v>0.42</v>
      </c>
      <c r="M193" s="99">
        <v>183</v>
      </c>
      <c r="N193" s="99">
        <v>86.2</v>
      </c>
      <c r="O193" s="104"/>
      <c r="P193" s="104"/>
      <c r="Q193" s="104"/>
      <c r="R193" s="104"/>
      <c r="S193" s="99">
        <v>0</v>
      </c>
      <c r="T193" s="100">
        <v>0</v>
      </c>
      <c r="U193" s="105"/>
      <c r="V193" s="104"/>
      <c r="W193" s="104"/>
      <c r="X193" s="104"/>
      <c r="Y193" s="99">
        <v>0</v>
      </c>
      <c r="Z193" s="99">
        <v>0</v>
      </c>
      <c r="AA193" s="99">
        <v>219</v>
      </c>
      <c r="AB193" s="99">
        <v>153.14</v>
      </c>
      <c r="AC193" s="99">
        <v>5</v>
      </c>
      <c r="AD193" s="99">
        <v>0.56</v>
      </c>
      <c r="AE193" s="99">
        <v>224</v>
      </c>
      <c r="AF193" s="99">
        <v>153.7</v>
      </c>
      <c r="AG193" s="104"/>
      <c r="AH193" s="104"/>
      <c r="AI193" s="104"/>
      <c r="AJ193" s="104"/>
      <c r="AK193" s="99">
        <v>0</v>
      </c>
      <c r="AL193" s="99">
        <v>0</v>
      </c>
    </row>
    <row r="194" spans="1:38" ht="24" customHeight="1">
      <c r="A194" s="102">
        <v>5</v>
      </c>
      <c r="B194" s="103" t="s">
        <v>332</v>
      </c>
      <c r="C194" s="104"/>
      <c r="D194" s="104"/>
      <c r="E194" s="104"/>
      <c r="F194" s="104"/>
      <c r="G194" s="99">
        <v>0</v>
      </c>
      <c r="H194" s="99">
        <v>0</v>
      </c>
      <c r="I194" s="99">
        <v>232</v>
      </c>
      <c r="J194" s="99">
        <v>120.72</v>
      </c>
      <c r="K194" s="99">
        <v>2</v>
      </c>
      <c r="L194" s="99">
        <v>0.19</v>
      </c>
      <c r="M194" s="99">
        <v>234</v>
      </c>
      <c r="N194" s="99">
        <v>120.91</v>
      </c>
      <c r="O194" s="104"/>
      <c r="P194" s="104"/>
      <c r="Q194" s="104"/>
      <c r="R194" s="104"/>
      <c r="S194" s="99">
        <v>0</v>
      </c>
      <c r="T194" s="100">
        <v>0</v>
      </c>
      <c r="U194" s="105"/>
      <c r="V194" s="104"/>
      <c r="W194" s="104"/>
      <c r="X194" s="104"/>
      <c r="Y194" s="99">
        <v>0</v>
      </c>
      <c r="Z194" s="99">
        <v>0</v>
      </c>
      <c r="AA194" s="99">
        <v>264</v>
      </c>
      <c r="AB194" s="99">
        <v>239.67</v>
      </c>
      <c r="AC194" s="99">
        <v>10</v>
      </c>
      <c r="AD194" s="99">
        <v>2.72</v>
      </c>
      <c r="AE194" s="99">
        <v>274</v>
      </c>
      <c r="AF194" s="99">
        <v>242.39</v>
      </c>
      <c r="AG194" s="104"/>
      <c r="AH194" s="104"/>
      <c r="AI194" s="104"/>
      <c r="AJ194" s="104"/>
      <c r="AK194" s="99">
        <v>0</v>
      </c>
      <c r="AL194" s="99">
        <v>0</v>
      </c>
    </row>
    <row r="195" spans="1:38" ht="24" customHeight="1">
      <c r="A195" s="102">
        <v>6</v>
      </c>
      <c r="B195" s="103" t="s">
        <v>346</v>
      </c>
      <c r="C195" s="104"/>
      <c r="D195" s="104"/>
      <c r="E195" s="104"/>
      <c r="F195" s="104"/>
      <c r="G195" s="99">
        <v>0</v>
      </c>
      <c r="H195" s="99">
        <v>0</v>
      </c>
      <c r="I195" s="99">
        <v>190</v>
      </c>
      <c r="J195" s="99">
        <v>104.67</v>
      </c>
      <c r="K195" s="99">
        <v>35</v>
      </c>
      <c r="L195" s="99">
        <v>15.17</v>
      </c>
      <c r="M195" s="99">
        <v>225</v>
      </c>
      <c r="N195" s="99">
        <v>119.84</v>
      </c>
      <c r="O195" s="104"/>
      <c r="P195" s="104"/>
      <c r="Q195" s="104"/>
      <c r="R195" s="104"/>
      <c r="S195" s="99">
        <v>0</v>
      </c>
      <c r="T195" s="100">
        <v>0</v>
      </c>
      <c r="U195" s="105"/>
      <c r="V195" s="104"/>
      <c r="W195" s="104"/>
      <c r="X195" s="104"/>
      <c r="Y195" s="99">
        <v>0</v>
      </c>
      <c r="Z195" s="99">
        <v>0</v>
      </c>
      <c r="AA195" s="99">
        <v>220</v>
      </c>
      <c r="AB195" s="99">
        <v>197.42</v>
      </c>
      <c r="AC195" s="99">
        <v>48</v>
      </c>
      <c r="AD195" s="99">
        <v>35.58</v>
      </c>
      <c r="AE195" s="99">
        <v>268</v>
      </c>
      <c r="AF195" s="99">
        <v>233</v>
      </c>
      <c r="AG195" s="104"/>
      <c r="AH195" s="104"/>
      <c r="AI195" s="104"/>
      <c r="AJ195" s="104"/>
      <c r="AK195" s="99">
        <v>0</v>
      </c>
      <c r="AL195" s="99">
        <v>0</v>
      </c>
    </row>
    <row r="196" spans="1:38" ht="24" customHeight="1">
      <c r="A196" s="102">
        <v>7</v>
      </c>
      <c r="B196" s="103" t="s">
        <v>347</v>
      </c>
      <c r="C196" s="104"/>
      <c r="D196" s="104"/>
      <c r="E196" s="104"/>
      <c r="F196" s="104"/>
      <c r="G196" s="99">
        <v>0</v>
      </c>
      <c r="H196" s="99">
        <v>0</v>
      </c>
      <c r="I196" s="99">
        <v>30</v>
      </c>
      <c r="J196" s="99">
        <v>17.5</v>
      </c>
      <c r="K196" s="104"/>
      <c r="L196" s="104"/>
      <c r="M196" s="99">
        <v>30</v>
      </c>
      <c r="N196" s="99">
        <v>17.5</v>
      </c>
      <c r="O196" s="104"/>
      <c r="P196" s="104"/>
      <c r="Q196" s="104"/>
      <c r="R196" s="104"/>
      <c r="S196" s="99">
        <v>0</v>
      </c>
      <c r="T196" s="100">
        <v>0</v>
      </c>
      <c r="U196" s="105"/>
      <c r="V196" s="104"/>
      <c r="W196" s="104"/>
      <c r="X196" s="104"/>
      <c r="Y196" s="99">
        <v>0</v>
      </c>
      <c r="Z196" s="99">
        <v>0</v>
      </c>
      <c r="AA196" s="99">
        <v>30</v>
      </c>
      <c r="AB196" s="99">
        <v>17.5</v>
      </c>
      <c r="AC196" s="104"/>
      <c r="AD196" s="104"/>
      <c r="AE196" s="99">
        <v>30</v>
      </c>
      <c r="AF196" s="99">
        <v>17.5</v>
      </c>
      <c r="AG196" s="104"/>
      <c r="AH196" s="104"/>
      <c r="AI196" s="104"/>
      <c r="AJ196" s="104"/>
      <c r="AK196" s="99">
        <v>0</v>
      </c>
      <c r="AL196" s="99">
        <v>0</v>
      </c>
    </row>
    <row r="197" spans="1:38" ht="24" customHeight="1">
      <c r="A197" s="102">
        <v>8</v>
      </c>
      <c r="B197" s="103" t="s">
        <v>348</v>
      </c>
      <c r="C197" s="104"/>
      <c r="D197" s="104"/>
      <c r="E197" s="104"/>
      <c r="F197" s="104"/>
      <c r="G197" s="99">
        <v>0</v>
      </c>
      <c r="H197" s="99">
        <v>0</v>
      </c>
      <c r="I197" s="99">
        <v>53</v>
      </c>
      <c r="J197" s="99">
        <v>24.78</v>
      </c>
      <c r="K197" s="104"/>
      <c r="L197" s="104"/>
      <c r="M197" s="99">
        <v>53</v>
      </c>
      <c r="N197" s="99">
        <v>24.78</v>
      </c>
      <c r="O197" s="104"/>
      <c r="P197" s="104"/>
      <c r="Q197" s="104"/>
      <c r="R197" s="104"/>
      <c r="S197" s="99">
        <v>0</v>
      </c>
      <c r="T197" s="100">
        <v>0</v>
      </c>
      <c r="U197" s="105"/>
      <c r="V197" s="104"/>
      <c r="W197" s="104"/>
      <c r="X197" s="104"/>
      <c r="Y197" s="99">
        <v>0</v>
      </c>
      <c r="Z197" s="99">
        <v>0</v>
      </c>
      <c r="AA197" s="99">
        <v>70</v>
      </c>
      <c r="AB197" s="99">
        <v>52.92</v>
      </c>
      <c r="AC197" s="104"/>
      <c r="AD197" s="104"/>
      <c r="AE197" s="99">
        <v>70</v>
      </c>
      <c r="AF197" s="99">
        <v>52.92</v>
      </c>
      <c r="AG197" s="104"/>
      <c r="AH197" s="104"/>
      <c r="AI197" s="104"/>
      <c r="AJ197" s="104"/>
      <c r="AK197" s="99">
        <v>0</v>
      </c>
      <c r="AL197" s="99">
        <v>0</v>
      </c>
    </row>
    <row r="198" spans="1:38" ht="24" customHeight="1">
      <c r="A198" s="102">
        <v>9</v>
      </c>
      <c r="B198" s="103" t="s">
        <v>349</v>
      </c>
      <c r="C198" s="104"/>
      <c r="D198" s="104"/>
      <c r="E198" s="104"/>
      <c r="F198" s="104"/>
      <c r="G198" s="99">
        <v>0</v>
      </c>
      <c r="H198" s="99">
        <v>0</v>
      </c>
      <c r="I198" s="99">
        <v>186</v>
      </c>
      <c r="J198" s="99">
        <v>83.25</v>
      </c>
      <c r="K198" s="99">
        <v>133</v>
      </c>
      <c r="L198" s="99">
        <v>58.31</v>
      </c>
      <c r="M198" s="99">
        <v>319</v>
      </c>
      <c r="N198" s="99">
        <v>141.56</v>
      </c>
      <c r="O198" s="104"/>
      <c r="P198" s="104"/>
      <c r="Q198" s="104"/>
      <c r="R198" s="104"/>
      <c r="S198" s="99">
        <v>0</v>
      </c>
      <c r="T198" s="100">
        <v>0</v>
      </c>
      <c r="U198" s="105"/>
      <c r="V198" s="104"/>
      <c r="W198" s="104"/>
      <c r="X198" s="104"/>
      <c r="Y198" s="99">
        <v>0</v>
      </c>
      <c r="Z198" s="99">
        <v>0</v>
      </c>
      <c r="AA198" s="99">
        <v>212</v>
      </c>
      <c r="AB198" s="99">
        <v>162.56</v>
      </c>
      <c r="AC198" s="99">
        <v>159</v>
      </c>
      <c r="AD198" s="99">
        <v>114.22</v>
      </c>
      <c r="AE198" s="99">
        <v>371</v>
      </c>
      <c r="AF198" s="99">
        <v>276.78</v>
      </c>
      <c r="AG198" s="104"/>
      <c r="AH198" s="104"/>
      <c r="AI198" s="104"/>
      <c r="AJ198" s="104"/>
      <c r="AK198" s="99">
        <v>0</v>
      </c>
      <c r="AL198" s="99">
        <v>0</v>
      </c>
    </row>
    <row r="199" spans="1:38" ht="24" customHeight="1">
      <c r="A199" s="102">
        <v>10</v>
      </c>
      <c r="B199" s="103" t="s">
        <v>301</v>
      </c>
      <c r="C199" s="104"/>
      <c r="D199" s="104"/>
      <c r="E199" s="104"/>
      <c r="F199" s="104"/>
      <c r="G199" s="99">
        <v>0</v>
      </c>
      <c r="H199" s="99">
        <v>0</v>
      </c>
      <c r="I199" s="99">
        <v>273</v>
      </c>
      <c r="J199" s="99">
        <v>138.83</v>
      </c>
      <c r="K199" s="104"/>
      <c r="L199" s="104"/>
      <c r="M199" s="99">
        <v>273</v>
      </c>
      <c r="N199" s="99">
        <v>138.83</v>
      </c>
      <c r="O199" s="99">
        <v>4</v>
      </c>
      <c r="P199" s="99">
        <v>2.39</v>
      </c>
      <c r="Q199" s="99">
        <v>9</v>
      </c>
      <c r="R199" s="99">
        <v>5.56</v>
      </c>
      <c r="S199" s="99">
        <v>13</v>
      </c>
      <c r="T199" s="100">
        <v>7.95</v>
      </c>
      <c r="U199" s="105"/>
      <c r="V199" s="104"/>
      <c r="W199" s="104"/>
      <c r="X199" s="104"/>
      <c r="Y199" s="99">
        <v>0</v>
      </c>
      <c r="Z199" s="99">
        <v>0</v>
      </c>
      <c r="AA199" s="99">
        <v>331</v>
      </c>
      <c r="AB199" s="99">
        <v>273.47</v>
      </c>
      <c r="AC199" s="99">
        <v>1</v>
      </c>
      <c r="AD199" s="99">
        <v>0.42</v>
      </c>
      <c r="AE199" s="99">
        <v>332</v>
      </c>
      <c r="AF199" s="99">
        <v>273.89</v>
      </c>
      <c r="AG199" s="99">
        <v>5</v>
      </c>
      <c r="AH199" s="99">
        <v>5.17</v>
      </c>
      <c r="AI199" s="99">
        <v>18</v>
      </c>
      <c r="AJ199" s="99">
        <v>10.28</v>
      </c>
      <c r="AK199" s="99">
        <v>23</v>
      </c>
      <c r="AL199" s="99">
        <v>15.45</v>
      </c>
    </row>
    <row r="200" spans="1:38" ht="24" customHeight="1">
      <c r="A200" s="102">
        <v>11</v>
      </c>
      <c r="B200" s="103" t="s">
        <v>302</v>
      </c>
      <c r="C200" s="104"/>
      <c r="D200" s="104"/>
      <c r="E200" s="104"/>
      <c r="F200" s="104"/>
      <c r="G200" s="99">
        <v>0</v>
      </c>
      <c r="H200" s="99">
        <v>0</v>
      </c>
      <c r="I200" s="99">
        <v>217</v>
      </c>
      <c r="J200" s="99">
        <v>93.72</v>
      </c>
      <c r="K200" s="99">
        <v>81</v>
      </c>
      <c r="L200" s="99">
        <v>35.33</v>
      </c>
      <c r="M200" s="99">
        <v>298</v>
      </c>
      <c r="N200" s="99">
        <v>129.05</v>
      </c>
      <c r="O200" s="104"/>
      <c r="P200" s="104"/>
      <c r="Q200" s="104"/>
      <c r="R200" s="104"/>
      <c r="S200" s="99">
        <v>0</v>
      </c>
      <c r="T200" s="100">
        <v>0</v>
      </c>
      <c r="U200" s="105"/>
      <c r="V200" s="104"/>
      <c r="W200" s="104"/>
      <c r="X200" s="104"/>
      <c r="Y200" s="99">
        <v>0</v>
      </c>
      <c r="Z200" s="99">
        <v>0</v>
      </c>
      <c r="AA200" s="99">
        <v>254</v>
      </c>
      <c r="AB200" s="99">
        <v>186.58</v>
      </c>
      <c r="AC200" s="99">
        <v>91</v>
      </c>
      <c r="AD200" s="99">
        <v>62</v>
      </c>
      <c r="AE200" s="99">
        <v>345</v>
      </c>
      <c r="AF200" s="99">
        <v>248.58</v>
      </c>
      <c r="AG200" s="104"/>
      <c r="AH200" s="104"/>
      <c r="AI200" s="104"/>
      <c r="AJ200" s="104"/>
      <c r="AK200" s="99">
        <v>0</v>
      </c>
      <c r="AL200" s="99">
        <v>0</v>
      </c>
    </row>
    <row r="201" spans="1:38" ht="24" customHeight="1">
      <c r="A201" s="102">
        <v>12</v>
      </c>
      <c r="B201" s="103" t="s">
        <v>271</v>
      </c>
      <c r="C201" s="104"/>
      <c r="D201" s="104"/>
      <c r="E201" s="104"/>
      <c r="F201" s="104"/>
      <c r="G201" s="99">
        <v>0</v>
      </c>
      <c r="H201" s="99">
        <v>0</v>
      </c>
      <c r="I201" s="99">
        <v>124</v>
      </c>
      <c r="J201" s="99">
        <v>63.83</v>
      </c>
      <c r="K201" s="99">
        <v>79</v>
      </c>
      <c r="L201" s="99">
        <v>34.94</v>
      </c>
      <c r="M201" s="99">
        <v>203</v>
      </c>
      <c r="N201" s="99">
        <v>98.77</v>
      </c>
      <c r="O201" s="104"/>
      <c r="P201" s="104"/>
      <c r="Q201" s="104"/>
      <c r="R201" s="104"/>
      <c r="S201" s="99">
        <v>0</v>
      </c>
      <c r="T201" s="100">
        <v>0</v>
      </c>
      <c r="U201" s="105"/>
      <c r="V201" s="104"/>
      <c r="W201" s="104"/>
      <c r="X201" s="104"/>
      <c r="Y201" s="99">
        <v>0</v>
      </c>
      <c r="Z201" s="99">
        <v>0</v>
      </c>
      <c r="AA201" s="99">
        <v>139</v>
      </c>
      <c r="AB201" s="99">
        <v>111.44</v>
      </c>
      <c r="AC201" s="99">
        <v>87</v>
      </c>
      <c r="AD201" s="99">
        <v>64.03</v>
      </c>
      <c r="AE201" s="99">
        <v>226</v>
      </c>
      <c r="AF201" s="99">
        <v>175.47</v>
      </c>
      <c r="AG201" s="104"/>
      <c r="AH201" s="104"/>
      <c r="AI201" s="104"/>
      <c r="AJ201" s="104"/>
      <c r="AK201" s="99">
        <v>0</v>
      </c>
      <c r="AL201" s="99">
        <v>0</v>
      </c>
    </row>
    <row r="202" spans="1:38" ht="24" customHeight="1">
      <c r="A202" s="102">
        <v>13</v>
      </c>
      <c r="B202" s="103" t="s">
        <v>350</v>
      </c>
      <c r="C202" s="104"/>
      <c r="D202" s="104"/>
      <c r="E202" s="104"/>
      <c r="F202" s="104"/>
      <c r="G202" s="99">
        <v>0</v>
      </c>
      <c r="H202" s="99">
        <v>0</v>
      </c>
      <c r="I202" s="99">
        <v>110</v>
      </c>
      <c r="J202" s="99">
        <v>60.61</v>
      </c>
      <c r="K202" s="99">
        <v>81</v>
      </c>
      <c r="L202" s="99">
        <v>37.03</v>
      </c>
      <c r="M202" s="99">
        <v>191</v>
      </c>
      <c r="N202" s="99">
        <v>97.64</v>
      </c>
      <c r="O202" s="104"/>
      <c r="P202" s="104"/>
      <c r="Q202" s="104"/>
      <c r="R202" s="104"/>
      <c r="S202" s="99">
        <v>0</v>
      </c>
      <c r="T202" s="100">
        <v>0</v>
      </c>
      <c r="U202" s="105"/>
      <c r="V202" s="104"/>
      <c r="W202" s="104"/>
      <c r="X202" s="104"/>
      <c r="Y202" s="99">
        <v>0</v>
      </c>
      <c r="Z202" s="99">
        <v>0</v>
      </c>
      <c r="AA202" s="99">
        <v>153</v>
      </c>
      <c r="AB202" s="99">
        <v>133.94</v>
      </c>
      <c r="AC202" s="99">
        <v>102</v>
      </c>
      <c r="AD202" s="99">
        <v>69.11</v>
      </c>
      <c r="AE202" s="99">
        <v>255</v>
      </c>
      <c r="AF202" s="99">
        <v>203.05</v>
      </c>
      <c r="AG202" s="104"/>
      <c r="AH202" s="104"/>
      <c r="AI202" s="104"/>
      <c r="AJ202" s="104"/>
      <c r="AK202" s="99">
        <v>0</v>
      </c>
      <c r="AL202" s="99">
        <v>0</v>
      </c>
    </row>
    <row r="203" spans="1:38" ht="24" customHeight="1">
      <c r="A203" s="237" t="s">
        <v>22</v>
      </c>
      <c r="B203" s="238"/>
      <c r="C203" s="99"/>
      <c r="D203" s="99"/>
      <c r="E203" s="99"/>
      <c r="F203" s="99"/>
      <c r="G203" s="99">
        <f aca="true" t="shared" si="6" ref="G203:T203">SUM(G190:G202)</f>
        <v>0</v>
      </c>
      <c r="H203" s="99">
        <f t="shared" si="6"/>
        <v>0</v>
      </c>
      <c r="I203" s="99">
        <f t="shared" si="6"/>
        <v>2074</v>
      </c>
      <c r="J203" s="99">
        <f t="shared" si="6"/>
        <v>1025.32</v>
      </c>
      <c r="K203" s="99">
        <f t="shared" si="6"/>
        <v>426</v>
      </c>
      <c r="L203" s="99">
        <f t="shared" si="6"/>
        <v>183.28</v>
      </c>
      <c r="M203" s="99">
        <f t="shared" si="6"/>
        <v>2500</v>
      </c>
      <c r="N203" s="99">
        <f t="shared" si="6"/>
        <v>1208.6000000000001</v>
      </c>
      <c r="O203" s="99">
        <f t="shared" si="6"/>
        <v>4</v>
      </c>
      <c r="P203" s="99">
        <f t="shared" si="6"/>
        <v>2.39</v>
      </c>
      <c r="Q203" s="99">
        <f t="shared" si="6"/>
        <v>9</v>
      </c>
      <c r="R203" s="99">
        <f t="shared" si="6"/>
        <v>5.56</v>
      </c>
      <c r="S203" s="99">
        <f t="shared" si="6"/>
        <v>13</v>
      </c>
      <c r="T203" s="100">
        <f t="shared" si="6"/>
        <v>7.95</v>
      </c>
      <c r="U203" s="101"/>
      <c r="V203" s="99"/>
      <c r="W203" s="99"/>
      <c r="X203" s="99"/>
      <c r="Y203" s="99">
        <f aca="true" t="shared" si="7" ref="Y203:AL203">SUM(Y190:Y202)</f>
        <v>0</v>
      </c>
      <c r="Z203" s="99">
        <f t="shared" si="7"/>
        <v>0</v>
      </c>
      <c r="AA203" s="99">
        <f t="shared" si="7"/>
        <v>2461</v>
      </c>
      <c r="AB203" s="99">
        <f t="shared" si="7"/>
        <v>1997.75</v>
      </c>
      <c r="AC203" s="99">
        <f t="shared" si="7"/>
        <v>528</v>
      </c>
      <c r="AD203" s="99">
        <f t="shared" si="7"/>
        <v>354.95</v>
      </c>
      <c r="AE203" s="99">
        <f t="shared" si="7"/>
        <v>2989</v>
      </c>
      <c r="AF203" s="99">
        <f t="shared" si="7"/>
        <v>2352.7</v>
      </c>
      <c r="AG203" s="99">
        <f t="shared" si="7"/>
        <v>5</v>
      </c>
      <c r="AH203" s="99">
        <f t="shared" si="7"/>
        <v>5.17</v>
      </c>
      <c r="AI203" s="99">
        <f t="shared" si="7"/>
        <v>18</v>
      </c>
      <c r="AJ203" s="99">
        <f t="shared" si="7"/>
        <v>10.28</v>
      </c>
      <c r="AK203" s="99">
        <f t="shared" si="7"/>
        <v>23</v>
      </c>
      <c r="AL203" s="99">
        <f t="shared" si="7"/>
        <v>15.45</v>
      </c>
    </row>
    <row r="204" spans="1:38" ht="24" customHeight="1">
      <c r="A204" s="240" t="s">
        <v>248</v>
      </c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2"/>
    </row>
    <row r="205" spans="1:38" ht="24" customHeight="1">
      <c r="A205" s="240" t="s">
        <v>351</v>
      </c>
      <c r="B205" s="241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2"/>
    </row>
    <row r="206" spans="1:39" ht="24" customHeight="1">
      <c r="A206" s="243" t="s">
        <v>250</v>
      </c>
      <c r="B206" s="243" t="s">
        <v>251</v>
      </c>
      <c r="C206" s="235" t="s">
        <v>252</v>
      </c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6"/>
      <c r="U206" s="235" t="s">
        <v>253</v>
      </c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239"/>
      <c r="AK206" s="239"/>
      <c r="AL206" s="236"/>
      <c r="AM206" s="106"/>
    </row>
    <row r="207" spans="1:39" ht="24" customHeight="1">
      <c r="A207" s="244"/>
      <c r="B207" s="244"/>
      <c r="C207" s="235" t="s">
        <v>254</v>
      </c>
      <c r="D207" s="239"/>
      <c r="E207" s="239"/>
      <c r="F207" s="239"/>
      <c r="G207" s="239"/>
      <c r="H207" s="236"/>
      <c r="I207" s="235" t="s">
        <v>255</v>
      </c>
      <c r="J207" s="239"/>
      <c r="K207" s="239"/>
      <c r="L207" s="239"/>
      <c r="M207" s="239"/>
      <c r="N207" s="236"/>
      <c r="O207" s="235" t="s">
        <v>256</v>
      </c>
      <c r="P207" s="239"/>
      <c r="Q207" s="239"/>
      <c r="R207" s="239"/>
      <c r="S207" s="239"/>
      <c r="T207" s="236"/>
      <c r="U207" s="235" t="s">
        <v>254</v>
      </c>
      <c r="V207" s="239"/>
      <c r="W207" s="239"/>
      <c r="X207" s="239"/>
      <c r="Y207" s="239"/>
      <c r="Z207" s="236"/>
      <c r="AA207" s="235" t="s">
        <v>255</v>
      </c>
      <c r="AB207" s="239"/>
      <c r="AC207" s="239"/>
      <c r="AD207" s="239"/>
      <c r="AE207" s="239"/>
      <c r="AF207" s="236"/>
      <c r="AG207" s="235" t="s">
        <v>256</v>
      </c>
      <c r="AH207" s="239"/>
      <c r="AI207" s="239"/>
      <c r="AJ207" s="239"/>
      <c r="AK207" s="239"/>
      <c r="AL207" s="236"/>
      <c r="AM207" s="106"/>
    </row>
    <row r="208" spans="1:39" ht="24" customHeight="1">
      <c r="A208" s="244"/>
      <c r="B208" s="244"/>
      <c r="C208" s="235" t="s">
        <v>257</v>
      </c>
      <c r="D208" s="236"/>
      <c r="E208" s="235" t="s">
        <v>258</v>
      </c>
      <c r="F208" s="236"/>
      <c r="G208" s="235" t="s">
        <v>22</v>
      </c>
      <c r="H208" s="236"/>
      <c r="I208" s="235" t="s">
        <v>257</v>
      </c>
      <c r="J208" s="236"/>
      <c r="K208" s="235" t="s">
        <v>258</v>
      </c>
      <c r="L208" s="236"/>
      <c r="M208" s="235" t="s">
        <v>22</v>
      </c>
      <c r="N208" s="236"/>
      <c r="O208" s="235" t="s">
        <v>257</v>
      </c>
      <c r="P208" s="236"/>
      <c r="Q208" s="235" t="s">
        <v>258</v>
      </c>
      <c r="R208" s="236"/>
      <c r="S208" s="235" t="s">
        <v>22</v>
      </c>
      <c r="T208" s="236"/>
      <c r="U208" s="235" t="s">
        <v>257</v>
      </c>
      <c r="V208" s="236"/>
      <c r="W208" s="235" t="s">
        <v>258</v>
      </c>
      <c r="X208" s="236"/>
      <c r="Y208" s="235" t="s">
        <v>22</v>
      </c>
      <c r="Z208" s="236"/>
      <c r="AA208" s="235" t="s">
        <v>257</v>
      </c>
      <c r="AB208" s="236"/>
      <c r="AC208" s="235" t="s">
        <v>258</v>
      </c>
      <c r="AD208" s="236"/>
      <c r="AE208" s="235" t="s">
        <v>22</v>
      </c>
      <c r="AF208" s="236"/>
      <c r="AG208" s="235" t="s">
        <v>257</v>
      </c>
      <c r="AH208" s="236"/>
      <c r="AI208" s="235" t="s">
        <v>258</v>
      </c>
      <c r="AJ208" s="236"/>
      <c r="AK208" s="235" t="s">
        <v>22</v>
      </c>
      <c r="AL208" s="236"/>
      <c r="AM208" s="106"/>
    </row>
    <row r="209" spans="1:39" ht="24" customHeight="1">
      <c r="A209" s="245"/>
      <c r="B209" s="245"/>
      <c r="C209" s="99" t="s">
        <v>259</v>
      </c>
      <c r="D209" s="99" t="s">
        <v>260</v>
      </c>
      <c r="E209" s="99" t="s">
        <v>259</v>
      </c>
      <c r="F209" s="99" t="s">
        <v>260</v>
      </c>
      <c r="G209" s="99" t="s">
        <v>259</v>
      </c>
      <c r="H209" s="99" t="s">
        <v>260</v>
      </c>
      <c r="I209" s="99" t="s">
        <v>259</v>
      </c>
      <c r="J209" s="99" t="s">
        <v>260</v>
      </c>
      <c r="K209" s="99" t="s">
        <v>259</v>
      </c>
      <c r="L209" s="99" t="s">
        <v>260</v>
      </c>
      <c r="M209" s="99" t="s">
        <v>259</v>
      </c>
      <c r="N209" s="99" t="s">
        <v>260</v>
      </c>
      <c r="O209" s="99" t="s">
        <v>259</v>
      </c>
      <c r="P209" s="99" t="s">
        <v>260</v>
      </c>
      <c r="Q209" s="99" t="s">
        <v>259</v>
      </c>
      <c r="R209" s="99" t="s">
        <v>260</v>
      </c>
      <c r="S209" s="99" t="s">
        <v>259</v>
      </c>
      <c r="T209" s="100" t="s">
        <v>260</v>
      </c>
      <c r="U209" s="101" t="s">
        <v>259</v>
      </c>
      <c r="V209" s="99" t="s">
        <v>260</v>
      </c>
      <c r="W209" s="99" t="s">
        <v>259</v>
      </c>
      <c r="X209" s="99" t="s">
        <v>260</v>
      </c>
      <c r="Y209" s="99" t="s">
        <v>259</v>
      </c>
      <c r="Z209" s="99" t="s">
        <v>260</v>
      </c>
      <c r="AA209" s="99" t="s">
        <v>259</v>
      </c>
      <c r="AB209" s="99" t="s">
        <v>260</v>
      </c>
      <c r="AC209" s="99" t="s">
        <v>259</v>
      </c>
      <c r="AD209" s="99" t="s">
        <v>260</v>
      </c>
      <c r="AE209" s="99" t="s">
        <v>259</v>
      </c>
      <c r="AF209" s="99" t="s">
        <v>260</v>
      </c>
      <c r="AG209" s="99" t="s">
        <v>259</v>
      </c>
      <c r="AH209" s="99" t="s">
        <v>260</v>
      </c>
      <c r="AI209" s="99" t="s">
        <v>259</v>
      </c>
      <c r="AJ209" s="99" t="s">
        <v>260</v>
      </c>
      <c r="AK209" s="99" t="s">
        <v>259</v>
      </c>
      <c r="AL209" s="99" t="s">
        <v>260</v>
      </c>
      <c r="AM209" s="106"/>
    </row>
    <row r="210" spans="1:39" ht="24" customHeight="1">
      <c r="A210" s="102">
        <v>1</v>
      </c>
      <c r="B210" s="103" t="s">
        <v>352</v>
      </c>
      <c r="C210" s="104"/>
      <c r="D210" s="104"/>
      <c r="E210" s="104"/>
      <c r="F210" s="104"/>
      <c r="G210" s="99">
        <v>0</v>
      </c>
      <c r="H210" s="99">
        <v>0</v>
      </c>
      <c r="I210" s="99">
        <v>245</v>
      </c>
      <c r="J210" s="99">
        <v>107.14</v>
      </c>
      <c r="K210" s="104"/>
      <c r="L210" s="104"/>
      <c r="M210" s="99">
        <v>245</v>
      </c>
      <c r="N210" s="99">
        <v>107.14</v>
      </c>
      <c r="O210" s="104"/>
      <c r="P210" s="104"/>
      <c r="Q210" s="104"/>
      <c r="R210" s="104"/>
      <c r="S210" s="99">
        <v>0</v>
      </c>
      <c r="T210" s="100">
        <v>0</v>
      </c>
      <c r="U210" s="105"/>
      <c r="V210" s="104"/>
      <c r="W210" s="104"/>
      <c r="X210" s="104"/>
      <c r="Y210" s="99">
        <v>0</v>
      </c>
      <c r="Z210" s="99">
        <v>0</v>
      </c>
      <c r="AA210" s="99">
        <v>292</v>
      </c>
      <c r="AB210" s="99">
        <v>202.42</v>
      </c>
      <c r="AC210" s="104"/>
      <c r="AD210" s="104"/>
      <c r="AE210" s="99">
        <v>292</v>
      </c>
      <c r="AF210" s="99">
        <v>202.42</v>
      </c>
      <c r="AG210" s="104"/>
      <c r="AH210" s="104"/>
      <c r="AI210" s="104"/>
      <c r="AJ210" s="104"/>
      <c r="AK210" s="99">
        <v>0</v>
      </c>
      <c r="AL210" s="99">
        <v>0</v>
      </c>
      <c r="AM210" s="106"/>
    </row>
    <row r="211" spans="1:39" ht="24" customHeight="1">
      <c r="A211" s="102">
        <v>2</v>
      </c>
      <c r="B211" s="103" t="s">
        <v>329</v>
      </c>
      <c r="C211" s="104"/>
      <c r="D211" s="104"/>
      <c r="E211" s="104"/>
      <c r="F211" s="104"/>
      <c r="G211" s="99">
        <v>0</v>
      </c>
      <c r="H211" s="99">
        <v>0</v>
      </c>
      <c r="I211" s="99">
        <v>309</v>
      </c>
      <c r="J211" s="99">
        <v>144.83</v>
      </c>
      <c r="K211" s="104"/>
      <c r="L211" s="104"/>
      <c r="M211" s="99">
        <v>309</v>
      </c>
      <c r="N211" s="99">
        <v>144.83</v>
      </c>
      <c r="O211" s="104"/>
      <c r="P211" s="104"/>
      <c r="Q211" s="104"/>
      <c r="R211" s="104"/>
      <c r="S211" s="99">
        <v>0</v>
      </c>
      <c r="T211" s="100">
        <v>0</v>
      </c>
      <c r="U211" s="105"/>
      <c r="V211" s="104"/>
      <c r="W211" s="104"/>
      <c r="X211" s="104"/>
      <c r="Y211" s="99">
        <v>0</v>
      </c>
      <c r="Z211" s="99">
        <v>0</v>
      </c>
      <c r="AA211" s="99">
        <v>381</v>
      </c>
      <c r="AB211" s="99">
        <v>261.03</v>
      </c>
      <c r="AC211" s="104"/>
      <c r="AD211" s="104"/>
      <c r="AE211" s="99">
        <v>381</v>
      </c>
      <c r="AF211" s="99">
        <v>261.03</v>
      </c>
      <c r="AG211" s="104"/>
      <c r="AH211" s="104"/>
      <c r="AI211" s="104"/>
      <c r="AJ211" s="104"/>
      <c r="AK211" s="99">
        <v>0</v>
      </c>
      <c r="AL211" s="99">
        <v>0</v>
      </c>
      <c r="AM211" s="106"/>
    </row>
    <row r="212" spans="1:38" ht="24" customHeight="1">
      <c r="A212" s="102">
        <v>3</v>
      </c>
      <c r="B212" s="103" t="s">
        <v>353</v>
      </c>
      <c r="C212" s="104"/>
      <c r="D212" s="104"/>
      <c r="E212" s="104"/>
      <c r="F212" s="104"/>
      <c r="G212" s="99">
        <v>0</v>
      </c>
      <c r="H212" s="99">
        <v>0</v>
      </c>
      <c r="I212" s="99">
        <v>129</v>
      </c>
      <c r="J212" s="99">
        <v>63.33</v>
      </c>
      <c r="K212" s="104"/>
      <c r="L212" s="104"/>
      <c r="M212" s="99">
        <v>129</v>
      </c>
      <c r="N212" s="99">
        <v>63.33</v>
      </c>
      <c r="O212" s="104"/>
      <c r="P212" s="104"/>
      <c r="Q212" s="104"/>
      <c r="R212" s="104"/>
      <c r="S212" s="99">
        <v>0</v>
      </c>
      <c r="T212" s="100">
        <v>0</v>
      </c>
      <c r="U212" s="105"/>
      <c r="V212" s="104"/>
      <c r="W212" s="104"/>
      <c r="X212" s="104"/>
      <c r="Y212" s="99">
        <v>0</v>
      </c>
      <c r="Z212" s="99">
        <v>0</v>
      </c>
      <c r="AA212" s="99">
        <v>163</v>
      </c>
      <c r="AB212" s="99">
        <v>115.42</v>
      </c>
      <c r="AC212" s="104"/>
      <c r="AD212" s="104"/>
      <c r="AE212" s="99">
        <v>163</v>
      </c>
      <c r="AF212" s="99">
        <v>115.42</v>
      </c>
      <c r="AG212" s="104"/>
      <c r="AH212" s="104"/>
      <c r="AI212" s="104"/>
      <c r="AJ212" s="104"/>
      <c r="AK212" s="99">
        <v>0</v>
      </c>
      <c r="AL212" s="99">
        <v>0</v>
      </c>
    </row>
    <row r="213" spans="1:38" ht="24" customHeight="1">
      <c r="A213" s="102">
        <v>4</v>
      </c>
      <c r="B213" s="103" t="s">
        <v>265</v>
      </c>
      <c r="C213" s="104"/>
      <c r="D213" s="104"/>
      <c r="E213" s="104"/>
      <c r="F213" s="104"/>
      <c r="G213" s="99">
        <v>0</v>
      </c>
      <c r="H213" s="99">
        <v>0</v>
      </c>
      <c r="I213" s="99">
        <v>340</v>
      </c>
      <c r="J213" s="99">
        <v>152.78</v>
      </c>
      <c r="K213" s="99">
        <v>75</v>
      </c>
      <c r="L213" s="99">
        <v>37.14</v>
      </c>
      <c r="M213" s="99">
        <v>415</v>
      </c>
      <c r="N213" s="99">
        <v>189.92</v>
      </c>
      <c r="O213" s="104"/>
      <c r="P213" s="104"/>
      <c r="Q213" s="104"/>
      <c r="R213" s="104"/>
      <c r="S213" s="99">
        <v>0</v>
      </c>
      <c r="T213" s="100">
        <v>0</v>
      </c>
      <c r="U213" s="105"/>
      <c r="V213" s="104"/>
      <c r="W213" s="104"/>
      <c r="X213" s="104"/>
      <c r="Y213" s="99">
        <v>0</v>
      </c>
      <c r="Z213" s="99">
        <v>0</v>
      </c>
      <c r="AA213" s="99">
        <v>421</v>
      </c>
      <c r="AB213" s="99">
        <v>290.33</v>
      </c>
      <c r="AC213" s="99">
        <v>96</v>
      </c>
      <c r="AD213" s="99">
        <v>69.11</v>
      </c>
      <c r="AE213" s="99">
        <v>517</v>
      </c>
      <c r="AF213" s="99">
        <v>359.44</v>
      </c>
      <c r="AG213" s="104"/>
      <c r="AH213" s="104"/>
      <c r="AI213" s="104"/>
      <c r="AJ213" s="104"/>
      <c r="AK213" s="99">
        <v>0</v>
      </c>
      <c r="AL213" s="99">
        <v>0</v>
      </c>
    </row>
    <row r="214" spans="1:38" ht="24" customHeight="1">
      <c r="A214" s="102">
        <v>5</v>
      </c>
      <c r="B214" s="103" t="s">
        <v>297</v>
      </c>
      <c r="C214" s="104"/>
      <c r="D214" s="104"/>
      <c r="E214" s="104"/>
      <c r="F214" s="104"/>
      <c r="G214" s="99">
        <v>0</v>
      </c>
      <c r="H214" s="99">
        <v>0</v>
      </c>
      <c r="I214" s="99">
        <v>320</v>
      </c>
      <c r="J214" s="99">
        <v>149.89</v>
      </c>
      <c r="K214" s="104"/>
      <c r="L214" s="104"/>
      <c r="M214" s="99">
        <v>320</v>
      </c>
      <c r="N214" s="99">
        <v>149.89</v>
      </c>
      <c r="O214" s="104"/>
      <c r="P214" s="104"/>
      <c r="Q214" s="104"/>
      <c r="R214" s="104"/>
      <c r="S214" s="99">
        <v>0</v>
      </c>
      <c r="T214" s="100">
        <v>0</v>
      </c>
      <c r="U214" s="105"/>
      <c r="V214" s="104"/>
      <c r="W214" s="104"/>
      <c r="X214" s="104"/>
      <c r="Y214" s="99">
        <v>0</v>
      </c>
      <c r="Z214" s="99">
        <v>0</v>
      </c>
      <c r="AA214" s="99">
        <v>404</v>
      </c>
      <c r="AB214" s="99">
        <v>285.75</v>
      </c>
      <c r="AC214" s="104"/>
      <c r="AD214" s="104"/>
      <c r="AE214" s="99">
        <v>404</v>
      </c>
      <c r="AF214" s="99">
        <v>285.75</v>
      </c>
      <c r="AG214" s="104"/>
      <c r="AH214" s="104"/>
      <c r="AI214" s="104"/>
      <c r="AJ214" s="104"/>
      <c r="AK214" s="99">
        <v>0</v>
      </c>
      <c r="AL214" s="99">
        <v>0</v>
      </c>
    </row>
    <row r="215" spans="1:38" ht="24" customHeight="1">
      <c r="A215" s="237" t="s">
        <v>22</v>
      </c>
      <c r="B215" s="238"/>
      <c r="C215" s="99"/>
      <c r="D215" s="99"/>
      <c r="E215" s="99"/>
      <c r="F215" s="99"/>
      <c r="G215" s="99">
        <f aca="true" t="shared" si="8" ref="G215:N215">SUM(G210:G214)</f>
        <v>0</v>
      </c>
      <c r="H215" s="99">
        <f t="shared" si="8"/>
        <v>0</v>
      </c>
      <c r="I215" s="99">
        <f t="shared" si="8"/>
        <v>1343</v>
      </c>
      <c r="J215" s="99">
        <f t="shared" si="8"/>
        <v>617.97</v>
      </c>
      <c r="K215" s="99">
        <f t="shared" si="8"/>
        <v>75</v>
      </c>
      <c r="L215" s="99">
        <f t="shared" si="8"/>
        <v>37.14</v>
      </c>
      <c r="M215" s="99">
        <f t="shared" si="8"/>
        <v>1418</v>
      </c>
      <c r="N215" s="99">
        <f t="shared" si="8"/>
        <v>655.11</v>
      </c>
      <c r="O215" s="99"/>
      <c r="P215" s="99"/>
      <c r="Q215" s="99"/>
      <c r="R215" s="99"/>
      <c r="S215" s="99">
        <f>SUM(S210:S214)</f>
        <v>0</v>
      </c>
      <c r="T215" s="100">
        <f>SUM(T210:T214)</f>
        <v>0</v>
      </c>
      <c r="U215" s="101"/>
      <c r="V215" s="99"/>
      <c r="W215" s="99"/>
      <c r="X215" s="99"/>
      <c r="Y215" s="99">
        <f aca="true" t="shared" si="9" ref="Y215:AF215">SUM(Y210:Y214)</f>
        <v>0</v>
      </c>
      <c r="Z215" s="99">
        <f t="shared" si="9"/>
        <v>0</v>
      </c>
      <c r="AA215" s="99">
        <f t="shared" si="9"/>
        <v>1661</v>
      </c>
      <c r="AB215" s="99">
        <f t="shared" si="9"/>
        <v>1154.9499999999998</v>
      </c>
      <c r="AC215" s="99">
        <f t="shared" si="9"/>
        <v>96</v>
      </c>
      <c r="AD215" s="99">
        <f t="shared" si="9"/>
        <v>69.11</v>
      </c>
      <c r="AE215" s="99">
        <f t="shared" si="9"/>
        <v>1757</v>
      </c>
      <c r="AF215" s="99">
        <f t="shared" si="9"/>
        <v>1224.06</v>
      </c>
      <c r="AG215" s="99"/>
      <c r="AH215" s="99"/>
      <c r="AI215" s="99"/>
      <c r="AJ215" s="99"/>
      <c r="AK215" s="99">
        <f>SUM(AK210:AK214)</f>
        <v>0</v>
      </c>
      <c r="AL215" s="99">
        <f>SUM(AL210:AL214)</f>
        <v>0</v>
      </c>
    </row>
    <row r="216" spans="1:38" ht="24" customHeight="1">
      <c r="A216" s="240" t="s">
        <v>248</v>
      </c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2"/>
    </row>
    <row r="217" spans="1:38" ht="24" customHeight="1">
      <c r="A217" s="240" t="s">
        <v>354</v>
      </c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2"/>
    </row>
    <row r="218" spans="1:38" ht="24" customHeight="1">
      <c r="A218" s="243" t="s">
        <v>250</v>
      </c>
      <c r="B218" s="243" t="s">
        <v>251</v>
      </c>
      <c r="C218" s="235" t="s">
        <v>252</v>
      </c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6"/>
      <c r="U218" s="235" t="s">
        <v>253</v>
      </c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  <c r="AK218" s="239"/>
      <c r="AL218" s="236"/>
    </row>
    <row r="219" spans="1:38" ht="24" customHeight="1">
      <c r="A219" s="244"/>
      <c r="B219" s="244"/>
      <c r="C219" s="235" t="s">
        <v>254</v>
      </c>
      <c r="D219" s="239"/>
      <c r="E219" s="239"/>
      <c r="F219" s="239"/>
      <c r="G219" s="239"/>
      <c r="H219" s="236"/>
      <c r="I219" s="235" t="s">
        <v>255</v>
      </c>
      <c r="J219" s="239"/>
      <c r="K219" s="239"/>
      <c r="L219" s="239"/>
      <c r="M219" s="239"/>
      <c r="N219" s="236"/>
      <c r="O219" s="235" t="s">
        <v>256</v>
      </c>
      <c r="P219" s="239"/>
      <c r="Q219" s="239"/>
      <c r="R219" s="239"/>
      <c r="S219" s="239"/>
      <c r="T219" s="236"/>
      <c r="U219" s="235" t="s">
        <v>254</v>
      </c>
      <c r="V219" s="239"/>
      <c r="W219" s="239"/>
      <c r="X219" s="239"/>
      <c r="Y219" s="239"/>
      <c r="Z219" s="236"/>
      <c r="AA219" s="235" t="s">
        <v>255</v>
      </c>
      <c r="AB219" s="239"/>
      <c r="AC219" s="239"/>
      <c r="AD219" s="239"/>
      <c r="AE219" s="239"/>
      <c r="AF219" s="236"/>
      <c r="AG219" s="235" t="s">
        <v>256</v>
      </c>
      <c r="AH219" s="239"/>
      <c r="AI219" s="239"/>
      <c r="AJ219" s="239"/>
      <c r="AK219" s="239"/>
      <c r="AL219" s="236"/>
    </row>
    <row r="220" spans="1:38" ht="24" customHeight="1">
      <c r="A220" s="244"/>
      <c r="B220" s="244"/>
      <c r="C220" s="235" t="s">
        <v>257</v>
      </c>
      <c r="D220" s="236"/>
      <c r="E220" s="235" t="s">
        <v>258</v>
      </c>
      <c r="F220" s="236"/>
      <c r="G220" s="235" t="s">
        <v>22</v>
      </c>
      <c r="H220" s="236"/>
      <c r="I220" s="235" t="s">
        <v>257</v>
      </c>
      <c r="J220" s="236"/>
      <c r="K220" s="235" t="s">
        <v>258</v>
      </c>
      <c r="L220" s="236"/>
      <c r="M220" s="235" t="s">
        <v>22</v>
      </c>
      <c r="N220" s="236"/>
      <c r="O220" s="235" t="s">
        <v>257</v>
      </c>
      <c r="P220" s="236"/>
      <c r="Q220" s="235" t="s">
        <v>258</v>
      </c>
      <c r="R220" s="236"/>
      <c r="S220" s="235" t="s">
        <v>22</v>
      </c>
      <c r="T220" s="236"/>
      <c r="U220" s="235" t="s">
        <v>257</v>
      </c>
      <c r="V220" s="236"/>
      <c r="W220" s="235" t="s">
        <v>258</v>
      </c>
      <c r="X220" s="236"/>
      <c r="Y220" s="235" t="s">
        <v>22</v>
      </c>
      <c r="Z220" s="236"/>
      <c r="AA220" s="235" t="s">
        <v>257</v>
      </c>
      <c r="AB220" s="236"/>
      <c r="AC220" s="235" t="s">
        <v>258</v>
      </c>
      <c r="AD220" s="236"/>
      <c r="AE220" s="235" t="s">
        <v>22</v>
      </c>
      <c r="AF220" s="236"/>
      <c r="AG220" s="235" t="s">
        <v>257</v>
      </c>
      <c r="AH220" s="236"/>
      <c r="AI220" s="235" t="s">
        <v>258</v>
      </c>
      <c r="AJ220" s="236"/>
      <c r="AK220" s="235" t="s">
        <v>22</v>
      </c>
      <c r="AL220" s="236"/>
    </row>
    <row r="221" spans="1:38" ht="24" customHeight="1">
      <c r="A221" s="245"/>
      <c r="B221" s="245"/>
      <c r="C221" s="99" t="s">
        <v>259</v>
      </c>
      <c r="D221" s="99" t="s">
        <v>260</v>
      </c>
      <c r="E221" s="99" t="s">
        <v>259</v>
      </c>
      <c r="F221" s="99" t="s">
        <v>260</v>
      </c>
      <c r="G221" s="99" t="s">
        <v>259</v>
      </c>
      <c r="H221" s="99" t="s">
        <v>260</v>
      </c>
      <c r="I221" s="99" t="s">
        <v>259</v>
      </c>
      <c r="J221" s="99" t="s">
        <v>260</v>
      </c>
      <c r="K221" s="99" t="s">
        <v>259</v>
      </c>
      <c r="L221" s="99" t="s">
        <v>260</v>
      </c>
      <c r="M221" s="99" t="s">
        <v>259</v>
      </c>
      <c r="N221" s="99" t="s">
        <v>260</v>
      </c>
      <c r="O221" s="99" t="s">
        <v>259</v>
      </c>
      <c r="P221" s="99" t="s">
        <v>260</v>
      </c>
      <c r="Q221" s="99" t="s">
        <v>259</v>
      </c>
      <c r="R221" s="99" t="s">
        <v>260</v>
      </c>
      <c r="S221" s="99" t="s">
        <v>259</v>
      </c>
      <c r="T221" s="100" t="s">
        <v>260</v>
      </c>
      <c r="U221" s="101" t="s">
        <v>259</v>
      </c>
      <c r="V221" s="99" t="s">
        <v>260</v>
      </c>
      <c r="W221" s="99" t="s">
        <v>259</v>
      </c>
      <c r="X221" s="99" t="s">
        <v>260</v>
      </c>
      <c r="Y221" s="99" t="s">
        <v>259</v>
      </c>
      <c r="Z221" s="99" t="s">
        <v>260</v>
      </c>
      <c r="AA221" s="99" t="s">
        <v>259</v>
      </c>
      <c r="AB221" s="99" t="s">
        <v>260</v>
      </c>
      <c r="AC221" s="99" t="s">
        <v>259</v>
      </c>
      <c r="AD221" s="99" t="s">
        <v>260</v>
      </c>
      <c r="AE221" s="99" t="s">
        <v>259</v>
      </c>
      <c r="AF221" s="99" t="s">
        <v>260</v>
      </c>
      <c r="AG221" s="99" t="s">
        <v>259</v>
      </c>
      <c r="AH221" s="99" t="s">
        <v>260</v>
      </c>
      <c r="AI221" s="99" t="s">
        <v>259</v>
      </c>
      <c r="AJ221" s="99" t="s">
        <v>260</v>
      </c>
      <c r="AK221" s="99" t="s">
        <v>259</v>
      </c>
      <c r="AL221" s="99" t="s">
        <v>260</v>
      </c>
    </row>
    <row r="222" spans="1:38" ht="24" customHeight="1">
      <c r="A222" s="102">
        <v>1</v>
      </c>
      <c r="B222" s="103" t="s">
        <v>355</v>
      </c>
      <c r="C222" s="104"/>
      <c r="D222" s="104"/>
      <c r="E222" s="104"/>
      <c r="F222" s="104"/>
      <c r="G222" s="99">
        <v>0</v>
      </c>
      <c r="H222" s="99">
        <v>0</v>
      </c>
      <c r="I222" s="99">
        <v>162</v>
      </c>
      <c r="J222" s="99">
        <v>73</v>
      </c>
      <c r="K222" s="99">
        <v>29</v>
      </c>
      <c r="L222" s="99">
        <v>10.67</v>
      </c>
      <c r="M222" s="99">
        <v>191</v>
      </c>
      <c r="N222" s="99">
        <v>83.67</v>
      </c>
      <c r="O222" s="104"/>
      <c r="P222" s="104"/>
      <c r="Q222" s="104"/>
      <c r="R222" s="104"/>
      <c r="S222" s="99">
        <v>0</v>
      </c>
      <c r="T222" s="100">
        <v>0</v>
      </c>
      <c r="U222" s="105"/>
      <c r="V222" s="104"/>
      <c r="W222" s="104"/>
      <c r="X222" s="104"/>
      <c r="Y222" s="99">
        <v>0</v>
      </c>
      <c r="Z222" s="99">
        <v>0</v>
      </c>
      <c r="AA222" s="99">
        <v>200</v>
      </c>
      <c r="AB222" s="99">
        <v>150.81</v>
      </c>
      <c r="AC222" s="99">
        <v>49</v>
      </c>
      <c r="AD222" s="99">
        <v>32.28</v>
      </c>
      <c r="AE222" s="99">
        <v>249</v>
      </c>
      <c r="AF222" s="99">
        <v>183.09</v>
      </c>
      <c r="AG222" s="104"/>
      <c r="AH222" s="104"/>
      <c r="AI222" s="104"/>
      <c r="AJ222" s="104"/>
      <c r="AK222" s="99">
        <v>0</v>
      </c>
      <c r="AL222" s="99">
        <v>0</v>
      </c>
    </row>
    <row r="223" spans="1:38" ht="24" customHeight="1">
      <c r="A223" s="102">
        <v>2</v>
      </c>
      <c r="B223" s="103" t="s">
        <v>356</v>
      </c>
      <c r="C223" s="104"/>
      <c r="D223" s="104"/>
      <c r="E223" s="104"/>
      <c r="F223" s="104"/>
      <c r="G223" s="99">
        <v>0</v>
      </c>
      <c r="H223" s="99">
        <v>0</v>
      </c>
      <c r="I223" s="99">
        <v>92</v>
      </c>
      <c r="J223" s="99">
        <v>46.78</v>
      </c>
      <c r="K223" s="104"/>
      <c r="L223" s="104"/>
      <c r="M223" s="99">
        <v>92</v>
      </c>
      <c r="N223" s="99">
        <v>46.78</v>
      </c>
      <c r="O223" s="104"/>
      <c r="P223" s="104"/>
      <c r="Q223" s="104"/>
      <c r="R223" s="104"/>
      <c r="S223" s="99">
        <v>0</v>
      </c>
      <c r="T223" s="100">
        <v>0</v>
      </c>
      <c r="U223" s="105"/>
      <c r="V223" s="104"/>
      <c r="W223" s="104"/>
      <c r="X223" s="104"/>
      <c r="Y223" s="99">
        <v>0</v>
      </c>
      <c r="Z223" s="99">
        <v>0</v>
      </c>
      <c r="AA223" s="99">
        <v>109</v>
      </c>
      <c r="AB223" s="99">
        <v>90.67</v>
      </c>
      <c r="AC223" s="104"/>
      <c r="AD223" s="104"/>
      <c r="AE223" s="99">
        <v>109</v>
      </c>
      <c r="AF223" s="99">
        <v>90.67</v>
      </c>
      <c r="AG223" s="104"/>
      <c r="AH223" s="104"/>
      <c r="AI223" s="104"/>
      <c r="AJ223" s="104"/>
      <c r="AK223" s="99">
        <v>0</v>
      </c>
      <c r="AL223" s="99">
        <v>0</v>
      </c>
    </row>
    <row r="224" spans="1:38" ht="24" customHeight="1">
      <c r="A224" s="102">
        <v>3</v>
      </c>
      <c r="B224" s="103" t="s">
        <v>357</v>
      </c>
      <c r="C224" s="104"/>
      <c r="D224" s="104"/>
      <c r="E224" s="104"/>
      <c r="F224" s="104"/>
      <c r="G224" s="99">
        <v>0</v>
      </c>
      <c r="H224" s="99">
        <v>0</v>
      </c>
      <c r="I224" s="99">
        <v>27</v>
      </c>
      <c r="J224" s="99">
        <v>10.89</v>
      </c>
      <c r="K224" s="104"/>
      <c r="L224" s="104"/>
      <c r="M224" s="99">
        <v>27</v>
      </c>
      <c r="N224" s="99">
        <v>10.89</v>
      </c>
      <c r="O224" s="104"/>
      <c r="P224" s="104"/>
      <c r="Q224" s="104"/>
      <c r="R224" s="104"/>
      <c r="S224" s="99">
        <v>0</v>
      </c>
      <c r="T224" s="100">
        <v>0</v>
      </c>
      <c r="U224" s="105"/>
      <c r="V224" s="104"/>
      <c r="W224" s="104"/>
      <c r="X224" s="104"/>
      <c r="Y224" s="99">
        <v>0</v>
      </c>
      <c r="Z224" s="99">
        <v>0</v>
      </c>
      <c r="AA224" s="99">
        <v>44</v>
      </c>
      <c r="AB224" s="99">
        <v>28.89</v>
      </c>
      <c r="AC224" s="104"/>
      <c r="AD224" s="104"/>
      <c r="AE224" s="99">
        <v>44</v>
      </c>
      <c r="AF224" s="99">
        <v>28.89</v>
      </c>
      <c r="AG224" s="104"/>
      <c r="AH224" s="104"/>
      <c r="AI224" s="104"/>
      <c r="AJ224" s="104"/>
      <c r="AK224" s="99">
        <v>0</v>
      </c>
      <c r="AL224" s="99">
        <v>0</v>
      </c>
    </row>
    <row r="225" spans="1:38" ht="24" customHeight="1">
      <c r="A225" s="102">
        <v>4</v>
      </c>
      <c r="B225" s="103" t="s">
        <v>358</v>
      </c>
      <c r="C225" s="104"/>
      <c r="D225" s="104"/>
      <c r="E225" s="104"/>
      <c r="F225" s="104"/>
      <c r="G225" s="99">
        <v>0</v>
      </c>
      <c r="H225" s="99">
        <v>0</v>
      </c>
      <c r="I225" s="99">
        <v>52</v>
      </c>
      <c r="J225" s="99">
        <v>27.28</v>
      </c>
      <c r="K225" s="104"/>
      <c r="L225" s="104"/>
      <c r="M225" s="99">
        <v>52</v>
      </c>
      <c r="N225" s="99">
        <v>27.28</v>
      </c>
      <c r="O225" s="104"/>
      <c r="P225" s="104"/>
      <c r="Q225" s="104"/>
      <c r="R225" s="104"/>
      <c r="S225" s="99">
        <v>0</v>
      </c>
      <c r="T225" s="100">
        <v>0</v>
      </c>
      <c r="U225" s="105"/>
      <c r="V225" s="104"/>
      <c r="W225" s="104"/>
      <c r="X225" s="104"/>
      <c r="Y225" s="99">
        <v>0</v>
      </c>
      <c r="Z225" s="99">
        <v>0</v>
      </c>
      <c r="AA225" s="99">
        <v>52</v>
      </c>
      <c r="AB225" s="99">
        <v>38.64</v>
      </c>
      <c r="AC225" s="104"/>
      <c r="AD225" s="104"/>
      <c r="AE225" s="99">
        <v>52</v>
      </c>
      <c r="AF225" s="99">
        <v>38.64</v>
      </c>
      <c r="AG225" s="104"/>
      <c r="AH225" s="104"/>
      <c r="AI225" s="104"/>
      <c r="AJ225" s="104"/>
      <c r="AK225" s="99">
        <v>0</v>
      </c>
      <c r="AL225" s="99">
        <v>0</v>
      </c>
    </row>
    <row r="226" spans="1:38" ht="24" customHeight="1">
      <c r="A226" s="102">
        <v>5</v>
      </c>
      <c r="B226" s="103" t="s">
        <v>359</v>
      </c>
      <c r="C226" s="104"/>
      <c r="D226" s="104"/>
      <c r="E226" s="104"/>
      <c r="F226" s="104"/>
      <c r="G226" s="99">
        <v>0</v>
      </c>
      <c r="H226" s="99">
        <v>0</v>
      </c>
      <c r="I226" s="99">
        <v>269</v>
      </c>
      <c r="J226" s="99">
        <v>129.14</v>
      </c>
      <c r="K226" s="99">
        <v>51</v>
      </c>
      <c r="L226" s="99">
        <v>20.69</v>
      </c>
      <c r="M226" s="99">
        <v>320</v>
      </c>
      <c r="N226" s="99">
        <v>149.83</v>
      </c>
      <c r="O226" s="104"/>
      <c r="P226" s="104"/>
      <c r="Q226" s="104"/>
      <c r="R226" s="104"/>
      <c r="S226" s="99">
        <v>0</v>
      </c>
      <c r="T226" s="100">
        <v>0</v>
      </c>
      <c r="U226" s="105"/>
      <c r="V226" s="104"/>
      <c r="W226" s="104"/>
      <c r="X226" s="104"/>
      <c r="Y226" s="99">
        <v>0</v>
      </c>
      <c r="Z226" s="99">
        <v>0</v>
      </c>
      <c r="AA226" s="99">
        <v>329</v>
      </c>
      <c r="AB226" s="99">
        <v>233.64</v>
      </c>
      <c r="AC226" s="99">
        <v>73</v>
      </c>
      <c r="AD226" s="99">
        <v>59.56</v>
      </c>
      <c r="AE226" s="99">
        <v>402</v>
      </c>
      <c r="AF226" s="99">
        <v>293.2</v>
      </c>
      <c r="AG226" s="104"/>
      <c r="AH226" s="104"/>
      <c r="AI226" s="104"/>
      <c r="AJ226" s="104"/>
      <c r="AK226" s="99">
        <v>0</v>
      </c>
      <c r="AL226" s="99">
        <v>0</v>
      </c>
    </row>
    <row r="227" spans="1:38" ht="24" customHeight="1">
      <c r="A227" s="237" t="s">
        <v>22</v>
      </c>
      <c r="B227" s="238"/>
      <c r="C227" s="99"/>
      <c r="D227" s="99"/>
      <c r="E227" s="99"/>
      <c r="F227" s="99"/>
      <c r="G227" s="99">
        <f aca="true" t="shared" si="10" ref="G227:N227">SUM(G222:G226)</f>
        <v>0</v>
      </c>
      <c r="H227" s="99">
        <f t="shared" si="10"/>
        <v>0</v>
      </c>
      <c r="I227" s="99">
        <f t="shared" si="10"/>
        <v>602</v>
      </c>
      <c r="J227" s="99">
        <f t="shared" si="10"/>
        <v>287.09000000000003</v>
      </c>
      <c r="K227" s="99">
        <f t="shared" si="10"/>
        <v>80</v>
      </c>
      <c r="L227" s="99">
        <f t="shared" si="10"/>
        <v>31.36</v>
      </c>
      <c r="M227" s="99">
        <f t="shared" si="10"/>
        <v>682</v>
      </c>
      <c r="N227" s="99">
        <f t="shared" si="10"/>
        <v>318.45</v>
      </c>
      <c r="O227" s="99"/>
      <c r="P227" s="99"/>
      <c r="Q227" s="99"/>
      <c r="R227" s="99"/>
      <c r="S227" s="99">
        <f>SUM(S222:S226)</f>
        <v>0</v>
      </c>
      <c r="T227" s="100">
        <f>SUM(T222:T226)</f>
        <v>0</v>
      </c>
      <c r="U227" s="101"/>
      <c r="V227" s="99"/>
      <c r="W227" s="99"/>
      <c r="X227" s="99"/>
      <c r="Y227" s="99">
        <f aca="true" t="shared" si="11" ref="Y227:AF227">SUM(Y222:Y226)</f>
        <v>0</v>
      </c>
      <c r="Z227" s="99">
        <f t="shared" si="11"/>
        <v>0</v>
      </c>
      <c r="AA227" s="99">
        <f t="shared" si="11"/>
        <v>734</v>
      </c>
      <c r="AB227" s="99">
        <f t="shared" si="11"/>
        <v>542.65</v>
      </c>
      <c r="AC227" s="99">
        <f t="shared" si="11"/>
        <v>122</v>
      </c>
      <c r="AD227" s="99">
        <f t="shared" si="11"/>
        <v>91.84</v>
      </c>
      <c r="AE227" s="99">
        <f t="shared" si="11"/>
        <v>856</v>
      </c>
      <c r="AF227" s="99">
        <f t="shared" si="11"/>
        <v>634.49</v>
      </c>
      <c r="AG227" s="99"/>
      <c r="AH227" s="99"/>
      <c r="AI227" s="99"/>
      <c r="AJ227" s="99"/>
      <c r="AK227" s="99">
        <f>SUM(AK222:AK226)</f>
        <v>0</v>
      </c>
      <c r="AL227" s="99">
        <f>SUM(AL222:AL226)</f>
        <v>0</v>
      </c>
    </row>
    <row r="228" spans="1:38" ht="24" customHeight="1">
      <c r="A228" s="240" t="s">
        <v>248</v>
      </c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2"/>
    </row>
    <row r="229" spans="1:38" ht="24" customHeight="1">
      <c r="A229" s="240" t="s">
        <v>360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2"/>
    </row>
    <row r="230" spans="1:38" ht="24" customHeight="1">
      <c r="A230" s="243" t="s">
        <v>250</v>
      </c>
      <c r="B230" s="243" t="s">
        <v>251</v>
      </c>
      <c r="C230" s="235" t="s">
        <v>252</v>
      </c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6"/>
      <c r="U230" s="235" t="s">
        <v>253</v>
      </c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239"/>
      <c r="AK230" s="239"/>
      <c r="AL230" s="236"/>
    </row>
    <row r="231" spans="1:38" ht="24" customHeight="1">
      <c r="A231" s="244"/>
      <c r="B231" s="244"/>
      <c r="C231" s="235" t="s">
        <v>254</v>
      </c>
      <c r="D231" s="239"/>
      <c r="E231" s="239"/>
      <c r="F231" s="239"/>
      <c r="G231" s="239"/>
      <c r="H231" s="236"/>
      <c r="I231" s="235" t="s">
        <v>255</v>
      </c>
      <c r="J231" s="239"/>
      <c r="K231" s="239"/>
      <c r="L231" s="239"/>
      <c r="M231" s="239"/>
      <c r="N231" s="236"/>
      <c r="O231" s="235" t="s">
        <v>256</v>
      </c>
      <c r="P231" s="239"/>
      <c r="Q231" s="239"/>
      <c r="R231" s="239"/>
      <c r="S231" s="239"/>
      <c r="T231" s="236"/>
      <c r="U231" s="235" t="s">
        <v>254</v>
      </c>
      <c r="V231" s="239"/>
      <c r="W231" s="239"/>
      <c r="X231" s="239"/>
      <c r="Y231" s="239"/>
      <c r="Z231" s="236"/>
      <c r="AA231" s="235" t="s">
        <v>255</v>
      </c>
      <c r="AB231" s="239"/>
      <c r="AC231" s="239"/>
      <c r="AD231" s="239"/>
      <c r="AE231" s="239"/>
      <c r="AF231" s="236"/>
      <c r="AG231" s="235" t="s">
        <v>256</v>
      </c>
      <c r="AH231" s="239"/>
      <c r="AI231" s="239"/>
      <c r="AJ231" s="239"/>
      <c r="AK231" s="239"/>
      <c r="AL231" s="236"/>
    </row>
    <row r="232" spans="1:38" ht="24" customHeight="1">
      <c r="A232" s="244"/>
      <c r="B232" s="244"/>
      <c r="C232" s="235" t="s">
        <v>257</v>
      </c>
      <c r="D232" s="236"/>
      <c r="E232" s="235" t="s">
        <v>258</v>
      </c>
      <c r="F232" s="236"/>
      <c r="G232" s="235" t="s">
        <v>22</v>
      </c>
      <c r="H232" s="236"/>
      <c r="I232" s="235" t="s">
        <v>257</v>
      </c>
      <c r="J232" s="236"/>
      <c r="K232" s="235" t="s">
        <v>258</v>
      </c>
      <c r="L232" s="236"/>
      <c r="M232" s="235" t="s">
        <v>22</v>
      </c>
      <c r="N232" s="236"/>
      <c r="O232" s="235" t="s">
        <v>257</v>
      </c>
      <c r="P232" s="236"/>
      <c r="Q232" s="235" t="s">
        <v>258</v>
      </c>
      <c r="R232" s="236"/>
      <c r="S232" s="235" t="s">
        <v>22</v>
      </c>
      <c r="T232" s="236"/>
      <c r="U232" s="235" t="s">
        <v>257</v>
      </c>
      <c r="V232" s="236"/>
      <c r="W232" s="235" t="s">
        <v>258</v>
      </c>
      <c r="X232" s="236"/>
      <c r="Y232" s="235" t="s">
        <v>22</v>
      </c>
      <c r="Z232" s="236"/>
      <c r="AA232" s="235" t="s">
        <v>257</v>
      </c>
      <c r="AB232" s="236"/>
      <c r="AC232" s="235" t="s">
        <v>258</v>
      </c>
      <c r="AD232" s="236"/>
      <c r="AE232" s="235" t="s">
        <v>22</v>
      </c>
      <c r="AF232" s="236"/>
      <c r="AG232" s="235" t="s">
        <v>257</v>
      </c>
      <c r="AH232" s="236"/>
      <c r="AI232" s="235" t="s">
        <v>258</v>
      </c>
      <c r="AJ232" s="236"/>
      <c r="AK232" s="235" t="s">
        <v>22</v>
      </c>
      <c r="AL232" s="236"/>
    </row>
    <row r="233" spans="1:38" ht="24" customHeight="1">
      <c r="A233" s="245"/>
      <c r="B233" s="245"/>
      <c r="C233" s="99" t="s">
        <v>259</v>
      </c>
      <c r="D233" s="99" t="s">
        <v>260</v>
      </c>
      <c r="E233" s="99" t="s">
        <v>259</v>
      </c>
      <c r="F233" s="99" t="s">
        <v>260</v>
      </c>
      <c r="G233" s="99" t="s">
        <v>259</v>
      </c>
      <c r="H233" s="99" t="s">
        <v>260</v>
      </c>
      <c r="I233" s="99" t="s">
        <v>259</v>
      </c>
      <c r="J233" s="99" t="s">
        <v>260</v>
      </c>
      <c r="K233" s="99" t="s">
        <v>259</v>
      </c>
      <c r="L233" s="99" t="s">
        <v>260</v>
      </c>
      <c r="M233" s="99" t="s">
        <v>259</v>
      </c>
      <c r="N233" s="99" t="s">
        <v>260</v>
      </c>
      <c r="O233" s="99" t="s">
        <v>259</v>
      </c>
      <c r="P233" s="99" t="s">
        <v>260</v>
      </c>
      <c r="Q233" s="99" t="s">
        <v>259</v>
      </c>
      <c r="R233" s="99" t="s">
        <v>260</v>
      </c>
      <c r="S233" s="99" t="s">
        <v>259</v>
      </c>
      <c r="T233" s="100" t="s">
        <v>260</v>
      </c>
      <c r="U233" s="101" t="s">
        <v>259</v>
      </c>
      <c r="V233" s="99" t="s">
        <v>260</v>
      </c>
      <c r="W233" s="99" t="s">
        <v>259</v>
      </c>
      <c r="X233" s="99" t="s">
        <v>260</v>
      </c>
      <c r="Y233" s="99" t="s">
        <v>259</v>
      </c>
      <c r="Z233" s="99" t="s">
        <v>260</v>
      </c>
      <c r="AA233" s="99" t="s">
        <v>259</v>
      </c>
      <c r="AB233" s="99" t="s">
        <v>260</v>
      </c>
      <c r="AC233" s="99" t="s">
        <v>259</v>
      </c>
      <c r="AD233" s="99" t="s">
        <v>260</v>
      </c>
      <c r="AE233" s="99" t="s">
        <v>259</v>
      </c>
      <c r="AF233" s="99" t="s">
        <v>260</v>
      </c>
      <c r="AG233" s="99" t="s">
        <v>259</v>
      </c>
      <c r="AH233" s="99" t="s">
        <v>260</v>
      </c>
      <c r="AI233" s="99" t="s">
        <v>259</v>
      </c>
      <c r="AJ233" s="99" t="s">
        <v>260</v>
      </c>
      <c r="AK233" s="99" t="s">
        <v>259</v>
      </c>
      <c r="AL233" s="99" t="s">
        <v>260</v>
      </c>
    </row>
    <row r="234" spans="1:38" ht="24" customHeight="1">
      <c r="A234" s="102">
        <v>1</v>
      </c>
      <c r="B234" s="103" t="s">
        <v>344</v>
      </c>
      <c r="C234" s="104"/>
      <c r="D234" s="104"/>
      <c r="E234" s="104"/>
      <c r="F234" s="104"/>
      <c r="G234" s="99">
        <v>0</v>
      </c>
      <c r="H234" s="99">
        <v>0</v>
      </c>
      <c r="I234" s="99">
        <v>31</v>
      </c>
      <c r="J234" s="99">
        <v>17.28</v>
      </c>
      <c r="K234" s="104"/>
      <c r="L234" s="104"/>
      <c r="M234" s="99">
        <v>31</v>
      </c>
      <c r="N234" s="99">
        <v>17.28</v>
      </c>
      <c r="O234" s="104"/>
      <c r="P234" s="104"/>
      <c r="Q234" s="104"/>
      <c r="R234" s="104"/>
      <c r="S234" s="99">
        <v>0</v>
      </c>
      <c r="T234" s="100">
        <v>0</v>
      </c>
      <c r="U234" s="105"/>
      <c r="V234" s="104"/>
      <c r="W234" s="104"/>
      <c r="X234" s="104"/>
      <c r="Y234" s="99">
        <v>0</v>
      </c>
      <c r="Z234" s="99">
        <v>0</v>
      </c>
      <c r="AA234" s="99">
        <v>32</v>
      </c>
      <c r="AB234" s="99">
        <v>27.11</v>
      </c>
      <c r="AC234" s="104"/>
      <c r="AD234" s="104"/>
      <c r="AE234" s="99">
        <v>32</v>
      </c>
      <c r="AF234" s="99">
        <v>27.11</v>
      </c>
      <c r="AG234" s="104"/>
      <c r="AH234" s="104"/>
      <c r="AI234" s="104"/>
      <c r="AJ234" s="104"/>
      <c r="AK234" s="99">
        <v>0</v>
      </c>
      <c r="AL234" s="99">
        <v>0</v>
      </c>
    </row>
    <row r="235" spans="1:38" ht="24" customHeight="1">
      <c r="A235" s="102">
        <v>2</v>
      </c>
      <c r="B235" s="103" t="s">
        <v>361</v>
      </c>
      <c r="C235" s="104"/>
      <c r="D235" s="104"/>
      <c r="E235" s="104"/>
      <c r="F235" s="104"/>
      <c r="G235" s="99">
        <v>0</v>
      </c>
      <c r="H235" s="99">
        <v>0</v>
      </c>
      <c r="I235" s="99">
        <v>18</v>
      </c>
      <c r="J235" s="99">
        <v>11.08</v>
      </c>
      <c r="K235" s="104"/>
      <c r="L235" s="104"/>
      <c r="M235" s="99">
        <v>18</v>
      </c>
      <c r="N235" s="99">
        <v>11.08</v>
      </c>
      <c r="O235" s="104"/>
      <c r="P235" s="104"/>
      <c r="Q235" s="104"/>
      <c r="R235" s="104"/>
      <c r="S235" s="99">
        <v>0</v>
      </c>
      <c r="T235" s="100">
        <v>0</v>
      </c>
      <c r="U235" s="105"/>
      <c r="V235" s="104"/>
      <c r="W235" s="104"/>
      <c r="X235" s="104"/>
      <c r="Y235" s="99">
        <v>0</v>
      </c>
      <c r="Z235" s="99">
        <v>0</v>
      </c>
      <c r="AA235" s="99">
        <v>19</v>
      </c>
      <c r="AB235" s="99">
        <v>13.36</v>
      </c>
      <c r="AC235" s="104"/>
      <c r="AD235" s="104"/>
      <c r="AE235" s="99">
        <v>19</v>
      </c>
      <c r="AF235" s="99">
        <v>13.36</v>
      </c>
      <c r="AG235" s="104"/>
      <c r="AH235" s="104"/>
      <c r="AI235" s="104"/>
      <c r="AJ235" s="104"/>
      <c r="AK235" s="99">
        <v>0</v>
      </c>
      <c r="AL235" s="99">
        <v>0</v>
      </c>
    </row>
    <row r="236" spans="1:38" ht="24" customHeight="1">
      <c r="A236" s="102">
        <v>3</v>
      </c>
      <c r="B236" s="103" t="s">
        <v>318</v>
      </c>
      <c r="C236" s="104"/>
      <c r="D236" s="104"/>
      <c r="E236" s="104"/>
      <c r="F236" s="104"/>
      <c r="G236" s="99">
        <v>0</v>
      </c>
      <c r="H236" s="99">
        <v>0</v>
      </c>
      <c r="I236" s="99">
        <v>24</v>
      </c>
      <c r="J236" s="99">
        <v>9.42</v>
      </c>
      <c r="K236" s="104"/>
      <c r="L236" s="104"/>
      <c r="M236" s="99">
        <v>24</v>
      </c>
      <c r="N236" s="99">
        <v>9.42</v>
      </c>
      <c r="O236" s="104"/>
      <c r="P236" s="104"/>
      <c r="Q236" s="104"/>
      <c r="R236" s="104"/>
      <c r="S236" s="99">
        <v>0</v>
      </c>
      <c r="T236" s="100">
        <v>0</v>
      </c>
      <c r="U236" s="105"/>
      <c r="V236" s="104"/>
      <c r="W236" s="104"/>
      <c r="X236" s="104"/>
      <c r="Y236" s="99">
        <v>0</v>
      </c>
      <c r="Z236" s="99">
        <v>0</v>
      </c>
      <c r="AA236" s="99">
        <v>41</v>
      </c>
      <c r="AB236" s="99">
        <v>27.69</v>
      </c>
      <c r="AC236" s="104"/>
      <c r="AD236" s="104"/>
      <c r="AE236" s="99">
        <v>41</v>
      </c>
      <c r="AF236" s="99">
        <v>27.69</v>
      </c>
      <c r="AG236" s="104"/>
      <c r="AH236" s="104"/>
      <c r="AI236" s="104"/>
      <c r="AJ236" s="104"/>
      <c r="AK236" s="99">
        <v>0</v>
      </c>
      <c r="AL236" s="99">
        <v>0</v>
      </c>
    </row>
    <row r="237" spans="1:38" ht="24" customHeight="1">
      <c r="A237" s="102">
        <v>4</v>
      </c>
      <c r="B237" s="103" t="s">
        <v>281</v>
      </c>
      <c r="C237" s="104"/>
      <c r="D237" s="104"/>
      <c r="E237" s="104"/>
      <c r="F237" s="104"/>
      <c r="G237" s="99">
        <v>0</v>
      </c>
      <c r="H237" s="99">
        <v>0</v>
      </c>
      <c r="I237" s="99">
        <v>34</v>
      </c>
      <c r="J237" s="99">
        <v>13.22</v>
      </c>
      <c r="K237" s="104"/>
      <c r="L237" s="104"/>
      <c r="M237" s="99">
        <v>34</v>
      </c>
      <c r="N237" s="99">
        <v>13.22</v>
      </c>
      <c r="O237" s="104"/>
      <c r="P237" s="104"/>
      <c r="Q237" s="104"/>
      <c r="R237" s="104"/>
      <c r="S237" s="99">
        <v>0</v>
      </c>
      <c r="T237" s="100">
        <v>0</v>
      </c>
      <c r="U237" s="105"/>
      <c r="V237" s="104"/>
      <c r="W237" s="104"/>
      <c r="X237" s="104"/>
      <c r="Y237" s="99">
        <v>0</v>
      </c>
      <c r="Z237" s="99">
        <v>0</v>
      </c>
      <c r="AA237" s="99">
        <v>63</v>
      </c>
      <c r="AB237" s="99">
        <v>35.44</v>
      </c>
      <c r="AC237" s="104"/>
      <c r="AD237" s="104"/>
      <c r="AE237" s="99">
        <v>63</v>
      </c>
      <c r="AF237" s="99">
        <v>35.44</v>
      </c>
      <c r="AG237" s="104"/>
      <c r="AH237" s="104"/>
      <c r="AI237" s="104"/>
      <c r="AJ237" s="104"/>
      <c r="AK237" s="99">
        <v>0</v>
      </c>
      <c r="AL237" s="99">
        <v>0</v>
      </c>
    </row>
    <row r="238" spans="1:38" ht="24" customHeight="1">
      <c r="A238" s="237" t="s">
        <v>22</v>
      </c>
      <c r="B238" s="238"/>
      <c r="C238" s="99"/>
      <c r="D238" s="99"/>
      <c r="E238" s="99"/>
      <c r="F238" s="99"/>
      <c r="G238" s="99">
        <f>SUM(G234:G237)</f>
        <v>0</v>
      </c>
      <c r="H238" s="99">
        <f>SUM(H234:H237)</f>
        <v>0</v>
      </c>
      <c r="I238" s="99">
        <f>SUM(I234:I237)</f>
        <v>107</v>
      </c>
      <c r="J238" s="99">
        <f>SUM(J234:J237)</f>
        <v>51</v>
      </c>
      <c r="K238" s="99"/>
      <c r="L238" s="99"/>
      <c r="M238" s="99">
        <f>SUM(M234:M237)</f>
        <v>107</v>
      </c>
      <c r="N238" s="99">
        <f>SUM(N234:N237)</f>
        <v>51</v>
      </c>
      <c r="O238" s="99"/>
      <c r="P238" s="99"/>
      <c r="Q238" s="99"/>
      <c r="R238" s="99"/>
      <c r="S238" s="99">
        <f>SUM(S234:S237)</f>
        <v>0</v>
      </c>
      <c r="T238" s="100">
        <f>SUM(T234:T237)</f>
        <v>0</v>
      </c>
      <c r="U238" s="101"/>
      <c r="V238" s="99"/>
      <c r="W238" s="99"/>
      <c r="X238" s="99"/>
      <c r="Y238" s="99">
        <f>SUM(Y234:Y237)</f>
        <v>0</v>
      </c>
      <c r="Z238" s="99">
        <f>SUM(Z234:Z237)</f>
        <v>0</v>
      </c>
      <c r="AA238" s="99">
        <f>SUM(AA234:AA237)</f>
        <v>155</v>
      </c>
      <c r="AB238" s="99">
        <f>SUM(AB234:AB237)</f>
        <v>103.6</v>
      </c>
      <c r="AC238" s="99"/>
      <c r="AD238" s="99"/>
      <c r="AE238" s="99">
        <f>SUM(AE234:AE237)</f>
        <v>155</v>
      </c>
      <c r="AF238" s="99">
        <f>SUM(AF234:AF237)</f>
        <v>103.6</v>
      </c>
      <c r="AG238" s="99"/>
      <c r="AH238" s="99"/>
      <c r="AI238" s="99"/>
      <c r="AJ238" s="99"/>
      <c r="AK238" s="99">
        <f>SUM(AK234:AK237)</f>
        <v>0</v>
      </c>
      <c r="AL238" s="99">
        <f>SUM(AL234:AL237)</f>
        <v>0</v>
      </c>
    </row>
    <row r="239" spans="1:38" ht="24" customHeight="1">
      <c r="A239" s="240" t="s">
        <v>248</v>
      </c>
      <c r="B239" s="241"/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2"/>
    </row>
    <row r="240" spans="1:38" ht="24" customHeight="1">
      <c r="A240" s="240" t="s">
        <v>360</v>
      </c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  <c r="AA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2"/>
    </row>
    <row r="241" spans="1:38" ht="24" customHeight="1">
      <c r="A241" s="243" t="s">
        <v>250</v>
      </c>
      <c r="B241" s="243" t="s">
        <v>251</v>
      </c>
      <c r="C241" s="235" t="s">
        <v>252</v>
      </c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6"/>
      <c r="U241" s="235" t="s">
        <v>253</v>
      </c>
      <c r="V241" s="239"/>
      <c r="W241" s="239"/>
      <c r="X241" s="239"/>
      <c r="Y241" s="239"/>
      <c r="Z241" s="239"/>
      <c r="AA241" s="239"/>
      <c r="AB241" s="239"/>
      <c r="AC241" s="239"/>
      <c r="AD241" s="239"/>
      <c r="AE241" s="239"/>
      <c r="AF241" s="239"/>
      <c r="AG241" s="239"/>
      <c r="AH241" s="239"/>
      <c r="AI241" s="239"/>
      <c r="AJ241" s="239"/>
      <c r="AK241" s="239"/>
      <c r="AL241" s="236"/>
    </row>
    <row r="242" spans="1:38" ht="24" customHeight="1">
      <c r="A242" s="244"/>
      <c r="B242" s="244"/>
      <c r="C242" s="235" t="s">
        <v>254</v>
      </c>
      <c r="D242" s="239"/>
      <c r="E242" s="239"/>
      <c r="F242" s="239"/>
      <c r="G242" s="239"/>
      <c r="H242" s="236"/>
      <c r="I242" s="235" t="s">
        <v>255</v>
      </c>
      <c r="J242" s="239"/>
      <c r="K242" s="239"/>
      <c r="L242" s="239"/>
      <c r="M242" s="239"/>
      <c r="N242" s="236"/>
      <c r="O242" s="235" t="s">
        <v>256</v>
      </c>
      <c r="P242" s="239"/>
      <c r="Q242" s="239"/>
      <c r="R242" s="239"/>
      <c r="S242" s="239"/>
      <c r="T242" s="236"/>
      <c r="U242" s="235" t="s">
        <v>254</v>
      </c>
      <c r="V242" s="239"/>
      <c r="W242" s="239"/>
      <c r="X242" s="239"/>
      <c r="Y242" s="239"/>
      <c r="Z242" s="236"/>
      <c r="AA242" s="235" t="s">
        <v>255</v>
      </c>
      <c r="AB242" s="239"/>
      <c r="AC242" s="239"/>
      <c r="AD242" s="239"/>
      <c r="AE242" s="239"/>
      <c r="AF242" s="236"/>
      <c r="AG242" s="235" t="s">
        <v>256</v>
      </c>
      <c r="AH242" s="239"/>
      <c r="AI242" s="239"/>
      <c r="AJ242" s="239"/>
      <c r="AK242" s="239"/>
      <c r="AL242" s="236"/>
    </row>
    <row r="243" spans="1:38" ht="24" customHeight="1">
      <c r="A243" s="244"/>
      <c r="B243" s="244"/>
      <c r="C243" s="235" t="s">
        <v>257</v>
      </c>
      <c r="D243" s="236"/>
      <c r="E243" s="235" t="s">
        <v>258</v>
      </c>
      <c r="F243" s="236"/>
      <c r="G243" s="235" t="s">
        <v>22</v>
      </c>
      <c r="H243" s="236"/>
      <c r="I243" s="235" t="s">
        <v>257</v>
      </c>
      <c r="J243" s="236"/>
      <c r="K243" s="235" t="s">
        <v>258</v>
      </c>
      <c r="L243" s="236"/>
      <c r="M243" s="235" t="s">
        <v>22</v>
      </c>
      <c r="N243" s="236"/>
      <c r="O243" s="235" t="s">
        <v>257</v>
      </c>
      <c r="P243" s="236"/>
      <c r="Q243" s="235" t="s">
        <v>258</v>
      </c>
      <c r="R243" s="236"/>
      <c r="S243" s="235" t="s">
        <v>22</v>
      </c>
      <c r="T243" s="236"/>
      <c r="U243" s="235" t="s">
        <v>257</v>
      </c>
      <c r="V243" s="236"/>
      <c r="W243" s="235" t="s">
        <v>258</v>
      </c>
      <c r="X243" s="236"/>
      <c r="Y243" s="235" t="s">
        <v>22</v>
      </c>
      <c r="Z243" s="236"/>
      <c r="AA243" s="235" t="s">
        <v>257</v>
      </c>
      <c r="AB243" s="236"/>
      <c r="AC243" s="235" t="s">
        <v>258</v>
      </c>
      <c r="AD243" s="236"/>
      <c r="AE243" s="235" t="s">
        <v>22</v>
      </c>
      <c r="AF243" s="236"/>
      <c r="AG243" s="235" t="s">
        <v>257</v>
      </c>
      <c r="AH243" s="236"/>
      <c r="AI243" s="235" t="s">
        <v>258</v>
      </c>
      <c r="AJ243" s="236"/>
      <c r="AK243" s="235" t="s">
        <v>22</v>
      </c>
      <c r="AL243" s="236"/>
    </row>
    <row r="244" spans="1:38" ht="24" customHeight="1">
      <c r="A244" s="245"/>
      <c r="B244" s="245"/>
      <c r="C244" s="99" t="s">
        <v>259</v>
      </c>
      <c r="D244" s="99" t="s">
        <v>260</v>
      </c>
      <c r="E244" s="99" t="s">
        <v>259</v>
      </c>
      <c r="F244" s="99" t="s">
        <v>260</v>
      </c>
      <c r="G244" s="99" t="s">
        <v>259</v>
      </c>
      <c r="H244" s="99" t="s">
        <v>260</v>
      </c>
      <c r="I244" s="99" t="s">
        <v>259</v>
      </c>
      <c r="J244" s="99" t="s">
        <v>260</v>
      </c>
      <c r="K244" s="99" t="s">
        <v>259</v>
      </c>
      <c r="L244" s="99" t="s">
        <v>260</v>
      </c>
      <c r="M244" s="99" t="s">
        <v>259</v>
      </c>
      <c r="N244" s="99" t="s">
        <v>260</v>
      </c>
      <c r="O244" s="99" t="s">
        <v>259</v>
      </c>
      <c r="P244" s="99" t="s">
        <v>260</v>
      </c>
      <c r="Q244" s="99" t="s">
        <v>259</v>
      </c>
      <c r="R244" s="99" t="s">
        <v>260</v>
      </c>
      <c r="S244" s="99" t="s">
        <v>259</v>
      </c>
      <c r="T244" s="100" t="s">
        <v>260</v>
      </c>
      <c r="U244" s="101" t="s">
        <v>259</v>
      </c>
      <c r="V244" s="99" t="s">
        <v>260</v>
      </c>
      <c r="W244" s="99" t="s">
        <v>259</v>
      </c>
      <c r="X244" s="99" t="s">
        <v>260</v>
      </c>
      <c r="Y244" s="99" t="s">
        <v>259</v>
      </c>
      <c r="Z244" s="99" t="s">
        <v>260</v>
      </c>
      <c r="AA244" s="99" t="s">
        <v>259</v>
      </c>
      <c r="AB244" s="99" t="s">
        <v>260</v>
      </c>
      <c r="AC244" s="99" t="s">
        <v>259</v>
      </c>
      <c r="AD244" s="99" t="s">
        <v>260</v>
      </c>
      <c r="AE244" s="99" t="s">
        <v>259</v>
      </c>
      <c r="AF244" s="99" t="s">
        <v>260</v>
      </c>
      <c r="AG244" s="99" t="s">
        <v>259</v>
      </c>
      <c r="AH244" s="99" t="s">
        <v>260</v>
      </c>
      <c r="AI244" s="99" t="s">
        <v>259</v>
      </c>
      <c r="AJ244" s="99" t="s">
        <v>260</v>
      </c>
      <c r="AK244" s="99" t="s">
        <v>259</v>
      </c>
      <c r="AL244" s="99" t="s">
        <v>260</v>
      </c>
    </row>
    <row r="245" spans="1:38" ht="24" customHeight="1">
      <c r="A245" s="102">
        <v>1</v>
      </c>
      <c r="B245" s="103" t="s">
        <v>288</v>
      </c>
      <c r="C245" s="104"/>
      <c r="D245" s="104"/>
      <c r="E245" s="104"/>
      <c r="F245" s="104"/>
      <c r="G245" s="99">
        <v>0</v>
      </c>
      <c r="H245" s="99">
        <v>0</v>
      </c>
      <c r="I245" s="99">
        <v>37</v>
      </c>
      <c r="J245" s="99">
        <v>22.44</v>
      </c>
      <c r="K245" s="104"/>
      <c r="L245" s="104"/>
      <c r="M245" s="99">
        <v>37</v>
      </c>
      <c r="N245" s="99">
        <v>22.44</v>
      </c>
      <c r="O245" s="104"/>
      <c r="P245" s="104"/>
      <c r="Q245" s="104"/>
      <c r="R245" s="104"/>
      <c r="S245" s="99">
        <v>0</v>
      </c>
      <c r="T245" s="100">
        <v>0</v>
      </c>
      <c r="U245" s="105"/>
      <c r="V245" s="104"/>
      <c r="W245" s="104"/>
      <c r="X245" s="104"/>
      <c r="Y245" s="99">
        <v>0</v>
      </c>
      <c r="Z245" s="99">
        <v>0</v>
      </c>
      <c r="AA245" s="99">
        <v>60</v>
      </c>
      <c r="AB245" s="99">
        <v>56.03</v>
      </c>
      <c r="AC245" s="104"/>
      <c r="AD245" s="104"/>
      <c r="AE245" s="99">
        <v>60</v>
      </c>
      <c r="AF245" s="99">
        <v>56.03</v>
      </c>
      <c r="AG245" s="104"/>
      <c r="AH245" s="104"/>
      <c r="AI245" s="104"/>
      <c r="AJ245" s="104"/>
      <c r="AK245" s="99">
        <v>0</v>
      </c>
      <c r="AL245" s="99">
        <v>0</v>
      </c>
    </row>
    <row r="246" spans="1:38" ht="24" customHeight="1">
      <c r="A246" s="102">
        <v>2</v>
      </c>
      <c r="B246" s="103" t="s">
        <v>289</v>
      </c>
      <c r="C246" s="104"/>
      <c r="D246" s="104"/>
      <c r="E246" s="104"/>
      <c r="F246" s="104"/>
      <c r="G246" s="99">
        <v>0</v>
      </c>
      <c r="H246" s="99">
        <v>0</v>
      </c>
      <c r="I246" s="99">
        <v>76</v>
      </c>
      <c r="J246" s="99">
        <v>43</v>
      </c>
      <c r="K246" s="104"/>
      <c r="L246" s="104"/>
      <c r="M246" s="99">
        <v>76</v>
      </c>
      <c r="N246" s="99">
        <v>43</v>
      </c>
      <c r="O246" s="104"/>
      <c r="P246" s="104"/>
      <c r="Q246" s="104"/>
      <c r="R246" s="104"/>
      <c r="S246" s="99">
        <v>0</v>
      </c>
      <c r="T246" s="100">
        <v>0</v>
      </c>
      <c r="U246" s="105"/>
      <c r="V246" s="104"/>
      <c r="W246" s="104"/>
      <c r="X246" s="104"/>
      <c r="Y246" s="99">
        <v>0</v>
      </c>
      <c r="Z246" s="99">
        <v>0</v>
      </c>
      <c r="AA246" s="99">
        <v>111</v>
      </c>
      <c r="AB246" s="99">
        <v>101.5</v>
      </c>
      <c r="AC246" s="104"/>
      <c r="AD246" s="104"/>
      <c r="AE246" s="99">
        <v>111</v>
      </c>
      <c r="AF246" s="99">
        <v>101.5</v>
      </c>
      <c r="AG246" s="104"/>
      <c r="AH246" s="104"/>
      <c r="AI246" s="104"/>
      <c r="AJ246" s="104"/>
      <c r="AK246" s="99">
        <v>0</v>
      </c>
      <c r="AL246" s="99">
        <v>0</v>
      </c>
    </row>
    <row r="247" spans="1:38" ht="24" customHeight="1">
      <c r="A247" s="102">
        <v>3</v>
      </c>
      <c r="B247" s="103" t="s">
        <v>362</v>
      </c>
      <c r="C247" s="104"/>
      <c r="D247" s="104"/>
      <c r="E247" s="104"/>
      <c r="F247" s="104"/>
      <c r="G247" s="99">
        <v>0</v>
      </c>
      <c r="H247" s="99">
        <v>0</v>
      </c>
      <c r="I247" s="99">
        <v>43</v>
      </c>
      <c r="J247" s="99">
        <v>27.17</v>
      </c>
      <c r="K247" s="104"/>
      <c r="L247" s="104"/>
      <c r="M247" s="99">
        <v>43</v>
      </c>
      <c r="N247" s="99">
        <v>27.17</v>
      </c>
      <c r="O247" s="104"/>
      <c r="P247" s="104"/>
      <c r="Q247" s="104"/>
      <c r="R247" s="104"/>
      <c r="S247" s="99">
        <v>0</v>
      </c>
      <c r="T247" s="100">
        <v>0</v>
      </c>
      <c r="U247" s="105"/>
      <c r="V247" s="104"/>
      <c r="W247" s="104"/>
      <c r="X247" s="104"/>
      <c r="Y247" s="99">
        <v>0</v>
      </c>
      <c r="Z247" s="99">
        <v>0</v>
      </c>
      <c r="AA247" s="99">
        <v>71</v>
      </c>
      <c r="AB247" s="99">
        <v>60.97</v>
      </c>
      <c r="AC247" s="104"/>
      <c r="AD247" s="104"/>
      <c r="AE247" s="99">
        <v>71</v>
      </c>
      <c r="AF247" s="99">
        <v>60.97</v>
      </c>
      <c r="AG247" s="104"/>
      <c r="AH247" s="104"/>
      <c r="AI247" s="104"/>
      <c r="AJ247" s="104"/>
      <c r="AK247" s="99">
        <v>0</v>
      </c>
      <c r="AL247" s="99">
        <v>0</v>
      </c>
    </row>
    <row r="248" spans="1:38" ht="24" customHeight="1">
      <c r="A248" s="102">
        <v>4</v>
      </c>
      <c r="B248" s="103" t="s">
        <v>363</v>
      </c>
      <c r="C248" s="104"/>
      <c r="D248" s="104"/>
      <c r="E248" s="104"/>
      <c r="F248" s="104"/>
      <c r="G248" s="99">
        <v>0</v>
      </c>
      <c r="H248" s="99">
        <v>0</v>
      </c>
      <c r="I248" s="99">
        <v>102</v>
      </c>
      <c r="J248" s="99">
        <v>58.28</v>
      </c>
      <c r="K248" s="104"/>
      <c r="L248" s="104"/>
      <c r="M248" s="99">
        <v>102</v>
      </c>
      <c r="N248" s="99">
        <v>58.28</v>
      </c>
      <c r="O248" s="104"/>
      <c r="P248" s="104"/>
      <c r="Q248" s="104"/>
      <c r="R248" s="104"/>
      <c r="S248" s="99">
        <v>0</v>
      </c>
      <c r="T248" s="100">
        <v>0</v>
      </c>
      <c r="U248" s="105"/>
      <c r="V248" s="104"/>
      <c r="W248" s="104"/>
      <c r="X248" s="104"/>
      <c r="Y248" s="99">
        <v>0</v>
      </c>
      <c r="Z248" s="99">
        <v>0</v>
      </c>
      <c r="AA248" s="99">
        <v>138</v>
      </c>
      <c r="AB248" s="99">
        <v>118.61</v>
      </c>
      <c r="AC248" s="104"/>
      <c r="AD248" s="104"/>
      <c r="AE248" s="99">
        <v>138</v>
      </c>
      <c r="AF248" s="99">
        <v>118.61</v>
      </c>
      <c r="AG248" s="104"/>
      <c r="AH248" s="104"/>
      <c r="AI248" s="104"/>
      <c r="AJ248" s="104"/>
      <c r="AK248" s="99">
        <v>0</v>
      </c>
      <c r="AL248" s="99">
        <v>0</v>
      </c>
    </row>
    <row r="249" spans="1:38" ht="24" customHeight="1">
      <c r="A249" s="102">
        <v>5</v>
      </c>
      <c r="B249" s="103" t="s">
        <v>364</v>
      </c>
      <c r="C249" s="104"/>
      <c r="D249" s="104"/>
      <c r="E249" s="104"/>
      <c r="F249" s="104"/>
      <c r="G249" s="99">
        <v>0</v>
      </c>
      <c r="H249" s="99">
        <v>0</v>
      </c>
      <c r="I249" s="99">
        <v>43</v>
      </c>
      <c r="J249" s="99">
        <v>25.97</v>
      </c>
      <c r="K249" s="104"/>
      <c r="L249" s="104"/>
      <c r="M249" s="99">
        <v>43</v>
      </c>
      <c r="N249" s="99">
        <v>25.97</v>
      </c>
      <c r="O249" s="104"/>
      <c r="P249" s="104"/>
      <c r="Q249" s="104"/>
      <c r="R249" s="104"/>
      <c r="S249" s="99">
        <v>0</v>
      </c>
      <c r="T249" s="100">
        <v>0</v>
      </c>
      <c r="U249" s="105"/>
      <c r="V249" s="104"/>
      <c r="W249" s="104"/>
      <c r="X249" s="104"/>
      <c r="Y249" s="99">
        <v>0</v>
      </c>
      <c r="Z249" s="99">
        <v>0</v>
      </c>
      <c r="AA249" s="99">
        <v>60</v>
      </c>
      <c r="AB249" s="99">
        <v>52.69</v>
      </c>
      <c r="AC249" s="104"/>
      <c r="AD249" s="104"/>
      <c r="AE249" s="99">
        <v>60</v>
      </c>
      <c r="AF249" s="99">
        <v>52.69</v>
      </c>
      <c r="AG249" s="104"/>
      <c r="AH249" s="104"/>
      <c r="AI249" s="104"/>
      <c r="AJ249" s="104"/>
      <c r="AK249" s="99">
        <v>0</v>
      </c>
      <c r="AL249" s="99">
        <v>0</v>
      </c>
    </row>
    <row r="250" spans="1:38" ht="24" customHeight="1">
      <c r="A250" s="237" t="s">
        <v>22</v>
      </c>
      <c r="B250" s="238"/>
      <c r="C250" s="99"/>
      <c r="D250" s="99"/>
      <c r="E250" s="99"/>
      <c r="F250" s="99"/>
      <c r="G250" s="99">
        <f>SUM(G245:G249)</f>
        <v>0</v>
      </c>
      <c r="H250" s="99">
        <f>SUM(H245:H249)</f>
        <v>0</v>
      </c>
      <c r="I250" s="99">
        <f>SUM(I245:I249)</f>
        <v>301</v>
      </c>
      <c r="J250" s="99">
        <f>SUM(J245:J249)</f>
        <v>176.85999999999999</v>
      </c>
      <c r="K250" s="99"/>
      <c r="L250" s="99"/>
      <c r="M250" s="99">
        <f>SUM(M245:M249)</f>
        <v>301</v>
      </c>
      <c r="N250" s="99">
        <f>SUM(N245:N249)</f>
        <v>176.85999999999999</v>
      </c>
      <c r="O250" s="99"/>
      <c r="P250" s="99"/>
      <c r="Q250" s="99"/>
      <c r="R250" s="99"/>
      <c r="S250" s="99">
        <f>SUM(S245:S249)</f>
        <v>0</v>
      </c>
      <c r="T250" s="100">
        <f>SUM(T245:T249)</f>
        <v>0</v>
      </c>
      <c r="U250" s="101"/>
      <c r="V250" s="99"/>
      <c r="W250" s="99"/>
      <c r="X250" s="99"/>
      <c r="Y250" s="99">
        <f>SUM(Y245:Y249)</f>
        <v>0</v>
      </c>
      <c r="Z250" s="99">
        <f>SUM(Z245:Z249)</f>
        <v>0</v>
      </c>
      <c r="AA250" s="99">
        <f>SUM(AA245:AA249)</f>
        <v>440</v>
      </c>
      <c r="AB250" s="99">
        <f>SUM(AB245:AB249)</f>
        <v>389.8</v>
      </c>
      <c r="AC250" s="99"/>
      <c r="AD250" s="99"/>
      <c r="AE250" s="99">
        <f>SUM(AE245:AE249)</f>
        <v>440</v>
      </c>
      <c r="AF250" s="99">
        <f>SUM(AF245:AF249)</f>
        <v>389.8</v>
      </c>
      <c r="AG250" s="99"/>
      <c r="AH250" s="99"/>
      <c r="AI250" s="99"/>
      <c r="AJ250" s="99"/>
      <c r="AK250" s="99">
        <f>SUM(AK245:AK249)</f>
        <v>0</v>
      </c>
      <c r="AL250" s="99">
        <f>SUM(AL245:AL249)</f>
        <v>0</v>
      </c>
    </row>
    <row r="251" spans="1:38" ht="24" customHeight="1">
      <c r="A251" s="107"/>
      <c r="B251" s="108" t="s">
        <v>4</v>
      </c>
      <c r="C251" s="107">
        <f>+C19+C36+C53+C61+C69+C79+C89+C102+C127+C144+C155+C167+C183+C203+C215+C227+C238+C250</f>
        <v>0</v>
      </c>
      <c r="D251" s="107">
        <f aca="true" t="shared" si="12" ref="D251:AL251">+D19+D36+D53+D61+D69+D79+D89+D102+D127+D144+D155+D167+D183+D203+D215+D227+D238+D250</f>
        <v>0</v>
      </c>
      <c r="E251" s="107">
        <f t="shared" si="12"/>
        <v>0</v>
      </c>
      <c r="F251" s="107">
        <f t="shared" si="12"/>
        <v>0</v>
      </c>
      <c r="G251" s="107">
        <f t="shared" si="12"/>
        <v>0</v>
      </c>
      <c r="H251" s="107">
        <f t="shared" si="12"/>
        <v>0</v>
      </c>
      <c r="I251" s="107">
        <f>+I19+I36+I53+I61+I69+I79+I89+I102+I127+I144+I155+I167+I183+I203+I215+I227+I238+I250</f>
        <v>12535</v>
      </c>
      <c r="J251" s="107">
        <f t="shared" si="12"/>
        <v>6236.03</v>
      </c>
      <c r="K251" s="107">
        <f t="shared" si="12"/>
        <v>1276</v>
      </c>
      <c r="L251" s="107">
        <f t="shared" si="12"/>
        <v>556.33</v>
      </c>
      <c r="M251" s="107">
        <f t="shared" si="12"/>
        <v>13811</v>
      </c>
      <c r="N251" s="107">
        <f t="shared" si="12"/>
        <v>6792.36</v>
      </c>
      <c r="O251" s="107">
        <f t="shared" si="12"/>
        <v>20</v>
      </c>
      <c r="P251" s="107">
        <f t="shared" si="12"/>
        <v>8.43</v>
      </c>
      <c r="Q251" s="107">
        <f t="shared" si="12"/>
        <v>17</v>
      </c>
      <c r="R251" s="107">
        <f t="shared" si="12"/>
        <v>9.89</v>
      </c>
      <c r="S251" s="107">
        <f t="shared" si="12"/>
        <v>37</v>
      </c>
      <c r="T251" s="109">
        <f t="shared" si="12"/>
        <v>18.32</v>
      </c>
      <c r="U251" s="107">
        <f t="shared" si="12"/>
        <v>0</v>
      </c>
      <c r="V251" s="107">
        <f t="shared" si="12"/>
        <v>0</v>
      </c>
      <c r="W251" s="107">
        <f t="shared" si="12"/>
        <v>0</v>
      </c>
      <c r="X251" s="107">
        <f t="shared" si="12"/>
        <v>0</v>
      </c>
      <c r="Y251" s="107">
        <f t="shared" si="12"/>
        <v>0</v>
      </c>
      <c r="Z251" s="107">
        <f t="shared" si="12"/>
        <v>0</v>
      </c>
      <c r="AA251" s="107">
        <f t="shared" si="12"/>
        <v>16051</v>
      </c>
      <c r="AB251" s="107">
        <f t="shared" si="12"/>
        <v>12145.239999999998</v>
      </c>
      <c r="AC251" s="107">
        <f t="shared" si="12"/>
        <v>1809</v>
      </c>
      <c r="AD251" s="107">
        <f t="shared" si="12"/>
        <v>1263.3299999999997</v>
      </c>
      <c r="AE251" s="107">
        <f t="shared" si="12"/>
        <v>17860</v>
      </c>
      <c r="AF251" s="107">
        <f t="shared" si="12"/>
        <v>13408.569999999998</v>
      </c>
      <c r="AG251" s="107">
        <f t="shared" si="12"/>
        <v>24</v>
      </c>
      <c r="AH251" s="107">
        <f t="shared" si="12"/>
        <v>16.060000000000002</v>
      </c>
      <c r="AI251" s="107">
        <f t="shared" si="12"/>
        <v>26</v>
      </c>
      <c r="AJ251" s="107">
        <f t="shared" si="12"/>
        <v>17.61</v>
      </c>
      <c r="AK251" s="107">
        <f t="shared" si="12"/>
        <v>50</v>
      </c>
      <c r="AL251" s="107">
        <f t="shared" si="12"/>
        <v>33.67</v>
      </c>
    </row>
    <row r="252" spans="1:38" ht="24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10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</row>
    <row r="253" spans="1:38" ht="24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11">
        <f>+G251+M251+S251</f>
        <v>13848</v>
      </c>
      <c r="T253" s="111">
        <f>+H251+N251+T251</f>
        <v>6810.679999999999</v>
      </c>
      <c r="U253" s="110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11">
        <f>+Y251+AE251+AK251</f>
        <v>17910</v>
      </c>
      <c r="AL253" s="111">
        <f>+Z251+AF251+AL251</f>
        <v>13442.239999999998</v>
      </c>
    </row>
    <row r="254" spans="1:38" ht="24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10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</row>
    <row r="255" spans="1:38" ht="24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10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</row>
    <row r="256" spans="1:38" ht="24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10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12"/>
      <c r="AL256" s="112"/>
    </row>
    <row r="257" spans="1:38" ht="24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10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</row>
    <row r="281" spans="1:39" ht="24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5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</row>
  </sheetData>
  <sheetProtection/>
  <mergeCells count="559">
    <mergeCell ref="A1:AL1"/>
    <mergeCell ref="A2:AL2"/>
    <mergeCell ref="A3:AL3"/>
    <mergeCell ref="A4:A7"/>
    <mergeCell ref="B4:B7"/>
    <mergeCell ref="C4:T4"/>
    <mergeCell ref="E6:F6"/>
    <mergeCell ref="G6:H6"/>
    <mergeCell ref="I5:N5"/>
    <mergeCell ref="O5:T5"/>
    <mergeCell ref="M6:N6"/>
    <mergeCell ref="O6:P6"/>
    <mergeCell ref="AG6:AH6"/>
    <mergeCell ref="AI6:AJ6"/>
    <mergeCell ref="U4:AL4"/>
    <mergeCell ref="C5:H5"/>
    <mergeCell ref="Y6:Z6"/>
    <mergeCell ref="AA6:AB6"/>
    <mergeCell ref="U5:Z5"/>
    <mergeCell ref="AA5:AF5"/>
    <mergeCell ref="AG5:AL5"/>
    <mergeCell ref="C6:D6"/>
    <mergeCell ref="AK6:AL6"/>
    <mergeCell ref="A19:B19"/>
    <mergeCell ref="Q6:R6"/>
    <mergeCell ref="S6:T6"/>
    <mergeCell ref="U6:V6"/>
    <mergeCell ref="W6:X6"/>
    <mergeCell ref="I6:J6"/>
    <mergeCell ref="K6:L6"/>
    <mergeCell ref="AC6:AD6"/>
    <mergeCell ref="AE6:AF6"/>
    <mergeCell ref="A20:AL20"/>
    <mergeCell ref="A21:AL21"/>
    <mergeCell ref="A22:A25"/>
    <mergeCell ref="B22:B25"/>
    <mergeCell ref="C22:T22"/>
    <mergeCell ref="U22:AL22"/>
    <mergeCell ref="C23:H23"/>
    <mergeCell ref="I23:N23"/>
    <mergeCell ref="O23:T23"/>
    <mergeCell ref="U23:Z23"/>
    <mergeCell ref="AA23:AF23"/>
    <mergeCell ref="AG23:AL23"/>
    <mergeCell ref="C24:D24"/>
    <mergeCell ref="E24:F24"/>
    <mergeCell ref="G24:H24"/>
    <mergeCell ref="I24:J24"/>
    <mergeCell ref="K24:L24"/>
    <mergeCell ref="M24:N24"/>
    <mergeCell ref="O24:P24"/>
    <mergeCell ref="Q24:R24"/>
    <mergeCell ref="A36:B36"/>
    <mergeCell ref="A37:AL37"/>
    <mergeCell ref="S24:T24"/>
    <mergeCell ref="U24:V24"/>
    <mergeCell ref="W24:X24"/>
    <mergeCell ref="Y24:Z24"/>
    <mergeCell ref="AA24:AB24"/>
    <mergeCell ref="AC24:AD24"/>
    <mergeCell ref="U40:Z40"/>
    <mergeCell ref="AA40:AF40"/>
    <mergeCell ref="AE24:AF24"/>
    <mergeCell ref="AG24:AH24"/>
    <mergeCell ref="AI24:AJ24"/>
    <mergeCell ref="AK24:AL24"/>
    <mergeCell ref="Q41:R41"/>
    <mergeCell ref="S41:T41"/>
    <mergeCell ref="A38:AL38"/>
    <mergeCell ref="A39:A42"/>
    <mergeCell ref="B39:B42"/>
    <mergeCell ref="C39:T39"/>
    <mergeCell ref="U39:AL39"/>
    <mergeCell ref="C40:H40"/>
    <mergeCell ref="I40:N40"/>
    <mergeCell ref="O40:T40"/>
    <mergeCell ref="AC41:AD41"/>
    <mergeCell ref="AE41:AF41"/>
    <mergeCell ref="AG40:AL40"/>
    <mergeCell ref="C41:D41"/>
    <mergeCell ref="E41:F41"/>
    <mergeCell ref="G41:H41"/>
    <mergeCell ref="I41:J41"/>
    <mergeCell ref="K41:L41"/>
    <mergeCell ref="M41:N41"/>
    <mergeCell ref="O41:P41"/>
    <mergeCell ref="AG41:AH41"/>
    <mergeCell ref="AI41:AJ41"/>
    <mergeCell ref="AK41:AL41"/>
    <mergeCell ref="A53:B53"/>
    <mergeCell ref="A54:AL54"/>
    <mergeCell ref="A55:AL55"/>
    <mergeCell ref="U41:V41"/>
    <mergeCell ref="W41:X41"/>
    <mergeCell ref="Y41:Z41"/>
    <mergeCell ref="AA41:AB41"/>
    <mergeCell ref="A56:A59"/>
    <mergeCell ref="B56:B59"/>
    <mergeCell ref="C56:T56"/>
    <mergeCell ref="U56:AL56"/>
    <mergeCell ref="C57:H57"/>
    <mergeCell ref="I57:N57"/>
    <mergeCell ref="O57:T57"/>
    <mergeCell ref="U57:Z57"/>
    <mergeCell ref="AA57:AF57"/>
    <mergeCell ref="AG57:AL57"/>
    <mergeCell ref="C58:D58"/>
    <mergeCell ref="E58:F58"/>
    <mergeCell ref="G58:H58"/>
    <mergeCell ref="I58:J58"/>
    <mergeCell ref="K58:L58"/>
    <mergeCell ref="M58:N58"/>
    <mergeCell ref="AI58:AJ58"/>
    <mergeCell ref="AK58:AL58"/>
    <mergeCell ref="O58:P58"/>
    <mergeCell ref="Q58:R58"/>
    <mergeCell ref="S58:T58"/>
    <mergeCell ref="U58:V58"/>
    <mergeCell ref="W58:X58"/>
    <mergeCell ref="Y58:Z58"/>
    <mergeCell ref="I65:N65"/>
    <mergeCell ref="O65:T65"/>
    <mergeCell ref="AA58:AB58"/>
    <mergeCell ref="AC58:AD58"/>
    <mergeCell ref="AE58:AF58"/>
    <mergeCell ref="AG58:AH58"/>
    <mergeCell ref="M66:N66"/>
    <mergeCell ref="O66:P66"/>
    <mergeCell ref="A61:B61"/>
    <mergeCell ref="A62:AL62"/>
    <mergeCell ref="A63:AL63"/>
    <mergeCell ref="A64:A67"/>
    <mergeCell ref="B64:B67"/>
    <mergeCell ref="C64:T64"/>
    <mergeCell ref="U64:AL64"/>
    <mergeCell ref="C65:H65"/>
    <mergeCell ref="Y66:Z66"/>
    <mergeCell ref="AA66:AB66"/>
    <mergeCell ref="U65:Z65"/>
    <mergeCell ref="AA65:AF65"/>
    <mergeCell ref="AG65:AL65"/>
    <mergeCell ref="C66:D66"/>
    <mergeCell ref="E66:F66"/>
    <mergeCell ref="G66:H66"/>
    <mergeCell ref="I66:J66"/>
    <mergeCell ref="K66:L66"/>
    <mergeCell ref="AC66:AD66"/>
    <mergeCell ref="AE66:AF66"/>
    <mergeCell ref="AG66:AH66"/>
    <mergeCell ref="AI66:AJ66"/>
    <mergeCell ref="AK66:AL66"/>
    <mergeCell ref="A69:B69"/>
    <mergeCell ref="Q66:R66"/>
    <mergeCell ref="S66:T66"/>
    <mergeCell ref="U66:V66"/>
    <mergeCell ref="W66:X66"/>
    <mergeCell ref="A70:AL70"/>
    <mergeCell ref="A71:AL71"/>
    <mergeCell ref="A72:A75"/>
    <mergeCell ref="B72:B75"/>
    <mergeCell ref="C72:T72"/>
    <mergeCell ref="U72:AL72"/>
    <mergeCell ref="C73:H73"/>
    <mergeCell ref="I73:N73"/>
    <mergeCell ref="O73:T73"/>
    <mergeCell ref="U73:Z73"/>
    <mergeCell ref="AA73:AF73"/>
    <mergeCell ref="AG73:AL73"/>
    <mergeCell ref="C74:D74"/>
    <mergeCell ref="E74:F74"/>
    <mergeCell ref="G74:H74"/>
    <mergeCell ref="I74:J74"/>
    <mergeCell ref="K74:L74"/>
    <mergeCell ref="M74:N74"/>
    <mergeCell ref="O74:P74"/>
    <mergeCell ref="Q74:R74"/>
    <mergeCell ref="A79:B79"/>
    <mergeCell ref="A80:AL80"/>
    <mergeCell ref="S74:T74"/>
    <mergeCell ref="U74:V74"/>
    <mergeCell ref="W74:X74"/>
    <mergeCell ref="Y74:Z74"/>
    <mergeCell ref="AA74:AB74"/>
    <mergeCell ref="AC74:AD74"/>
    <mergeCell ref="U83:Z83"/>
    <mergeCell ref="AA83:AF83"/>
    <mergeCell ref="AE74:AF74"/>
    <mergeCell ref="AG74:AH74"/>
    <mergeCell ref="AI74:AJ74"/>
    <mergeCell ref="AK74:AL74"/>
    <mergeCell ref="Q84:R84"/>
    <mergeCell ref="S84:T84"/>
    <mergeCell ref="A81:AL81"/>
    <mergeCell ref="A82:A85"/>
    <mergeCell ref="B82:B85"/>
    <mergeCell ref="C82:T82"/>
    <mergeCell ref="U82:AL82"/>
    <mergeCell ref="C83:H83"/>
    <mergeCell ref="I83:N83"/>
    <mergeCell ref="O83:T83"/>
    <mergeCell ref="AC84:AD84"/>
    <mergeCell ref="AE84:AF84"/>
    <mergeCell ref="AG83:AL83"/>
    <mergeCell ref="C84:D84"/>
    <mergeCell ref="E84:F84"/>
    <mergeCell ref="G84:H84"/>
    <mergeCell ref="I84:J84"/>
    <mergeCell ref="K84:L84"/>
    <mergeCell ref="M84:N84"/>
    <mergeCell ref="O84:P84"/>
    <mergeCell ref="AG84:AH84"/>
    <mergeCell ref="AI84:AJ84"/>
    <mergeCell ref="AK84:AL84"/>
    <mergeCell ref="A89:B89"/>
    <mergeCell ref="A90:AL90"/>
    <mergeCell ref="A91:AL91"/>
    <mergeCell ref="U84:V84"/>
    <mergeCell ref="W84:X84"/>
    <mergeCell ref="Y84:Z84"/>
    <mergeCell ref="AA84:AB84"/>
    <mergeCell ref="A92:A95"/>
    <mergeCell ref="B92:B95"/>
    <mergeCell ref="C92:T92"/>
    <mergeCell ref="U92:AL92"/>
    <mergeCell ref="C93:H93"/>
    <mergeCell ref="I93:N93"/>
    <mergeCell ref="O93:T93"/>
    <mergeCell ref="U93:Z93"/>
    <mergeCell ref="AA93:AF93"/>
    <mergeCell ref="AG93:AL93"/>
    <mergeCell ref="C94:D94"/>
    <mergeCell ref="E94:F94"/>
    <mergeCell ref="G94:H94"/>
    <mergeCell ref="I94:J94"/>
    <mergeCell ref="K94:L94"/>
    <mergeCell ref="M94:N94"/>
    <mergeCell ref="AI94:AJ94"/>
    <mergeCell ref="AK94:AL94"/>
    <mergeCell ref="O94:P94"/>
    <mergeCell ref="Q94:R94"/>
    <mergeCell ref="S94:T94"/>
    <mergeCell ref="U94:V94"/>
    <mergeCell ref="W94:X94"/>
    <mergeCell ref="Y94:Z94"/>
    <mergeCell ref="I106:N106"/>
    <mergeCell ref="O106:T106"/>
    <mergeCell ref="AA94:AB94"/>
    <mergeCell ref="AC94:AD94"/>
    <mergeCell ref="AE94:AF94"/>
    <mergeCell ref="AG94:AH94"/>
    <mergeCell ref="M107:N107"/>
    <mergeCell ref="O107:P107"/>
    <mergeCell ref="A102:B102"/>
    <mergeCell ref="A103:AL103"/>
    <mergeCell ref="A104:AL104"/>
    <mergeCell ref="A105:A108"/>
    <mergeCell ref="B105:B108"/>
    <mergeCell ref="C105:T105"/>
    <mergeCell ref="U105:AL105"/>
    <mergeCell ref="C106:H106"/>
    <mergeCell ref="Y107:Z107"/>
    <mergeCell ref="AA107:AB107"/>
    <mergeCell ref="U106:Z106"/>
    <mergeCell ref="AA106:AF106"/>
    <mergeCell ref="AG106:AL106"/>
    <mergeCell ref="C107:D107"/>
    <mergeCell ref="E107:F107"/>
    <mergeCell ref="G107:H107"/>
    <mergeCell ref="I107:J107"/>
    <mergeCell ref="K107:L107"/>
    <mergeCell ref="AC107:AD107"/>
    <mergeCell ref="AE107:AF107"/>
    <mergeCell ref="AG107:AH107"/>
    <mergeCell ref="AI107:AJ107"/>
    <mergeCell ref="AK107:AL107"/>
    <mergeCell ref="A127:B127"/>
    <mergeCell ref="Q107:R107"/>
    <mergeCell ref="S107:T107"/>
    <mergeCell ref="U107:V107"/>
    <mergeCell ref="W107:X107"/>
    <mergeCell ref="A128:AL128"/>
    <mergeCell ref="A129:AL129"/>
    <mergeCell ref="A130:A133"/>
    <mergeCell ref="B130:B133"/>
    <mergeCell ref="C130:T130"/>
    <mergeCell ref="U130:AL130"/>
    <mergeCell ref="C131:H131"/>
    <mergeCell ref="I131:N131"/>
    <mergeCell ref="O131:T131"/>
    <mergeCell ref="U131:Z131"/>
    <mergeCell ref="AA131:AF131"/>
    <mergeCell ref="AG131:AL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A144:B144"/>
    <mergeCell ref="A145:AL145"/>
    <mergeCell ref="S132:T132"/>
    <mergeCell ref="U132:V132"/>
    <mergeCell ref="W132:X132"/>
    <mergeCell ref="Y132:Z132"/>
    <mergeCell ref="AA132:AB132"/>
    <mergeCell ref="AC132:AD132"/>
    <mergeCell ref="U148:Z148"/>
    <mergeCell ref="AA148:AF148"/>
    <mergeCell ref="AE132:AF132"/>
    <mergeCell ref="AG132:AH132"/>
    <mergeCell ref="AI132:AJ132"/>
    <mergeCell ref="AK132:AL132"/>
    <mergeCell ref="Q149:R149"/>
    <mergeCell ref="S149:T149"/>
    <mergeCell ref="A146:AL146"/>
    <mergeCell ref="A147:A150"/>
    <mergeCell ref="B147:B150"/>
    <mergeCell ref="C147:T147"/>
    <mergeCell ref="U147:AL147"/>
    <mergeCell ref="C148:H148"/>
    <mergeCell ref="I148:N148"/>
    <mergeCell ref="O148:T148"/>
    <mergeCell ref="AC149:AD149"/>
    <mergeCell ref="AE149:AF149"/>
    <mergeCell ref="AG148:AL148"/>
    <mergeCell ref="C149:D149"/>
    <mergeCell ref="E149:F149"/>
    <mergeCell ref="G149:H149"/>
    <mergeCell ref="I149:J149"/>
    <mergeCell ref="K149:L149"/>
    <mergeCell ref="M149:N149"/>
    <mergeCell ref="O149:P149"/>
    <mergeCell ref="AG149:AH149"/>
    <mergeCell ref="AI149:AJ149"/>
    <mergeCell ref="AK149:AL149"/>
    <mergeCell ref="A155:B155"/>
    <mergeCell ref="A156:AL156"/>
    <mergeCell ref="A157:AL157"/>
    <mergeCell ref="U149:V149"/>
    <mergeCell ref="W149:X149"/>
    <mergeCell ref="Y149:Z149"/>
    <mergeCell ref="AA149:AB149"/>
    <mergeCell ref="A158:A161"/>
    <mergeCell ref="B158:B161"/>
    <mergeCell ref="C158:T158"/>
    <mergeCell ref="U158:AL158"/>
    <mergeCell ref="C159:H159"/>
    <mergeCell ref="I159:N159"/>
    <mergeCell ref="O159:T159"/>
    <mergeCell ref="U159:Z159"/>
    <mergeCell ref="AA159:AF159"/>
    <mergeCell ref="AG159:AL159"/>
    <mergeCell ref="C160:D160"/>
    <mergeCell ref="E160:F160"/>
    <mergeCell ref="G160:H160"/>
    <mergeCell ref="I160:J160"/>
    <mergeCell ref="K160:L160"/>
    <mergeCell ref="M160:N160"/>
    <mergeCell ref="AI160:AJ160"/>
    <mergeCell ref="AK160:AL160"/>
    <mergeCell ref="O160:P160"/>
    <mergeCell ref="Q160:R160"/>
    <mergeCell ref="S160:T160"/>
    <mergeCell ref="U160:V160"/>
    <mergeCell ref="W160:X160"/>
    <mergeCell ref="Y160:Z160"/>
    <mergeCell ref="I171:N171"/>
    <mergeCell ref="O171:T171"/>
    <mergeCell ref="AA160:AB160"/>
    <mergeCell ref="AC160:AD160"/>
    <mergeCell ref="AE160:AF160"/>
    <mergeCell ref="AG160:AH160"/>
    <mergeCell ref="M172:N172"/>
    <mergeCell ref="O172:P172"/>
    <mergeCell ref="A167:B167"/>
    <mergeCell ref="A168:AL168"/>
    <mergeCell ref="A169:AL169"/>
    <mergeCell ref="A170:A173"/>
    <mergeCell ref="B170:B173"/>
    <mergeCell ref="C170:T170"/>
    <mergeCell ref="U170:AL170"/>
    <mergeCell ref="C171:H171"/>
    <mergeCell ref="Y172:Z172"/>
    <mergeCell ref="AA172:AB172"/>
    <mergeCell ref="U171:Z171"/>
    <mergeCell ref="AA171:AF171"/>
    <mergeCell ref="AG171:AL171"/>
    <mergeCell ref="C172:D172"/>
    <mergeCell ref="E172:F172"/>
    <mergeCell ref="G172:H172"/>
    <mergeCell ref="I172:J172"/>
    <mergeCell ref="K172:L172"/>
    <mergeCell ref="AC172:AD172"/>
    <mergeCell ref="AE172:AF172"/>
    <mergeCell ref="AG172:AH172"/>
    <mergeCell ref="AI172:AJ172"/>
    <mergeCell ref="AK172:AL172"/>
    <mergeCell ref="A183:B183"/>
    <mergeCell ref="Q172:R172"/>
    <mergeCell ref="S172:T172"/>
    <mergeCell ref="U172:V172"/>
    <mergeCell ref="W172:X172"/>
    <mergeCell ref="A184:AL184"/>
    <mergeCell ref="A185:AL185"/>
    <mergeCell ref="A186:A189"/>
    <mergeCell ref="B186:B189"/>
    <mergeCell ref="C186:T186"/>
    <mergeCell ref="U186:AL186"/>
    <mergeCell ref="C187:H187"/>
    <mergeCell ref="I187:N187"/>
    <mergeCell ref="O187:T187"/>
    <mergeCell ref="U187:Z187"/>
    <mergeCell ref="AA187:AF187"/>
    <mergeCell ref="AG187:AL187"/>
    <mergeCell ref="C188:D188"/>
    <mergeCell ref="E188:F188"/>
    <mergeCell ref="G188:H188"/>
    <mergeCell ref="I188:J188"/>
    <mergeCell ref="K188:L188"/>
    <mergeCell ref="M188:N188"/>
    <mergeCell ref="O188:P188"/>
    <mergeCell ref="Q188:R188"/>
    <mergeCell ref="A203:B203"/>
    <mergeCell ref="A204:AL204"/>
    <mergeCell ref="S188:T188"/>
    <mergeCell ref="U188:V188"/>
    <mergeCell ref="W188:X188"/>
    <mergeCell ref="Y188:Z188"/>
    <mergeCell ref="AA188:AB188"/>
    <mergeCell ref="AC188:AD188"/>
    <mergeCell ref="U207:Z207"/>
    <mergeCell ref="AA207:AF207"/>
    <mergeCell ref="AE188:AF188"/>
    <mergeCell ref="AG188:AH188"/>
    <mergeCell ref="AI188:AJ188"/>
    <mergeCell ref="AK188:AL188"/>
    <mergeCell ref="Q208:R208"/>
    <mergeCell ref="S208:T208"/>
    <mergeCell ref="A205:AL205"/>
    <mergeCell ref="A206:A209"/>
    <mergeCell ref="B206:B209"/>
    <mergeCell ref="C206:T206"/>
    <mergeCell ref="U206:AL206"/>
    <mergeCell ref="C207:H207"/>
    <mergeCell ref="I207:N207"/>
    <mergeCell ref="O207:T207"/>
    <mergeCell ref="AC208:AD208"/>
    <mergeCell ref="AE208:AF208"/>
    <mergeCell ref="AG207:AL207"/>
    <mergeCell ref="C208:D208"/>
    <mergeCell ref="E208:F208"/>
    <mergeCell ref="G208:H208"/>
    <mergeCell ref="I208:J208"/>
    <mergeCell ref="K208:L208"/>
    <mergeCell ref="M208:N208"/>
    <mergeCell ref="O208:P208"/>
    <mergeCell ref="AG208:AH208"/>
    <mergeCell ref="AI208:AJ208"/>
    <mergeCell ref="AK208:AL208"/>
    <mergeCell ref="A215:B215"/>
    <mergeCell ref="A216:AL216"/>
    <mergeCell ref="A217:AL217"/>
    <mergeCell ref="U208:V208"/>
    <mergeCell ref="W208:X208"/>
    <mergeCell ref="Y208:Z208"/>
    <mergeCell ref="AA208:AB208"/>
    <mergeCell ref="A218:A221"/>
    <mergeCell ref="B218:B221"/>
    <mergeCell ref="C218:T218"/>
    <mergeCell ref="U218:AL218"/>
    <mergeCell ref="C219:H219"/>
    <mergeCell ref="I219:N219"/>
    <mergeCell ref="O219:T219"/>
    <mergeCell ref="U219:Z219"/>
    <mergeCell ref="AA219:AF219"/>
    <mergeCell ref="AG219:AL219"/>
    <mergeCell ref="C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AE220:AF220"/>
    <mergeCell ref="AG220:AH220"/>
    <mergeCell ref="AI220:AJ220"/>
    <mergeCell ref="AK220:AL220"/>
    <mergeCell ref="A227:B227"/>
    <mergeCell ref="A228:AL228"/>
    <mergeCell ref="A229:AL229"/>
    <mergeCell ref="A230:A233"/>
    <mergeCell ref="B230:B233"/>
    <mergeCell ref="C230:T230"/>
    <mergeCell ref="U230:AL230"/>
    <mergeCell ref="C231:H231"/>
    <mergeCell ref="I231:N231"/>
    <mergeCell ref="O231:T231"/>
    <mergeCell ref="U231:Z231"/>
    <mergeCell ref="AA231:AF231"/>
    <mergeCell ref="AG231:AL231"/>
    <mergeCell ref="C232:D232"/>
    <mergeCell ref="E232:F232"/>
    <mergeCell ref="G232:H232"/>
    <mergeCell ref="I232:J232"/>
    <mergeCell ref="K232:L232"/>
    <mergeCell ref="M232:N232"/>
    <mergeCell ref="O232:P232"/>
    <mergeCell ref="A238:B238"/>
    <mergeCell ref="Q232:R232"/>
    <mergeCell ref="S232:T232"/>
    <mergeCell ref="U232:V232"/>
    <mergeCell ref="W232:X232"/>
    <mergeCell ref="Y232:Z232"/>
    <mergeCell ref="U242:Z242"/>
    <mergeCell ref="AC232:AD232"/>
    <mergeCell ref="AE232:AF232"/>
    <mergeCell ref="AG232:AH232"/>
    <mergeCell ref="AI232:AJ232"/>
    <mergeCell ref="AK232:AL232"/>
    <mergeCell ref="AA232:AB232"/>
    <mergeCell ref="Q243:R243"/>
    <mergeCell ref="A239:AL239"/>
    <mergeCell ref="A240:AL240"/>
    <mergeCell ref="A241:A244"/>
    <mergeCell ref="B241:B244"/>
    <mergeCell ref="C241:T241"/>
    <mergeCell ref="U241:AL241"/>
    <mergeCell ref="C242:H242"/>
    <mergeCell ref="I242:N242"/>
    <mergeCell ref="O242:T242"/>
    <mergeCell ref="AC243:AD243"/>
    <mergeCell ref="AA242:AF242"/>
    <mergeCell ref="AG242:AL242"/>
    <mergeCell ref="C243:D243"/>
    <mergeCell ref="E243:F243"/>
    <mergeCell ref="G243:H243"/>
    <mergeCell ref="I243:J243"/>
    <mergeCell ref="K243:L243"/>
    <mergeCell ref="M243:N243"/>
    <mergeCell ref="O243:P243"/>
    <mergeCell ref="AE243:AF243"/>
    <mergeCell ref="AG243:AH243"/>
    <mergeCell ref="AI243:AJ243"/>
    <mergeCell ref="AK243:AL243"/>
    <mergeCell ref="A250:B250"/>
    <mergeCell ref="S243:T243"/>
    <mergeCell ref="U243:V243"/>
    <mergeCell ref="W243:X243"/>
    <mergeCell ref="Y243:Z243"/>
    <mergeCell ref="AA243:AB243"/>
  </mergeCells>
  <printOptions horizontalCentered="1"/>
  <pageMargins left="0.1968503937007874" right="0.2362204724409449" top="0.4330708661417323" bottom="0.4724409448818898" header="0.31496062992125984" footer="0.31496062992125984"/>
  <pageSetup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COM02</dc:creator>
  <cp:keywords/>
  <dc:description/>
  <cp:lastModifiedBy>COM02</cp:lastModifiedBy>
  <cp:lastPrinted>2019-05-02T06:47:59Z</cp:lastPrinted>
  <dcterms:created xsi:type="dcterms:W3CDTF">2016-04-29T03:43:06Z</dcterms:created>
  <dcterms:modified xsi:type="dcterms:W3CDTF">2019-05-02T06:52:49Z</dcterms:modified>
  <cp:category/>
  <cp:version/>
  <cp:contentType/>
  <cp:contentStatus/>
</cp:coreProperties>
</file>